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U\Desktop\благо 21\Новая папка\"/>
    </mc:Choice>
  </mc:AlternateContent>
  <bookViews>
    <workbookView xWindow="0" yWindow="0" windowWidth="28800" windowHeight="11475"/>
  </bookViews>
  <sheets>
    <sheet name="Смета по ТСН-2001" sheetId="5" r:id="rId1"/>
    <sheet name="Ведомость объемов работ" sheetId="6" r:id="rId2"/>
    <sheet name="Дефектная ведомость" sheetId="7" r:id="rId3"/>
    <sheet name="Объектная смета" sheetId="8" r:id="rId4"/>
    <sheet name="RV_DATA" sheetId="10" state="hidden" r:id="rId5"/>
    <sheet name="Расчет стоимости ресурсов" sheetId="9" r:id="rId6"/>
    <sheet name="Source" sheetId="1" r:id="rId7"/>
    <sheet name="SourceObSm" sheetId="2" r:id="rId8"/>
    <sheet name="SmtRes" sheetId="3" r:id="rId9"/>
    <sheet name="EtalonRes" sheetId="4" r:id="rId10"/>
  </sheets>
  <externalReferences>
    <externalReference r:id="rId11"/>
  </externalReferences>
  <definedNames>
    <definedName name="_xlnm.Print_Titles" localSheetId="1">'Ведомость объемов работ'!$7:$7</definedName>
    <definedName name="_xlnm.Print_Titles" localSheetId="2">'Дефектная ведомость'!$18:$18</definedName>
    <definedName name="_xlnm.Print_Titles" localSheetId="3">'Объектная смета'!$23:$23</definedName>
    <definedName name="_xlnm.Print_Titles" localSheetId="5">'Расчет стоимости ресурсов'!$4:$7</definedName>
    <definedName name="_xlnm.Print_Titles" localSheetId="0">'Смета по ТСН-2001'!$33:$33</definedName>
    <definedName name="_xlnm.Print_Area" localSheetId="1">'Ведомость объемов работ'!$A$1:$E$166</definedName>
    <definedName name="_xlnm.Print_Area" localSheetId="2">'Дефектная ведомость'!$A$1:$E$178</definedName>
    <definedName name="_xlnm.Print_Area" localSheetId="5">'Расчет стоимости ресурсов'!$A$1:$F$317</definedName>
    <definedName name="_xlnm.Print_Area" localSheetId="0">'Смета по ТСН-2001'!$A$1:$K$980</definedName>
  </definedNames>
  <calcPr calcId="162913"/>
</workbook>
</file>

<file path=xl/calcChain.xml><?xml version="1.0" encoding="utf-8"?>
<calcChain xmlns="http://schemas.openxmlformats.org/spreadsheetml/2006/main">
  <c r="G6" i="5" l="1"/>
  <c r="E17" i="9" l="1"/>
  <c r="G333" i="10"/>
  <c r="A333" i="10"/>
  <c r="G332" i="10"/>
  <c r="A332" i="10"/>
  <c r="G331" i="10"/>
  <c r="A331" i="10"/>
  <c r="G330" i="10"/>
  <c r="A330" i="10"/>
  <c r="U329" i="10"/>
  <c r="H329" i="10"/>
  <c r="G329" i="10"/>
  <c r="F329" i="10"/>
  <c r="E329" i="10"/>
  <c r="D329" i="10"/>
  <c r="A329" i="10"/>
  <c r="U328" i="10"/>
  <c r="H328" i="10"/>
  <c r="G328" i="10"/>
  <c r="F328" i="10"/>
  <c r="E328" i="10"/>
  <c r="D328" i="10"/>
  <c r="A328" i="10"/>
  <c r="U327" i="10"/>
  <c r="H327" i="10"/>
  <c r="G327" i="10"/>
  <c r="F327" i="10"/>
  <c r="E327" i="10"/>
  <c r="D327" i="10"/>
  <c r="A327" i="10"/>
  <c r="U326" i="10"/>
  <c r="S326" i="10"/>
  <c r="P326" i="10"/>
  <c r="N326" i="10"/>
  <c r="E309" i="9" s="1"/>
  <c r="K326" i="10"/>
  <c r="J326" i="10"/>
  <c r="H326" i="10"/>
  <c r="G326" i="10"/>
  <c r="F326" i="10"/>
  <c r="E326" i="10"/>
  <c r="A326" i="10"/>
  <c r="U325" i="10"/>
  <c r="S325" i="10"/>
  <c r="P325" i="10"/>
  <c r="N325" i="10"/>
  <c r="E310" i="9" s="1"/>
  <c r="K325" i="10"/>
  <c r="J325" i="10"/>
  <c r="H325" i="10"/>
  <c r="G325" i="10"/>
  <c r="F325" i="10"/>
  <c r="E325" i="10"/>
  <c r="A325" i="10"/>
  <c r="U324" i="10"/>
  <c r="S324" i="10"/>
  <c r="P324" i="10"/>
  <c r="N324" i="10"/>
  <c r="E316" i="9" s="1"/>
  <c r="K324" i="10"/>
  <c r="J324" i="10"/>
  <c r="H324" i="10"/>
  <c r="G324" i="10"/>
  <c r="F324" i="10"/>
  <c r="E324" i="10"/>
  <c r="A324" i="10"/>
  <c r="G323" i="10"/>
  <c r="A323" i="10"/>
  <c r="U322" i="10"/>
  <c r="H322" i="10"/>
  <c r="G322" i="10"/>
  <c r="F322" i="10"/>
  <c r="E322" i="10"/>
  <c r="D322" i="10"/>
  <c r="A322" i="10"/>
  <c r="U321" i="10"/>
  <c r="S321" i="10"/>
  <c r="P321" i="10"/>
  <c r="N321" i="10"/>
  <c r="K321" i="10"/>
  <c r="J321" i="10"/>
  <c r="H321" i="10"/>
  <c r="G321" i="10"/>
  <c r="F321" i="10"/>
  <c r="E321" i="10"/>
  <c r="A321" i="10"/>
  <c r="U320" i="10"/>
  <c r="S320" i="10"/>
  <c r="P320" i="10"/>
  <c r="N320" i="10"/>
  <c r="K320" i="10"/>
  <c r="J320" i="10"/>
  <c r="H320" i="10"/>
  <c r="G320" i="10"/>
  <c r="F320" i="10"/>
  <c r="E320" i="10"/>
  <c r="A320" i="10"/>
  <c r="U319" i="10"/>
  <c r="S319" i="10"/>
  <c r="P319" i="10"/>
  <c r="N319" i="10"/>
  <c r="K319" i="10"/>
  <c r="J319" i="10"/>
  <c r="H319" i="10"/>
  <c r="G319" i="10"/>
  <c r="F319" i="10"/>
  <c r="E319" i="10"/>
  <c r="A319" i="10"/>
  <c r="U318" i="10"/>
  <c r="S318" i="10"/>
  <c r="P318" i="10"/>
  <c r="N318" i="10"/>
  <c r="K318" i="10"/>
  <c r="J318" i="10"/>
  <c r="H318" i="10"/>
  <c r="G318" i="10"/>
  <c r="F318" i="10"/>
  <c r="E318" i="10"/>
  <c r="A318" i="10"/>
  <c r="U317" i="10"/>
  <c r="S317" i="10"/>
  <c r="P317" i="10"/>
  <c r="N317" i="10"/>
  <c r="K317" i="10"/>
  <c r="J317" i="10"/>
  <c r="H317" i="10"/>
  <c r="G317" i="10"/>
  <c r="F317" i="10"/>
  <c r="E317" i="10"/>
  <c r="A317" i="10"/>
  <c r="U316" i="10"/>
  <c r="S316" i="10"/>
  <c r="P316" i="10"/>
  <c r="N316" i="10"/>
  <c r="K316" i="10"/>
  <c r="J316" i="10"/>
  <c r="H316" i="10"/>
  <c r="G316" i="10"/>
  <c r="F316" i="10"/>
  <c r="E316" i="10"/>
  <c r="A316" i="10"/>
  <c r="U315" i="10"/>
  <c r="S315" i="10"/>
  <c r="P315" i="10"/>
  <c r="N315" i="10"/>
  <c r="K315" i="10"/>
  <c r="J315" i="10"/>
  <c r="H315" i="10"/>
  <c r="G315" i="10"/>
  <c r="F315" i="10"/>
  <c r="E315" i="10"/>
  <c r="A315" i="10"/>
  <c r="U314" i="10"/>
  <c r="S314" i="10"/>
  <c r="P314" i="10"/>
  <c r="N314" i="10"/>
  <c r="K314" i="10"/>
  <c r="J314" i="10"/>
  <c r="H314" i="10"/>
  <c r="G314" i="10"/>
  <c r="F314" i="10"/>
  <c r="E314" i="10"/>
  <c r="A314" i="10"/>
  <c r="U313" i="10"/>
  <c r="S313" i="10"/>
  <c r="P313" i="10"/>
  <c r="N313" i="10"/>
  <c r="K313" i="10"/>
  <c r="J313" i="10"/>
  <c r="H313" i="10"/>
  <c r="G313" i="10"/>
  <c r="F313" i="10"/>
  <c r="E313" i="10"/>
  <c r="A313" i="10"/>
  <c r="U312" i="10"/>
  <c r="H312" i="10"/>
  <c r="G312" i="10"/>
  <c r="F312" i="10"/>
  <c r="E312" i="10"/>
  <c r="D312" i="10"/>
  <c r="A312" i="10"/>
  <c r="U311" i="10"/>
  <c r="S311" i="10"/>
  <c r="P311" i="10"/>
  <c r="N311" i="10"/>
  <c r="K311" i="10"/>
  <c r="J311" i="10"/>
  <c r="H311" i="10"/>
  <c r="G311" i="10"/>
  <c r="F311" i="10"/>
  <c r="E311" i="10"/>
  <c r="A311" i="10"/>
  <c r="U310" i="10"/>
  <c r="S310" i="10"/>
  <c r="P310" i="10"/>
  <c r="N310" i="10"/>
  <c r="K310" i="10"/>
  <c r="J310" i="10"/>
  <c r="H310" i="10"/>
  <c r="G310" i="10"/>
  <c r="F310" i="10"/>
  <c r="E310" i="10"/>
  <c r="A310" i="10"/>
  <c r="U309" i="10"/>
  <c r="S309" i="10"/>
  <c r="P309" i="10"/>
  <c r="N309" i="10"/>
  <c r="K309" i="10"/>
  <c r="J309" i="10"/>
  <c r="H309" i="10"/>
  <c r="G309" i="10"/>
  <c r="F309" i="10"/>
  <c r="E309" i="10"/>
  <c r="A309" i="10"/>
  <c r="U308" i="10"/>
  <c r="S308" i="10"/>
  <c r="P308" i="10"/>
  <c r="N308" i="10"/>
  <c r="E297" i="9" s="1"/>
  <c r="K308" i="10"/>
  <c r="J308" i="10"/>
  <c r="H308" i="10"/>
  <c r="G308" i="10"/>
  <c r="F308" i="10"/>
  <c r="E308" i="10"/>
  <c r="A308" i="10"/>
  <c r="U307" i="10"/>
  <c r="S307" i="10"/>
  <c r="P307" i="10"/>
  <c r="N307" i="10"/>
  <c r="K307" i="10"/>
  <c r="J307" i="10"/>
  <c r="H307" i="10"/>
  <c r="G307" i="10"/>
  <c r="F307" i="10"/>
  <c r="E307" i="10"/>
  <c r="A307" i="10"/>
  <c r="U306" i="10"/>
  <c r="H306" i="10"/>
  <c r="G306" i="10"/>
  <c r="F306" i="10"/>
  <c r="E306" i="10"/>
  <c r="D306" i="10"/>
  <c r="A306" i="10"/>
  <c r="U305" i="10"/>
  <c r="S305" i="10"/>
  <c r="P305" i="10"/>
  <c r="N305" i="10"/>
  <c r="E292" i="9" s="1"/>
  <c r="K305" i="10"/>
  <c r="J305" i="10"/>
  <c r="H305" i="10"/>
  <c r="G305" i="10"/>
  <c r="F305" i="10"/>
  <c r="E305" i="10"/>
  <c r="A305" i="10"/>
  <c r="U304" i="10"/>
  <c r="S304" i="10"/>
  <c r="P304" i="10"/>
  <c r="N304" i="10"/>
  <c r="E293" i="9" s="1"/>
  <c r="K304" i="10"/>
  <c r="J304" i="10"/>
  <c r="H304" i="10"/>
  <c r="G304" i="10"/>
  <c r="F304" i="10"/>
  <c r="E304" i="10"/>
  <c r="A304" i="10"/>
  <c r="U303" i="10"/>
  <c r="S303" i="10"/>
  <c r="P303" i="10"/>
  <c r="N303" i="10"/>
  <c r="E294" i="9" s="1"/>
  <c r="K303" i="10"/>
  <c r="J303" i="10"/>
  <c r="H303" i="10"/>
  <c r="G303" i="10"/>
  <c r="F303" i="10"/>
  <c r="E303" i="10"/>
  <c r="A303" i="10"/>
  <c r="U302" i="10"/>
  <c r="S302" i="10"/>
  <c r="P302" i="10"/>
  <c r="N302" i="10"/>
  <c r="E295" i="9" s="1"/>
  <c r="K302" i="10"/>
  <c r="J302" i="10"/>
  <c r="H302" i="10"/>
  <c r="G302" i="10"/>
  <c r="F302" i="10"/>
  <c r="E302" i="10"/>
  <c r="A302" i="10"/>
  <c r="U301" i="10"/>
  <c r="S301" i="10"/>
  <c r="P301" i="10"/>
  <c r="N301" i="10"/>
  <c r="E296" i="9" s="1"/>
  <c r="K301" i="10"/>
  <c r="J301" i="10"/>
  <c r="H301" i="10"/>
  <c r="G301" i="10"/>
  <c r="F301" i="10"/>
  <c r="E301" i="10"/>
  <c r="A301" i="10"/>
  <c r="U300" i="10"/>
  <c r="S300" i="10"/>
  <c r="P300" i="10"/>
  <c r="N300" i="10"/>
  <c r="E300" i="9" s="1"/>
  <c r="K300" i="10"/>
  <c r="J300" i="10"/>
  <c r="H300" i="10"/>
  <c r="G300" i="10"/>
  <c r="F300" i="10"/>
  <c r="E300" i="10"/>
  <c r="A300" i="10"/>
  <c r="U299" i="10"/>
  <c r="S299" i="10"/>
  <c r="P299" i="10"/>
  <c r="N299" i="10"/>
  <c r="E301" i="9" s="1"/>
  <c r="K299" i="10"/>
  <c r="J299" i="10"/>
  <c r="H299" i="10"/>
  <c r="G299" i="10"/>
  <c r="F299" i="10"/>
  <c r="E299" i="10"/>
  <c r="A299" i="10"/>
  <c r="U298" i="10"/>
  <c r="S298" i="10"/>
  <c r="P298" i="10"/>
  <c r="N298" i="10"/>
  <c r="E304" i="9" s="1"/>
  <c r="K298" i="10"/>
  <c r="J298" i="10"/>
  <c r="H298" i="10"/>
  <c r="G298" i="10"/>
  <c r="F298" i="10"/>
  <c r="E298" i="10"/>
  <c r="A298" i="10"/>
  <c r="U297" i="10"/>
  <c r="S297" i="10"/>
  <c r="P297" i="10"/>
  <c r="N297" i="10"/>
  <c r="E305" i="9" s="1"/>
  <c r="K297" i="10"/>
  <c r="J297" i="10"/>
  <c r="H297" i="10"/>
  <c r="G297" i="10"/>
  <c r="F297" i="10"/>
  <c r="E297" i="10"/>
  <c r="A297" i="10"/>
  <c r="G296" i="10"/>
  <c r="A296" i="10"/>
  <c r="G295" i="10"/>
  <c r="A295" i="10"/>
  <c r="G294" i="10"/>
  <c r="A294" i="10"/>
  <c r="U293" i="10"/>
  <c r="H293" i="10"/>
  <c r="G293" i="10"/>
  <c r="F293" i="10"/>
  <c r="E293" i="10"/>
  <c r="D293" i="10"/>
  <c r="A293" i="10"/>
  <c r="U292" i="10"/>
  <c r="S292" i="10"/>
  <c r="P292" i="10"/>
  <c r="N292" i="10"/>
  <c r="K292" i="10"/>
  <c r="J292" i="10"/>
  <c r="H292" i="10"/>
  <c r="G292" i="10"/>
  <c r="F292" i="10"/>
  <c r="E292" i="10"/>
  <c r="A292" i="10"/>
  <c r="U291" i="10"/>
  <c r="S291" i="10"/>
  <c r="P291" i="10"/>
  <c r="N291" i="10"/>
  <c r="K291" i="10"/>
  <c r="J291" i="10"/>
  <c r="H291" i="10"/>
  <c r="G291" i="10"/>
  <c r="F291" i="10"/>
  <c r="E291" i="10"/>
  <c r="A291" i="10"/>
  <c r="U290" i="10"/>
  <c r="S290" i="10"/>
  <c r="P290" i="10"/>
  <c r="N290" i="10"/>
  <c r="K290" i="10"/>
  <c r="J290" i="10"/>
  <c r="H290" i="10"/>
  <c r="G290" i="10"/>
  <c r="F290" i="10"/>
  <c r="E290" i="10"/>
  <c r="A290" i="10"/>
  <c r="U289" i="10"/>
  <c r="S289" i="10"/>
  <c r="P289" i="10"/>
  <c r="N289" i="10"/>
  <c r="K289" i="10"/>
  <c r="J289" i="10"/>
  <c r="H289" i="10"/>
  <c r="G289" i="10"/>
  <c r="F289" i="10"/>
  <c r="E289" i="10"/>
  <c r="A289" i="10"/>
  <c r="U288" i="10"/>
  <c r="S288" i="10"/>
  <c r="P288" i="10"/>
  <c r="N288" i="10"/>
  <c r="K288" i="10"/>
  <c r="J288" i="10"/>
  <c r="H288" i="10"/>
  <c r="G288" i="10"/>
  <c r="F288" i="10"/>
  <c r="E288" i="10"/>
  <c r="A288" i="10"/>
  <c r="U287" i="10"/>
  <c r="S287" i="10"/>
  <c r="P287" i="10"/>
  <c r="N287" i="10"/>
  <c r="K287" i="10"/>
  <c r="J287" i="10"/>
  <c r="H287" i="10"/>
  <c r="G287" i="10"/>
  <c r="F287" i="10"/>
  <c r="E287" i="10"/>
  <c r="A287" i="10"/>
  <c r="U286" i="10"/>
  <c r="H286" i="10"/>
  <c r="G286" i="10"/>
  <c r="F286" i="10"/>
  <c r="E286" i="10"/>
  <c r="D286" i="10"/>
  <c r="A286" i="10"/>
  <c r="U285" i="10"/>
  <c r="S285" i="10"/>
  <c r="P285" i="10"/>
  <c r="N285" i="10"/>
  <c r="E278" i="9" s="1"/>
  <c r="K285" i="10"/>
  <c r="J285" i="10"/>
  <c r="H285" i="10"/>
  <c r="G285" i="10"/>
  <c r="F285" i="10"/>
  <c r="E285" i="10"/>
  <c r="A285" i="10"/>
  <c r="U284" i="10"/>
  <c r="S284" i="10"/>
  <c r="P284" i="10"/>
  <c r="N284" i="10"/>
  <c r="E279" i="9" s="1"/>
  <c r="K284" i="10"/>
  <c r="J284" i="10"/>
  <c r="H284" i="10"/>
  <c r="G284" i="10"/>
  <c r="F284" i="10"/>
  <c r="E284" i="10"/>
  <c r="A284" i="10"/>
  <c r="U283" i="10"/>
  <c r="S283" i="10"/>
  <c r="P283" i="10"/>
  <c r="N283" i="10"/>
  <c r="E280" i="9" s="1"/>
  <c r="K283" i="10"/>
  <c r="J283" i="10"/>
  <c r="H283" i="10"/>
  <c r="G283" i="10"/>
  <c r="F283" i="10"/>
  <c r="E283" i="10"/>
  <c r="A283" i="10"/>
  <c r="U282" i="10"/>
  <c r="S282" i="10"/>
  <c r="P282" i="10"/>
  <c r="N282" i="10"/>
  <c r="E285" i="9" s="1"/>
  <c r="K282" i="10"/>
  <c r="J282" i="10"/>
  <c r="H282" i="10"/>
  <c r="G282" i="10"/>
  <c r="F282" i="10"/>
  <c r="E282" i="10"/>
  <c r="A282" i="10"/>
  <c r="U281" i="10"/>
  <c r="S281" i="10"/>
  <c r="P281" i="10"/>
  <c r="N281" i="10"/>
  <c r="E286" i="9" s="1"/>
  <c r="K281" i="10"/>
  <c r="J281" i="10"/>
  <c r="H281" i="10"/>
  <c r="G281" i="10"/>
  <c r="F281" i="10"/>
  <c r="E281" i="10"/>
  <c r="A281" i="10"/>
  <c r="U280" i="10"/>
  <c r="S280" i="10"/>
  <c r="P280" i="10"/>
  <c r="N280" i="10"/>
  <c r="E287" i="9" s="1"/>
  <c r="K280" i="10"/>
  <c r="J280" i="10"/>
  <c r="H280" i="10"/>
  <c r="G280" i="10"/>
  <c r="F280" i="10"/>
  <c r="E280" i="10"/>
  <c r="A280" i="10"/>
  <c r="U279" i="10"/>
  <c r="S279" i="10"/>
  <c r="P279" i="10"/>
  <c r="N279" i="10"/>
  <c r="E288" i="9" s="1"/>
  <c r="K279" i="10"/>
  <c r="J279" i="10"/>
  <c r="H279" i="10"/>
  <c r="G279" i="10"/>
  <c r="F279" i="10"/>
  <c r="E279" i="10"/>
  <c r="A279" i="10"/>
  <c r="G278" i="10"/>
  <c r="A278" i="10"/>
  <c r="U277" i="10"/>
  <c r="H277" i="10"/>
  <c r="G277" i="10"/>
  <c r="F277" i="10"/>
  <c r="E277" i="10"/>
  <c r="D277" i="10"/>
  <c r="A277" i="10"/>
  <c r="U276" i="10"/>
  <c r="H276" i="10"/>
  <c r="G276" i="10"/>
  <c r="F276" i="10"/>
  <c r="E276" i="10"/>
  <c r="D276" i="10"/>
  <c r="A276" i="10"/>
  <c r="U275" i="10"/>
  <c r="S275" i="10"/>
  <c r="P275" i="10"/>
  <c r="N275" i="10"/>
  <c r="E273" i="9" s="1"/>
  <c r="K275" i="10"/>
  <c r="J275" i="10"/>
  <c r="H275" i="10"/>
  <c r="G275" i="10"/>
  <c r="F275" i="10"/>
  <c r="E275" i="10"/>
  <c r="A275" i="10"/>
  <c r="U274" i="10"/>
  <c r="H274" i="10"/>
  <c r="G274" i="10"/>
  <c r="F274" i="10"/>
  <c r="E274" i="10"/>
  <c r="D274" i="10"/>
  <c r="A274" i="10"/>
  <c r="U273" i="10"/>
  <c r="H273" i="10"/>
  <c r="G273" i="10"/>
  <c r="F273" i="10"/>
  <c r="E273" i="10"/>
  <c r="D273" i="10"/>
  <c r="A273" i="10"/>
  <c r="U272" i="10"/>
  <c r="H272" i="10"/>
  <c r="G272" i="10"/>
  <c r="F272" i="10"/>
  <c r="E272" i="10"/>
  <c r="D272" i="10"/>
  <c r="A272" i="10"/>
  <c r="U271" i="10"/>
  <c r="S271" i="10"/>
  <c r="P271" i="10"/>
  <c r="N271" i="10"/>
  <c r="E267" i="9" s="1"/>
  <c r="K271" i="10"/>
  <c r="J271" i="10"/>
  <c r="H271" i="10"/>
  <c r="G271" i="10"/>
  <c r="F271" i="10"/>
  <c r="E271" i="10"/>
  <c r="A271" i="10"/>
  <c r="U270" i="10"/>
  <c r="S270" i="10"/>
  <c r="P270" i="10"/>
  <c r="N270" i="10"/>
  <c r="E270" i="9" s="1"/>
  <c r="K270" i="10"/>
  <c r="J270" i="10"/>
  <c r="H270" i="10"/>
  <c r="G270" i="10"/>
  <c r="F270" i="10"/>
  <c r="E270" i="10"/>
  <c r="A270" i="10"/>
  <c r="G269" i="10"/>
  <c r="A269" i="10"/>
  <c r="G268" i="10"/>
  <c r="A268" i="10"/>
  <c r="G267" i="10"/>
  <c r="A267" i="10"/>
  <c r="G266" i="10"/>
  <c r="A266" i="10"/>
  <c r="U265" i="10"/>
  <c r="S265" i="10"/>
  <c r="P265" i="10"/>
  <c r="N265" i="10"/>
  <c r="K265" i="10"/>
  <c r="J265" i="10"/>
  <c r="H265" i="10"/>
  <c r="G265" i="10"/>
  <c r="F265" i="10"/>
  <c r="E265" i="10"/>
  <c r="A265" i="10"/>
  <c r="U264" i="10"/>
  <c r="S264" i="10"/>
  <c r="P264" i="10"/>
  <c r="N264" i="10"/>
  <c r="E246" i="9" s="1"/>
  <c r="K264" i="10"/>
  <c r="J264" i="10"/>
  <c r="H264" i="10"/>
  <c r="G264" i="10"/>
  <c r="F264" i="10"/>
  <c r="E264" i="10"/>
  <c r="A264" i="10"/>
  <c r="U263" i="10"/>
  <c r="S263" i="10"/>
  <c r="P263" i="10"/>
  <c r="N263" i="10"/>
  <c r="E254" i="9" s="1"/>
  <c r="K263" i="10"/>
  <c r="J263" i="10"/>
  <c r="H263" i="10"/>
  <c r="G263" i="10"/>
  <c r="F263" i="10"/>
  <c r="E263" i="10"/>
  <c r="A263" i="10"/>
  <c r="U262" i="10"/>
  <c r="S262" i="10"/>
  <c r="P262" i="10"/>
  <c r="N262" i="10"/>
  <c r="E262" i="9" s="1"/>
  <c r="K262" i="10"/>
  <c r="J262" i="10"/>
  <c r="H262" i="10"/>
  <c r="G262" i="10"/>
  <c r="F262" i="10"/>
  <c r="E262" i="10"/>
  <c r="A262" i="10"/>
  <c r="U261" i="10"/>
  <c r="H261" i="10"/>
  <c r="G261" i="10"/>
  <c r="F261" i="10"/>
  <c r="E261" i="10"/>
  <c r="D261" i="10"/>
  <c r="A261" i="10"/>
  <c r="U260" i="10"/>
  <c r="S260" i="10"/>
  <c r="P260" i="10"/>
  <c r="N260" i="10"/>
  <c r="E240" i="9" s="1"/>
  <c r="K260" i="10"/>
  <c r="J260" i="10"/>
  <c r="H260" i="10"/>
  <c r="G260" i="10"/>
  <c r="F260" i="10"/>
  <c r="E260" i="10"/>
  <c r="A260" i="10"/>
  <c r="U259" i="10"/>
  <c r="S259" i="10"/>
  <c r="P259" i="10"/>
  <c r="N259" i="10"/>
  <c r="K259" i="10"/>
  <c r="J259" i="10"/>
  <c r="H259" i="10"/>
  <c r="G259" i="10"/>
  <c r="F259" i="10"/>
  <c r="E259" i="10"/>
  <c r="A259" i="10"/>
  <c r="U258" i="10"/>
  <c r="S258" i="10"/>
  <c r="P258" i="10"/>
  <c r="N258" i="10"/>
  <c r="E259" i="9" s="1"/>
  <c r="K258" i="10"/>
  <c r="J258" i="10"/>
  <c r="H258" i="10"/>
  <c r="G258" i="10"/>
  <c r="F258" i="10"/>
  <c r="E258" i="10"/>
  <c r="A258" i="10"/>
  <c r="U257" i="10"/>
  <c r="S257" i="10"/>
  <c r="P257" i="10"/>
  <c r="N257" i="10"/>
  <c r="K257" i="10"/>
  <c r="J257" i="10"/>
  <c r="H257" i="10"/>
  <c r="G257" i="10"/>
  <c r="F257" i="10"/>
  <c r="E257" i="10"/>
  <c r="A257" i="10"/>
  <c r="U256" i="10"/>
  <c r="S256" i="10"/>
  <c r="P256" i="10"/>
  <c r="N256" i="10"/>
  <c r="K256" i="10"/>
  <c r="J256" i="10"/>
  <c r="H256" i="10"/>
  <c r="G256" i="10"/>
  <c r="F256" i="10"/>
  <c r="E256" i="10"/>
  <c r="A256" i="10"/>
  <c r="U255" i="10"/>
  <c r="S255" i="10"/>
  <c r="P255" i="10"/>
  <c r="N255" i="10"/>
  <c r="K255" i="10"/>
  <c r="J255" i="10"/>
  <c r="H255" i="10"/>
  <c r="G255" i="10"/>
  <c r="F255" i="10"/>
  <c r="E255" i="10"/>
  <c r="A255" i="10"/>
  <c r="U254" i="10"/>
  <c r="S254" i="10"/>
  <c r="P254" i="10"/>
  <c r="N254" i="10"/>
  <c r="E247" i="9" s="1"/>
  <c r="K254" i="10"/>
  <c r="J254" i="10"/>
  <c r="H254" i="10"/>
  <c r="G254" i="10"/>
  <c r="F254" i="10"/>
  <c r="E254" i="10"/>
  <c r="A254" i="10"/>
  <c r="U253" i="10"/>
  <c r="S253" i="10"/>
  <c r="P253" i="10"/>
  <c r="N253" i="10"/>
  <c r="K253" i="10"/>
  <c r="J253" i="10"/>
  <c r="H253" i="10"/>
  <c r="G253" i="10"/>
  <c r="F253" i="10"/>
  <c r="E253" i="10"/>
  <c r="A253" i="10"/>
  <c r="U252" i="10"/>
  <c r="H252" i="10"/>
  <c r="G252" i="10"/>
  <c r="F252" i="10"/>
  <c r="E252" i="10"/>
  <c r="D252" i="10"/>
  <c r="A252" i="10"/>
  <c r="U251" i="10"/>
  <c r="H251" i="10"/>
  <c r="G251" i="10"/>
  <c r="F251" i="10"/>
  <c r="E251" i="10"/>
  <c r="D251" i="10"/>
  <c r="A251" i="10"/>
  <c r="U250" i="10"/>
  <c r="S250" i="10"/>
  <c r="P250" i="10"/>
  <c r="N250" i="10"/>
  <c r="K250" i="10"/>
  <c r="J250" i="10"/>
  <c r="H250" i="10"/>
  <c r="G250" i="10"/>
  <c r="F250" i="10"/>
  <c r="E250" i="10"/>
  <c r="A250" i="10"/>
  <c r="U249" i="10"/>
  <c r="S249" i="10"/>
  <c r="P249" i="10"/>
  <c r="N249" i="10"/>
  <c r="K249" i="10"/>
  <c r="J249" i="10"/>
  <c r="H249" i="10"/>
  <c r="G249" i="10"/>
  <c r="F249" i="10"/>
  <c r="E249" i="10"/>
  <c r="A249" i="10"/>
  <c r="U248" i="10"/>
  <c r="S248" i="10"/>
  <c r="P248" i="10"/>
  <c r="N248" i="10"/>
  <c r="E245" i="9" s="1"/>
  <c r="K248" i="10"/>
  <c r="J248" i="10"/>
  <c r="H248" i="10"/>
  <c r="G248" i="10"/>
  <c r="F248" i="10"/>
  <c r="E248" i="10"/>
  <c r="A248" i="10"/>
  <c r="U247" i="10"/>
  <c r="S247" i="10"/>
  <c r="P247" i="10"/>
  <c r="N247" i="10"/>
  <c r="E253" i="9" s="1"/>
  <c r="K247" i="10"/>
  <c r="J247" i="10"/>
  <c r="H247" i="10"/>
  <c r="G247" i="10"/>
  <c r="F247" i="10"/>
  <c r="E247" i="10"/>
  <c r="A247" i="10"/>
  <c r="U246" i="10"/>
  <c r="S246" i="10"/>
  <c r="P246" i="10"/>
  <c r="N246" i="10"/>
  <c r="E263" i="9" s="1"/>
  <c r="K246" i="10"/>
  <c r="J246" i="10"/>
  <c r="H246" i="10"/>
  <c r="G246" i="10"/>
  <c r="F246" i="10"/>
  <c r="E246" i="10"/>
  <c r="A246" i="10"/>
  <c r="U245" i="10"/>
  <c r="S245" i="10"/>
  <c r="P245" i="10"/>
  <c r="N245" i="10"/>
  <c r="E243" i="9" s="1"/>
  <c r="K245" i="10"/>
  <c r="J245" i="10"/>
  <c r="H245" i="10"/>
  <c r="G245" i="10"/>
  <c r="F245" i="10"/>
  <c r="E245" i="10"/>
  <c r="A245" i="10"/>
  <c r="U244" i="10"/>
  <c r="S244" i="10"/>
  <c r="P244" i="10"/>
  <c r="N244" i="10"/>
  <c r="E251" i="9" s="1"/>
  <c r="K244" i="10"/>
  <c r="J244" i="10"/>
  <c r="H244" i="10"/>
  <c r="G244" i="10"/>
  <c r="F244" i="10"/>
  <c r="E244" i="10"/>
  <c r="A244" i="10"/>
  <c r="U243" i="10"/>
  <c r="S243" i="10"/>
  <c r="P243" i="10"/>
  <c r="N243" i="10"/>
  <c r="E252" i="9" s="1"/>
  <c r="K243" i="10"/>
  <c r="J243" i="10"/>
  <c r="H243" i="10"/>
  <c r="G243" i="10"/>
  <c r="F243" i="10"/>
  <c r="E243" i="10"/>
  <c r="A243" i="10"/>
  <c r="U242" i="10"/>
  <c r="S242" i="10"/>
  <c r="P242" i="10"/>
  <c r="N242" i="10"/>
  <c r="E260" i="9" s="1"/>
  <c r="K242" i="10"/>
  <c r="J242" i="10"/>
  <c r="H242" i="10"/>
  <c r="G242" i="10"/>
  <c r="F242" i="10"/>
  <c r="E242" i="10"/>
  <c r="A242" i="10"/>
  <c r="U241" i="10"/>
  <c r="H241" i="10"/>
  <c r="G241" i="10"/>
  <c r="F241" i="10"/>
  <c r="E241" i="10"/>
  <c r="D241" i="10"/>
  <c r="A241" i="10"/>
  <c r="U240" i="10"/>
  <c r="S240" i="10"/>
  <c r="P240" i="10"/>
  <c r="N240" i="10"/>
  <c r="E241" i="9" s="1"/>
  <c r="K240" i="10"/>
  <c r="J240" i="10"/>
  <c r="H240" i="10"/>
  <c r="G240" i="10"/>
  <c r="F240" i="10"/>
  <c r="E240" i="10"/>
  <c r="A240" i="10"/>
  <c r="U239" i="10"/>
  <c r="S239" i="10"/>
  <c r="P239" i="10"/>
  <c r="N239" i="10"/>
  <c r="E242" i="9" s="1"/>
  <c r="K239" i="10"/>
  <c r="J239" i="10"/>
  <c r="H239" i="10"/>
  <c r="G239" i="10"/>
  <c r="F239" i="10"/>
  <c r="E239" i="10"/>
  <c r="A239" i="10"/>
  <c r="U238" i="10"/>
  <c r="S238" i="10"/>
  <c r="P238" i="10"/>
  <c r="N238" i="10"/>
  <c r="E244" i="9" s="1"/>
  <c r="K238" i="10"/>
  <c r="J238" i="10"/>
  <c r="H238" i="10"/>
  <c r="G238" i="10"/>
  <c r="F238" i="10"/>
  <c r="E238" i="10"/>
  <c r="A238" i="10"/>
  <c r="U237" i="10"/>
  <c r="S237" i="10"/>
  <c r="P237" i="10"/>
  <c r="N237" i="10"/>
  <c r="E258" i="9" s="1"/>
  <c r="K237" i="10"/>
  <c r="J237" i="10"/>
  <c r="H237" i="10"/>
  <c r="G237" i="10"/>
  <c r="F237" i="10"/>
  <c r="E237" i="10"/>
  <c r="A237" i="10"/>
  <c r="U236" i="10"/>
  <c r="S236" i="10"/>
  <c r="P236" i="10"/>
  <c r="N236" i="10"/>
  <c r="E261" i="9" s="1"/>
  <c r="K236" i="10"/>
  <c r="J236" i="10"/>
  <c r="H236" i="10"/>
  <c r="G236" i="10"/>
  <c r="F236" i="10"/>
  <c r="E236" i="10"/>
  <c r="A236" i="10"/>
  <c r="G235" i="10"/>
  <c r="A235" i="10"/>
  <c r="G234" i="10"/>
  <c r="A234" i="10"/>
  <c r="G233" i="10"/>
  <c r="A233" i="10"/>
  <c r="G232" i="10"/>
  <c r="A232" i="10"/>
  <c r="U231" i="10"/>
  <c r="H231" i="10"/>
  <c r="G231" i="10"/>
  <c r="F231" i="10"/>
  <c r="E231" i="10"/>
  <c r="D231" i="10"/>
  <c r="A231" i="10"/>
  <c r="U230" i="10"/>
  <c r="S230" i="10"/>
  <c r="P230" i="10"/>
  <c r="N230" i="10"/>
  <c r="E231" i="9" s="1"/>
  <c r="K230" i="10"/>
  <c r="J230" i="10"/>
  <c r="H230" i="10"/>
  <c r="G230" i="10"/>
  <c r="F230" i="10"/>
  <c r="E230" i="10"/>
  <c r="A230" i="10"/>
  <c r="U229" i="10"/>
  <c r="S229" i="10"/>
  <c r="P229" i="10"/>
  <c r="N229" i="10"/>
  <c r="E235" i="9" s="1"/>
  <c r="K229" i="10"/>
  <c r="J229" i="10"/>
  <c r="H229" i="10"/>
  <c r="G229" i="10"/>
  <c r="F229" i="10"/>
  <c r="E229" i="10"/>
  <c r="A229" i="10"/>
  <c r="U228" i="10"/>
  <c r="S228" i="10"/>
  <c r="P228" i="10"/>
  <c r="N228" i="10"/>
  <c r="E236" i="9" s="1"/>
  <c r="K228" i="10"/>
  <c r="J228" i="10"/>
  <c r="H228" i="10"/>
  <c r="G228" i="10"/>
  <c r="F228" i="10"/>
  <c r="E228" i="10"/>
  <c r="A228" i="10"/>
  <c r="G227" i="10"/>
  <c r="A227" i="10"/>
  <c r="G226" i="10"/>
  <c r="A226" i="10"/>
  <c r="U225" i="10"/>
  <c r="H225" i="10"/>
  <c r="G225" i="10"/>
  <c r="F225" i="10"/>
  <c r="E225" i="10"/>
  <c r="D225" i="10"/>
  <c r="A225" i="10"/>
  <c r="U224" i="10"/>
  <c r="S224" i="10"/>
  <c r="P224" i="10"/>
  <c r="N224" i="10"/>
  <c r="E211" i="9" s="1"/>
  <c r="K224" i="10"/>
  <c r="J224" i="10"/>
  <c r="H224" i="10"/>
  <c r="G224" i="10"/>
  <c r="F224" i="10"/>
  <c r="E224" i="10"/>
  <c r="A224" i="10"/>
  <c r="U223" i="10"/>
  <c r="S223" i="10"/>
  <c r="P223" i="10"/>
  <c r="N223" i="10"/>
  <c r="E212" i="9" s="1"/>
  <c r="K223" i="10"/>
  <c r="J223" i="10"/>
  <c r="H223" i="10"/>
  <c r="G223" i="10"/>
  <c r="F223" i="10"/>
  <c r="E223" i="10"/>
  <c r="A223" i="10"/>
  <c r="U222" i="10"/>
  <c r="S222" i="10"/>
  <c r="P222" i="10"/>
  <c r="N222" i="10"/>
  <c r="E218" i="9" s="1"/>
  <c r="K222" i="10"/>
  <c r="J222" i="10"/>
  <c r="H222" i="10"/>
  <c r="G222" i="10"/>
  <c r="F222" i="10"/>
  <c r="E222" i="10"/>
  <c r="A222" i="10"/>
  <c r="U221" i="10"/>
  <c r="S221" i="10"/>
  <c r="P221" i="10"/>
  <c r="N221" i="10"/>
  <c r="E220" i="9" s="1"/>
  <c r="K221" i="10"/>
  <c r="J221" i="10"/>
  <c r="H221" i="10"/>
  <c r="G221" i="10"/>
  <c r="F221" i="10"/>
  <c r="E221" i="10"/>
  <c r="A221" i="10"/>
  <c r="U220" i="10"/>
  <c r="S220" i="10"/>
  <c r="P220" i="10"/>
  <c r="N220" i="10"/>
  <c r="E221" i="9" s="1"/>
  <c r="K220" i="10"/>
  <c r="J220" i="10"/>
  <c r="H220" i="10"/>
  <c r="G220" i="10"/>
  <c r="F220" i="10"/>
  <c r="E220" i="10"/>
  <c r="A220" i="10"/>
  <c r="U219" i="10"/>
  <c r="S219" i="10"/>
  <c r="P219" i="10"/>
  <c r="N219" i="10"/>
  <c r="E223" i="9" s="1"/>
  <c r="K219" i="10"/>
  <c r="J219" i="10"/>
  <c r="H219" i="10"/>
  <c r="G219" i="10"/>
  <c r="F219" i="10"/>
  <c r="E219" i="10"/>
  <c r="A219" i="10"/>
  <c r="U218" i="10"/>
  <c r="S218" i="10"/>
  <c r="P218" i="10"/>
  <c r="N218" i="10"/>
  <c r="E224" i="9" s="1"/>
  <c r="K218" i="10"/>
  <c r="J218" i="10"/>
  <c r="H218" i="10"/>
  <c r="G218" i="10"/>
  <c r="F218" i="10"/>
  <c r="E218" i="10"/>
  <c r="A218" i="10"/>
  <c r="U217" i="10"/>
  <c r="H217" i="10"/>
  <c r="G217" i="10"/>
  <c r="F217" i="10"/>
  <c r="E217" i="10"/>
  <c r="D217" i="10"/>
  <c r="A217" i="10"/>
  <c r="U216" i="10"/>
  <c r="H216" i="10"/>
  <c r="G216" i="10"/>
  <c r="F216" i="10"/>
  <c r="E216" i="10"/>
  <c r="D216" i="10"/>
  <c r="A216" i="10"/>
  <c r="U215" i="10"/>
  <c r="H215" i="10"/>
  <c r="G215" i="10"/>
  <c r="F215" i="10"/>
  <c r="E215" i="10"/>
  <c r="D215" i="10"/>
  <c r="A215" i="10"/>
  <c r="U214" i="10"/>
  <c r="S214" i="10"/>
  <c r="P214" i="10"/>
  <c r="N214" i="10"/>
  <c r="E213" i="9" s="1"/>
  <c r="K214" i="10"/>
  <c r="J214" i="10"/>
  <c r="H214" i="10"/>
  <c r="G214" i="10"/>
  <c r="F214" i="10"/>
  <c r="E214" i="10"/>
  <c r="A214" i="10"/>
  <c r="U213" i="10"/>
  <c r="S213" i="10"/>
  <c r="P213" i="10"/>
  <c r="N213" i="10"/>
  <c r="E215" i="9" s="1"/>
  <c r="K213" i="10"/>
  <c r="J213" i="10"/>
  <c r="H213" i="10"/>
  <c r="G213" i="10"/>
  <c r="F213" i="10"/>
  <c r="E213" i="10"/>
  <c r="A213" i="10"/>
  <c r="U212" i="10"/>
  <c r="S212" i="10"/>
  <c r="P212" i="10"/>
  <c r="N212" i="10"/>
  <c r="E227" i="9" s="1"/>
  <c r="K212" i="10"/>
  <c r="J212" i="10"/>
  <c r="H212" i="10"/>
  <c r="G212" i="10"/>
  <c r="F212" i="10"/>
  <c r="E212" i="10"/>
  <c r="A212" i="10"/>
  <c r="U211" i="10"/>
  <c r="S211" i="10"/>
  <c r="P211" i="10"/>
  <c r="N211" i="10"/>
  <c r="K211" i="10"/>
  <c r="J211" i="10"/>
  <c r="H211" i="10"/>
  <c r="G211" i="10"/>
  <c r="F211" i="10"/>
  <c r="E211" i="10"/>
  <c r="A211" i="10"/>
  <c r="U210" i="10"/>
  <c r="S210" i="10"/>
  <c r="P210" i="10"/>
  <c r="N210" i="10"/>
  <c r="E214" i="9" s="1"/>
  <c r="K210" i="10"/>
  <c r="J210" i="10"/>
  <c r="I210" i="10"/>
  <c r="H210" i="10"/>
  <c r="G210" i="10"/>
  <c r="F210" i="10"/>
  <c r="E210" i="10"/>
  <c r="A210" i="10"/>
  <c r="G209" i="10"/>
  <c r="A209" i="10"/>
  <c r="G208" i="10"/>
  <c r="A208" i="10"/>
  <c r="U207" i="10"/>
  <c r="H207" i="10"/>
  <c r="G207" i="10"/>
  <c r="F207" i="10"/>
  <c r="E207" i="10"/>
  <c r="D207" i="10"/>
  <c r="A207" i="10"/>
  <c r="U206" i="10"/>
  <c r="S206" i="10"/>
  <c r="P206" i="10"/>
  <c r="N206" i="10"/>
  <c r="E191" i="9" s="1"/>
  <c r="K206" i="10"/>
  <c r="J206" i="10"/>
  <c r="H206" i="10"/>
  <c r="G206" i="10"/>
  <c r="F206" i="10"/>
  <c r="E206" i="10"/>
  <c r="A206" i="10"/>
  <c r="U205" i="10"/>
  <c r="S205" i="10"/>
  <c r="P205" i="10"/>
  <c r="N205" i="10"/>
  <c r="E193" i="9" s="1"/>
  <c r="K205" i="10"/>
  <c r="J205" i="10"/>
  <c r="H205" i="10"/>
  <c r="G205" i="10"/>
  <c r="F205" i="10"/>
  <c r="E205" i="10"/>
  <c r="A205" i="10"/>
  <c r="U204" i="10"/>
  <c r="S204" i="10"/>
  <c r="P204" i="10"/>
  <c r="N204" i="10"/>
  <c r="E194" i="9" s="1"/>
  <c r="K204" i="10"/>
  <c r="J204" i="10"/>
  <c r="H204" i="10"/>
  <c r="G204" i="10"/>
  <c r="F204" i="10"/>
  <c r="E204" i="10"/>
  <c r="A204" i="10"/>
  <c r="U203" i="10"/>
  <c r="S203" i="10"/>
  <c r="P203" i="10"/>
  <c r="N203" i="10"/>
  <c r="E202" i="9" s="1"/>
  <c r="K203" i="10"/>
  <c r="J203" i="10"/>
  <c r="H203" i="10"/>
  <c r="G203" i="10"/>
  <c r="F203" i="10"/>
  <c r="E203" i="10"/>
  <c r="A203" i="10"/>
  <c r="U202" i="10"/>
  <c r="S202" i="10"/>
  <c r="P202" i="10"/>
  <c r="N202" i="10"/>
  <c r="E203" i="9" s="1"/>
  <c r="K202" i="10"/>
  <c r="J202" i="10"/>
  <c r="H202" i="10"/>
  <c r="G202" i="10"/>
  <c r="F202" i="10"/>
  <c r="E202" i="10"/>
  <c r="A202" i="10"/>
  <c r="U201" i="10"/>
  <c r="S201" i="10"/>
  <c r="P201" i="10"/>
  <c r="N201" i="10"/>
  <c r="E205" i="9" s="1"/>
  <c r="K201" i="10"/>
  <c r="J201" i="10"/>
  <c r="H201" i="10"/>
  <c r="G201" i="10"/>
  <c r="F201" i="10"/>
  <c r="E201" i="10"/>
  <c r="A201" i="10"/>
  <c r="U200" i="10"/>
  <c r="S200" i="10"/>
  <c r="P200" i="10"/>
  <c r="N200" i="10"/>
  <c r="E206" i="9" s="1"/>
  <c r="K200" i="10"/>
  <c r="J200" i="10"/>
  <c r="H200" i="10"/>
  <c r="G200" i="10"/>
  <c r="F200" i="10"/>
  <c r="E200" i="10"/>
  <c r="A200" i="10"/>
  <c r="U199" i="10"/>
  <c r="H199" i="10"/>
  <c r="G199" i="10"/>
  <c r="F199" i="10"/>
  <c r="E199" i="10"/>
  <c r="D199" i="10"/>
  <c r="A199" i="10"/>
  <c r="U198" i="10"/>
  <c r="S198" i="10"/>
  <c r="P198" i="10"/>
  <c r="N198" i="10"/>
  <c r="E192" i="9" s="1"/>
  <c r="K198" i="10"/>
  <c r="J198" i="10"/>
  <c r="H198" i="10"/>
  <c r="G198" i="10"/>
  <c r="F198" i="10"/>
  <c r="E198" i="10"/>
  <c r="A198" i="10"/>
  <c r="U197" i="10"/>
  <c r="S197" i="10"/>
  <c r="P197" i="10"/>
  <c r="N197" i="10"/>
  <c r="E195" i="9" s="1"/>
  <c r="K197" i="10"/>
  <c r="J197" i="10"/>
  <c r="H197" i="10"/>
  <c r="G197" i="10"/>
  <c r="F197" i="10"/>
  <c r="E197" i="10"/>
  <c r="A197" i="10"/>
  <c r="U196" i="10"/>
  <c r="S196" i="10"/>
  <c r="P196" i="10"/>
  <c r="N196" i="10"/>
  <c r="E196" i="9" s="1"/>
  <c r="K196" i="10"/>
  <c r="J196" i="10"/>
  <c r="H196" i="10"/>
  <c r="G196" i="10"/>
  <c r="F196" i="10"/>
  <c r="E196" i="10"/>
  <c r="A196" i="10"/>
  <c r="U195" i="10"/>
  <c r="S195" i="10"/>
  <c r="P195" i="10"/>
  <c r="N195" i="10"/>
  <c r="E197" i="9" s="1"/>
  <c r="K195" i="10"/>
  <c r="J195" i="10"/>
  <c r="H195" i="10"/>
  <c r="G195" i="10"/>
  <c r="F195" i="10"/>
  <c r="E195" i="10"/>
  <c r="A195" i="10"/>
  <c r="U194" i="10"/>
  <c r="S194" i="10"/>
  <c r="P194" i="10"/>
  <c r="N194" i="10"/>
  <c r="E198" i="9" s="1"/>
  <c r="K194" i="10"/>
  <c r="J194" i="10"/>
  <c r="H194" i="10"/>
  <c r="G194" i="10"/>
  <c r="F194" i="10"/>
  <c r="E194" i="10"/>
  <c r="A194" i="10"/>
  <c r="U193" i="10"/>
  <c r="S193" i="10"/>
  <c r="P193" i="10"/>
  <c r="N193" i="10"/>
  <c r="E201" i="9" s="1"/>
  <c r="K193" i="10"/>
  <c r="J193" i="10"/>
  <c r="H193" i="10"/>
  <c r="G193" i="10"/>
  <c r="F193" i="10"/>
  <c r="E193" i="10"/>
  <c r="A193" i="10"/>
  <c r="U192" i="10"/>
  <c r="S192" i="10"/>
  <c r="P192" i="10"/>
  <c r="N192" i="10"/>
  <c r="E190" i="9" s="1"/>
  <c r="K192" i="10"/>
  <c r="J192" i="10"/>
  <c r="H192" i="10"/>
  <c r="G192" i="10"/>
  <c r="F192" i="10"/>
  <c r="E192" i="10"/>
  <c r="A192" i="10"/>
  <c r="G191" i="10"/>
  <c r="A191" i="10"/>
  <c r="U190" i="10"/>
  <c r="H190" i="10"/>
  <c r="G190" i="10"/>
  <c r="F190" i="10"/>
  <c r="E190" i="10"/>
  <c r="D190" i="10"/>
  <c r="A190" i="10"/>
  <c r="U189" i="10"/>
  <c r="H189" i="10"/>
  <c r="G189" i="10"/>
  <c r="F189" i="10"/>
  <c r="E189" i="10"/>
  <c r="D189" i="10"/>
  <c r="A189" i="10"/>
  <c r="U188" i="10"/>
  <c r="H188" i="10"/>
  <c r="G188" i="10"/>
  <c r="F188" i="10"/>
  <c r="E188" i="10"/>
  <c r="D188" i="10"/>
  <c r="A188" i="10"/>
  <c r="U187" i="10"/>
  <c r="S187" i="10"/>
  <c r="P187" i="10"/>
  <c r="N187" i="10"/>
  <c r="E166" i="9" s="1"/>
  <c r="K187" i="10"/>
  <c r="J187" i="10"/>
  <c r="H187" i="10"/>
  <c r="G187" i="10"/>
  <c r="F187" i="10"/>
  <c r="E187" i="10"/>
  <c r="A187" i="10"/>
  <c r="U186" i="10"/>
  <c r="S186" i="10"/>
  <c r="P186" i="10"/>
  <c r="N186" i="10"/>
  <c r="E167" i="9" s="1"/>
  <c r="K186" i="10"/>
  <c r="J186" i="10"/>
  <c r="H186" i="10"/>
  <c r="G186" i="10"/>
  <c r="F186" i="10"/>
  <c r="E186" i="10"/>
  <c r="A186" i="10"/>
  <c r="U185" i="10"/>
  <c r="S185" i="10"/>
  <c r="P185" i="10"/>
  <c r="N185" i="10"/>
  <c r="E169" i="9" s="1"/>
  <c r="K185" i="10"/>
  <c r="J185" i="10"/>
  <c r="H185" i="10"/>
  <c r="G185" i="10"/>
  <c r="F185" i="10"/>
  <c r="E185" i="10"/>
  <c r="A185" i="10"/>
  <c r="U184" i="10"/>
  <c r="S184" i="10"/>
  <c r="P184" i="10"/>
  <c r="N184" i="10"/>
  <c r="E170" i="9" s="1"/>
  <c r="K184" i="10"/>
  <c r="J184" i="10"/>
  <c r="H184" i="10"/>
  <c r="G184" i="10"/>
  <c r="F184" i="10"/>
  <c r="E184" i="10"/>
  <c r="A184" i="10"/>
  <c r="U183" i="10"/>
  <c r="S183" i="10"/>
  <c r="P183" i="10"/>
  <c r="N183" i="10"/>
  <c r="E177" i="9" s="1"/>
  <c r="K183" i="10"/>
  <c r="J183" i="10"/>
  <c r="H183" i="10"/>
  <c r="G183" i="10"/>
  <c r="F183" i="10"/>
  <c r="E183" i="10"/>
  <c r="A183" i="10"/>
  <c r="U182" i="10"/>
  <c r="S182" i="10"/>
  <c r="P182" i="10"/>
  <c r="N182" i="10"/>
  <c r="E183" i="9" s="1"/>
  <c r="K182" i="10"/>
  <c r="J182" i="10"/>
  <c r="H182" i="10"/>
  <c r="G182" i="10"/>
  <c r="F182" i="10"/>
  <c r="E182" i="10"/>
  <c r="A182" i="10"/>
  <c r="U181" i="10"/>
  <c r="H181" i="10"/>
  <c r="G181" i="10"/>
  <c r="F181" i="10"/>
  <c r="E181" i="10"/>
  <c r="D181" i="10"/>
  <c r="A181" i="10"/>
  <c r="U180" i="10"/>
  <c r="S180" i="10"/>
  <c r="P180" i="10"/>
  <c r="N180" i="10"/>
  <c r="E164" i="9" s="1"/>
  <c r="K180" i="10"/>
  <c r="J180" i="10"/>
  <c r="H180" i="10"/>
  <c r="G180" i="10"/>
  <c r="F180" i="10"/>
  <c r="E180" i="10"/>
  <c r="A180" i="10"/>
  <c r="U179" i="10"/>
  <c r="S179" i="10"/>
  <c r="P179" i="10"/>
  <c r="N179" i="10"/>
  <c r="K179" i="10"/>
  <c r="J179" i="10"/>
  <c r="H179" i="10"/>
  <c r="G179" i="10"/>
  <c r="F179" i="10"/>
  <c r="E179" i="10"/>
  <c r="A179" i="10"/>
  <c r="U178" i="10"/>
  <c r="S178" i="10"/>
  <c r="P178" i="10"/>
  <c r="N178" i="10"/>
  <c r="E173" i="9" s="1"/>
  <c r="K178" i="10"/>
  <c r="J178" i="10"/>
  <c r="H178" i="10"/>
  <c r="G178" i="10"/>
  <c r="F178" i="10"/>
  <c r="E178" i="10"/>
  <c r="A178" i="10"/>
  <c r="U177" i="10"/>
  <c r="S177" i="10"/>
  <c r="P177" i="10"/>
  <c r="N177" i="10"/>
  <c r="E174" i="9" s="1"/>
  <c r="K177" i="10"/>
  <c r="J177" i="10"/>
  <c r="H177" i="10"/>
  <c r="G177" i="10"/>
  <c r="F177" i="10"/>
  <c r="E177" i="10"/>
  <c r="A177" i="10"/>
  <c r="U176" i="10"/>
  <c r="S176" i="10"/>
  <c r="P176" i="10"/>
  <c r="N176" i="10"/>
  <c r="K176" i="10"/>
  <c r="J176" i="10"/>
  <c r="H176" i="10"/>
  <c r="G176" i="10"/>
  <c r="F176" i="10"/>
  <c r="E176" i="10"/>
  <c r="A176" i="10"/>
  <c r="U175" i="10"/>
  <c r="S175" i="10"/>
  <c r="P175" i="10"/>
  <c r="N175" i="10"/>
  <c r="K175" i="10"/>
  <c r="J175" i="10"/>
  <c r="H175" i="10"/>
  <c r="G175" i="10"/>
  <c r="F175" i="10"/>
  <c r="E175" i="10"/>
  <c r="A175" i="10"/>
  <c r="U174" i="10"/>
  <c r="S174" i="10"/>
  <c r="P174" i="10"/>
  <c r="N174" i="10"/>
  <c r="K174" i="10"/>
  <c r="J174" i="10"/>
  <c r="H174" i="10"/>
  <c r="G174" i="10"/>
  <c r="F174" i="10"/>
  <c r="E174" i="10"/>
  <c r="A174" i="10"/>
  <c r="U173" i="10"/>
  <c r="H173" i="10"/>
  <c r="G173" i="10"/>
  <c r="F173" i="10"/>
  <c r="E173" i="10"/>
  <c r="D173" i="10"/>
  <c r="A173" i="10"/>
  <c r="U172" i="10"/>
  <c r="S172" i="10"/>
  <c r="P172" i="10"/>
  <c r="N172" i="10"/>
  <c r="E168" i="9" s="1"/>
  <c r="K172" i="10"/>
  <c r="J172" i="10"/>
  <c r="H172" i="10"/>
  <c r="G172" i="10"/>
  <c r="F172" i="10"/>
  <c r="E172" i="10"/>
  <c r="A172" i="10"/>
  <c r="U171" i="10"/>
  <c r="S171" i="10"/>
  <c r="P171" i="10"/>
  <c r="N171" i="10"/>
  <c r="E171" i="9" s="1"/>
  <c r="K171" i="10"/>
  <c r="J171" i="10"/>
  <c r="H171" i="10"/>
  <c r="G171" i="10"/>
  <c r="F171" i="10"/>
  <c r="E171" i="10"/>
  <c r="A171" i="10"/>
  <c r="U170" i="10"/>
  <c r="S170" i="10"/>
  <c r="P170" i="10"/>
  <c r="N170" i="10"/>
  <c r="E172" i="9" s="1"/>
  <c r="K170" i="10"/>
  <c r="J170" i="10"/>
  <c r="H170" i="10"/>
  <c r="G170" i="10"/>
  <c r="F170" i="10"/>
  <c r="E170" i="10"/>
  <c r="A170" i="10"/>
  <c r="U169" i="10"/>
  <c r="S169" i="10"/>
  <c r="P169" i="10"/>
  <c r="N169" i="10"/>
  <c r="E175" i="9" s="1"/>
  <c r="K169" i="10"/>
  <c r="J169" i="10"/>
  <c r="H169" i="10"/>
  <c r="G169" i="10"/>
  <c r="F169" i="10"/>
  <c r="E169" i="10"/>
  <c r="A169" i="10"/>
  <c r="U168" i="10"/>
  <c r="S168" i="10"/>
  <c r="P168" i="10"/>
  <c r="N168" i="10"/>
  <c r="E176" i="9" s="1"/>
  <c r="K168" i="10"/>
  <c r="J168" i="10"/>
  <c r="H168" i="10"/>
  <c r="G168" i="10"/>
  <c r="F168" i="10"/>
  <c r="E168" i="10"/>
  <c r="A168" i="10"/>
  <c r="U167" i="10"/>
  <c r="S167" i="10"/>
  <c r="P167" i="10"/>
  <c r="N167" i="10"/>
  <c r="E180" i="9" s="1"/>
  <c r="K167" i="10"/>
  <c r="J167" i="10"/>
  <c r="H167" i="10"/>
  <c r="G167" i="10"/>
  <c r="F167" i="10"/>
  <c r="E167" i="10"/>
  <c r="A167" i="10"/>
  <c r="U166" i="10"/>
  <c r="S166" i="10"/>
  <c r="P166" i="10"/>
  <c r="N166" i="10"/>
  <c r="E163" i="9" s="1"/>
  <c r="K166" i="10"/>
  <c r="J166" i="10"/>
  <c r="H166" i="10"/>
  <c r="G166" i="10"/>
  <c r="F166" i="10"/>
  <c r="E166" i="10"/>
  <c r="A166" i="10"/>
  <c r="U165" i="10"/>
  <c r="S165" i="10"/>
  <c r="P165" i="10"/>
  <c r="N165" i="10"/>
  <c r="E165" i="9" s="1"/>
  <c r="K165" i="10"/>
  <c r="J165" i="10"/>
  <c r="H165" i="10"/>
  <c r="G165" i="10"/>
  <c r="F165" i="10"/>
  <c r="E165" i="10"/>
  <c r="A165" i="10"/>
  <c r="G164" i="10"/>
  <c r="A164" i="10"/>
  <c r="G163" i="10"/>
  <c r="A163" i="10"/>
  <c r="U162" i="10"/>
  <c r="H162" i="10"/>
  <c r="G162" i="10"/>
  <c r="F162" i="10"/>
  <c r="E162" i="10"/>
  <c r="D162" i="10"/>
  <c r="A162" i="10"/>
  <c r="U161" i="10"/>
  <c r="S161" i="10"/>
  <c r="P161" i="10"/>
  <c r="N161" i="10"/>
  <c r="K161" i="10"/>
  <c r="J161" i="10"/>
  <c r="H161" i="10"/>
  <c r="G161" i="10"/>
  <c r="F161" i="10"/>
  <c r="E161" i="10"/>
  <c r="A161" i="10"/>
  <c r="U160" i="10"/>
  <c r="S160" i="10"/>
  <c r="P160" i="10"/>
  <c r="N160" i="10"/>
  <c r="K160" i="10"/>
  <c r="J160" i="10"/>
  <c r="H160" i="10"/>
  <c r="G160" i="10"/>
  <c r="F160" i="10"/>
  <c r="E160" i="10"/>
  <c r="A160" i="10"/>
  <c r="U159" i="10"/>
  <c r="H159" i="10"/>
  <c r="G159" i="10"/>
  <c r="F159" i="10"/>
  <c r="E159" i="10"/>
  <c r="D159" i="10"/>
  <c r="A159" i="10"/>
  <c r="U158" i="10"/>
  <c r="S158" i="10"/>
  <c r="P158" i="10"/>
  <c r="N158" i="10"/>
  <c r="K158" i="10"/>
  <c r="J158" i="10"/>
  <c r="H158" i="10"/>
  <c r="G158" i="10"/>
  <c r="F158" i="10"/>
  <c r="E158" i="10"/>
  <c r="A158" i="10"/>
  <c r="U157" i="10"/>
  <c r="S157" i="10"/>
  <c r="P157" i="10"/>
  <c r="N157" i="10"/>
  <c r="K157" i="10"/>
  <c r="J157" i="10"/>
  <c r="H157" i="10"/>
  <c r="G157" i="10"/>
  <c r="F157" i="10"/>
  <c r="E157" i="10"/>
  <c r="A157" i="10"/>
  <c r="U156" i="10"/>
  <c r="S156" i="10"/>
  <c r="P156" i="10"/>
  <c r="N156" i="10"/>
  <c r="K156" i="10"/>
  <c r="J156" i="10"/>
  <c r="H156" i="10"/>
  <c r="G156" i="10"/>
  <c r="F156" i="10"/>
  <c r="E156" i="10"/>
  <c r="A156" i="10"/>
  <c r="U155" i="10"/>
  <c r="S155" i="10"/>
  <c r="P155" i="10"/>
  <c r="N155" i="10"/>
  <c r="K155" i="10"/>
  <c r="J155" i="10"/>
  <c r="H155" i="10"/>
  <c r="G155" i="10"/>
  <c r="F155" i="10"/>
  <c r="E155" i="10"/>
  <c r="A155" i="10"/>
  <c r="U154" i="10"/>
  <c r="H154" i="10"/>
  <c r="G154" i="10"/>
  <c r="F154" i="10"/>
  <c r="E154" i="10"/>
  <c r="D154" i="10"/>
  <c r="A154" i="10"/>
  <c r="U153" i="10"/>
  <c r="S153" i="10"/>
  <c r="P153" i="10"/>
  <c r="N153" i="10"/>
  <c r="E153" i="9" s="1"/>
  <c r="K153" i="10"/>
  <c r="J153" i="10"/>
  <c r="H153" i="10"/>
  <c r="G153" i="10"/>
  <c r="F153" i="10"/>
  <c r="E153" i="10"/>
  <c r="A153" i="10"/>
  <c r="U152" i="10"/>
  <c r="S152" i="10"/>
  <c r="P152" i="10"/>
  <c r="N152" i="10"/>
  <c r="E154" i="9" s="1"/>
  <c r="K152" i="10"/>
  <c r="J152" i="10"/>
  <c r="H152" i="10"/>
  <c r="G152" i="10"/>
  <c r="F152" i="10"/>
  <c r="E152" i="10"/>
  <c r="A152" i="10"/>
  <c r="U151" i="10"/>
  <c r="S151" i="10"/>
  <c r="P151" i="10"/>
  <c r="N151" i="10"/>
  <c r="E158" i="9" s="1"/>
  <c r="K151" i="10"/>
  <c r="J151" i="10"/>
  <c r="H151" i="10"/>
  <c r="G151" i="10"/>
  <c r="F151" i="10"/>
  <c r="E151" i="10"/>
  <c r="A151" i="10"/>
  <c r="U150" i="10"/>
  <c r="S150" i="10"/>
  <c r="P150" i="10"/>
  <c r="N150" i="10"/>
  <c r="E159" i="9" s="1"/>
  <c r="K150" i="10"/>
  <c r="J150" i="10"/>
  <c r="H150" i="10"/>
  <c r="G150" i="10"/>
  <c r="F150" i="10"/>
  <c r="E150" i="10"/>
  <c r="A150" i="10"/>
  <c r="U149" i="10"/>
  <c r="H149" i="10"/>
  <c r="G149" i="10"/>
  <c r="F149" i="10"/>
  <c r="E149" i="10"/>
  <c r="D149" i="10"/>
  <c r="A149" i="10"/>
  <c r="U148" i="10"/>
  <c r="H148" i="10"/>
  <c r="G148" i="10"/>
  <c r="F148" i="10"/>
  <c r="E148" i="10"/>
  <c r="D148" i="10"/>
  <c r="A148" i="10"/>
  <c r="G147" i="10"/>
  <c r="A147" i="10"/>
  <c r="G146" i="10"/>
  <c r="A146" i="10"/>
  <c r="U145" i="10"/>
  <c r="H145" i="10"/>
  <c r="G145" i="10"/>
  <c r="F145" i="10"/>
  <c r="E145" i="10"/>
  <c r="D145" i="10"/>
  <c r="A145" i="10"/>
  <c r="U144" i="10"/>
  <c r="S144" i="10"/>
  <c r="P144" i="10"/>
  <c r="N144" i="10"/>
  <c r="E141" i="9" s="1"/>
  <c r="K144" i="10"/>
  <c r="J144" i="10"/>
  <c r="H144" i="10"/>
  <c r="G144" i="10"/>
  <c r="F144" i="10"/>
  <c r="E144" i="10"/>
  <c r="A144" i="10"/>
  <c r="U143" i="10"/>
  <c r="S143" i="10"/>
  <c r="P143" i="10"/>
  <c r="N143" i="10"/>
  <c r="E142" i="9" s="1"/>
  <c r="K143" i="10"/>
  <c r="J143" i="10"/>
  <c r="H143" i="10"/>
  <c r="G143" i="10"/>
  <c r="F143" i="10"/>
  <c r="E143" i="10"/>
  <c r="A143" i="10"/>
  <c r="U142" i="10"/>
  <c r="S142" i="10"/>
  <c r="P142" i="10"/>
  <c r="N142" i="10"/>
  <c r="E145" i="9" s="1"/>
  <c r="K142" i="10"/>
  <c r="J142" i="10"/>
  <c r="H142" i="10"/>
  <c r="G142" i="10"/>
  <c r="F142" i="10"/>
  <c r="E142" i="10"/>
  <c r="A142" i="10"/>
  <c r="U141" i="10"/>
  <c r="S141" i="10"/>
  <c r="P141" i="10"/>
  <c r="N141" i="10"/>
  <c r="E149" i="9" s="1"/>
  <c r="K141" i="10"/>
  <c r="J141" i="10"/>
  <c r="H141" i="10"/>
  <c r="G141" i="10"/>
  <c r="F141" i="10"/>
  <c r="E141" i="10"/>
  <c r="A141" i="10"/>
  <c r="U140" i="10"/>
  <c r="S140" i="10"/>
  <c r="P140" i="10"/>
  <c r="N140" i="10"/>
  <c r="E139" i="9" s="1"/>
  <c r="K140" i="10"/>
  <c r="J140" i="10"/>
  <c r="H140" i="10"/>
  <c r="G140" i="10"/>
  <c r="F140" i="10"/>
  <c r="E140" i="10"/>
  <c r="A140" i="10"/>
  <c r="U139" i="10"/>
  <c r="S139" i="10"/>
  <c r="P139" i="10"/>
  <c r="N139" i="10"/>
  <c r="E140" i="9" s="1"/>
  <c r="K139" i="10"/>
  <c r="J139" i="10"/>
  <c r="H139" i="10"/>
  <c r="G139" i="10"/>
  <c r="F139" i="10"/>
  <c r="E139" i="10"/>
  <c r="A139" i="10"/>
  <c r="U138" i="10"/>
  <c r="H138" i="10"/>
  <c r="G138" i="10"/>
  <c r="F138" i="10"/>
  <c r="E138" i="10"/>
  <c r="D138" i="10"/>
  <c r="A138" i="10"/>
  <c r="U137" i="10"/>
  <c r="S137" i="10"/>
  <c r="P137" i="10"/>
  <c r="N137" i="10"/>
  <c r="K137" i="10"/>
  <c r="J137" i="10"/>
  <c r="H137" i="10"/>
  <c r="G137" i="10"/>
  <c r="F137" i="10"/>
  <c r="E137" i="10"/>
  <c r="A137" i="10"/>
  <c r="U136" i="10"/>
  <c r="H136" i="10"/>
  <c r="G136" i="10"/>
  <c r="F136" i="10"/>
  <c r="E136" i="10"/>
  <c r="D136" i="10"/>
  <c r="A136" i="10"/>
  <c r="U135" i="10"/>
  <c r="S135" i="10"/>
  <c r="P135" i="10"/>
  <c r="N135" i="10"/>
  <c r="E138" i="9" s="1"/>
  <c r="K135" i="10"/>
  <c r="J135" i="10"/>
  <c r="H135" i="10"/>
  <c r="G135" i="10"/>
  <c r="F135" i="10"/>
  <c r="E135" i="10"/>
  <c r="A135" i="10"/>
  <c r="U134" i="10"/>
  <c r="S134" i="10"/>
  <c r="P134" i="10"/>
  <c r="N134" i="10"/>
  <c r="E148" i="9" s="1"/>
  <c r="K134" i="10"/>
  <c r="J134" i="10"/>
  <c r="H134" i="10"/>
  <c r="G134" i="10"/>
  <c r="F134" i="10"/>
  <c r="E134" i="10"/>
  <c r="A134" i="10"/>
  <c r="G133" i="10"/>
  <c r="A133" i="10"/>
  <c r="G132" i="10"/>
  <c r="A132" i="10"/>
  <c r="G131" i="10"/>
  <c r="A131" i="10"/>
  <c r="U130" i="10"/>
  <c r="H130" i="10"/>
  <c r="G130" i="10"/>
  <c r="F130" i="10"/>
  <c r="E130" i="10"/>
  <c r="D130" i="10"/>
  <c r="A130" i="10"/>
  <c r="U129" i="10"/>
  <c r="S129" i="10"/>
  <c r="P129" i="10"/>
  <c r="N129" i="10"/>
  <c r="E128" i="9" s="1"/>
  <c r="K129" i="10"/>
  <c r="J129" i="10"/>
  <c r="H129" i="10"/>
  <c r="G129" i="10"/>
  <c r="F129" i="10"/>
  <c r="E129" i="10"/>
  <c r="A129" i="10"/>
  <c r="U128" i="10"/>
  <c r="S128" i="10"/>
  <c r="P128" i="10"/>
  <c r="N128" i="10"/>
  <c r="E131" i="9" s="1"/>
  <c r="K128" i="10"/>
  <c r="J128" i="10"/>
  <c r="H128" i="10"/>
  <c r="G128" i="10"/>
  <c r="F128" i="10"/>
  <c r="E128" i="10"/>
  <c r="A128" i="10"/>
  <c r="U127" i="10"/>
  <c r="H127" i="10"/>
  <c r="G127" i="10"/>
  <c r="F127" i="10"/>
  <c r="E127" i="10"/>
  <c r="D127" i="10"/>
  <c r="A127" i="10"/>
  <c r="U126" i="10"/>
  <c r="S126" i="10"/>
  <c r="P126" i="10"/>
  <c r="N126" i="10"/>
  <c r="K126" i="10"/>
  <c r="J126" i="10"/>
  <c r="H126" i="10"/>
  <c r="G126" i="10"/>
  <c r="F126" i="10"/>
  <c r="E126" i="10"/>
  <c r="A126" i="10"/>
  <c r="U125" i="10"/>
  <c r="H125" i="10"/>
  <c r="G125" i="10"/>
  <c r="F125" i="10"/>
  <c r="E125" i="10"/>
  <c r="D125" i="10"/>
  <c r="A125" i="10"/>
  <c r="U124" i="10"/>
  <c r="S124" i="10"/>
  <c r="P124" i="10"/>
  <c r="N124" i="10"/>
  <c r="E126" i="9" s="1"/>
  <c r="K124" i="10"/>
  <c r="J124" i="10"/>
  <c r="H124" i="10"/>
  <c r="G124" i="10"/>
  <c r="F124" i="10"/>
  <c r="E124" i="10"/>
  <c r="A124" i="10"/>
  <c r="U123" i="10"/>
  <c r="S123" i="10"/>
  <c r="P123" i="10"/>
  <c r="N123" i="10"/>
  <c r="E127" i="9" s="1"/>
  <c r="K123" i="10"/>
  <c r="J123" i="10"/>
  <c r="H123" i="10"/>
  <c r="G123" i="10"/>
  <c r="F123" i="10"/>
  <c r="E123" i="10"/>
  <c r="A123" i="10"/>
  <c r="U122" i="10"/>
  <c r="S122" i="10"/>
  <c r="P122" i="10"/>
  <c r="N122" i="10"/>
  <c r="E134" i="9" s="1"/>
  <c r="K122" i="10"/>
  <c r="J122" i="10"/>
  <c r="H122" i="10"/>
  <c r="G122" i="10"/>
  <c r="F122" i="10"/>
  <c r="E122" i="10"/>
  <c r="A122" i="10"/>
  <c r="U121" i="10"/>
  <c r="S121" i="10"/>
  <c r="P121" i="10"/>
  <c r="N121" i="10"/>
  <c r="E124" i="9" s="1"/>
  <c r="K121" i="10"/>
  <c r="J121" i="10"/>
  <c r="H121" i="10"/>
  <c r="G121" i="10"/>
  <c r="F121" i="10"/>
  <c r="E121" i="10"/>
  <c r="A121" i="10"/>
  <c r="U120" i="10"/>
  <c r="S120" i="10"/>
  <c r="P120" i="10"/>
  <c r="N120" i="10"/>
  <c r="E125" i="9" s="1"/>
  <c r="K120" i="10"/>
  <c r="J120" i="10"/>
  <c r="H120" i="10"/>
  <c r="G120" i="10"/>
  <c r="F120" i="10"/>
  <c r="E120" i="10"/>
  <c r="A120" i="10"/>
  <c r="G119" i="10"/>
  <c r="A119" i="10"/>
  <c r="U118" i="10"/>
  <c r="H118" i="10"/>
  <c r="G118" i="10"/>
  <c r="F118" i="10"/>
  <c r="E118" i="10"/>
  <c r="D118" i="10"/>
  <c r="A118" i="10"/>
  <c r="U117" i="10"/>
  <c r="S117" i="10"/>
  <c r="P117" i="10"/>
  <c r="N117" i="10"/>
  <c r="E118" i="9" s="1"/>
  <c r="K117" i="10"/>
  <c r="J117" i="10"/>
  <c r="H117" i="10"/>
  <c r="G117" i="10"/>
  <c r="F117" i="10"/>
  <c r="E117" i="10"/>
  <c r="A117" i="10"/>
  <c r="U116" i="10"/>
  <c r="H116" i="10"/>
  <c r="G116" i="10"/>
  <c r="F116" i="10"/>
  <c r="E116" i="10"/>
  <c r="D116" i="10"/>
  <c r="A116" i="10"/>
  <c r="U115" i="10"/>
  <c r="H115" i="10"/>
  <c r="G115" i="10"/>
  <c r="F115" i="10"/>
  <c r="E115" i="10"/>
  <c r="D115" i="10"/>
  <c r="A115" i="10"/>
  <c r="U114" i="10"/>
  <c r="S114" i="10"/>
  <c r="P114" i="10"/>
  <c r="N114" i="10"/>
  <c r="E114" i="9" s="1"/>
  <c r="K114" i="10"/>
  <c r="J114" i="10"/>
  <c r="H114" i="10"/>
  <c r="G114" i="10"/>
  <c r="F114" i="10"/>
  <c r="E114" i="10"/>
  <c r="A114" i="10"/>
  <c r="U113" i="10"/>
  <c r="S113" i="10"/>
  <c r="P113" i="10"/>
  <c r="N113" i="10"/>
  <c r="E115" i="9" s="1"/>
  <c r="K113" i="10"/>
  <c r="J113" i="10"/>
  <c r="H113" i="10"/>
  <c r="G113" i="10"/>
  <c r="F113" i="10"/>
  <c r="E113" i="10"/>
  <c r="A113" i="10"/>
  <c r="U112" i="10"/>
  <c r="S112" i="10"/>
  <c r="P112" i="10"/>
  <c r="N112" i="10"/>
  <c r="K112" i="10"/>
  <c r="J112" i="10"/>
  <c r="H112" i="10"/>
  <c r="G112" i="10"/>
  <c r="F112" i="10"/>
  <c r="E112" i="10"/>
  <c r="A112" i="10"/>
  <c r="U111" i="10"/>
  <c r="S111" i="10"/>
  <c r="P111" i="10"/>
  <c r="N111" i="10"/>
  <c r="K111" i="10"/>
  <c r="J111" i="10"/>
  <c r="H111" i="10"/>
  <c r="G111" i="10"/>
  <c r="F111" i="10"/>
  <c r="E111" i="10"/>
  <c r="A111" i="10"/>
  <c r="U110" i="10"/>
  <c r="S110" i="10"/>
  <c r="P110" i="10"/>
  <c r="N110" i="10"/>
  <c r="E112" i="9" s="1"/>
  <c r="K110" i="10"/>
  <c r="J110" i="10"/>
  <c r="H110" i="10"/>
  <c r="G110" i="10"/>
  <c r="F110" i="10"/>
  <c r="E110" i="10"/>
  <c r="A110" i="10"/>
  <c r="U109" i="10"/>
  <c r="S109" i="10"/>
  <c r="P109" i="10"/>
  <c r="N109" i="10"/>
  <c r="E113" i="9" s="1"/>
  <c r="K109" i="10"/>
  <c r="J109" i="10"/>
  <c r="H109" i="10"/>
  <c r="G109" i="10"/>
  <c r="F109" i="10"/>
  <c r="E109" i="10"/>
  <c r="A109" i="10"/>
  <c r="G108" i="10"/>
  <c r="A108" i="10"/>
  <c r="G107" i="10"/>
  <c r="A107" i="10"/>
  <c r="U106" i="10"/>
  <c r="H106" i="10"/>
  <c r="G106" i="10"/>
  <c r="F106" i="10"/>
  <c r="E106" i="10"/>
  <c r="D106" i="10"/>
  <c r="A106" i="10"/>
  <c r="U105" i="10"/>
  <c r="S105" i="10"/>
  <c r="P105" i="10"/>
  <c r="N105" i="10"/>
  <c r="E92" i="9" s="1"/>
  <c r="K105" i="10"/>
  <c r="J105" i="10"/>
  <c r="H105" i="10"/>
  <c r="G105" i="10"/>
  <c r="F105" i="10"/>
  <c r="E105" i="10"/>
  <c r="A105" i="10"/>
  <c r="U104" i="10"/>
  <c r="S104" i="10"/>
  <c r="P104" i="10"/>
  <c r="N104" i="10"/>
  <c r="E94" i="9" s="1"/>
  <c r="K104" i="10"/>
  <c r="J104" i="10"/>
  <c r="H104" i="10"/>
  <c r="G104" i="10"/>
  <c r="F104" i="10"/>
  <c r="E104" i="10"/>
  <c r="A104" i="10"/>
  <c r="U103" i="10"/>
  <c r="S103" i="10"/>
  <c r="P103" i="10"/>
  <c r="N103" i="10"/>
  <c r="E95" i="9" s="1"/>
  <c r="K103" i="10"/>
  <c r="J103" i="10"/>
  <c r="H103" i="10"/>
  <c r="G103" i="10"/>
  <c r="F103" i="10"/>
  <c r="E103" i="10"/>
  <c r="A103" i="10"/>
  <c r="U102" i="10"/>
  <c r="S102" i="10"/>
  <c r="P102" i="10"/>
  <c r="N102" i="10"/>
  <c r="E103" i="9" s="1"/>
  <c r="K102" i="10"/>
  <c r="J102" i="10"/>
  <c r="H102" i="10"/>
  <c r="G102" i="10"/>
  <c r="F102" i="10"/>
  <c r="E102" i="10"/>
  <c r="A102" i="10"/>
  <c r="U101" i="10"/>
  <c r="S101" i="10"/>
  <c r="P101" i="10"/>
  <c r="N101" i="10"/>
  <c r="E104" i="9" s="1"/>
  <c r="K101" i="10"/>
  <c r="J101" i="10"/>
  <c r="H101" i="10"/>
  <c r="G101" i="10"/>
  <c r="F101" i="10"/>
  <c r="E101" i="10"/>
  <c r="A101" i="10"/>
  <c r="U100" i="10"/>
  <c r="S100" i="10"/>
  <c r="P100" i="10"/>
  <c r="N100" i="10"/>
  <c r="E106" i="9" s="1"/>
  <c r="K100" i="10"/>
  <c r="J100" i="10"/>
  <c r="H100" i="10"/>
  <c r="G100" i="10"/>
  <c r="F100" i="10"/>
  <c r="E100" i="10"/>
  <c r="A100" i="10"/>
  <c r="U99" i="10"/>
  <c r="S99" i="10"/>
  <c r="P99" i="10"/>
  <c r="N99" i="10"/>
  <c r="E107" i="9" s="1"/>
  <c r="K99" i="10"/>
  <c r="J99" i="10"/>
  <c r="H99" i="10"/>
  <c r="G99" i="10"/>
  <c r="F99" i="10"/>
  <c r="E99" i="10"/>
  <c r="A99" i="10"/>
  <c r="U98" i="10"/>
  <c r="H98" i="10"/>
  <c r="G98" i="10"/>
  <c r="F98" i="10"/>
  <c r="E98" i="10"/>
  <c r="D98" i="10"/>
  <c r="A98" i="10"/>
  <c r="U97" i="10"/>
  <c r="S97" i="10"/>
  <c r="P97" i="10"/>
  <c r="N97" i="10"/>
  <c r="E93" i="9" s="1"/>
  <c r="K97" i="10"/>
  <c r="J97" i="10"/>
  <c r="H97" i="10"/>
  <c r="G97" i="10"/>
  <c r="F97" i="10"/>
  <c r="E97" i="10"/>
  <c r="A97" i="10"/>
  <c r="U96" i="10"/>
  <c r="S96" i="10"/>
  <c r="P96" i="10"/>
  <c r="N96" i="10"/>
  <c r="E96" i="9" s="1"/>
  <c r="K96" i="10"/>
  <c r="J96" i="10"/>
  <c r="H96" i="10"/>
  <c r="G96" i="10"/>
  <c r="F96" i="10"/>
  <c r="E96" i="10"/>
  <c r="A96" i="10"/>
  <c r="U95" i="10"/>
  <c r="S95" i="10"/>
  <c r="P95" i="10"/>
  <c r="N95" i="10"/>
  <c r="E97" i="9" s="1"/>
  <c r="K95" i="10"/>
  <c r="J95" i="10"/>
  <c r="H95" i="10"/>
  <c r="G95" i="10"/>
  <c r="F95" i="10"/>
  <c r="E95" i="10"/>
  <c r="A95" i="10"/>
  <c r="U94" i="10"/>
  <c r="S94" i="10"/>
  <c r="P94" i="10"/>
  <c r="N94" i="10"/>
  <c r="E98" i="9" s="1"/>
  <c r="K94" i="10"/>
  <c r="J94" i="10"/>
  <c r="H94" i="10"/>
  <c r="G94" i="10"/>
  <c r="F94" i="10"/>
  <c r="E94" i="10"/>
  <c r="A94" i="10"/>
  <c r="U93" i="10"/>
  <c r="S93" i="10"/>
  <c r="P93" i="10"/>
  <c r="N93" i="10"/>
  <c r="E99" i="9" s="1"/>
  <c r="K93" i="10"/>
  <c r="J93" i="10"/>
  <c r="H93" i="10"/>
  <c r="G93" i="10"/>
  <c r="F93" i="10"/>
  <c r="E93" i="10"/>
  <c r="A93" i="10"/>
  <c r="U92" i="10"/>
  <c r="S92" i="10"/>
  <c r="P92" i="10"/>
  <c r="N92" i="10"/>
  <c r="E102" i="9" s="1"/>
  <c r="K92" i="10"/>
  <c r="J92" i="10"/>
  <c r="H92" i="10"/>
  <c r="G92" i="10"/>
  <c r="F92" i="10"/>
  <c r="E92" i="10"/>
  <c r="A92" i="10"/>
  <c r="G91" i="10"/>
  <c r="A91" i="10"/>
  <c r="U90" i="10"/>
  <c r="H90" i="10"/>
  <c r="G90" i="10"/>
  <c r="F90" i="10"/>
  <c r="E90" i="10"/>
  <c r="D90" i="10"/>
  <c r="A90" i="10"/>
  <c r="U89" i="10"/>
  <c r="S89" i="10"/>
  <c r="P89" i="10"/>
  <c r="N89" i="10"/>
  <c r="K89" i="10"/>
  <c r="J89" i="10"/>
  <c r="H89" i="10"/>
  <c r="G89" i="10"/>
  <c r="F89" i="10"/>
  <c r="E89" i="10"/>
  <c r="A89" i="10"/>
  <c r="U88" i="10"/>
  <c r="S88" i="10"/>
  <c r="P88" i="10"/>
  <c r="N88" i="10"/>
  <c r="E86" i="9" s="1"/>
  <c r="K88" i="10"/>
  <c r="J88" i="10"/>
  <c r="H88" i="10"/>
  <c r="G88" i="10"/>
  <c r="F88" i="10"/>
  <c r="E88" i="10"/>
  <c r="A88" i="10"/>
  <c r="U87" i="10"/>
  <c r="H87" i="10"/>
  <c r="G87" i="10"/>
  <c r="F87" i="10"/>
  <c r="E87" i="10"/>
  <c r="D87" i="10"/>
  <c r="A87" i="10"/>
  <c r="U86" i="10"/>
  <c r="S86" i="10"/>
  <c r="P86" i="10"/>
  <c r="N86" i="10"/>
  <c r="E73" i="9" s="1"/>
  <c r="K86" i="10"/>
  <c r="J86" i="10"/>
  <c r="H86" i="10"/>
  <c r="G86" i="10"/>
  <c r="F86" i="10"/>
  <c r="E86" i="10"/>
  <c r="A86" i="10"/>
  <c r="U85" i="10"/>
  <c r="S85" i="10"/>
  <c r="P85" i="10"/>
  <c r="N85" i="10"/>
  <c r="K85" i="10"/>
  <c r="J85" i="10"/>
  <c r="H85" i="10"/>
  <c r="G85" i="10"/>
  <c r="F85" i="10"/>
  <c r="E85" i="10"/>
  <c r="A85" i="10"/>
  <c r="U84" i="10"/>
  <c r="S84" i="10"/>
  <c r="P84" i="10"/>
  <c r="N84" i="10"/>
  <c r="E78" i="9" s="1"/>
  <c r="K84" i="10"/>
  <c r="J84" i="10"/>
  <c r="H84" i="10"/>
  <c r="G84" i="10"/>
  <c r="F84" i="10"/>
  <c r="E84" i="10"/>
  <c r="A84" i="10"/>
  <c r="U83" i="10"/>
  <c r="S83" i="10"/>
  <c r="P83" i="10"/>
  <c r="N83" i="10"/>
  <c r="E79" i="9" s="1"/>
  <c r="K83" i="10"/>
  <c r="J83" i="10"/>
  <c r="H83" i="10"/>
  <c r="G83" i="10"/>
  <c r="F83" i="10"/>
  <c r="E83" i="10"/>
  <c r="A83" i="10"/>
  <c r="U82" i="10"/>
  <c r="S82" i="10"/>
  <c r="P82" i="10"/>
  <c r="N82" i="10"/>
  <c r="K82" i="10"/>
  <c r="J82" i="10"/>
  <c r="H82" i="10"/>
  <c r="G82" i="10"/>
  <c r="F82" i="10"/>
  <c r="E82" i="10"/>
  <c r="A82" i="10"/>
  <c r="U81" i="10"/>
  <c r="S81" i="10"/>
  <c r="P81" i="10"/>
  <c r="N81" i="10"/>
  <c r="K81" i="10"/>
  <c r="J81" i="10"/>
  <c r="H81" i="10"/>
  <c r="G81" i="10"/>
  <c r="F81" i="10"/>
  <c r="E81" i="10"/>
  <c r="A81" i="10"/>
  <c r="U80" i="10"/>
  <c r="S80" i="10"/>
  <c r="P80" i="10"/>
  <c r="N80" i="10"/>
  <c r="K80" i="10"/>
  <c r="J80" i="10"/>
  <c r="H80" i="10"/>
  <c r="G80" i="10"/>
  <c r="F80" i="10"/>
  <c r="E80" i="10"/>
  <c r="A80" i="10"/>
  <c r="U79" i="10"/>
  <c r="H79" i="10"/>
  <c r="G79" i="10"/>
  <c r="F79" i="10"/>
  <c r="E79" i="10"/>
  <c r="D79" i="10"/>
  <c r="A79" i="10"/>
  <c r="U78" i="10"/>
  <c r="S78" i="10"/>
  <c r="P78" i="10"/>
  <c r="N78" i="10"/>
  <c r="E75" i="9" s="1"/>
  <c r="K78" i="10"/>
  <c r="J78" i="10"/>
  <c r="H78" i="10"/>
  <c r="G78" i="10"/>
  <c r="F78" i="10"/>
  <c r="E78" i="10"/>
  <c r="A78" i="10"/>
  <c r="U77" i="10"/>
  <c r="S77" i="10"/>
  <c r="P77" i="10"/>
  <c r="N77" i="10"/>
  <c r="E76" i="9" s="1"/>
  <c r="K77" i="10"/>
  <c r="J77" i="10"/>
  <c r="H77" i="10"/>
  <c r="G77" i="10"/>
  <c r="F77" i="10"/>
  <c r="E77" i="10"/>
  <c r="A77" i="10"/>
  <c r="U76" i="10"/>
  <c r="S76" i="10"/>
  <c r="P76" i="10"/>
  <c r="N76" i="10"/>
  <c r="E77" i="9" s="1"/>
  <c r="K76" i="10"/>
  <c r="J76" i="10"/>
  <c r="H76" i="10"/>
  <c r="G76" i="10"/>
  <c r="F76" i="10"/>
  <c r="E76" i="10"/>
  <c r="A76" i="10"/>
  <c r="U75" i="10"/>
  <c r="S75" i="10"/>
  <c r="P75" i="10"/>
  <c r="N75" i="10"/>
  <c r="E80" i="9" s="1"/>
  <c r="K75" i="10"/>
  <c r="J75" i="10"/>
  <c r="H75" i="10"/>
  <c r="G75" i="10"/>
  <c r="F75" i="10"/>
  <c r="E75" i="10"/>
  <c r="A75" i="10"/>
  <c r="U74" i="10"/>
  <c r="S74" i="10"/>
  <c r="P74" i="10"/>
  <c r="N74" i="10"/>
  <c r="E81" i="9" s="1"/>
  <c r="K74" i="10"/>
  <c r="J74" i="10"/>
  <c r="H74" i="10"/>
  <c r="G74" i="10"/>
  <c r="F74" i="10"/>
  <c r="E74" i="10"/>
  <c r="A74" i="10"/>
  <c r="U73" i="10"/>
  <c r="S73" i="10"/>
  <c r="P73" i="10"/>
  <c r="N73" i="10"/>
  <c r="E84" i="9" s="1"/>
  <c r="K73" i="10"/>
  <c r="J73" i="10"/>
  <c r="H73" i="10"/>
  <c r="G73" i="10"/>
  <c r="F73" i="10"/>
  <c r="E73" i="10"/>
  <c r="A73" i="10"/>
  <c r="U72" i="10"/>
  <c r="S72" i="10"/>
  <c r="P72" i="10"/>
  <c r="N72" i="10"/>
  <c r="E72" i="9" s="1"/>
  <c r="K72" i="10"/>
  <c r="J72" i="10"/>
  <c r="H72" i="10"/>
  <c r="G72" i="10"/>
  <c r="F72" i="10"/>
  <c r="E72" i="10"/>
  <c r="A72" i="10"/>
  <c r="U71" i="10"/>
  <c r="S71" i="10"/>
  <c r="P71" i="10"/>
  <c r="N71" i="10"/>
  <c r="E74" i="9" s="1"/>
  <c r="K71" i="10"/>
  <c r="J71" i="10"/>
  <c r="H71" i="10"/>
  <c r="G71" i="10"/>
  <c r="F71" i="10"/>
  <c r="E71" i="10"/>
  <c r="A71" i="10"/>
  <c r="G70" i="10"/>
  <c r="A70" i="10"/>
  <c r="U69" i="10"/>
  <c r="S69" i="10"/>
  <c r="P69" i="10"/>
  <c r="N69" i="10"/>
  <c r="E63" i="9" s="1"/>
  <c r="K69" i="10"/>
  <c r="J69" i="10"/>
  <c r="H69" i="10"/>
  <c r="G69" i="10"/>
  <c r="F69" i="10"/>
  <c r="E69" i="10"/>
  <c r="A69" i="10"/>
  <c r="U68" i="10"/>
  <c r="S68" i="10"/>
  <c r="P68" i="10"/>
  <c r="N68" i="10"/>
  <c r="E66" i="9" s="1"/>
  <c r="K68" i="10"/>
  <c r="J68" i="10"/>
  <c r="H68" i="10"/>
  <c r="G68" i="10"/>
  <c r="F68" i="10"/>
  <c r="E68" i="10"/>
  <c r="A68" i="10"/>
  <c r="U67" i="10"/>
  <c r="S67" i="10"/>
  <c r="P67" i="10"/>
  <c r="N67" i="10"/>
  <c r="E67" i="9" s="1"/>
  <c r="K67" i="10"/>
  <c r="J67" i="10"/>
  <c r="H67" i="10"/>
  <c r="G67" i="10"/>
  <c r="F67" i="10"/>
  <c r="E67" i="10"/>
  <c r="A67" i="10"/>
  <c r="U66" i="10"/>
  <c r="S66" i="10"/>
  <c r="P66" i="10"/>
  <c r="N66" i="10"/>
  <c r="E68" i="9" s="1"/>
  <c r="K66" i="10"/>
  <c r="J66" i="10"/>
  <c r="H66" i="10"/>
  <c r="G66" i="10"/>
  <c r="F66" i="10"/>
  <c r="E66" i="10"/>
  <c r="A66" i="10"/>
  <c r="G65" i="10"/>
  <c r="A65" i="10"/>
  <c r="G64" i="10"/>
  <c r="A64" i="10"/>
  <c r="U63" i="10"/>
  <c r="H63" i="10"/>
  <c r="G63" i="10"/>
  <c r="F63" i="10"/>
  <c r="E63" i="10"/>
  <c r="D63" i="10"/>
  <c r="A63" i="10"/>
  <c r="U62" i="10"/>
  <c r="S62" i="10"/>
  <c r="P62" i="10"/>
  <c r="N62" i="10"/>
  <c r="E48" i="9" s="1"/>
  <c r="K62" i="10"/>
  <c r="J62" i="10"/>
  <c r="H62" i="10"/>
  <c r="G62" i="10"/>
  <c r="F62" i="10"/>
  <c r="E62" i="10"/>
  <c r="A62" i="10"/>
  <c r="U61" i="10"/>
  <c r="S61" i="10"/>
  <c r="P61" i="10"/>
  <c r="N61" i="10"/>
  <c r="E58" i="9" s="1"/>
  <c r="K61" i="10"/>
  <c r="J61" i="10"/>
  <c r="H61" i="10"/>
  <c r="G61" i="10"/>
  <c r="F61" i="10"/>
  <c r="E61" i="10"/>
  <c r="A61" i="10"/>
  <c r="U60" i="10"/>
  <c r="H60" i="10"/>
  <c r="G60" i="10"/>
  <c r="F60" i="10"/>
  <c r="E60" i="10"/>
  <c r="D60" i="10"/>
  <c r="A60" i="10"/>
  <c r="U59" i="10"/>
  <c r="S59" i="10"/>
  <c r="P59" i="10"/>
  <c r="N59" i="10"/>
  <c r="E43" i="9" s="1"/>
  <c r="K59" i="10"/>
  <c r="J59" i="10"/>
  <c r="H59" i="10"/>
  <c r="G59" i="10"/>
  <c r="F59" i="10"/>
  <c r="E59" i="10"/>
  <c r="A59" i="10"/>
  <c r="U58" i="10"/>
  <c r="S58" i="10"/>
  <c r="P58" i="10"/>
  <c r="N58" i="10"/>
  <c r="K58" i="10"/>
  <c r="J58" i="10"/>
  <c r="H58" i="10"/>
  <c r="G58" i="10"/>
  <c r="F58" i="10"/>
  <c r="E58" i="10"/>
  <c r="A58" i="10"/>
  <c r="U57" i="10"/>
  <c r="S57" i="10"/>
  <c r="P57" i="10"/>
  <c r="N57" i="10"/>
  <c r="E46" i="9" s="1"/>
  <c r="K57" i="10"/>
  <c r="J57" i="10"/>
  <c r="H57" i="10"/>
  <c r="G57" i="10"/>
  <c r="F57" i="10"/>
  <c r="E57" i="10"/>
  <c r="A57" i="10"/>
  <c r="U56" i="10"/>
  <c r="S56" i="10"/>
  <c r="P56" i="10"/>
  <c r="N56" i="10"/>
  <c r="E47" i="9" s="1"/>
  <c r="K56" i="10"/>
  <c r="J56" i="10"/>
  <c r="H56" i="10"/>
  <c r="G56" i="10"/>
  <c r="F56" i="10"/>
  <c r="E56" i="10"/>
  <c r="A56" i="10"/>
  <c r="U55" i="10"/>
  <c r="S55" i="10"/>
  <c r="P55" i="10"/>
  <c r="N55" i="10"/>
  <c r="E49" i="9" s="1"/>
  <c r="K55" i="10"/>
  <c r="J55" i="10"/>
  <c r="H55" i="10"/>
  <c r="G55" i="10"/>
  <c r="F55" i="10"/>
  <c r="E55" i="10"/>
  <c r="A55" i="10"/>
  <c r="U54" i="10"/>
  <c r="S54" i="10"/>
  <c r="P54" i="10"/>
  <c r="N54" i="10"/>
  <c r="E50" i="9" s="1"/>
  <c r="K54" i="10"/>
  <c r="J54" i="10"/>
  <c r="H54" i="10"/>
  <c r="G54" i="10"/>
  <c r="F54" i="10"/>
  <c r="E54" i="10"/>
  <c r="A54" i="10"/>
  <c r="U53" i="10"/>
  <c r="S53" i="10"/>
  <c r="P53" i="10"/>
  <c r="N53" i="10"/>
  <c r="E55" i="9" s="1"/>
  <c r="K53" i="10"/>
  <c r="J53" i="10"/>
  <c r="H53" i="10"/>
  <c r="G53" i="10"/>
  <c r="F53" i="10"/>
  <c r="E53" i="10"/>
  <c r="A53" i="10"/>
  <c r="U52" i="10"/>
  <c r="S52" i="10"/>
  <c r="P52" i="10"/>
  <c r="N52" i="10"/>
  <c r="E57" i="9" s="1"/>
  <c r="K52" i="10"/>
  <c r="J52" i="10"/>
  <c r="H52" i="10"/>
  <c r="G52" i="10"/>
  <c r="F52" i="10"/>
  <c r="E52" i="10"/>
  <c r="A52" i="10"/>
  <c r="U51" i="10"/>
  <c r="S51" i="10"/>
  <c r="P51" i="10"/>
  <c r="N51" i="10"/>
  <c r="E44" i="9" s="1"/>
  <c r="K51" i="10"/>
  <c r="J51" i="10"/>
  <c r="H51" i="10"/>
  <c r="G51" i="10"/>
  <c r="F51" i="10"/>
  <c r="E51" i="10"/>
  <c r="A51" i="10"/>
  <c r="U50" i="10"/>
  <c r="S50" i="10"/>
  <c r="P50" i="10"/>
  <c r="N50" i="10"/>
  <c r="K50" i="10"/>
  <c r="J50" i="10"/>
  <c r="H50" i="10"/>
  <c r="G50" i="10"/>
  <c r="F50" i="10"/>
  <c r="E50" i="10"/>
  <c r="A50" i="10"/>
  <c r="U49" i="10"/>
  <c r="S49" i="10"/>
  <c r="P49" i="10"/>
  <c r="N49" i="10"/>
  <c r="K49" i="10"/>
  <c r="J49" i="10"/>
  <c r="H49" i="10"/>
  <c r="G49" i="10"/>
  <c r="F49" i="10"/>
  <c r="E49" i="10"/>
  <c r="A49" i="10"/>
  <c r="U48" i="10"/>
  <c r="S48" i="10"/>
  <c r="P48" i="10"/>
  <c r="N48" i="10"/>
  <c r="E42" i="9" s="1"/>
  <c r="K48" i="10"/>
  <c r="J48" i="10"/>
  <c r="H48" i="10"/>
  <c r="G48" i="10"/>
  <c r="F48" i="10"/>
  <c r="E48" i="10"/>
  <c r="A48" i="10"/>
  <c r="U47" i="10"/>
  <c r="S47" i="10"/>
  <c r="P47" i="10"/>
  <c r="N47" i="10"/>
  <c r="E45" i="9" s="1"/>
  <c r="K47" i="10"/>
  <c r="J47" i="10"/>
  <c r="H47" i="10"/>
  <c r="G47" i="10"/>
  <c r="F47" i="10"/>
  <c r="E47" i="10"/>
  <c r="A47" i="10"/>
  <c r="U46" i="10"/>
  <c r="S46" i="10"/>
  <c r="P46" i="10"/>
  <c r="N46" i="10"/>
  <c r="E51" i="9" s="1"/>
  <c r="K46" i="10"/>
  <c r="J46" i="10"/>
  <c r="H46" i="10"/>
  <c r="G46" i="10"/>
  <c r="F46" i="10"/>
  <c r="E46" i="10"/>
  <c r="A46" i="10"/>
  <c r="U45" i="10"/>
  <c r="S45" i="10"/>
  <c r="P45" i="10"/>
  <c r="N45" i="10"/>
  <c r="E52" i="9" s="1"/>
  <c r="K45" i="10"/>
  <c r="J45" i="10"/>
  <c r="H45" i="10"/>
  <c r="G45" i="10"/>
  <c r="F45" i="10"/>
  <c r="E45" i="10"/>
  <c r="A45" i="10"/>
  <c r="G44" i="10"/>
  <c r="A44" i="10"/>
  <c r="U43" i="10"/>
  <c r="H43" i="10"/>
  <c r="G43" i="10"/>
  <c r="F43" i="10"/>
  <c r="E43" i="10"/>
  <c r="D43" i="10"/>
  <c r="A43" i="10"/>
  <c r="U42" i="10"/>
  <c r="S42" i="10"/>
  <c r="P42" i="10"/>
  <c r="N42" i="10"/>
  <c r="K42" i="10"/>
  <c r="J42" i="10"/>
  <c r="H42" i="10"/>
  <c r="G42" i="10"/>
  <c r="F42" i="10"/>
  <c r="E42" i="10"/>
  <c r="A42" i="10"/>
  <c r="U41" i="10"/>
  <c r="S41" i="10"/>
  <c r="P41" i="10"/>
  <c r="N41" i="10"/>
  <c r="K41" i="10"/>
  <c r="J41" i="10"/>
  <c r="H41" i="10"/>
  <c r="G41" i="10"/>
  <c r="F41" i="10"/>
  <c r="E41" i="10"/>
  <c r="A41" i="10"/>
  <c r="U40" i="10"/>
  <c r="H40" i="10"/>
  <c r="G40" i="10"/>
  <c r="F40" i="10"/>
  <c r="E40" i="10"/>
  <c r="D40" i="10"/>
  <c r="A40" i="10"/>
  <c r="U39" i="10"/>
  <c r="S39" i="10"/>
  <c r="P39" i="10"/>
  <c r="N39" i="10"/>
  <c r="K39" i="10"/>
  <c r="J39" i="10"/>
  <c r="H39" i="10"/>
  <c r="G39" i="10"/>
  <c r="F39" i="10"/>
  <c r="E39" i="10"/>
  <c r="A39" i="10"/>
  <c r="U38" i="10"/>
  <c r="S38" i="10"/>
  <c r="P38" i="10"/>
  <c r="N38" i="10"/>
  <c r="E18" i="9" s="1"/>
  <c r="K38" i="10"/>
  <c r="J38" i="10"/>
  <c r="H38" i="10"/>
  <c r="G38" i="10"/>
  <c r="F38" i="10"/>
  <c r="E38" i="10"/>
  <c r="A38" i="10"/>
  <c r="U37" i="10"/>
  <c r="S37" i="10"/>
  <c r="P37" i="10"/>
  <c r="N37" i="10"/>
  <c r="K37" i="10"/>
  <c r="J37" i="10"/>
  <c r="H37" i="10"/>
  <c r="G37" i="10"/>
  <c r="F37" i="10"/>
  <c r="E37" i="10"/>
  <c r="A37" i="10"/>
  <c r="U36" i="10"/>
  <c r="S36" i="10"/>
  <c r="P36" i="10"/>
  <c r="N36" i="10"/>
  <c r="E21" i="9" s="1"/>
  <c r="K36" i="10"/>
  <c r="J36" i="10"/>
  <c r="H36" i="10"/>
  <c r="G36" i="10"/>
  <c r="F36" i="10"/>
  <c r="E36" i="10"/>
  <c r="A36" i="10"/>
  <c r="U35" i="10"/>
  <c r="S35" i="10"/>
  <c r="P35" i="10"/>
  <c r="N35" i="10"/>
  <c r="K35" i="10"/>
  <c r="J35" i="10"/>
  <c r="H35" i="10"/>
  <c r="G35" i="10"/>
  <c r="F35" i="10"/>
  <c r="E35" i="10"/>
  <c r="A35" i="10"/>
  <c r="U34" i="10"/>
  <c r="S34" i="10"/>
  <c r="P34" i="10"/>
  <c r="N34" i="10"/>
  <c r="E24" i="9" s="1"/>
  <c r="K34" i="10"/>
  <c r="J34" i="10"/>
  <c r="H34" i="10"/>
  <c r="G34" i="10"/>
  <c r="F34" i="10"/>
  <c r="E34" i="10"/>
  <c r="A34" i="10"/>
  <c r="U33" i="10"/>
  <c r="S33" i="10"/>
  <c r="P33" i="10"/>
  <c r="N33" i="10"/>
  <c r="E27" i="9" s="1"/>
  <c r="K33" i="10"/>
  <c r="J33" i="10"/>
  <c r="H33" i="10"/>
  <c r="G33" i="10"/>
  <c r="F33" i="10"/>
  <c r="E33" i="10"/>
  <c r="A33" i="10"/>
  <c r="U32" i="10"/>
  <c r="S32" i="10"/>
  <c r="P32" i="10"/>
  <c r="N32" i="10"/>
  <c r="E28" i="9" s="1"/>
  <c r="K32" i="10"/>
  <c r="J32" i="10"/>
  <c r="H32" i="10"/>
  <c r="G32" i="10"/>
  <c r="F32" i="10"/>
  <c r="E32" i="10"/>
  <c r="A32" i="10"/>
  <c r="U31" i="10"/>
  <c r="S31" i="10"/>
  <c r="P31" i="10"/>
  <c r="N31" i="10"/>
  <c r="E37" i="9" s="1"/>
  <c r="K31" i="10"/>
  <c r="J31" i="10"/>
  <c r="H31" i="10"/>
  <c r="G31" i="10"/>
  <c r="F31" i="10"/>
  <c r="E31" i="10"/>
  <c r="A31" i="10"/>
  <c r="U30" i="10"/>
  <c r="H30" i="10"/>
  <c r="G30" i="10"/>
  <c r="F30" i="10"/>
  <c r="E30" i="10"/>
  <c r="D30" i="10"/>
  <c r="A30" i="10"/>
  <c r="U29" i="10"/>
  <c r="S29" i="10"/>
  <c r="P29" i="10"/>
  <c r="N29" i="10"/>
  <c r="E14" i="9" s="1"/>
  <c r="K29" i="10"/>
  <c r="J29" i="10"/>
  <c r="H29" i="10"/>
  <c r="G29" i="10"/>
  <c r="F29" i="10"/>
  <c r="E29" i="10"/>
  <c r="A29" i="10"/>
  <c r="U28" i="10"/>
  <c r="S28" i="10"/>
  <c r="P28" i="10"/>
  <c r="N28" i="10"/>
  <c r="E15" i="9" s="1"/>
  <c r="K28" i="10"/>
  <c r="J28" i="10"/>
  <c r="H28" i="10"/>
  <c r="G28" i="10"/>
  <c r="F28" i="10"/>
  <c r="E28" i="10"/>
  <c r="A28" i="10"/>
  <c r="U27" i="10"/>
  <c r="S27" i="10"/>
  <c r="P27" i="10"/>
  <c r="N27" i="10"/>
  <c r="E20" i="9" s="1"/>
  <c r="K27" i="10"/>
  <c r="J27" i="10"/>
  <c r="H27" i="10"/>
  <c r="G27" i="10"/>
  <c r="F27" i="10"/>
  <c r="E27" i="10"/>
  <c r="A27" i="10"/>
  <c r="U26" i="10"/>
  <c r="S26" i="10"/>
  <c r="P26" i="10"/>
  <c r="N26" i="10"/>
  <c r="E22" i="9" s="1"/>
  <c r="K26" i="10"/>
  <c r="J26" i="10"/>
  <c r="H26" i="10"/>
  <c r="G26" i="10"/>
  <c r="F26" i="10"/>
  <c r="E26" i="10"/>
  <c r="A26" i="10"/>
  <c r="U25" i="10"/>
  <c r="S25" i="10"/>
  <c r="P25" i="10"/>
  <c r="N25" i="10"/>
  <c r="E23" i="9" s="1"/>
  <c r="K25" i="10"/>
  <c r="J25" i="10"/>
  <c r="H25" i="10"/>
  <c r="G25" i="10"/>
  <c r="F25" i="10"/>
  <c r="E25" i="10"/>
  <c r="A25" i="10"/>
  <c r="U24" i="10"/>
  <c r="S24" i="10"/>
  <c r="P24" i="10"/>
  <c r="N24" i="10"/>
  <c r="E25" i="9" s="1"/>
  <c r="K24" i="10"/>
  <c r="J24" i="10"/>
  <c r="H24" i="10"/>
  <c r="G24" i="10"/>
  <c r="F24" i="10"/>
  <c r="E24" i="10"/>
  <c r="A24" i="10"/>
  <c r="U23" i="10"/>
  <c r="S23" i="10"/>
  <c r="P23" i="10"/>
  <c r="N23" i="10"/>
  <c r="K23" i="10"/>
  <c r="J23" i="10"/>
  <c r="H23" i="10"/>
  <c r="G23" i="10"/>
  <c r="F23" i="10"/>
  <c r="E23" i="10"/>
  <c r="A23" i="10"/>
  <c r="U22" i="10"/>
  <c r="S22" i="10"/>
  <c r="P22" i="10"/>
  <c r="N22" i="10"/>
  <c r="E35" i="9" s="1"/>
  <c r="K22" i="10"/>
  <c r="J22" i="10"/>
  <c r="H22" i="10"/>
  <c r="G22" i="10"/>
  <c r="F22" i="10"/>
  <c r="E22" i="10"/>
  <c r="A22" i="10"/>
  <c r="U21" i="10"/>
  <c r="S21" i="10"/>
  <c r="P21" i="10"/>
  <c r="N21" i="10"/>
  <c r="E12" i="9" s="1"/>
  <c r="K21" i="10"/>
  <c r="J21" i="10"/>
  <c r="H21" i="10"/>
  <c r="G21" i="10"/>
  <c r="F21" i="10"/>
  <c r="E21" i="10"/>
  <c r="A21" i="10"/>
  <c r="U20" i="10"/>
  <c r="S20" i="10"/>
  <c r="P20" i="10"/>
  <c r="N20" i="10"/>
  <c r="K20" i="10"/>
  <c r="J20" i="10"/>
  <c r="H20" i="10"/>
  <c r="G20" i="10"/>
  <c r="F20" i="10"/>
  <c r="E20" i="10"/>
  <c r="A20" i="10"/>
  <c r="U19" i="10"/>
  <c r="S19" i="10"/>
  <c r="P19" i="10"/>
  <c r="N19" i="10"/>
  <c r="E26" i="9" s="1"/>
  <c r="K19" i="10"/>
  <c r="J19" i="10"/>
  <c r="H19" i="10"/>
  <c r="G19" i="10"/>
  <c r="F19" i="10"/>
  <c r="E19" i="10"/>
  <c r="A19" i="10"/>
  <c r="U18" i="10"/>
  <c r="S18" i="10"/>
  <c r="P18" i="10"/>
  <c r="N18" i="10"/>
  <c r="E30" i="9" s="1"/>
  <c r="K18" i="10"/>
  <c r="J18" i="10"/>
  <c r="H18" i="10"/>
  <c r="G18" i="10"/>
  <c r="F18" i="10"/>
  <c r="E18" i="10"/>
  <c r="A18" i="10"/>
  <c r="U17" i="10"/>
  <c r="S17" i="10"/>
  <c r="P17" i="10"/>
  <c r="N17" i="10"/>
  <c r="K17" i="10"/>
  <c r="J17" i="10"/>
  <c r="H17" i="10"/>
  <c r="G17" i="10"/>
  <c r="F17" i="10"/>
  <c r="E17" i="10"/>
  <c r="A17" i="10"/>
  <c r="U16" i="10"/>
  <c r="S16" i="10"/>
  <c r="P16" i="10"/>
  <c r="N16" i="10"/>
  <c r="K16" i="10"/>
  <c r="J16" i="10"/>
  <c r="H16" i="10"/>
  <c r="G16" i="10"/>
  <c r="F16" i="10"/>
  <c r="E16" i="10"/>
  <c r="A16" i="10"/>
  <c r="U15" i="10"/>
  <c r="S15" i="10"/>
  <c r="P15" i="10"/>
  <c r="N15" i="10"/>
  <c r="K15" i="10"/>
  <c r="J15" i="10"/>
  <c r="H15" i="10"/>
  <c r="G15" i="10"/>
  <c r="F15" i="10"/>
  <c r="E15" i="10"/>
  <c r="A15" i="10"/>
  <c r="U14" i="10"/>
  <c r="S14" i="10"/>
  <c r="P14" i="10"/>
  <c r="N14" i="10"/>
  <c r="E11" i="9" s="1"/>
  <c r="K14" i="10"/>
  <c r="J14" i="10"/>
  <c r="H14" i="10"/>
  <c r="G14" i="10"/>
  <c r="F14" i="10"/>
  <c r="E14" i="10"/>
  <c r="A14" i="10"/>
  <c r="U13" i="10"/>
  <c r="S13" i="10"/>
  <c r="P13" i="10"/>
  <c r="N13" i="10"/>
  <c r="E13" i="9" s="1"/>
  <c r="K13" i="10"/>
  <c r="J13" i="10"/>
  <c r="H13" i="10"/>
  <c r="G13" i="10"/>
  <c r="F13" i="10"/>
  <c r="E13" i="10"/>
  <c r="A13" i="10"/>
  <c r="U12" i="10"/>
  <c r="S12" i="10"/>
  <c r="P12" i="10"/>
  <c r="N12" i="10"/>
  <c r="E16" i="9" s="1"/>
  <c r="K12" i="10"/>
  <c r="J12" i="10"/>
  <c r="H12" i="10"/>
  <c r="G12" i="10"/>
  <c r="F12" i="10"/>
  <c r="E12" i="10"/>
  <c r="A12" i="10"/>
  <c r="U11" i="10"/>
  <c r="S11" i="10"/>
  <c r="P11" i="10"/>
  <c r="N11" i="10"/>
  <c r="E19" i="9" s="1"/>
  <c r="K11" i="10"/>
  <c r="J11" i="10"/>
  <c r="H11" i="10"/>
  <c r="G11" i="10"/>
  <c r="F11" i="10"/>
  <c r="E11" i="10"/>
  <c r="A11" i="10"/>
  <c r="U10" i="10"/>
  <c r="S10" i="10"/>
  <c r="P10" i="10"/>
  <c r="N10" i="10"/>
  <c r="E29" i="9" s="1"/>
  <c r="K10" i="10"/>
  <c r="J10" i="10"/>
  <c r="H10" i="10"/>
  <c r="G10" i="10"/>
  <c r="F10" i="10"/>
  <c r="E10" i="10"/>
  <c r="A10" i="10"/>
  <c r="U9" i="10"/>
  <c r="S9" i="10"/>
  <c r="P9" i="10"/>
  <c r="N9" i="10"/>
  <c r="E33" i="9" s="1"/>
  <c r="K9" i="10"/>
  <c r="J9" i="10"/>
  <c r="H9" i="10"/>
  <c r="G9" i="10"/>
  <c r="F9" i="10"/>
  <c r="E9" i="10"/>
  <c r="A9" i="10"/>
  <c r="U8" i="10"/>
  <c r="S8" i="10"/>
  <c r="P8" i="10"/>
  <c r="N8" i="10"/>
  <c r="E36" i="9" s="1"/>
  <c r="K8" i="10"/>
  <c r="J8" i="10"/>
  <c r="H8" i="10"/>
  <c r="G8" i="10"/>
  <c r="F8" i="10"/>
  <c r="E8" i="10"/>
  <c r="A8" i="10"/>
  <c r="G7" i="10"/>
  <c r="A7" i="10"/>
  <c r="G6" i="10"/>
  <c r="A6" i="10"/>
  <c r="F40" i="8"/>
  <c r="C40" i="8"/>
  <c r="F37" i="8"/>
  <c r="C37" i="8"/>
  <c r="H34" i="8"/>
  <c r="C34" i="8"/>
  <c r="D31" i="8"/>
  <c r="H28" i="8"/>
  <c r="C28" i="8"/>
  <c r="H27" i="8"/>
  <c r="C27" i="8"/>
  <c r="C24" i="8"/>
  <c r="B24" i="8"/>
  <c r="E17" i="8"/>
  <c r="D17" i="8"/>
  <c r="D15" i="8"/>
  <c r="D13" i="8"/>
  <c r="A1" i="8"/>
  <c r="C173" i="7"/>
  <c r="B173" i="7"/>
  <c r="A173" i="7"/>
  <c r="C172" i="7"/>
  <c r="B172" i="7"/>
  <c r="A172" i="7"/>
  <c r="C171" i="7"/>
  <c r="B171" i="7"/>
  <c r="A171" i="7"/>
  <c r="C170" i="7"/>
  <c r="B170" i="7"/>
  <c r="A170" i="7"/>
  <c r="A169" i="7"/>
  <c r="C168" i="7"/>
  <c r="B168" i="7"/>
  <c r="A168" i="7"/>
  <c r="C167" i="7"/>
  <c r="B167" i="7"/>
  <c r="A167" i="7"/>
  <c r="C166" i="7"/>
  <c r="B166" i="7"/>
  <c r="A166" i="7"/>
  <c r="C165" i="7"/>
  <c r="B165" i="7"/>
  <c r="A165" i="7"/>
  <c r="C164" i="7"/>
  <c r="B164" i="7"/>
  <c r="A164" i="7"/>
  <c r="C163" i="7"/>
  <c r="B163" i="7"/>
  <c r="A163" i="7"/>
  <c r="AE162" i="7"/>
  <c r="A162" i="7"/>
  <c r="A161" i="7"/>
  <c r="C160" i="7"/>
  <c r="B160" i="7"/>
  <c r="A160" i="7"/>
  <c r="C159" i="7"/>
  <c r="B159" i="7"/>
  <c r="A159" i="7"/>
  <c r="C158" i="7"/>
  <c r="B158" i="7"/>
  <c r="A158" i="7"/>
  <c r="C157" i="7"/>
  <c r="B157" i="7"/>
  <c r="A157" i="7"/>
  <c r="A156" i="7"/>
  <c r="C155" i="7"/>
  <c r="B155" i="7"/>
  <c r="A155" i="7"/>
  <c r="C154" i="7"/>
  <c r="B154" i="7"/>
  <c r="A154" i="7"/>
  <c r="C153" i="7"/>
  <c r="B153" i="7"/>
  <c r="A153" i="7"/>
  <c r="C152" i="7"/>
  <c r="B152" i="7"/>
  <c r="A152" i="7"/>
  <c r="C151" i="7"/>
  <c r="B151" i="7"/>
  <c r="A151" i="7"/>
  <c r="C150" i="7"/>
  <c r="B150" i="7"/>
  <c r="A150" i="7"/>
  <c r="C149" i="7"/>
  <c r="B149" i="7"/>
  <c r="A149" i="7"/>
  <c r="A148" i="7"/>
  <c r="C147" i="7"/>
  <c r="B147" i="7"/>
  <c r="A147" i="7"/>
  <c r="C146" i="7"/>
  <c r="B146" i="7"/>
  <c r="A146" i="7"/>
  <c r="C145" i="7"/>
  <c r="B145" i="7"/>
  <c r="A145" i="7"/>
  <c r="C144" i="7"/>
  <c r="B144" i="7"/>
  <c r="A144" i="7"/>
  <c r="C143" i="7"/>
  <c r="B143" i="7"/>
  <c r="A143" i="7"/>
  <c r="C142" i="7"/>
  <c r="B142" i="7"/>
  <c r="A142" i="7"/>
  <c r="C141" i="7"/>
  <c r="B141" i="7"/>
  <c r="A141" i="7"/>
  <c r="C140" i="7"/>
  <c r="B140" i="7"/>
  <c r="A140" i="7"/>
  <c r="C139" i="7"/>
  <c r="B139" i="7"/>
  <c r="A139" i="7"/>
  <c r="C138" i="7"/>
  <c r="B138" i="7"/>
  <c r="A138" i="7"/>
  <c r="A137" i="7"/>
  <c r="C136" i="7"/>
  <c r="B136" i="7"/>
  <c r="A136" i="7"/>
  <c r="C135" i="7"/>
  <c r="B135" i="7"/>
  <c r="A135" i="7"/>
  <c r="A134" i="7"/>
  <c r="C133" i="7"/>
  <c r="B133" i="7"/>
  <c r="A133" i="7"/>
  <c r="C132" i="7"/>
  <c r="B132" i="7"/>
  <c r="A132" i="7"/>
  <c r="C131" i="7"/>
  <c r="B131" i="7"/>
  <c r="A131" i="7"/>
  <c r="C130" i="7"/>
  <c r="B130" i="7"/>
  <c r="A130" i="7"/>
  <c r="C129" i="7"/>
  <c r="B129" i="7"/>
  <c r="A129" i="7"/>
  <c r="C128" i="7"/>
  <c r="B128" i="7"/>
  <c r="A128" i="7"/>
  <c r="C127" i="7"/>
  <c r="B127" i="7"/>
  <c r="A127" i="7"/>
  <c r="C126" i="7"/>
  <c r="B126" i="7"/>
  <c r="A126" i="7"/>
  <c r="D125" i="7"/>
  <c r="C125" i="7"/>
  <c r="B125" i="7"/>
  <c r="A125" i="7"/>
  <c r="C124" i="7"/>
  <c r="B124" i="7"/>
  <c r="A124" i="7"/>
  <c r="C123" i="7"/>
  <c r="B123" i="7"/>
  <c r="A123" i="7"/>
  <c r="A122" i="7"/>
  <c r="C121" i="7"/>
  <c r="B121" i="7"/>
  <c r="A121" i="7"/>
  <c r="C120" i="7"/>
  <c r="B120" i="7"/>
  <c r="A120" i="7"/>
  <c r="C119" i="7"/>
  <c r="B119" i="7"/>
  <c r="A119" i="7"/>
  <c r="C118" i="7"/>
  <c r="B118" i="7"/>
  <c r="A118" i="7"/>
  <c r="C117" i="7"/>
  <c r="B117" i="7"/>
  <c r="A117" i="7"/>
  <c r="C116" i="7"/>
  <c r="B116" i="7"/>
  <c r="A116" i="7"/>
  <c r="C115" i="7"/>
  <c r="B115" i="7"/>
  <c r="A115" i="7"/>
  <c r="A114" i="7"/>
  <c r="C113" i="7"/>
  <c r="B113" i="7"/>
  <c r="A113" i="7"/>
  <c r="C112" i="7"/>
  <c r="B112" i="7"/>
  <c r="A112" i="7"/>
  <c r="C111" i="7"/>
  <c r="B111" i="7"/>
  <c r="A111" i="7"/>
  <c r="C110" i="7"/>
  <c r="B110" i="7"/>
  <c r="A110" i="7"/>
  <c r="C109" i="7"/>
  <c r="B109" i="7"/>
  <c r="A109" i="7"/>
  <c r="C108" i="7"/>
  <c r="B108" i="7"/>
  <c r="A108" i="7"/>
  <c r="C107" i="7"/>
  <c r="B107" i="7"/>
  <c r="A107" i="7"/>
  <c r="C106" i="7"/>
  <c r="B106" i="7"/>
  <c r="A106" i="7"/>
  <c r="C105" i="7"/>
  <c r="B105" i="7"/>
  <c r="A105" i="7"/>
  <c r="C104" i="7"/>
  <c r="B104" i="7"/>
  <c r="A104" i="7"/>
  <c r="C103" i="7"/>
  <c r="B103" i="7"/>
  <c r="A103" i="7"/>
  <c r="A102" i="7"/>
  <c r="C101" i="7"/>
  <c r="B101" i="7"/>
  <c r="A101" i="7"/>
  <c r="C100" i="7"/>
  <c r="B100" i="7"/>
  <c r="A100" i="7"/>
  <c r="C99" i="7"/>
  <c r="B99" i="7"/>
  <c r="A99" i="7"/>
  <c r="C98" i="7"/>
  <c r="B98" i="7"/>
  <c r="A98" i="7"/>
  <c r="C97" i="7"/>
  <c r="B97" i="7"/>
  <c r="A97" i="7"/>
  <c r="C96" i="7"/>
  <c r="B96" i="7"/>
  <c r="A96" i="7"/>
  <c r="C95" i="7"/>
  <c r="B95" i="7"/>
  <c r="A95" i="7"/>
  <c r="C94" i="7"/>
  <c r="B94" i="7"/>
  <c r="A94" i="7"/>
  <c r="C93" i="7"/>
  <c r="B93" i="7"/>
  <c r="A93" i="7"/>
  <c r="C92" i="7"/>
  <c r="B92" i="7"/>
  <c r="A92" i="7"/>
  <c r="A91" i="7"/>
  <c r="C90" i="7"/>
  <c r="B90" i="7"/>
  <c r="A90" i="7"/>
  <c r="C89" i="7"/>
  <c r="B89" i="7"/>
  <c r="A89" i="7"/>
  <c r="C88" i="7"/>
  <c r="B88" i="7"/>
  <c r="A88" i="7"/>
  <c r="C87" i="7"/>
  <c r="B87" i="7"/>
  <c r="A87" i="7"/>
  <c r="C86" i="7"/>
  <c r="B86" i="7"/>
  <c r="A86" i="7"/>
  <c r="C85" i="7"/>
  <c r="B85" i="7"/>
  <c r="A85" i="7"/>
  <c r="C84" i="7"/>
  <c r="B84" i="7"/>
  <c r="A84" i="7"/>
  <c r="C83" i="7"/>
  <c r="B83" i="7"/>
  <c r="A83" i="7"/>
  <c r="A82" i="7"/>
  <c r="C81" i="7"/>
  <c r="B81" i="7"/>
  <c r="A81" i="7"/>
  <c r="C80" i="7"/>
  <c r="B80" i="7"/>
  <c r="A80" i="7"/>
  <c r="C79" i="7"/>
  <c r="B79" i="7"/>
  <c r="A79" i="7"/>
  <c r="C78" i="7"/>
  <c r="B78" i="7"/>
  <c r="A78" i="7"/>
  <c r="C77" i="7"/>
  <c r="B77" i="7"/>
  <c r="A77" i="7"/>
  <c r="C76" i="7"/>
  <c r="B76" i="7"/>
  <c r="A76" i="7"/>
  <c r="C75" i="7"/>
  <c r="B75" i="7"/>
  <c r="A75" i="7"/>
  <c r="C74" i="7"/>
  <c r="B74" i="7"/>
  <c r="A74" i="7"/>
  <c r="A73" i="7"/>
  <c r="C72" i="7"/>
  <c r="B72" i="7"/>
  <c r="A72" i="7"/>
  <c r="C71" i="7"/>
  <c r="B71" i="7"/>
  <c r="A71" i="7"/>
  <c r="C70" i="7"/>
  <c r="B70" i="7"/>
  <c r="A70" i="7"/>
  <c r="C69" i="7"/>
  <c r="B69" i="7"/>
  <c r="A69" i="7"/>
  <c r="C68" i="7"/>
  <c r="B68" i="7"/>
  <c r="A68" i="7"/>
  <c r="C67" i="7"/>
  <c r="B67" i="7"/>
  <c r="A67" i="7"/>
  <c r="C66" i="7"/>
  <c r="B66" i="7"/>
  <c r="A66" i="7"/>
  <c r="C65" i="7"/>
  <c r="B65" i="7"/>
  <c r="A65" i="7"/>
  <c r="C64" i="7"/>
  <c r="B64" i="7"/>
  <c r="A64" i="7"/>
  <c r="C63" i="7"/>
  <c r="B63" i="7"/>
  <c r="A63" i="7"/>
  <c r="C62" i="7"/>
  <c r="B62" i="7"/>
  <c r="A62" i="7"/>
  <c r="C61" i="7"/>
  <c r="B61" i="7"/>
  <c r="A61" i="7"/>
  <c r="A60" i="7"/>
  <c r="C59" i="7"/>
  <c r="B59" i="7"/>
  <c r="A59" i="7"/>
  <c r="C58" i="7"/>
  <c r="B58" i="7"/>
  <c r="A58" i="7"/>
  <c r="C57" i="7"/>
  <c r="B57" i="7"/>
  <c r="A57" i="7"/>
  <c r="C56" i="7"/>
  <c r="B56" i="7"/>
  <c r="A56" i="7"/>
  <c r="C55" i="7"/>
  <c r="B55" i="7"/>
  <c r="A55" i="7"/>
  <c r="C54" i="7"/>
  <c r="B54" i="7"/>
  <c r="A54" i="7"/>
  <c r="A53" i="7"/>
  <c r="C52" i="7"/>
  <c r="B52" i="7"/>
  <c r="A52" i="7"/>
  <c r="C51" i="7"/>
  <c r="B51" i="7"/>
  <c r="A51" i="7"/>
  <c r="C50" i="7"/>
  <c r="B50" i="7"/>
  <c r="A50" i="7"/>
  <c r="C49" i="7"/>
  <c r="B49" i="7"/>
  <c r="A49" i="7"/>
  <c r="C48" i="7"/>
  <c r="B48" i="7"/>
  <c r="A48" i="7"/>
  <c r="C47" i="7"/>
  <c r="B47" i="7"/>
  <c r="A47" i="7"/>
  <c r="C46" i="7"/>
  <c r="B46" i="7"/>
  <c r="A46" i="7"/>
  <c r="C45" i="7"/>
  <c r="B45" i="7"/>
  <c r="A45" i="7"/>
  <c r="C44" i="7"/>
  <c r="B44" i="7"/>
  <c r="A44" i="7"/>
  <c r="A43" i="7"/>
  <c r="C42" i="7"/>
  <c r="B42" i="7"/>
  <c r="A42" i="7"/>
  <c r="C41" i="7"/>
  <c r="B41" i="7"/>
  <c r="A41" i="7"/>
  <c r="C40" i="7"/>
  <c r="B40" i="7"/>
  <c r="A40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A31" i="7"/>
  <c r="C30" i="7"/>
  <c r="B30" i="7"/>
  <c r="A30" i="7"/>
  <c r="C29" i="7"/>
  <c r="B29" i="7"/>
  <c r="A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A20" i="7"/>
  <c r="A19" i="7"/>
  <c r="AD12" i="7"/>
  <c r="A11" i="7"/>
  <c r="A1" i="7"/>
  <c r="C161" i="6"/>
  <c r="B161" i="6"/>
  <c r="A161" i="6"/>
  <c r="C160" i="6"/>
  <c r="B160" i="6"/>
  <c r="A160" i="6"/>
  <c r="C159" i="6"/>
  <c r="B159" i="6"/>
  <c r="A159" i="6"/>
  <c r="C158" i="6"/>
  <c r="B158" i="6"/>
  <c r="A158" i="6"/>
  <c r="A157" i="6"/>
  <c r="C156" i="6"/>
  <c r="B156" i="6"/>
  <c r="A156" i="6"/>
  <c r="C155" i="6"/>
  <c r="B155" i="6"/>
  <c r="A155" i="6"/>
  <c r="C154" i="6"/>
  <c r="B154" i="6"/>
  <c r="A154" i="6"/>
  <c r="C153" i="6"/>
  <c r="B153" i="6"/>
  <c r="A153" i="6"/>
  <c r="C152" i="6"/>
  <c r="B152" i="6"/>
  <c r="A152" i="6"/>
  <c r="C151" i="6"/>
  <c r="B151" i="6"/>
  <c r="A151" i="6"/>
  <c r="AE150" i="6"/>
  <c r="A150" i="6"/>
  <c r="C149" i="6"/>
  <c r="B149" i="6"/>
  <c r="A149" i="6"/>
  <c r="C148" i="6"/>
  <c r="B148" i="6"/>
  <c r="A148" i="6"/>
  <c r="C147" i="6"/>
  <c r="B147" i="6"/>
  <c r="A147" i="6"/>
  <c r="C146" i="6"/>
  <c r="B146" i="6"/>
  <c r="A146" i="6"/>
  <c r="A145" i="6"/>
  <c r="C144" i="6"/>
  <c r="B144" i="6"/>
  <c r="A144" i="6"/>
  <c r="C143" i="6"/>
  <c r="B143" i="6"/>
  <c r="A143" i="6"/>
  <c r="C142" i="6"/>
  <c r="B142" i="6"/>
  <c r="A142" i="6"/>
  <c r="C141" i="6"/>
  <c r="B141" i="6"/>
  <c r="A141" i="6"/>
  <c r="C140" i="6"/>
  <c r="B140" i="6"/>
  <c r="A140" i="6"/>
  <c r="C139" i="6"/>
  <c r="B139" i="6"/>
  <c r="A139" i="6"/>
  <c r="C138" i="6"/>
  <c r="B138" i="6"/>
  <c r="A138" i="6"/>
  <c r="A137" i="6"/>
  <c r="C136" i="6"/>
  <c r="B136" i="6"/>
  <c r="A136" i="6"/>
  <c r="C135" i="6"/>
  <c r="B135" i="6"/>
  <c r="A135" i="6"/>
  <c r="C134" i="6"/>
  <c r="B134" i="6"/>
  <c r="A134" i="6"/>
  <c r="C133" i="6"/>
  <c r="B133" i="6"/>
  <c r="A133" i="6"/>
  <c r="C132" i="6"/>
  <c r="B132" i="6"/>
  <c r="A132" i="6"/>
  <c r="C131" i="6"/>
  <c r="B131" i="6"/>
  <c r="A131" i="6"/>
  <c r="C130" i="6"/>
  <c r="B130" i="6"/>
  <c r="A130" i="6"/>
  <c r="C129" i="6"/>
  <c r="B129" i="6"/>
  <c r="A129" i="6"/>
  <c r="C128" i="6"/>
  <c r="B128" i="6"/>
  <c r="A128" i="6"/>
  <c r="C127" i="6"/>
  <c r="B127" i="6"/>
  <c r="A127" i="6"/>
  <c r="A126" i="6"/>
  <c r="C125" i="6"/>
  <c r="B125" i="6"/>
  <c r="A125" i="6"/>
  <c r="C124" i="6"/>
  <c r="B124" i="6"/>
  <c r="A124" i="6"/>
  <c r="A123" i="6"/>
  <c r="C122" i="6"/>
  <c r="B122" i="6"/>
  <c r="A122" i="6"/>
  <c r="C121" i="6"/>
  <c r="B121" i="6"/>
  <c r="A121" i="6"/>
  <c r="C120" i="6"/>
  <c r="B120" i="6"/>
  <c r="A120" i="6"/>
  <c r="C119" i="6"/>
  <c r="B119" i="6"/>
  <c r="A119" i="6"/>
  <c r="C118" i="6"/>
  <c r="B118" i="6"/>
  <c r="A118" i="6"/>
  <c r="C117" i="6"/>
  <c r="B117" i="6"/>
  <c r="A117" i="6"/>
  <c r="C116" i="6"/>
  <c r="B116" i="6"/>
  <c r="A116" i="6"/>
  <c r="C115" i="6"/>
  <c r="B115" i="6"/>
  <c r="A115" i="6"/>
  <c r="D114" i="6"/>
  <c r="C114" i="6"/>
  <c r="B114" i="6"/>
  <c r="A114" i="6"/>
  <c r="C113" i="6"/>
  <c r="B113" i="6"/>
  <c r="A113" i="6"/>
  <c r="C112" i="6"/>
  <c r="B112" i="6"/>
  <c r="A112" i="6"/>
  <c r="A111" i="6"/>
  <c r="C110" i="6"/>
  <c r="B110" i="6"/>
  <c r="A110" i="6"/>
  <c r="C109" i="6"/>
  <c r="B109" i="6"/>
  <c r="A109" i="6"/>
  <c r="C108" i="6"/>
  <c r="B108" i="6"/>
  <c r="A108" i="6"/>
  <c r="C107" i="6"/>
  <c r="B107" i="6"/>
  <c r="A107" i="6"/>
  <c r="C106" i="6"/>
  <c r="B106" i="6"/>
  <c r="A106" i="6"/>
  <c r="C105" i="6"/>
  <c r="B105" i="6"/>
  <c r="A105" i="6"/>
  <c r="C104" i="6"/>
  <c r="B104" i="6"/>
  <c r="A104" i="6"/>
  <c r="A103" i="6"/>
  <c r="C102" i="6"/>
  <c r="B102" i="6"/>
  <c r="A102" i="6"/>
  <c r="C101" i="6"/>
  <c r="B101" i="6"/>
  <c r="A101" i="6"/>
  <c r="C100" i="6"/>
  <c r="B100" i="6"/>
  <c r="A100" i="6"/>
  <c r="C99" i="6"/>
  <c r="B99" i="6"/>
  <c r="A99" i="6"/>
  <c r="C98" i="6"/>
  <c r="B98" i="6"/>
  <c r="A98" i="6"/>
  <c r="C97" i="6"/>
  <c r="B97" i="6"/>
  <c r="A97" i="6"/>
  <c r="C96" i="6"/>
  <c r="B96" i="6"/>
  <c r="A96" i="6"/>
  <c r="C95" i="6"/>
  <c r="B95" i="6"/>
  <c r="A95" i="6"/>
  <c r="C94" i="6"/>
  <c r="B94" i="6"/>
  <c r="A94" i="6"/>
  <c r="C93" i="6"/>
  <c r="B93" i="6"/>
  <c r="A93" i="6"/>
  <c r="C92" i="6"/>
  <c r="B92" i="6"/>
  <c r="A92" i="6"/>
  <c r="A91" i="6"/>
  <c r="C90" i="6"/>
  <c r="B90" i="6"/>
  <c r="A90" i="6"/>
  <c r="C89" i="6"/>
  <c r="B89" i="6"/>
  <c r="A89" i="6"/>
  <c r="C88" i="6"/>
  <c r="B88" i="6"/>
  <c r="A88" i="6"/>
  <c r="C87" i="6"/>
  <c r="B87" i="6"/>
  <c r="A87" i="6"/>
  <c r="C86" i="6"/>
  <c r="B86" i="6"/>
  <c r="A86" i="6"/>
  <c r="C85" i="6"/>
  <c r="B85" i="6"/>
  <c r="A85" i="6"/>
  <c r="C84" i="6"/>
  <c r="B84" i="6"/>
  <c r="A84" i="6"/>
  <c r="C83" i="6"/>
  <c r="B83" i="6"/>
  <c r="A83" i="6"/>
  <c r="C82" i="6"/>
  <c r="B82" i="6"/>
  <c r="A82" i="6"/>
  <c r="C81" i="6"/>
  <c r="B81" i="6"/>
  <c r="A81" i="6"/>
  <c r="A80" i="6"/>
  <c r="C79" i="6"/>
  <c r="B79" i="6"/>
  <c r="A79" i="6"/>
  <c r="C78" i="6"/>
  <c r="B78" i="6"/>
  <c r="A78" i="6"/>
  <c r="C77" i="6"/>
  <c r="B77" i="6"/>
  <c r="A77" i="6"/>
  <c r="C76" i="6"/>
  <c r="B76" i="6"/>
  <c r="A76" i="6"/>
  <c r="C75" i="6"/>
  <c r="B75" i="6"/>
  <c r="A75" i="6"/>
  <c r="C74" i="6"/>
  <c r="B74" i="6"/>
  <c r="A74" i="6"/>
  <c r="C73" i="6"/>
  <c r="B73" i="6"/>
  <c r="A73" i="6"/>
  <c r="C72" i="6"/>
  <c r="B72" i="6"/>
  <c r="A72" i="6"/>
  <c r="A71" i="6"/>
  <c r="C70" i="6"/>
  <c r="B70" i="6"/>
  <c r="A70" i="6"/>
  <c r="C69" i="6"/>
  <c r="B69" i="6"/>
  <c r="A69" i="6"/>
  <c r="C68" i="6"/>
  <c r="B68" i="6"/>
  <c r="A68" i="6"/>
  <c r="C67" i="6"/>
  <c r="B67" i="6"/>
  <c r="A67" i="6"/>
  <c r="C66" i="6"/>
  <c r="B66" i="6"/>
  <c r="A66" i="6"/>
  <c r="C65" i="6"/>
  <c r="B65" i="6"/>
  <c r="A65" i="6"/>
  <c r="C64" i="6"/>
  <c r="B64" i="6"/>
  <c r="A64" i="6"/>
  <c r="C63" i="6"/>
  <c r="B63" i="6"/>
  <c r="A63" i="6"/>
  <c r="A62" i="6"/>
  <c r="C61" i="6"/>
  <c r="B61" i="6"/>
  <c r="A61" i="6"/>
  <c r="C60" i="6"/>
  <c r="B60" i="6"/>
  <c r="A60" i="6"/>
  <c r="C59" i="6"/>
  <c r="B59" i="6"/>
  <c r="A59" i="6"/>
  <c r="C58" i="6"/>
  <c r="B58" i="6"/>
  <c r="A58" i="6"/>
  <c r="C57" i="6"/>
  <c r="B57" i="6"/>
  <c r="A57" i="6"/>
  <c r="C56" i="6"/>
  <c r="B56" i="6"/>
  <c r="A56" i="6"/>
  <c r="C55" i="6"/>
  <c r="B55" i="6"/>
  <c r="A55" i="6"/>
  <c r="C54" i="6"/>
  <c r="B54" i="6"/>
  <c r="A54" i="6"/>
  <c r="C53" i="6"/>
  <c r="B53" i="6"/>
  <c r="A53" i="6"/>
  <c r="C52" i="6"/>
  <c r="B52" i="6"/>
  <c r="A52" i="6"/>
  <c r="C51" i="6"/>
  <c r="B51" i="6"/>
  <c r="A51" i="6"/>
  <c r="C50" i="6"/>
  <c r="B50" i="6"/>
  <c r="A50" i="6"/>
  <c r="A49" i="6"/>
  <c r="C48" i="6"/>
  <c r="B48" i="6"/>
  <c r="A48" i="6"/>
  <c r="C47" i="6"/>
  <c r="B47" i="6"/>
  <c r="A47" i="6"/>
  <c r="C46" i="6"/>
  <c r="B46" i="6"/>
  <c r="A46" i="6"/>
  <c r="C45" i="6"/>
  <c r="B45" i="6"/>
  <c r="A45" i="6"/>
  <c r="C44" i="6"/>
  <c r="B44" i="6"/>
  <c r="A44" i="6"/>
  <c r="C43" i="6"/>
  <c r="B43" i="6"/>
  <c r="A43" i="6"/>
  <c r="A42" i="6"/>
  <c r="C41" i="6"/>
  <c r="B41" i="6"/>
  <c r="A41" i="6"/>
  <c r="C40" i="6"/>
  <c r="B40" i="6"/>
  <c r="A40" i="6"/>
  <c r="C39" i="6"/>
  <c r="B39" i="6"/>
  <c r="A39" i="6"/>
  <c r="C38" i="6"/>
  <c r="B38" i="6"/>
  <c r="A38" i="6"/>
  <c r="C37" i="6"/>
  <c r="B37" i="6"/>
  <c r="A37" i="6"/>
  <c r="C36" i="6"/>
  <c r="B36" i="6"/>
  <c r="A36" i="6"/>
  <c r="C35" i="6"/>
  <c r="B35" i="6"/>
  <c r="A35" i="6"/>
  <c r="C34" i="6"/>
  <c r="B34" i="6"/>
  <c r="A34" i="6"/>
  <c r="C33" i="6"/>
  <c r="B33" i="6"/>
  <c r="A33" i="6"/>
  <c r="A32" i="6"/>
  <c r="C31" i="6"/>
  <c r="B31" i="6"/>
  <c r="A31" i="6"/>
  <c r="C30" i="6"/>
  <c r="B30" i="6"/>
  <c r="A30" i="6"/>
  <c r="C29" i="6"/>
  <c r="B29" i="6"/>
  <c r="A29" i="6"/>
  <c r="A28" i="6"/>
  <c r="C27" i="6"/>
  <c r="B27" i="6"/>
  <c r="A27" i="6"/>
  <c r="C26" i="6"/>
  <c r="B26" i="6"/>
  <c r="A26" i="6"/>
  <c r="C25" i="6"/>
  <c r="B25" i="6"/>
  <c r="A25" i="6"/>
  <c r="C24" i="6"/>
  <c r="B24" i="6"/>
  <c r="A24" i="6"/>
  <c r="C23" i="6"/>
  <c r="B23" i="6"/>
  <c r="A23" i="6"/>
  <c r="C22" i="6"/>
  <c r="B22" i="6"/>
  <c r="A22" i="6"/>
  <c r="C21" i="6"/>
  <c r="B21" i="6"/>
  <c r="A21" i="6"/>
  <c r="A20" i="6"/>
  <c r="C19" i="6"/>
  <c r="B19" i="6"/>
  <c r="A19" i="6"/>
  <c r="C18" i="6"/>
  <c r="B18" i="6"/>
  <c r="A18" i="6"/>
  <c r="C17" i="6"/>
  <c r="B17" i="6"/>
  <c r="A17" i="6"/>
  <c r="C16" i="6"/>
  <c r="B16" i="6"/>
  <c r="A16" i="6"/>
  <c r="C15" i="6"/>
  <c r="B15" i="6"/>
  <c r="A15" i="6"/>
  <c r="C14" i="6"/>
  <c r="B14" i="6"/>
  <c r="A14" i="6"/>
  <c r="C13" i="6"/>
  <c r="B13" i="6"/>
  <c r="A13" i="6"/>
  <c r="C12" i="6"/>
  <c r="B12" i="6"/>
  <c r="A12" i="6"/>
  <c r="C11" i="6"/>
  <c r="B11" i="6"/>
  <c r="A11" i="6"/>
  <c r="C10" i="6"/>
  <c r="B10" i="6"/>
  <c r="A10" i="6"/>
  <c r="A9" i="6"/>
  <c r="A8" i="6"/>
  <c r="AD4" i="6"/>
  <c r="A3" i="6"/>
  <c r="A1" i="6"/>
  <c r="H978" i="5"/>
  <c r="H975" i="5"/>
  <c r="C978" i="5"/>
  <c r="C975" i="5"/>
  <c r="C972" i="5"/>
  <c r="C971" i="5"/>
  <c r="I970" i="5"/>
  <c r="J970" i="5"/>
  <c r="I969" i="5"/>
  <c r="J969" i="5"/>
  <c r="J30" i="5"/>
  <c r="I30" i="5"/>
  <c r="I968" i="5"/>
  <c r="J968" i="5"/>
  <c r="I967" i="5"/>
  <c r="J967" i="5"/>
  <c r="I964" i="5"/>
  <c r="J964" i="5"/>
  <c r="I963" i="5"/>
  <c r="J963" i="5"/>
  <c r="C961" i="5"/>
  <c r="I960" i="5"/>
  <c r="J960" i="5"/>
  <c r="I959" i="5"/>
  <c r="J959" i="5"/>
  <c r="AA956" i="5"/>
  <c r="Z956" i="5"/>
  <c r="Y956" i="5"/>
  <c r="H955" i="5"/>
  <c r="G955" i="5"/>
  <c r="E955" i="5"/>
  <c r="J954" i="5"/>
  <c r="E954" i="5"/>
  <c r="J953" i="5"/>
  <c r="E953" i="5"/>
  <c r="J952" i="5"/>
  <c r="E952" i="5"/>
  <c r="J951" i="5"/>
  <c r="H951" i="5"/>
  <c r="AA951" i="5"/>
  <c r="Z951" i="5"/>
  <c r="Y951" i="5"/>
  <c r="F951" i="5"/>
  <c r="D951" i="5"/>
  <c r="B951" i="5"/>
  <c r="A951" i="5"/>
  <c r="J950" i="5"/>
  <c r="H950" i="5"/>
  <c r="AA950" i="5"/>
  <c r="Z950" i="5"/>
  <c r="Y950" i="5"/>
  <c r="F950" i="5"/>
  <c r="D950" i="5"/>
  <c r="B950" i="5"/>
  <c r="A950" i="5"/>
  <c r="J949" i="5"/>
  <c r="H949" i="5"/>
  <c r="AA949" i="5"/>
  <c r="Z949" i="5"/>
  <c r="Y949" i="5"/>
  <c r="F949" i="5"/>
  <c r="D949" i="5"/>
  <c r="B949" i="5"/>
  <c r="A949" i="5"/>
  <c r="J948" i="5"/>
  <c r="H948" i="5"/>
  <c r="G948" i="5"/>
  <c r="F948" i="5"/>
  <c r="J947" i="5"/>
  <c r="H947" i="5"/>
  <c r="G947" i="5"/>
  <c r="F947" i="5"/>
  <c r="J946" i="5"/>
  <c r="H946" i="5"/>
  <c r="G946" i="5"/>
  <c r="F946" i="5"/>
  <c r="J945" i="5"/>
  <c r="H945" i="5"/>
  <c r="G945" i="5"/>
  <c r="F945" i="5"/>
  <c r="D943" i="5"/>
  <c r="B943" i="5"/>
  <c r="A943" i="5"/>
  <c r="A942" i="5"/>
  <c r="C940" i="5"/>
  <c r="I939" i="5"/>
  <c r="J939" i="5"/>
  <c r="I938" i="5"/>
  <c r="J938" i="5"/>
  <c r="AA935" i="5"/>
  <c r="Z935" i="5"/>
  <c r="Y935" i="5"/>
  <c r="H934" i="5"/>
  <c r="G934" i="5"/>
  <c r="E934" i="5"/>
  <c r="J933" i="5"/>
  <c r="E933" i="5"/>
  <c r="J932" i="5"/>
  <c r="E932" i="5"/>
  <c r="J931" i="5"/>
  <c r="E931" i="5"/>
  <c r="J930" i="5"/>
  <c r="H930" i="5"/>
  <c r="AA930" i="5"/>
  <c r="Z930" i="5"/>
  <c r="Y930" i="5"/>
  <c r="F930" i="5"/>
  <c r="D930" i="5"/>
  <c r="B930" i="5"/>
  <c r="A930" i="5"/>
  <c r="J929" i="5"/>
  <c r="H929" i="5"/>
  <c r="G929" i="5"/>
  <c r="F929" i="5"/>
  <c r="J928" i="5"/>
  <c r="H928" i="5"/>
  <c r="G928" i="5"/>
  <c r="F928" i="5"/>
  <c r="J927" i="5"/>
  <c r="H927" i="5"/>
  <c r="G927" i="5"/>
  <c r="F927" i="5"/>
  <c r="J926" i="5"/>
  <c r="H926" i="5"/>
  <c r="G926" i="5"/>
  <c r="F926" i="5"/>
  <c r="D924" i="5"/>
  <c r="B924" i="5"/>
  <c r="A924" i="5"/>
  <c r="AA923" i="5"/>
  <c r="Z923" i="5"/>
  <c r="Y923" i="5"/>
  <c r="H922" i="5"/>
  <c r="G922" i="5"/>
  <c r="E922" i="5"/>
  <c r="J921" i="5"/>
  <c r="E921" i="5"/>
  <c r="J920" i="5"/>
  <c r="E920" i="5"/>
  <c r="J919" i="5"/>
  <c r="E919" i="5"/>
  <c r="J918" i="5"/>
  <c r="H918" i="5"/>
  <c r="AA918" i="5"/>
  <c r="Z918" i="5"/>
  <c r="Y918" i="5"/>
  <c r="F918" i="5"/>
  <c r="D918" i="5"/>
  <c r="B918" i="5"/>
  <c r="A918" i="5"/>
  <c r="J917" i="5"/>
  <c r="H917" i="5"/>
  <c r="G917" i="5"/>
  <c r="F917" i="5"/>
  <c r="J916" i="5"/>
  <c r="H916" i="5"/>
  <c r="G916" i="5"/>
  <c r="F916" i="5"/>
  <c r="J915" i="5"/>
  <c r="H915" i="5"/>
  <c r="G915" i="5"/>
  <c r="F915" i="5"/>
  <c r="J914" i="5"/>
  <c r="H914" i="5"/>
  <c r="G914" i="5"/>
  <c r="F914" i="5"/>
  <c r="D912" i="5"/>
  <c r="B912" i="5"/>
  <c r="A912" i="5"/>
  <c r="AA911" i="5"/>
  <c r="Z911" i="5"/>
  <c r="Y911" i="5"/>
  <c r="H910" i="5"/>
  <c r="G910" i="5"/>
  <c r="E910" i="5"/>
  <c r="J909" i="5"/>
  <c r="E909" i="5"/>
  <c r="J908" i="5"/>
  <c r="E908" i="5"/>
  <c r="J907" i="5"/>
  <c r="E907" i="5"/>
  <c r="J906" i="5"/>
  <c r="H906" i="5"/>
  <c r="AA906" i="5"/>
  <c r="Z906" i="5"/>
  <c r="Y906" i="5"/>
  <c r="F906" i="5"/>
  <c r="D906" i="5"/>
  <c r="B906" i="5"/>
  <c r="A906" i="5"/>
  <c r="J905" i="5"/>
  <c r="H905" i="5"/>
  <c r="G905" i="5"/>
  <c r="F905" i="5"/>
  <c r="J904" i="5"/>
  <c r="H904" i="5"/>
  <c r="G904" i="5"/>
  <c r="F904" i="5"/>
  <c r="J903" i="5"/>
  <c r="H903" i="5"/>
  <c r="G903" i="5"/>
  <c r="F903" i="5"/>
  <c r="J902" i="5"/>
  <c r="H902" i="5"/>
  <c r="G902" i="5"/>
  <c r="F902" i="5"/>
  <c r="D900" i="5"/>
  <c r="B900" i="5"/>
  <c r="A900" i="5"/>
  <c r="AK899" i="5"/>
  <c r="A899" i="5"/>
  <c r="C897" i="5"/>
  <c r="I896" i="5"/>
  <c r="J896" i="5"/>
  <c r="I895" i="5"/>
  <c r="J895" i="5"/>
  <c r="AA892" i="5"/>
  <c r="Z892" i="5"/>
  <c r="Y892" i="5"/>
  <c r="H891" i="5"/>
  <c r="G891" i="5"/>
  <c r="E891" i="5"/>
  <c r="J890" i="5"/>
  <c r="E890" i="5"/>
  <c r="J889" i="5"/>
  <c r="E889" i="5"/>
  <c r="J888" i="5"/>
  <c r="E888" i="5"/>
  <c r="J887" i="5"/>
  <c r="H887" i="5"/>
  <c r="AA887" i="5"/>
  <c r="Z887" i="5"/>
  <c r="Y887" i="5"/>
  <c r="F887" i="5"/>
  <c r="D887" i="5"/>
  <c r="B887" i="5"/>
  <c r="A887" i="5"/>
  <c r="J886" i="5"/>
  <c r="H886" i="5"/>
  <c r="G886" i="5"/>
  <c r="F886" i="5"/>
  <c r="J885" i="5"/>
  <c r="H885" i="5"/>
  <c r="G885" i="5"/>
  <c r="F885" i="5"/>
  <c r="J884" i="5"/>
  <c r="H884" i="5"/>
  <c r="G884" i="5"/>
  <c r="F884" i="5"/>
  <c r="J883" i="5"/>
  <c r="H883" i="5"/>
  <c r="G883" i="5"/>
  <c r="F883" i="5"/>
  <c r="D881" i="5"/>
  <c r="B881" i="5"/>
  <c r="A881" i="5"/>
  <c r="AA880" i="5"/>
  <c r="Z880" i="5"/>
  <c r="Y880" i="5"/>
  <c r="H879" i="5"/>
  <c r="G879" i="5"/>
  <c r="E879" i="5"/>
  <c r="J878" i="5"/>
  <c r="E878" i="5"/>
  <c r="J877" i="5"/>
  <c r="E877" i="5"/>
  <c r="J876" i="5"/>
  <c r="E876" i="5"/>
  <c r="J875" i="5"/>
  <c r="H875" i="5"/>
  <c r="AA875" i="5"/>
  <c r="Z875" i="5"/>
  <c r="Y875" i="5"/>
  <c r="F875" i="5"/>
  <c r="D875" i="5"/>
  <c r="B875" i="5"/>
  <c r="A875" i="5"/>
  <c r="J874" i="5"/>
  <c r="H874" i="5"/>
  <c r="G874" i="5"/>
  <c r="F874" i="5"/>
  <c r="J873" i="5"/>
  <c r="H873" i="5"/>
  <c r="G873" i="5"/>
  <c r="F873" i="5"/>
  <c r="J872" i="5"/>
  <c r="H872" i="5"/>
  <c r="G872" i="5"/>
  <c r="F872" i="5"/>
  <c r="J871" i="5"/>
  <c r="H871" i="5"/>
  <c r="G871" i="5"/>
  <c r="F871" i="5"/>
  <c r="D869" i="5"/>
  <c r="B869" i="5"/>
  <c r="A869" i="5"/>
  <c r="A868" i="5"/>
  <c r="C866" i="5"/>
  <c r="I865" i="5"/>
  <c r="J865" i="5"/>
  <c r="I864" i="5"/>
  <c r="J864" i="5"/>
  <c r="AA861" i="5"/>
  <c r="Z861" i="5"/>
  <c r="Y861" i="5"/>
  <c r="H860" i="5"/>
  <c r="G860" i="5"/>
  <c r="E860" i="5"/>
  <c r="J859" i="5"/>
  <c r="E859" i="5"/>
  <c r="J858" i="5"/>
  <c r="E858" i="5"/>
  <c r="J857" i="5"/>
  <c r="H857" i="5"/>
  <c r="AA857" i="5"/>
  <c r="Z857" i="5"/>
  <c r="Y857" i="5"/>
  <c r="F857" i="5"/>
  <c r="D857" i="5"/>
  <c r="B857" i="5"/>
  <c r="A857" i="5"/>
  <c r="J856" i="5"/>
  <c r="H856" i="5"/>
  <c r="AA856" i="5"/>
  <c r="Z856" i="5"/>
  <c r="Y856" i="5"/>
  <c r="F856" i="5"/>
  <c r="D856" i="5"/>
  <c r="B856" i="5"/>
  <c r="A856" i="5"/>
  <c r="J855" i="5"/>
  <c r="H855" i="5"/>
  <c r="G855" i="5"/>
  <c r="F855" i="5"/>
  <c r="J854" i="5"/>
  <c r="H854" i="5"/>
  <c r="G854" i="5"/>
  <c r="F854" i="5"/>
  <c r="D852" i="5"/>
  <c r="B852" i="5"/>
  <c r="A852" i="5"/>
  <c r="AA851" i="5"/>
  <c r="Z851" i="5"/>
  <c r="Y851" i="5"/>
  <c r="H850" i="5"/>
  <c r="G850" i="5"/>
  <c r="E850" i="5"/>
  <c r="J849" i="5"/>
  <c r="E849" i="5"/>
  <c r="J848" i="5"/>
  <c r="E848" i="5"/>
  <c r="J847" i="5"/>
  <c r="E847" i="5"/>
  <c r="J846" i="5"/>
  <c r="H846" i="5"/>
  <c r="AA846" i="5"/>
  <c r="Z846" i="5"/>
  <c r="Y846" i="5"/>
  <c r="F846" i="5"/>
  <c r="D846" i="5"/>
  <c r="B846" i="5"/>
  <c r="A846" i="5"/>
  <c r="J845" i="5"/>
  <c r="H845" i="5"/>
  <c r="AA845" i="5"/>
  <c r="Z845" i="5"/>
  <c r="Y845" i="5"/>
  <c r="F845" i="5"/>
  <c r="D845" i="5"/>
  <c r="B845" i="5"/>
  <c r="A845" i="5"/>
  <c r="J844" i="5"/>
  <c r="H844" i="5"/>
  <c r="AA844" i="5"/>
  <c r="Z844" i="5"/>
  <c r="Y844" i="5"/>
  <c r="F844" i="5"/>
  <c r="D844" i="5"/>
  <c r="B844" i="5"/>
  <c r="A844" i="5"/>
  <c r="J843" i="5"/>
  <c r="H843" i="5"/>
  <c r="G843" i="5"/>
  <c r="F843" i="5"/>
  <c r="J842" i="5"/>
  <c r="H842" i="5"/>
  <c r="G842" i="5"/>
  <c r="F842" i="5"/>
  <c r="J841" i="5"/>
  <c r="H841" i="5"/>
  <c r="G841" i="5"/>
  <c r="F841" i="5"/>
  <c r="J840" i="5"/>
  <c r="H840" i="5"/>
  <c r="G840" i="5"/>
  <c r="F840" i="5"/>
  <c r="D838" i="5"/>
  <c r="B838" i="5"/>
  <c r="A838" i="5"/>
  <c r="A837" i="5"/>
  <c r="C835" i="5"/>
  <c r="I834" i="5"/>
  <c r="J834" i="5"/>
  <c r="I833" i="5"/>
  <c r="J833" i="5"/>
  <c r="AA830" i="5"/>
  <c r="Z830" i="5"/>
  <c r="Y830" i="5"/>
  <c r="H829" i="5"/>
  <c r="G829" i="5"/>
  <c r="E829" i="5"/>
  <c r="J828" i="5"/>
  <c r="E828" i="5"/>
  <c r="J827" i="5"/>
  <c r="E827" i="5"/>
  <c r="J826" i="5"/>
  <c r="E826" i="5"/>
  <c r="J825" i="5"/>
  <c r="H825" i="5"/>
  <c r="G825" i="5"/>
  <c r="F825" i="5"/>
  <c r="J824" i="5"/>
  <c r="H824" i="5"/>
  <c r="G824" i="5"/>
  <c r="F824" i="5"/>
  <c r="J823" i="5"/>
  <c r="H823" i="5"/>
  <c r="G823" i="5"/>
  <c r="F823" i="5"/>
  <c r="J822" i="5"/>
  <c r="H822" i="5"/>
  <c r="G822" i="5"/>
  <c r="F822" i="5"/>
  <c r="D820" i="5"/>
  <c r="B820" i="5"/>
  <c r="A820" i="5"/>
  <c r="AA819" i="5"/>
  <c r="Z819" i="5"/>
  <c r="Y819" i="5"/>
  <c r="H818" i="5"/>
  <c r="G818" i="5"/>
  <c r="E818" i="5"/>
  <c r="J817" i="5"/>
  <c r="E817" i="5"/>
  <c r="J816" i="5"/>
  <c r="E816" i="5"/>
  <c r="J815" i="5"/>
  <c r="E815" i="5"/>
  <c r="J814" i="5"/>
  <c r="H814" i="5"/>
  <c r="AA814" i="5"/>
  <c r="Z814" i="5"/>
  <c r="Y814" i="5"/>
  <c r="F814" i="5"/>
  <c r="D814" i="5"/>
  <c r="B814" i="5"/>
  <c r="A814" i="5"/>
  <c r="J813" i="5"/>
  <c r="H813" i="5"/>
  <c r="G813" i="5"/>
  <c r="F813" i="5"/>
  <c r="J812" i="5"/>
  <c r="H812" i="5"/>
  <c r="G812" i="5"/>
  <c r="F812" i="5"/>
  <c r="J811" i="5"/>
  <c r="H811" i="5"/>
  <c r="G811" i="5"/>
  <c r="F811" i="5"/>
  <c r="J810" i="5"/>
  <c r="H810" i="5"/>
  <c r="G810" i="5"/>
  <c r="F810" i="5"/>
  <c r="D808" i="5"/>
  <c r="B808" i="5"/>
  <c r="A808" i="5"/>
  <c r="AA807" i="5"/>
  <c r="Z807" i="5"/>
  <c r="Y807" i="5"/>
  <c r="H806" i="5"/>
  <c r="G806" i="5"/>
  <c r="E806" i="5"/>
  <c r="J805" i="5"/>
  <c r="E805" i="5"/>
  <c r="J804" i="5"/>
  <c r="E804" i="5"/>
  <c r="J803" i="5"/>
  <c r="E803" i="5"/>
  <c r="J802" i="5"/>
  <c r="H802" i="5"/>
  <c r="G802" i="5"/>
  <c r="F802" i="5"/>
  <c r="J801" i="5"/>
  <c r="H801" i="5"/>
  <c r="G801" i="5"/>
  <c r="F801" i="5"/>
  <c r="J800" i="5"/>
  <c r="H800" i="5"/>
  <c r="G800" i="5"/>
  <c r="F800" i="5"/>
  <c r="J799" i="5"/>
  <c r="H799" i="5"/>
  <c r="G799" i="5"/>
  <c r="F799" i="5"/>
  <c r="D798" i="5"/>
  <c r="B798" i="5"/>
  <c r="A798" i="5"/>
  <c r="AA797" i="5"/>
  <c r="Z797" i="5"/>
  <c r="Y797" i="5"/>
  <c r="H796" i="5"/>
  <c r="G796" i="5"/>
  <c r="E796" i="5"/>
  <c r="J795" i="5"/>
  <c r="E795" i="5"/>
  <c r="J794" i="5"/>
  <c r="E794" i="5"/>
  <c r="J793" i="5"/>
  <c r="E793" i="5"/>
  <c r="J792" i="5"/>
  <c r="H792" i="5"/>
  <c r="AA792" i="5"/>
  <c r="Z792" i="5"/>
  <c r="Y792" i="5"/>
  <c r="F792" i="5"/>
  <c r="D792" i="5"/>
  <c r="B792" i="5"/>
  <c r="A792" i="5"/>
  <c r="J791" i="5"/>
  <c r="H791" i="5"/>
  <c r="AA791" i="5"/>
  <c r="Z791" i="5"/>
  <c r="Y791" i="5"/>
  <c r="F791" i="5"/>
  <c r="D791" i="5"/>
  <c r="B791" i="5"/>
  <c r="A791" i="5"/>
  <c r="J790" i="5"/>
  <c r="H790" i="5"/>
  <c r="G790" i="5"/>
  <c r="F790" i="5"/>
  <c r="J789" i="5"/>
  <c r="H789" i="5"/>
  <c r="G789" i="5"/>
  <c r="F789" i="5"/>
  <c r="J788" i="5"/>
  <c r="H788" i="5"/>
  <c r="G788" i="5"/>
  <c r="F788" i="5"/>
  <c r="J787" i="5"/>
  <c r="H787" i="5"/>
  <c r="G787" i="5"/>
  <c r="F787" i="5"/>
  <c r="D785" i="5"/>
  <c r="B785" i="5"/>
  <c r="A785" i="5"/>
  <c r="AA784" i="5"/>
  <c r="Z784" i="5"/>
  <c r="Y784" i="5"/>
  <c r="H783" i="5"/>
  <c r="G783" i="5"/>
  <c r="E783" i="5"/>
  <c r="J782" i="5"/>
  <c r="E782" i="5"/>
  <c r="J781" i="5"/>
  <c r="E781" i="5"/>
  <c r="J780" i="5"/>
  <c r="E780" i="5"/>
  <c r="J779" i="5"/>
  <c r="H779" i="5"/>
  <c r="G779" i="5"/>
  <c r="F779" i="5"/>
  <c r="J778" i="5"/>
  <c r="H778" i="5"/>
  <c r="G778" i="5"/>
  <c r="F778" i="5"/>
  <c r="J777" i="5"/>
  <c r="H777" i="5"/>
  <c r="G777" i="5"/>
  <c r="F777" i="5"/>
  <c r="J776" i="5"/>
  <c r="H776" i="5"/>
  <c r="G776" i="5"/>
  <c r="F776" i="5"/>
  <c r="D774" i="5"/>
  <c r="B774" i="5"/>
  <c r="A774" i="5"/>
  <c r="AA773" i="5"/>
  <c r="Z773" i="5"/>
  <c r="Y773" i="5"/>
  <c r="H772" i="5"/>
  <c r="G772" i="5"/>
  <c r="E772" i="5"/>
  <c r="J771" i="5"/>
  <c r="E771" i="5"/>
  <c r="J770" i="5"/>
  <c r="E770" i="5"/>
  <c r="J769" i="5"/>
  <c r="E769" i="5"/>
  <c r="J768" i="5"/>
  <c r="H768" i="5"/>
  <c r="AA768" i="5"/>
  <c r="Z768" i="5"/>
  <c r="Y768" i="5"/>
  <c r="F768" i="5"/>
  <c r="D768" i="5"/>
  <c r="B768" i="5"/>
  <c r="A768" i="5"/>
  <c r="J767" i="5"/>
  <c r="H767" i="5"/>
  <c r="G767" i="5"/>
  <c r="F767" i="5"/>
  <c r="J766" i="5"/>
  <c r="H766" i="5"/>
  <c r="G766" i="5"/>
  <c r="F766" i="5"/>
  <c r="J765" i="5"/>
  <c r="H765" i="5"/>
  <c r="G765" i="5"/>
  <c r="F765" i="5"/>
  <c r="J764" i="5"/>
  <c r="H764" i="5"/>
  <c r="G764" i="5"/>
  <c r="F764" i="5"/>
  <c r="D762" i="5"/>
  <c r="B762" i="5"/>
  <c r="A762" i="5"/>
  <c r="A761" i="5"/>
  <c r="C759" i="5"/>
  <c r="I758" i="5"/>
  <c r="J758" i="5"/>
  <c r="I757" i="5"/>
  <c r="J757" i="5"/>
  <c r="AA754" i="5"/>
  <c r="Z754" i="5"/>
  <c r="Y754" i="5"/>
  <c r="H753" i="5"/>
  <c r="G753" i="5"/>
  <c r="E753" i="5"/>
  <c r="J752" i="5"/>
  <c r="E752" i="5"/>
  <c r="J751" i="5"/>
  <c r="E751" i="5"/>
  <c r="J750" i="5"/>
  <c r="E750" i="5"/>
  <c r="J749" i="5"/>
  <c r="H749" i="5"/>
  <c r="AA749" i="5"/>
  <c r="Z749" i="5"/>
  <c r="Y749" i="5"/>
  <c r="F749" i="5"/>
  <c r="D749" i="5"/>
  <c r="B749" i="5"/>
  <c r="A749" i="5"/>
  <c r="J748" i="5"/>
  <c r="H748" i="5"/>
  <c r="G748" i="5"/>
  <c r="F748" i="5"/>
  <c r="J747" i="5"/>
  <c r="H747" i="5"/>
  <c r="G747" i="5"/>
  <c r="F747" i="5"/>
  <c r="J746" i="5"/>
  <c r="H746" i="5"/>
  <c r="G746" i="5"/>
  <c r="F746" i="5"/>
  <c r="J745" i="5"/>
  <c r="H745" i="5"/>
  <c r="G745" i="5"/>
  <c r="F745" i="5"/>
  <c r="D743" i="5"/>
  <c r="B743" i="5"/>
  <c r="A743" i="5"/>
  <c r="A742" i="5"/>
  <c r="C740" i="5"/>
  <c r="I739" i="5"/>
  <c r="J739" i="5"/>
  <c r="I738" i="5"/>
  <c r="J738" i="5"/>
  <c r="AA735" i="5"/>
  <c r="Z735" i="5"/>
  <c r="Y735" i="5"/>
  <c r="H734" i="5"/>
  <c r="G734" i="5"/>
  <c r="E734" i="5"/>
  <c r="J733" i="5"/>
  <c r="E733" i="5"/>
  <c r="J732" i="5"/>
  <c r="E732" i="5"/>
  <c r="J731" i="5"/>
  <c r="E731" i="5"/>
  <c r="J730" i="5"/>
  <c r="H730" i="5"/>
  <c r="AA730" i="5"/>
  <c r="Z730" i="5"/>
  <c r="Y730" i="5"/>
  <c r="F730" i="5"/>
  <c r="D730" i="5"/>
  <c r="B730" i="5"/>
  <c r="A730" i="5"/>
  <c r="J729" i="5"/>
  <c r="H729" i="5"/>
  <c r="G729" i="5"/>
  <c r="F729" i="5"/>
  <c r="J728" i="5"/>
  <c r="H728" i="5"/>
  <c r="G728" i="5"/>
  <c r="F728" i="5"/>
  <c r="J727" i="5"/>
  <c r="H727" i="5"/>
  <c r="G727" i="5"/>
  <c r="F727" i="5"/>
  <c r="J726" i="5"/>
  <c r="H726" i="5"/>
  <c r="G726" i="5"/>
  <c r="F726" i="5"/>
  <c r="D724" i="5"/>
  <c r="B724" i="5"/>
  <c r="A724" i="5"/>
  <c r="AA723" i="5"/>
  <c r="Z723" i="5"/>
  <c r="Y723" i="5"/>
  <c r="H722" i="5"/>
  <c r="G722" i="5"/>
  <c r="E722" i="5"/>
  <c r="J721" i="5"/>
  <c r="E721" i="5"/>
  <c r="J720" i="5"/>
  <c r="E720" i="5"/>
  <c r="J719" i="5"/>
  <c r="E719" i="5"/>
  <c r="J718" i="5"/>
  <c r="H718" i="5"/>
  <c r="AA718" i="5"/>
  <c r="Z718" i="5"/>
  <c r="Y718" i="5"/>
  <c r="F718" i="5"/>
  <c r="D718" i="5"/>
  <c r="B718" i="5"/>
  <c r="A718" i="5"/>
  <c r="J717" i="5"/>
  <c r="H717" i="5"/>
  <c r="AA717" i="5"/>
  <c r="Z717" i="5"/>
  <c r="Y717" i="5"/>
  <c r="F717" i="5"/>
  <c r="D717" i="5"/>
  <c r="B717" i="5"/>
  <c r="A717" i="5"/>
  <c r="J716" i="5"/>
  <c r="H716" i="5"/>
  <c r="AA716" i="5"/>
  <c r="Z716" i="5"/>
  <c r="Y716" i="5"/>
  <c r="F716" i="5"/>
  <c r="D716" i="5"/>
  <c r="B716" i="5"/>
  <c r="A716" i="5"/>
  <c r="J715" i="5"/>
  <c r="H715" i="5"/>
  <c r="G715" i="5"/>
  <c r="F715" i="5"/>
  <c r="J714" i="5"/>
  <c r="H714" i="5"/>
  <c r="G714" i="5"/>
  <c r="F714" i="5"/>
  <c r="J713" i="5"/>
  <c r="H713" i="5"/>
  <c r="G713" i="5"/>
  <c r="F713" i="5"/>
  <c r="J712" i="5"/>
  <c r="H712" i="5"/>
  <c r="G712" i="5"/>
  <c r="F712" i="5"/>
  <c r="D710" i="5"/>
  <c r="B710" i="5"/>
  <c r="A710" i="5"/>
  <c r="AA709" i="5"/>
  <c r="Z709" i="5"/>
  <c r="Y709" i="5"/>
  <c r="H708" i="5"/>
  <c r="G708" i="5"/>
  <c r="E708" i="5"/>
  <c r="J707" i="5"/>
  <c r="E707" i="5"/>
  <c r="J706" i="5"/>
  <c r="E706" i="5"/>
  <c r="J705" i="5"/>
  <c r="H705" i="5"/>
  <c r="G705" i="5"/>
  <c r="F705" i="5"/>
  <c r="D703" i="5"/>
  <c r="B703" i="5"/>
  <c r="A703" i="5"/>
  <c r="Z702" i="5"/>
  <c r="Y702" i="5"/>
  <c r="X702" i="5"/>
  <c r="J701" i="5"/>
  <c r="H701" i="5"/>
  <c r="G701" i="5"/>
  <c r="F701" i="5"/>
  <c r="D700" i="5"/>
  <c r="B700" i="5"/>
  <c r="A700" i="5"/>
  <c r="Z699" i="5"/>
  <c r="Y699" i="5"/>
  <c r="X699" i="5"/>
  <c r="J698" i="5"/>
  <c r="H698" i="5"/>
  <c r="G698" i="5"/>
  <c r="F698" i="5"/>
  <c r="E697" i="5"/>
  <c r="D697" i="5"/>
  <c r="B697" i="5"/>
  <c r="A697" i="5"/>
  <c r="AA696" i="5"/>
  <c r="Z696" i="5"/>
  <c r="Y696" i="5"/>
  <c r="H695" i="5"/>
  <c r="G695" i="5"/>
  <c r="E695" i="5"/>
  <c r="J694" i="5"/>
  <c r="E694" i="5"/>
  <c r="J693" i="5"/>
  <c r="E693" i="5"/>
  <c r="J692" i="5"/>
  <c r="H692" i="5"/>
  <c r="G692" i="5"/>
  <c r="F692" i="5"/>
  <c r="D690" i="5"/>
  <c r="B690" i="5"/>
  <c r="A690" i="5"/>
  <c r="AA689" i="5"/>
  <c r="Z689" i="5"/>
  <c r="Y689" i="5"/>
  <c r="H688" i="5"/>
  <c r="G688" i="5"/>
  <c r="E688" i="5"/>
  <c r="J687" i="5"/>
  <c r="E687" i="5"/>
  <c r="J686" i="5"/>
  <c r="E686" i="5"/>
  <c r="J685" i="5"/>
  <c r="H685" i="5"/>
  <c r="G685" i="5"/>
  <c r="F685" i="5"/>
  <c r="D683" i="5"/>
  <c r="B683" i="5"/>
  <c r="A683" i="5"/>
  <c r="A682" i="5"/>
  <c r="C680" i="5"/>
  <c r="I679" i="5"/>
  <c r="J679" i="5"/>
  <c r="I678" i="5"/>
  <c r="J678" i="5"/>
  <c r="AA675" i="5"/>
  <c r="Z675" i="5"/>
  <c r="Y675" i="5"/>
  <c r="H674" i="5"/>
  <c r="G674" i="5"/>
  <c r="E674" i="5"/>
  <c r="J673" i="5"/>
  <c r="E673" i="5"/>
  <c r="J672" i="5"/>
  <c r="E672" i="5"/>
  <c r="J671" i="5"/>
  <c r="E671" i="5"/>
  <c r="J670" i="5"/>
  <c r="H670" i="5"/>
  <c r="AA670" i="5"/>
  <c r="Z670" i="5"/>
  <c r="Y670" i="5"/>
  <c r="F670" i="5"/>
  <c r="D670" i="5"/>
  <c r="B670" i="5"/>
  <c r="A670" i="5"/>
  <c r="J669" i="5"/>
  <c r="H669" i="5"/>
  <c r="G669" i="5"/>
  <c r="F669" i="5"/>
  <c r="J668" i="5"/>
  <c r="H668" i="5"/>
  <c r="G668" i="5"/>
  <c r="F668" i="5"/>
  <c r="J667" i="5"/>
  <c r="H667" i="5"/>
  <c r="G667" i="5"/>
  <c r="F667" i="5"/>
  <c r="J666" i="5"/>
  <c r="H666" i="5"/>
  <c r="G666" i="5"/>
  <c r="F666" i="5"/>
  <c r="D664" i="5"/>
  <c r="B664" i="5"/>
  <c r="A664" i="5"/>
  <c r="AA663" i="5"/>
  <c r="Z663" i="5"/>
  <c r="Y663" i="5"/>
  <c r="H662" i="5"/>
  <c r="G662" i="5"/>
  <c r="E662" i="5"/>
  <c r="J661" i="5"/>
  <c r="E661" i="5"/>
  <c r="J660" i="5"/>
  <c r="E660" i="5"/>
  <c r="J659" i="5"/>
  <c r="E659" i="5"/>
  <c r="J658" i="5"/>
  <c r="H658" i="5"/>
  <c r="AA658" i="5"/>
  <c r="Z658" i="5"/>
  <c r="Y658" i="5"/>
  <c r="F658" i="5"/>
  <c r="D658" i="5"/>
  <c r="B658" i="5"/>
  <c r="A658" i="5"/>
  <c r="J657" i="5"/>
  <c r="H657" i="5"/>
  <c r="G657" i="5"/>
  <c r="F657" i="5"/>
  <c r="J656" i="5"/>
  <c r="H656" i="5"/>
  <c r="G656" i="5"/>
  <c r="F656" i="5"/>
  <c r="J655" i="5"/>
  <c r="H655" i="5"/>
  <c r="G655" i="5"/>
  <c r="F655" i="5"/>
  <c r="J654" i="5"/>
  <c r="H654" i="5"/>
  <c r="G654" i="5"/>
  <c r="F654" i="5"/>
  <c r="D652" i="5"/>
  <c r="B652" i="5"/>
  <c r="A652" i="5"/>
  <c r="AA651" i="5"/>
  <c r="Z651" i="5"/>
  <c r="Y651" i="5"/>
  <c r="H650" i="5"/>
  <c r="G650" i="5"/>
  <c r="E650" i="5"/>
  <c r="J649" i="5"/>
  <c r="E649" i="5"/>
  <c r="J648" i="5"/>
  <c r="E648" i="5"/>
  <c r="J647" i="5"/>
  <c r="H647" i="5"/>
  <c r="G647" i="5"/>
  <c r="F647" i="5"/>
  <c r="D645" i="5"/>
  <c r="B645" i="5"/>
  <c r="A645" i="5"/>
  <c r="AA644" i="5"/>
  <c r="Z644" i="5"/>
  <c r="Y644" i="5"/>
  <c r="H643" i="5"/>
  <c r="G643" i="5"/>
  <c r="E643" i="5"/>
  <c r="J642" i="5"/>
  <c r="E642" i="5"/>
  <c r="J641" i="5"/>
  <c r="E641" i="5"/>
  <c r="J640" i="5"/>
  <c r="E640" i="5"/>
  <c r="J639" i="5"/>
  <c r="H639" i="5"/>
  <c r="G639" i="5"/>
  <c r="F639" i="5"/>
  <c r="J638" i="5"/>
  <c r="H638" i="5"/>
  <c r="G638" i="5"/>
  <c r="F638" i="5"/>
  <c r="J637" i="5"/>
  <c r="H637" i="5"/>
  <c r="G637" i="5"/>
  <c r="F637" i="5"/>
  <c r="D635" i="5"/>
  <c r="B635" i="5"/>
  <c r="A635" i="5"/>
  <c r="AA634" i="5"/>
  <c r="Z634" i="5"/>
  <c r="Y634" i="5"/>
  <c r="H633" i="5"/>
  <c r="G633" i="5"/>
  <c r="E633" i="5"/>
  <c r="J632" i="5"/>
  <c r="E632" i="5"/>
  <c r="J631" i="5"/>
  <c r="E631" i="5"/>
  <c r="J630" i="5"/>
  <c r="H630" i="5"/>
  <c r="G630" i="5"/>
  <c r="F630" i="5"/>
  <c r="D628" i="5"/>
  <c r="B628" i="5"/>
  <c r="A628" i="5"/>
  <c r="A627" i="5"/>
  <c r="C625" i="5"/>
  <c r="I624" i="5"/>
  <c r="J624" i="5"/>
  <c r="I623" i="5"/>
  <c r="J623" i="5"/>
  <c r="AA620" i="5"/>
  <c r="Z620" i="5"/>
  <c r="Y620" i="5"/>
  <c r="H619" i="5"/>
  <c r="G619" i="5"/>
  <c r="E619" i="5"/>
  <c r="J618" i="5"/>
  <c r="E618" i="5"/>
  <c r="J617" i="5"/>
  <c r="E617" i="5"/>
  <c r="J616" i="5"/>
  <c r="E616" i="5"/>
  <c r="J615" i="5"/>
  <c r="H615" i="5"/>
  <c r="AA615" i="5"/>
  <c r="Z615" i="5"/>
  <c r="Y615" i="5"/>
  <c r="F615" i="5"/>
  <c r="D615" i="5"/>
  <c r="B615" i="5"/>
  <c r="A615" i="5"/>
  <c r="J614" i="5"/>
  <c r="H614" i="5"/>
  <c r="AA614" i="5"/>
  <c r="Z614" i="5"/>
  <c r="Y614" i="5"/>
  <c r="F614" i="5"/>
  <c r="D614" i="5"/>
  <c r="B614" i="5"/>
  <c r="A614" i="5"/>
  <c r="J613" i="5"/>
  <c r="H613" i="5"/>
  <c r="AA613" i="5"/>
  <c r="Z613" i="5"/>
  <c r="Y613" i="5"/>
  <c r="F613" i="5"/>
  <c r="D613" i="5"/>
  <c r="B613" i="5"/>
  <c r="A613" i="5"/>
  <c r="J612" i="5"/>
  <c r="H612" i="5"/>
  <c r="G612" i="5"/>
  <c r="F612" i="5"/>
  <c r="J611" i="5"/>
  <c r="H611" i="5"/>
  <c r="G611" i="5"/>
  <c r="F611" i="5"/>
  <c r="J610" i="5"/>
  <c r="H610" i="5"/>
  <c r="G610" i="5"/>
  <c r="F610" i="5"/>
  <c r="J609" i="5"/>
  <c r="H609" i="5"/>
  <c r="G609" i="5"/>
  <c r="F609" i="5"/>
  <c r="D607" i="5"/>
  <c r="B607" i="5"/>
  <c r="A607" i="5"/>
  <c r="AA606" i="5"/>
  <c r="Z606" i="5"/>
  <c r="Y606" i="5"/>
  <c r="H605" i="5"/>
  <c r="G605" i="5"/>
  <c r="E605" i="5"/>
  <c r="J604" i="5"/>
  <c r="E604" i="5"/>
  <c r="J603" i="5"/>
  <c r="E603" i="5"/>
  <c r="J602" i="5"/>
  <c r="E602" i="5"/>
  <c r="J601" i="5"/>
  <c r="H601" i="5"/>
  <c r="AA601" i="5"/>
  <c r="Z601" i="5"/>
  <c r="Y601" i="5"/>
  <c r="F601" i="5"/>
  <c r="D601" i="5"/>
  <c r="B601" i="5"/>
  <c r="A601" i="5"/>
  <c r="J600" i="5"/>
  <c r="H600" i="5"/>
  <c r="G600" i="5"/>
  <c r="F600" i="5"/>
  <c r="J599" i="5"/>
  <c r="H599" i="5"/>
  <c r="G599" i="5"/>
  <c r="F599" i="5"/>
  <c r="J598" i="5"/>
  <c r="H598" i="5"/>
  <c r="G598" i="5"/>
  <c r="F598" i="5"/>
  <c r="J597" i="5"/>
  <c r="H597" i="5"/>
  <c r="G597" i="5"/>
  <c r="F597" i="5"/>
  <c r="D595" i="5"/>
  <c r="B595" i="5"/>
  <c r="A595" i="5"/>
  <c r="AA594" i="5"/>
  <c r="Z594" i="5"/>
  <c r="Y594" i="5"/>
  <c r="H593" i="5"/>
  <c r="G593" i="5"/>
  <c r="E593" i="5"/>
  <c r="J592" i="5"/>
  <c r="E592" i="5"/>
  <c r="J591" i="5"/>
  <c r="E591" i="5"/>
  <c r="J590" i="5"/>
  <c r="E590" i="5"/>
  <c r="J589" i="5"/>
  <c r="H589" i="5"/>
  <c r="AA589" i="5"/>
  <c r="Z589" i="5"/>
  <c r="Y589" i="5"/>
  <c r="F589" i="5"/>
  <c r="D589" i="5"/>
  <c r="B589" i="5"/>
  <c r="A589" i="5"/>
  <c r="J588" i="5"/>
  <c r="H588" i="5"/>
  <c r="G588" i="5"/>
  <c r="F588" i="5"/>
  <c r="J587" i="5"/>
  <c r="H587" i="5"/>
  <c r="G587" i="5"/>
  <c r="F587" i="5"/>
  <c r="J586" i="5"/>
  <c r="H586" i="5"/>
  <c r="G586" i="5"/>
  <c r="F586" i="5"/>
  <c r="J585" i="5"/>
  <c r="H585" i="5"/>
  <c r="G585" i="5"/>
  <c r="F585" i="5"/>
  <c r="D583" i="5"/>
  <c r="B583" i="5"/>
  <c r="A583" i="5"/>
  <c r="AA582" i="5"/>
  <c r="Z582" i="5"/>
  <c r="Y582" i="5"/>
  <c r="H581" i="5"/>
  <c r="G581" i="5"/>
  <c r="E581" i="5"/>
  <c r="J580" i="5"/>
  <c r="E580" i="5"/>
  <c r="J579" i="5"/>
  <c r="E579" i="5"/>
  <c r="J578" i="5"/>
  <c r="H578" i="5"/>
  <c r="G578" i="5"/>
  <c r="F578" i="5"/>
  <c r="D576" i="5"/>
  <c r="B576" i="5"/>
  <c r="A576" i="5"/>
  <c r="AA575" i="5"/>
  <c r="Z575" i="5"/>
  <c r="Y575" i="5"/>
  <c r="H574" i="5"/>
  <c r="G574" i="5"/>
  <c r="E574" i="5"/>
  <c r="J573" i="5"/>
  <c r="E573" i="5"/>
  <c r="J572" i="5"/>
  <c r="E572" i="5"/>
  <c r="J571" i="5"/>
  <c r="H571" i="5"/>
  <c r="G571" i="5"/>
  <c r="F571" i="5"/>
  <c r="D569" i="5"/>
  <c r="B569" i="5"/>
  <c r="A569" i="5"/>
  <c r="AA568" i="5"/>
  <c r="Z568" i="5"/>
  <c r="Y568" i="5"/>
  <c r="H567" i="5"/>
  <c r="G567" i="5"/>
  <c r="E567" i="5"/>
  <c r="J566" i="5"/>
  <c r="E566" i="5"/>
  <c r="J565" i="5"/>
  <c r="E565" i="5"/>
  <c r="J564" i="5"/>
  <c r="E564" i="5"/>
  <c r="J563" i="5"/>
  <c r="H563" i="5"/>
  <c r="G563" i="5"/>
  <c r="F563" i="5"/>
  <c r="J562" i="5"/>
  <c r="H562" i="5"/>
  <c r="G562" i="5"/>
  <c r="F562" i="5"/>
  <c r="J561" i="5"/>
  <c r="H561" i="5"/>
  <c r="G561" i="5"/>
  <c r="F561" i="5"/>
  <c r="D559" i="5"/>
  <c r="B559" i="5"/>
  <c r="A559" i="5"/>
  <c r="A558" i="5"/>
  <c r="C556" i="5"/>
  <c r="I555" i="5"/>
  <c r="J555" i="5"/>
  <c r="I554" i="5"/>
  <c r="J554" i="5"/>
  <c r="AA551" i="5"/>
  <c r="Z551" i="5"/>
  <c r="Y551" i="5"/>
  <c r="H550" i="5"/>
  <c r="G550" i="5"/>
  <c r="E550" i="5"/>
  <c r="J549" i="5"/>
  <c r="E549" i="5"/>
  <c r="J548" i="5"/>
  <c r="E548" i="5"/>
  <c r="J547" i="5"/>
  <c r="H547" i="5"/>
  <c r="AA547" i="5"/>
  <c r="Z547" i="5"/>
  <c r="Y547" i="5"/>
  <c r="F547" i="5"/>
  <c r="D547" i="5"/>
  <c r="B547" i="5"/>
  <c r="A547" i="5"/>
  <c r="J546" i="5"/>
  <c r="H546" i="5"/>
  <c r="G546" i="5"/>
  <c r="F546" i="5"/>
  <c r="J545" i="5"/>
  <c r="H545" i="5"/>
  <c r="G545" i="5"/>
  <c r="F545" i="5"/>
  <c r="D543" i="5"/>
  <c r="B543" i="5"/>
  <c r="A543" i="5"/>
  <c r="AA542" i="5"/>
  <c r="Z542" i="5"/>
  <c r="Y542" i="5"/>
  <c r="H541" i="5"/>
  <c r="G541" i="5"/>
  <c r="E541" i="5"/>
  <c r="J540" i="5"/>
  <c r="E540" i="5"/>
  <c r="J539" i="5"/>
  <c r="E539" i="5"/>
  <c r="J538" i="5"/>
  <c r="H538" i="5"/>
  <c r="AA538" i="5"/>
  <c r="Z538" i="5"/>
  <c r="Y538" i="5"/>
  <c r="F538" i="5"/>
  <c r="D538" i="5"/>
  <c r="B538" i="5"/>
  <c r="A538" i="5"/>
  <c r="J537" i="5"/>
  <c r="H537" i="5"/>
  <c r="G537" i="5"/>
  <c r="F537" i="5"/>
  <c r="J536" i="5"/>
  <c r="H536" i="5"/>
  <c r="G536" i="5"/>
  <c r="F536" i="5"/>
  <c r="D534" i="5"/>
  <c r="B534" i="5"/>
  <c r="A534" i="5"/>
  <c r="AA533" i="5"/>
  <c r="Z533" i="5"/>
  <c r="Y533" i="5"/>
  <c r="H532" i="5"/>
  <c r="G532" i="5"/>
  <c r="E532" i="5"/>
  <c r="J531" i="5"/>
  <c r="E531" i="5"/>
  <c r="J530" i="5"/>
  <c r="E530" i="5"/>
  <c r="J529" i="5"/>
  <c r="H529" i="5"/>
  <c r="AA529" i="5"/>
  <c r="Z529" i="5"/>
  <c r="Y529" i="5"/>
  <c r="F529" i="5"/>
  <c r="D529" i="5"/>
  <c r="B529" i="5"/>
  <c r="A529" i="5"/>
  <c r="J528" i="5"/>
  <c r="H528" i="5"/>
  <c r="G528" i="5"/>
  <c r="F528" i="5"/>
  <c r="J527" i="5"/>
  <c r="H527" i="5"/>
  <c r="G527" i="5"/>
  <c r="F527" i="5"/>
  <c r="D525" i="5"/>
  <c r="B525" i="5"/>
  <c r="A525" i="5"/>
  <c r="AA524" i="5"/>
  <c r="Z524" i="5"/>
  <c r="Y524" i="5"/>
  <c r="H523" i="5"/>
  <c r="G523" i="5"/>
  <c r="E523" i="5"/>
  <c r="J522" i="5"/>
  <c r="E522" i="5"/>
  <c r="J521" i="5"/>
  <c r="E521" i="5"/>
  <c r="J520" i="5"/>
  <c r="H520" i="5"/>
  <c r="AA520" i="5"/>
  <c r="Z520" i="5"/>
  <c r="Y520" i="5"/>
  <c r="F520" i="5"/>
  <c r="D520" i="5"/>
  <c r="B520" i="5"/>
  <c r="A520" i="5"/>
  <c r="J519" i="5"/>
  <c r="H519" i="5"/>
  <c r="G519" i="5"/>
  <c r="F519" i="5"/>
  <c r="D517" i="5"/>
  <c r="B517" i="5"/>
  <c r="A517" i="5"/>
  <c r="AA516" i="5"/>
  <c r="Z516" i="5"/>
  <c r="Y516" i="5"/>
  <c r="H515" i="5"/>
  <c r="G515" i="5"/>
  <c r="E515" i="5"/>
  <c r="J514" i="5"/>
  <c r="E514" i="5"/>
  <c r="J513" i="5"/>
  <c r="E513" i="5"/>
  <c r="J512" i="5"/>
  <c r="H512" i="5"/>
  <c r="AA512" i="5"/>
  <c r="Z512" i="5"/>
  <c r="Y512" i="5"/>
  <c r="F512" i="5"/>
  <c r="D512" i="5"/>
  <c r="B512" i="5"/>
  <c r="A512" i="5"/>
  <c r="J511" i="5"/>
  <c r="H511" i="5"/>
  <c r="G511" i="5"/>
  <c r="F511" i="5"/>
  <c r="D509" i="5"/>
  <c r="B509" i="5"/>
  <c r="A509" i="5"/>
  <c r="A508" i="5"/>
  <c r="C506" i="5"/>
  <c r="I505" i="5"/>
  <c r="J505" i="5"/>
  <c r="I504" i="5"/>
  <c r="J504" i="5"/>
  <c r="AA501" i="5"/>
  <c r="Z501" i="5"/>
  <c r="Y501" i="5"/>
  <c r="H500" i="5"/>
  <c r="G500" i="5"/>
  <c r="E500" i="5"/>
  <c r="J499" i="5"/>
  <c r="E499" i="5"/>
  <c r="J498" i="5"/>
  <c r="E498" i="5"/>
  <c r="J497" i="5"/>
  <c r="E497" i="5"/>
  <c r="J496" i="5"/>
  <c r="H496" i="5"/>
  <c r="AA496" i="5"/>
  <c r="Z496" i="5"/>
  <c r="Y496" i="5"/>
  <c r="F496" i="5"/>
  <c r="D496" i="5"/>
  <c r="B496" i="5"/>
  <c r="A496" i="5"/>
  <c r="J495" i="5"/>
  <c r="H495" i="5"/>
  <c r="G495" i="5"/>
  <c r="F495" i="5"/>
  <c r="J494" i="5"/>
  <c r="H494" i="5"/>
  <c r="G494" i="5"/>
  <c r="F494" i="5"/>
  <c r="J493" i="5"/>
  <c r="H493" i="5"/>
  <c r="G493" i="5"/>
  <c r="F493" i="5"/>
  <c r="J492" i="5"/>
  <c r="H492" i="5"/>
  <c r="G492" i="5"/>
  <c r="F492" i="5"/>
  <c r="D490" i="5"/>
  <c r="B490" i="5"/>
  <c r="A490" i="5"/>
  <c r="AA489" i="5"/>
  <c r="Z489" i="5"/>
  <c r="Y489" i="5"/>
  <c r="H488" i="5"/>
  <c r="G488" i="5"/>
  <c r="E488" i="5"/>
  <c r="J487" i="5"/>
  <c r="E487" i="5"/>
  <c r="J486" i="5"/>
  <c r="E486" i="5"/>
  <c r="J485" i="5"/>
  <c r="H485" i="5"/>
  <c r="G485" i="5"/>
  <c r="F485" i="5"/>
  <c r="D483" i="5"/>
  <c r="B483" i="5"/>
  <c r="A483" i="5"/>
  <c r="AA482" i="5"/>
  <c r="Z482" i="5"/>
  <c r="Y482" i="5"/>
  <c r="H481" i="5"/>
  <c r="G481" i="5"/>
  <c r="E481" i="5"/>
  <c r="J480" i="5"/>
  <c r="E480" i="5"/>
  <c r="J479" i="5"/>
  <c r="E479" i="5"/>
  <c r="J478" i="5"/>
  <c r="E478" i="5"/>
  <c r="J477" i="5"/>
  <c r="H477" i="5"/>
  <c r="G477" i="5"/>
  <c r="F477" i="5"/>
  <c r="J476" i="5"/>
  <c r="H476" i="5"/>
  <c r="G476" i="5"/>
  <c r="F476" i="5"/>
  <c r="J475" i="5"/>
  <c r="H475" i="5"/>
  <c r="G475" i="5"/>
  <c r="F475" i="5"/>
  <c r="D473" i="5"/>
  <c r="B473" i="5"/>
  <c r="A473" i="5"/>
  <c r="AA472" i="5"/>
  <c r="Z472" i="5"/>
  <c r="Y472" i="5"/>
  <c r="H471" i="5"/>
  <c r="G471" i="5"/>
  <c r="E471" i="5"/>
  <c r="J470" i="5"/>
  <c r="E470" i="5"/>
  <c r="J469" i="5"/>
  <c r="E469" i="5"/>
  <c r="J468" i="5"/>
  <c r="H468" i="5"/>
  <c r="AA468" i="5"/>
  <c r="Z468" i="5"/>
  <c r="Y468" i="5"/>
  <c r="F468" i="5"/>
  <c r="D468" i="5"/>
  <c r="B468" i="5"/>
  <c r="A468" i="5"/>
  <c r="J467" i="5"/>
  <c r="H467" i="5"/>
  <c r="G467" i="5"/>
  <c r="F467" i="5"/>
  <c r="J466" i="5"/>
  <c r="H466" i="5"/>
  <c r="G466" i="5"/>
  <c r="F466" i="5"/>
  <c r="D464" i="5"/>
  <c r="B464" i="5"/>
  <c r="A464" i="5"/>
  <c r="AA463" i="5"/>
  <c r="Z463" i="5"/>
  <c r="Y463" i="5"/>
  <c r="H462" i="5"/>
  <c r="G462" i="5"/>
  <c r="E462" i="5"/>
  <c r="J461" i="5"/>
  <c r="E461" i="5"/>
  <c r="J460" i="5"/>
  <c r="E460" i="5"/>
  <c r="J459" i="5"/>
  <c r="E459" i="5"/>
  <c r="J458" i="5"/>
  <c r="H458" i="5"/>
  <c r="AA458" i="5"/>
  <c r="Z458" i="5"/>
  <c r="Y458" i="5"/>
  <c r="F458" i="5"/>
  <c r="D458" i="5"/>
  <c r="B458" i="5"/>
  <c r="A458" i="5"/>
  <c r="J457" i="5"/>
  <c r="H457" i="5"/>
  <c r="G457" i="5"/>
  <c r="F457" i="5"/>
  <c r="J456" i="5"/>
  <c r="H456" i="5"/>
  <c r="G456" i="5"/>
  <c r="F456" i="5"/>
  <c r="J455" i="5"/>
  <c r="H455" i="5"/>
  <c r="G455" i="5"/>
  <c r="F455" i="5"/>
  <c r="J454" i="5"/>
  <c r="H454" i="5"/>
  <c r="G454" i="5"/>
  <c r="F454" i="5"/>
  <c r="D452" i="5"/>
  <c r="B452" i="5"/>
  <c r="A452" i="5"/>
  <c r="A451" i="5"/>
  <c r="C449" i="5"/>
  <c r="I448" i="5"/>
  <c r="J448" i="5"/>
  <c r="I447" i="5"/>
  <c r="J447" i="5"/>
  <c r="AA444" i="5"/>
  <c r="Z444" i="5"/>
  <c r="Y444" i="5"/>
  <c r="H443" i="5"/>
  <c r="G443" i="5"/>
  <c r="E443" i="5"/>
  <c r="J442" i="5"/>
  <c r="E442" i="5"/>
  <c r="J441" i="5"/>
  <c r="E441" i="5"/>
  <c r="J440" i="5"/>
  <c r="E440" i="5"/>
  <c r="J439" i="5"/>
  <c r="H439" i="5"/>
  <c r="AA439" i="5"/>
  <c r="Z439" i="5"/>
  <c r="Y439" i="5"/>
  <c r="F439" i="5"/>
  <c r="D439" i="5"/>
  <c r="B439" i="5"/>
  <c r="A439" i="5"/>
  <c r="J438" i="5"/>
  <c r="H438" i="5"/>
  <c r="G438" i="5"/>
  <c r="F438" i="5"/>
  <c r="J437" i="5"/>
  <c r="H437" i="5"/>
  <c r="G437" i="5"/>
  <c r="F437" i="5"/>
  <c r="J436" i="5"/>
  <c r="H436" i="5"/>
  <c r="G436" i="5"/>
  <c r="F436" i="5"/>
  <c r="J435" i="5"/>
  <c r="H435" i="5"/>
  <c r="G435" i="5"/>
  <c r="F435" i="5"/>
  <c r="D433" i="5"/>
  <c r="B433" i="5"/>
  <c r="A433" i="5"/>
  <c r="AA432" i="5"/>
  <c r="Z432" i="5"/>
  <c r="Y432" i="5"/>
  <c r="H431" i="5"/>
  <c r="G431" i="5"/>
  <c r="E431" i="5"/>
  <c r="J430" i="5"/>
  <c r="E430" i="5"/>
  <c r="J429" i="5"/>
  <c r="E429" i="5"/>
  <c r="J428" i="5"/>
  <c r="H428" i="5"/>
  <c r="AA428" i="5"/>
  <c r="Z428" i="5"/>
  <c r="Y428" i="5"/>
  <c r="F428" i="5"/>
  <c r="D428" i="5"/>
  <c r="B428" i="5"/>
  <c r="A428" i="5"/>
  <c r="J427" i="5"/>
  <c r="H427" i="5"/>
  <c r="G427" i="5"/>
  <c r="F427" i="5"/>
  <c r="J426" i="5"/>
  <c r="H426" i="5"/>
  <c r="G426" i="5"/>
  <c r="F426" i="5"/>
  <c r="D424" i="5"/>
  <c r="B424" i="5"/>
  <c r="A424" i="5"/>
  <c r="AA423" i="5"/>
  <c r="Z423" i="5"/>
  <c r="Y423" i="5"/>
  <c r="H422" i="5"/>
  <c r="G422" i="5"/>
  <c r="E422" i="5"/>
  <c r="J421" i="5"/>
  <c r="E421" i="5"/>
  <c r="J420" i="5"/>
  <c r="E420" i="5"/>
  <c r="J419" i="5"/>
  <c r="E419" i="5"/>
  <c r="J418" i="5"/>
  <c r="H418" i="5"/>
  <c r="AA418" i="5"/>
  <c r="Z418" i="5"/>
  <c r="Y418" i="5"/>
  <c r="F418" i="5"/>
  <c r="D418" i="5"/>
  <c r="B418" i="5"/>
  <c r="A418" i="5"/>
  <c r="J417" i="5"/>
  <c r="H417" i="5"/>
  <c r="G417" i="5"/>
  <c r="F417" i="5"/>
  <c r="J416" i="5"/>
  <c r="H416" i="5"/>
  <c r="G416" i="5"/>
  <c r="F416" i="5"/>
  <c r="J415" i="5"/>
  <c r="H415" i="5"/>
  <c r="G415" i="5"/>
  <c r="F415" i="5"/>
  <c r="J414" i="5"/>
  <c r="H414" i="5"/>
  <c r="G414" i="5"/>
  <c r="F414" i="5"/>
  <c r="D412" i="5"/>
  <c r="B412" i="5"/>
  <c r="A412" i="5"/>
  <c r="AA411" i="5"/>
  <c r="Z411" i="5"/>
  <c r="Y411" i="5"/>
  <c r="H410" i="5"/>
  <c r="G410" i="5"/>
  <c r="E410" i="5"/>
  <c r="J409" i="5"/>
  <c r="E409" i="5"/>
  <c r="J408" i="5"/>
  <c r="E408" i="5"/>
  <c r="J407" i="5"/>
  <c r="H407" i="5"/>
  <c r="G407" i="5"/>
  <c r="F407" i="5"/>
  <c r="D405" i="5"/>
  <c r="B405" i="5"/>
  <c r="A405" i="5"/>
  <c r="AA404" i="5"/>
  <c r="Z404" i="5"/>
  <c r="Y404" i="5"/>
  <c r="H403" i="5"/>
  <c r="G403" i="5"/>
  <c r="E403" i="5"/>
  <c r="J402" i="5"/>
  <c r="E402" i="5"/>
  <c r="J401" i="5"/>
  <c r="E401" i="5"/>
  <c r="J400" i="5"/>
  <c r="E400" i="5"/>
  <c r="J399" i="5"/>
  <c r="H399" i="5"/>
  <c r="G399" i="5"/>
  <c r="F399" i="5"/>
  <c r="J398" i="5"/>
  <c r="H398" i="5"/>
  <c r="G398" i="5"/>
  <c r="F398" i="5"/>
  <c r="J397" i="5"/>
  <c r="H397" i="5"/>
  <c r="G397" i="5"/>
  <c r="F397" i="5"/>
  <c r="D395" i="5"/>
  <c r="B395" i="5"/>
  <c r="A395" i="5"/>
  <c r="A394" i="5"/>
  <c r="C392" i="5"/>
  <c r="I391" i="5"/>
  <c r="J391" i="5"/>
  <c r="I390" i="5"/>
  <c r="J390" i="5"/>
  <c r="AA387" i="5"/>
  <c r="Z387" i="5"/>
  <c r="Y387" i="5"/>
  <c r="H386" i="5"/>
  <c r="G386" i="5"/>
  <c r="E386" i="5"/>
  <c r="J385" i="5"/>
  <c r="E385" i="5"/>
  <c r="J384" i="5"/>
  <c r="E384" i="5"/>
  <c r="J383" i="5"/>
  <c r="H383" i="5"/>
  <c r="AA383" i="5"/>
  <c r="Z383" i="5"/>
  <c r="Y383" i="5"/>
  <c r="F383" i="5"/>
  <c r="D383" i="5"/>
  <c r="B383" i="5"/>
  <c r="A383" i="5"/>
  <c r="J382" i="5"/>
  <c r="H382" i="5"/>
  <c r="G382" i="5"/>
  <c r="F382" i="5"/>
  <c r="J381" i="5"/>
  <c r="H381" i="5"/>
  <c r="G381" i="5"/>
  <c r="F381" i="5"/>
  <c r="D379" i="5"/>
  <c r="B379" i="5"/>
  <c r="A379" i="5"/>
  <c r="AA378" i="5"/>
  <c r="Z378" i="5"/>
  <c r="Y378" i="5"/>
  <c r="H377" i="5"/>
  <c r="G377" i="5"/>
  <c r="E377" i="5"/>
  <c r="J376" i="5"/>
  <c r="E376" i="5"/>
  <c r="J375" i="5"/>
  <c r="E375" i="5"/>
  <c r="J374" i="5"/>
  <c r="H374" i="5"/>
  <c r="AA374" i="5"/>
  <c r="Z374" i="5"/>
  <c r="Y374" i="5"/>
  <c r="F374" i="5"/>
  <c r="D374" i="5"/>
  <c r="B374" i="5"/>
  <c r="A374" i="5"/>
  <c r="J373" i="5"/>
  <c r="H373" i="5"/>
  <c r="G373" i="5"/>
  <c r="F373" i="5"/>
  <c r="D371" i="5"/>
  <c r="B371" i="5"/>
  <c r="A371" i="5"/>
  <c r="AA370" i="5"/>
  <c r="Z370" i="5"/>
  <c r="Y370" i="5"/>
  <c r="H369" i="5"/>
  <c r="G369" i="5"/>
  <c r="E369" i="5"/>
  <c r="J368" i="5"/>
  <c r="E368" i="5"/>
  <c r="J367" i="5"/>
  <c r="E367" i="5"/>
  <c r="J366" i="5"/>
  <c r="H366" i="5"/>
  <c r="AA366" i="5"/>
  <c r="Z366" i="5"/>
  <c r="Y366" i="5"/>
  <c r="F366" i="5"/>
  <c r="D366" i="5"/>
  <c r="B366" i="5"/>
  <c r="A366" i="5"/>
  <c r="J365" i="5"/>
  <c r="H365" i="5"/>
  <c r="G365" i="5"/>
  <c r="F365" i="5"/>
  <c r="D363" i="5"/>
  <c r="B363" i="5"/>
  <c r="A363" i="5"/>
  <c r="AA362" i="5"/>
  <c r="Z362" i="5"/>
  <c r="Y362" i="5"/>
  <c r="H361" i="5"/>
  <c r="G361" i="5"/>
  <c r="E361" i="5"/>
  <c r="J360" i="5"/>
  <c r="E360" i="5"/>
  <c r="J359" i="5"/>
  <c r="E359" i="5"/>
  <c r="J358" i="5"/>
  <c r="E358" i="5"/>
  <c r="J357" i="5"/>
  <c r="H357" i="5"/>
  <c r="AA357" i="5"/>
  <c r="Z357" i="5"/>
  <c r="Y357" i="5"/>
  <c r="F357" i="5"/>
  <c r="D357" i="5"/>
  <c r="B357" i="5"/>
  <c r="A357" i="5"/>
  <c r="J356" i="5"/>
  <c r="H356" i="5"/>
  <c r="G356" i="5"/>
  <c r="F356" i="5"/>
  <c r="J355" i="5"/>
  <c r="H355" i="5"/>
  <c r="G355" i="5"/>
  <c r="F355" i="5"/>
  <c r="J354" i="5"/>
  <c r="H354" i="5"/>
  <c r="G354" i="5"/>
  <c r="F354" i="5"/>
  <c r="D352" i="5"/>
  <c r="B352" i="5"/>
  <c r="A352" i="5"/>
  <c r="AA351" i="5"/>
  <c r="Z351" i="5"/>
  <c r="Y351" i="5"/>
  <c r="H350" i="5"/>
  <c r="G350" i="5"/>
  <c r="E350" i="5"/>
  <c r="J349" i="5"/>
  <c r="E349" i="5"/>
  <c r="J348" i="5"/>
  <c r="E348" i="5"/>
  <c r="J347" i="5"/>
  <c r="H347" i="5"/>
  <c r="G347" i="5"/>
  <c r="F347" i="5"/>
  <c r="D345" i="5"/>
  <c r="B345" i="5"/>
  <c r="A345" i="5"/>
  <c r="AA344" i="5"/>
  <c r="Z344" i="5"/>
  <c r="Y344" i="5"/>
  <c r="H343" i="5"/>
  <c r="G343" i="5"/>
  <c r="E343" i="5"/>
  <c r="J342" i="5"/>
  <c r="E342" i="5"/>
  <c r="J341" i="5"/>
  <c r="E341" i="5"/>
  <c r="J340" i="5"/>
  <c r="E340" i="5"/>
  <c r="J339" i="5"/>
  <c r="H339" i="5"/>
  <c r="G339" i="5"/>
  <c r="F339" i="5"/>
  <c r="J338" i="5"/>
  <c r="H338" i="5"/>
  <c r="G338" i="5"/>
  <c r="F338" i="5"/>
  <c r="J337" i="5"/>
  <c r="H337" i="5"/>
  <c r="G337" i="5"/>
  <c r="F337" i="5"/>
  <c r="D335" i="5"/>
  <c r="B335" i="5"/>
  <c r="A335" i="5"/>
  <c r="AA334" i="5"/>
  <c r="Z334" i="5"/>
  <c r="Y334" i="5"/>
  <c r="H333" i="5"/>
  <c r="G333" i="5"/>
  <c r="E333" i="5"/>
  <c r="J332" i="5"/>
  <c r="E332" i="5"/>
  <c r="J331" i="5"/>
  <c r="E331" i="5"/>
  <c r="J330" i="5"/>
  <c r="H330" i="5"/>
  <c r="G330" i="5"/>
  <c r="F330" i="5"/>
  <c r="D328" i="5"/>
  <c r="B328" i="5"/>
  <c r="A328" i="5"/>
  <c r="AA327" i="5"/>
  <c r="Z327" i="5"/>
  <c r="Y327" i="5"/>
  <c r="H326" i="5"/>
  <c r="G326" i="5"/>
  <c r="E326" i="5"/>
  <c r="J325" i="5"/>
  <c r="E325" i="5"/>
  <c r="J324" i="5"/>
  <c r="E324" i="5"/>
  <c r="J323" i="5"/>
  <c r="E323" i="5"/>
  <c r="J322" i="5"/>
  <c r="H322" i="5"/>
  <c r="G322" i="5"/>
  <c r="F322" i="5"/>
  <c r="J321" i="5"/>
  <c r="H321" i="5"/>
  <c r="G321" i="5"/>
  <c r="F321" i="5"/>
  <c r="J320" i="5"/>
  <c r="H320" i="5"/>
  <c r="G320" i="5"/>
  <c r="F320" i="5"/>
  <c r="D318" i="5"/>
  <c r="B318" i="5"/>
  <c r="A318" i="5"/>
  <c r="A317" i="5"/>
  <c r="C315" i="5"/>
  <c r="I314" i="5"/>
  <c r="J314" i="5"/>
  <c r="I313" i="5"/>
  <c r="J313" i="5"/>
  <c r="AA310" i="5"/>
  <c r="Z310" i="5"/>
  <c r="Y310" i="5"/>
  <c r="H309" i="5"/>
  <c r="G309" i="5"/>
  <c r="E309" i="5"/>
  <c r="J308" i="5"/>
  <c r="E308" i="5"/>
  <c r="J307" i="5"/>
  <c r="E307" i="5"/>
  <c r="J306" i="5"/>
  <c r="E306" i="5"/>
  <c r="J305" i="5"/>
  <c r="H305" i="5"/>
  <c r="AA305" i="5"/>
  <c r="Z305" i="5"/>
  <c r="Y305" i="5"/>
  <c r="F305" i="5"/>
  <c r="D305" i="5"/>
  <c r="B305" i="5"/>
  <c r="A305" i="5"/>
  <c r="J304" i="5"/>
  <c r="H304" i="5"/>
  <c r="G304" i="5"/>
  <c r="F304" i="5"/>
  <c r="J303" i="5"/>
  <c r="H303" i="5"/>
  <c r="G303" i="5"/>
  <c r="F303" i="5"/>
  <c r="J302" i="5"/>
  <c r="H302" i="5"/>
  <c r="G302" i="5"/>
  <c r="F302" i="5"/>
  <c r="J301" i="5"/>
  <c r="H301" i="5"/>
  <c r="G301" i="5"/>
  <c r="F301" i="5"/>
  <c r="D299" i="5"/>
  <c r="B299" i="5"/>
  <c r="A299" i="5"/>
  <c r="AA298" i="5"/>
  <c r="Z298" i="5"/>
  <c r="Y298" i="5"/>
  <c r="H297" i="5"/>
  <c r="G297" i="5"/>
  <c r="E297" i="5"/>
  <c r="J296" i="5"/>
  <c r="E296" i="5"/>
  <c r="J295" i="5"/>
  <c r="E295" i="5"/>
  <c r="J294" i="5"/>
  <c r="E294" i="5"/>
  <c r="J293" i="5"/>
  <c r="H293" i="5"/>
  <c r="AA293" i="5"/>
  <c r="Z293" i="5"/>
  <c r="Y293" i="5"/>
  <c r="F293" i="5"/>
  <c r="D293" i="5"/>
  <c r="B293" i="5"/>
  <c r="A293" i="5"/>
  <c r="J292" i="5"/>
  <c r="H292" i="5"/>
  <c r="G292" i="5"/>
  <c r="F292" i="5"/>
  <c r="J291" i="5"/>
  <c r="H291" i="5"/>
  <c r="G291" i="5"/>
  <c r="F291" i="5"/>
  <c r="J290" i="5"/>
  <c r="H290" i="5"/>
  <c r="G290" i="5"/>
  <c r="F290" i="5"/>
  <c r="J289" i="5"/>
  <c r="H289" i="5"/>
  <c r="G289" i="5"/>
  <c r="F289" i="5"/>
  <c r="D287" i="5"/>
  <c r="B287" i="5"/>
  <c r="A287" i="5"/>
  <c r="AA286" i="5"/>
  <c r="Z286" i="5"/>
  <c r="Y286" i="5"/>
  <c r="H285" i="5"/>
  <c r="G285" i="5"/>
  <c r="E285" i="5"/>
  <c r="J284" i="5"/>
  <c r="E284" i="5"/>
  <c r="J283" i="5"/>
  <c r="E283" i="5"/>
  <c r="J282" i="5"/>
  <c r="H282" i="5"/>
  <c r="G282" i="5"/>
  <c r="F282" i="5"/>
  <c r="D280" i="5"/>
  <c r="B280" i="5"/>
  <c r="A280" i="5"/>
  <c r="AA279" i="5"/>
  <c r="Z279" i="5"/>
  <c r="Y279" i="5"/>
  <c r="H278" i="5"/>
  <c r="G278" i="5"/>
  <c r="E278" i="5"/>
  <c r="J277" i="5"/>
  <c r="E277" i="5"/>
  <c r="J276" i="5"/>
  <c r="E276" i="5"/>
  <c r="J275" i="5"/>
  <c r="H275" i="5"/>
  <c r="G275" i="5"/>
  <c r="F275" i="5"/>
  <c r="D273" i="5"/>
  <c r="B273" i="5"/>
  <c r="A273" i="5"/>
  <c r="A272" i="5"/>
  <c r="C270" i="5"/>
  <c r="I269" i="5"/>
  <c r="J269" i="5"/>
  <c r="I268" i="5"/>
  <c r="J268" i="5"/>
  <c r="AA265" i="5"/>
  <c r="Z265" i="5"/>
  <c r="Y265" i="5"/>
  <c r="H264" i="5"/>
  <c r="G264" i="5"/>
  <c r="E264" i="5"/>
  <c r="J263" i="5"/>
  <c r="E263" i="5"/>
  <c r="J262" i="5"/>
  <c r="E262" i="5"/>
  <c r="J261" i="5"/>
  <c r="E261" i="5"/>
  <c r="J260" i="5"/>
  <c r="H260" i="5"/>
  <c r="AA260" i="5"/>
  <c r="Z260" i="5"/>
  <c r="Y260" i="5"/>
  <c r="F260" i="5"/>
  <c r="D260" i="5"/>
  <c r="B260" i="5"/>
  <c r="A260" i="5"/>
  <c r="J259" i="5"/>
  <c r="H259" i="5"/>
  <c r="G259" i="5"/>
  <c r="F259" i="5"/>
  <c r="J258" i="5"/>
  <c r="H258" i="5"/>
  <c r="G258" i="5"/>
  <c r="F258" i="5"/>
  <c r="J257" i="5"/>
  <c r="H257" i="5"/>
  <c r="G257" i="5"/>
  <c r="F257" i="5"/>
  <c r="J256" i="5"/>
  <c r="H256" i="5"/>
  <c r="G256" i="5"/>
  <c r="F256" i="5"/>
  <c r="D254" i="5"/>
  <c r="B254" i="5"/>
  <c r="A254" i="5"/>
  <c r="AA253" i="5"/>
  <c r="Z253" i="5"/>
  <c r="Y253" i="5"/>
  <c r="H252" i="5"/>
  <c r="G252" i="5"/>
  <c r="E252" i="5"/>
  <c r="J251" i="5"/>
  <c r="E251" i="5"/>
  <c r="J250" i="5"/>
  <c r="E250" i="5"/>
  <c r="J249" i="5"/>
  <c r="E249" i="5"/>
  <c r="J248" i="5"/>
  <c r="H248" i="5"/>
  <c r="AA248" i="5"/>
  <c r="Z248" i="5"/>
  <c r="Y248" i="5"/>
  <c r="F248" i="5"/>
  <c r="D248" i="5"/>
  <c r="B248" i="5"/>
  <c r="A248" i="5"/>
  <c r="J247" i="5"/>
  <c r="H247" i="5"/>
  <c r="G247" i="5"/>
  <c r="F247" i="5"/>
  <c r="J246" i="5"/>
  <c r="H246" i="5"/>
  <c r="G246" i="5"/>
  <c r="F246" i="5"/>
  <c r="J245" i="5"/>
  <c r="H245" i="5"/>
  <c r="G245" i="5"/>
  <c r="F245" i="5"/>
  <c r="J244" i="5"/>
  <c r="H244" i="5"/>
  <c r="G244" i="5"/>
  <c r="F244" i="5"/>
  <c r="D242" i="5"/>
  <c r="B242" i="5"/>
  <c r="A242" i="5"/>
  <c r="AA241" i="5"/>
  <c r="Z241" i="5"/>
  <c r="Y241" i="5"/>
  <c r="H240" i="5"/>
  <c r="G240" i="5"/>
  <c r="E240" i="5"/>
  <c r="J239" i="5"/>
  <c r="E239" i="5"/>
  <c r="J238" i="5"/>
  <c r="E238" i="5"/>
  <c r="J237" i="5"/>
  <c r="E237" i="5"/>
  <c r="J236" i="5"/>
  <c r="H236" i="5"/>
  <c r="AA236" i="5"/>
  <c r="Z236" i="5"/>
  <c r="Y236" i="5"/>
  <c r="F236" i="5"/>
  <c r="D236" i="5"/>
  <c r="B236" i="5"/>
  <c r="A236" i="5"/>
  <c r="J235" i="5"/>
  <c r="H235" i="5"/>
  <c r="G235" i="5"/>
  <c r="F235" i="5"/>
  <c r="J234" i="5"/>
  <c r="H234" i="5"/>
  <c r="G234" i="5"/>
  <c r="F234" i="5"/>
  <c r="J233" i="5"/>
  <c r="H233" i="5"/>
  <c r="G233" i="5"/>
  <c r="F233" i="5"/>
  <c r="J232" i="5"/>
  <c r="H232" i="5"/>
  <c r="G232" i="5"/>
  <c r="F232" i="5"/>
  <c r="D230" i="5"/>
  <c r="B230" i="5"/>
  <c r="A230" i="5"/>
  <c r="AA229" i="5"/>
  <c r="Z229" i="5"/>
  <c r="Y229" i="5"/>
  <c r="H228" i="5"/>
  <c r="G228" i="5"/>
  <c r="E228" i="5"/>
  <c r="J227" i="5"/>
  <c r="E227" i="5"/>
  <c r="J226" i="5"/>
  <c r="E226" i="5"/>
  <c r="J225" i="5"/>
  <c r="H225" i="5"/>
  <c r="G225" i="5"/>
  <c r="F225" i="5"/>
  <c r="D223" i="5"/>
  <c r="B223" i="5"/>
  <c r="A223" i="5"/>
  <c r="AA222" i="5"/>
  <c r="Z222" i="5"/>
  <c r="Y222" i="5"/>
  <c r="H221" i="5"/>
  <c r="G221" i="5"/>
  <c r="E221" i="5"/>
  <c r="J220" i="5"/>
  <c r="E220" i="5"/>
  <c r="J219" i="5"/>
  <c r="E219" i="5"/>
  <c r="J218" i="5"/>
  <c r="H218" i="5"/>
  <c r="G218" i="5"/>
  <c r="F218" i="5"/>
  <c r="D216" i="5"/>
  <c r="B216" i="5"/>
  <c r="A216" i="5"/>
  <c r="AA215" i="5"/>
  <c r="Z215" i="5"/>
  <c r="Y215" i="5"/>
  <c r="H214" i="5"/>
  <c r="G214" i="5"/>
  <c r="E214" i="5"/>
  <c r="J213" i="5"/>
  <c r="E213" i="5"/>
  <c r="J212" i="5"/>
  <c r="E212" i="5"/>
  <c r="J211" i="5"/>
  <c r="E211" i="5"/>
  <c r="J210" i="5"/>
  <c r="H210" i="5"/>
  <c r="G210" i="5"/>
  <c r="F210" i="5"/>
  <c r="J209" i="5"/>
  <c r="H209" i="5"/>
  <c r="G209" i="5"/>
  <c r="F209" i="5"/>
  <c r="J208" i="5"/>
  <c r="H208" i="5"/>
  <c r="G208" i="5"/>
  <c r="F208" i="5"/>
  <c r="D206" i="5"/>
  <c r="B206" i="5"/>
  <c r="A206" i="5"/>
  <c r="A205" i="5"/>
  <c r="C203" i="5"/>
  <c r="I202" i="5"/>
  <c r="J202" i="5"/>
  <c r="I201" i="5"/>
  <c r="J201" i="5"/>
  <c r="AA198" i="5"/>
  <c r="Z198" i="5"/>
  <c r="Y198" i="5"/>
  <c r="H197" i="5"/>
  <c r="G197" i="5"/>
  <c r="E197" i="5"/>
  <c r="J196" i="5"/>
  <c r="E196" i="5"/>
  <c r="J195" i="5"/>
  <c r="E195" i="5"/>
  <c r="J194" i="5"/>
  <c r="E194" i="5"/>
  <c r="J193" i="5"/>
  <c r="H193" i="5"/>
  <c r="G193" i="5"/>
  <c r="F193" i="5"/>
  <c r="J192" i="5"/>
  <c r="H192" i="5"/>
  <c r="G192" i="5"/>
  <c r="F192" i="5"/>
  <c r="J191" i="5"/>
  <c r="H191" i="5"/>
  <c r="G191" i="5"/>
  <c r="F191" i="5"/>
  <c r="J190" i="5"/>
  <c r="H190" i="5"/>
  <c r="G190" i="5"/>
  <c r="F190" i="5"/>
  <c r="D188" i="5"/>
  <c r="B188" i="5"/>
  <c r="A188" i="5"/>
  <c r="AA187" i="5"/>
  <c r="Z187" i="5"/>
  <c r="Y187" i="5"/>
  <c r="H186" i="5"/>
  <c r="G186" i="5"/>
  <c r="E186" i="5"/>
  <c r="J185" i="5"/>
  <c r="E185" i="5"/>
  <c r="J184" i="5"/>
  <c r="E184" i="5"/>
  <c r="J183" i="5"/>
  <c r="H183" i="5"/>
  <c r="G183" i="5"/>
  <c r="F183" i="5"/>
  <c r="D181" i="5"/>
  <c r="B181" i="5"/>
  <c r="A181" i="5"/>
  <c r="AA180" i="5"/>
  <c r="Z180" i="5"/>
  <c r="Y180" i="5"/>
  <c r="H179" i="5"/>
  <c r="G179" i="5"/>
  <c r="E179" i="5"/>
  <c r="J178" i="5"/>
  <c r="E178" i="5"/>
  <c r="J177" i="5"/>
  <c r="E177" i="5"/>
  <c r="J176" i="5"/>
  <c r="H176" i="5"/>
  <c r="G176" i="5"/>
  <c r="F176" i="5"/>
  <c r="D174" i="5"/>
  <c r="B174" i="5"/>
  <c r="A174" i="5"/>
  <c r="A173" i="5"/>
  <c r="C171" i="5"/>
  <c r="I170" i="5"/>
  <c r="J170" i="5"/>
  <c r="I169" i="5"/>
  <c r="J169" i="5"/>
  <c r="AA166" i="5"/>
  <c r="Z166" i="5"/>
  <c r="Y166" i="5"/>
  <c r="H165" i="5"/>
  <c r="G165" i="5"/>
  <c r="E165" i="5"/>
  <c r="J164" i="5"/>
  <c r="E164" i="5"/>
  <c r="J163" i="5"/>
  <c r="E163" i="5"/>
  <c r="J162" i="5"/>
  <c r="E162" i="5"/>
  <c r="J161" i="5"/>
  <c r="H161" i="5"/>
  <c r="AA161" i="5"/>
  <c r="Z161" i="5"/>
  <c r="Y161" i="5"/>
  <c r="F161" i="5"/>
  <c r="D161" i="5"/>
  <c r="B161" i="5"/>
  <c r="A161" i="5"/>
  <c r="J160" i="5"/>
  <c r="H160" i="5"/>
  <c r="G160" i="5"/>
  <c r="F160" i="5"/>
  <c r="J159" i="5"/>
  <c r="H159" i="5"/>
  <c r="G159" i="5"/>
  <c r="F159" i="5"/>
  <c r="J158" i="5"/>
  <c r="H158" i="5"/>
  <c r="G158" i="5"/>
  <c r="F158" i="5"/>
  <c r="J157" i="5"/>
  <c r="H157" i="5"/>
  <c r="G157" i="5"/>
  <c r="F157" i="5"/>
  <c r="D155" i="5"/>
  <c r="B155" i="5"/>
  <c r="A155" i="5"/>
  <c r="AA154" i="5"/>
  <c r="Z154" i="5"/>
  <c r="Y154" i="5"/>
  <c r="H153" i="5"/>
  <c r="G153" i="5"/>
  <c r="E153" i="5"/>
  <c r="J152" i="5"/>
  <c r="E152" i="5"/>
  <c r="J151" i="5"/>
  <c r="E151" i="5"/>
  <c r="J150" i="5"/>
  <c r="E150" i="5"/>
  <c r="J149" i="5"/>
  <c r="H149" i="5"/>
  <c r="AA149" i="5"/>
  <c r="Z149" i="5"/>
  <c r="Y149" i="5"/>
  <c r="F149" i="5"/>
  <c r="D149" i="5"/>
  <c r="B149" i="5"/>
  <c r="A149" i="5"/>
  <c r="J148" i="5"/>
  <c r="H148" i="5"/>
  <c r="G148" i="5"/>
  <c r="F148" i="5"/>
  <c r="J147" i="5"/>
  <c r="H147" i="5"/>
  <c r="G147" i="5"/>
  <c r="F147" i="5"/>
  <c r="J146" i="5"/>
  <c r="H146" i="5"/>
  <c r="G146" i="5"/>
  <c r="F146" i="5"/>
  <c r="J145" i="5"/>
  <c r="H145" i="5"/>
  <c r="G145" i="5"/>
  <c r="F145" i="5"/>
  <c r="D143" i="5"/>
  <c r="B143" i="5"/>
  <c r="A143" i="5"/>
  <c r="AA142" i="5"/>
  <c r="Z142" i="5"/>
  <c r="Y142" i="5"/>
  <c r="H141" i="5"/>
  <c r="G141" i="5"/>
  <c r="E141" i="5"/>
  <c r="J140" i="5"/>
  <c r="E140" i="5"/>
  <c r="J139" i="5"/>
  <c r="E139" i="5"/>
  <c r="J138" i="5"/>
  <c r="H138" i="5"/>
  <c r="G138" i="5"/>
  <c r="F138" i="5"/>
  <c r="D136" i="5"/>
  <c r="B136" i="5"/>
  <c r="A136" i="5"/>
  <c r="AA135" i="5"/>
  <c r="Z135" i="5"/>
  <c r="Y135" i="5"/>
  <c r="H134" i="5"/>
  <c r="G134" i="5"/>
  <c r="E134" i="5"/>
  <c r="J133" i="5"/>
  <c r="E133" i="5"/>
  <c r="J132" i="5"/>
  <c r="E132" i="5"/>
  <c r="J131" i="5"/>
  <c r="E131" i="5"/>
  <c r="J130" i="5"/>
  <c r="H130" i="5"/>
  <c r="G130" i="5"/>
  <c r="F130" i="5"/>
  <c r="J129" i="5"/>
  <c r="H129" i="5"/>
  <c r="G129" i="5"/>
  <c r="F129" i="5"/>
  <c r="J128" i="5"/>
  <c r="H128" i="5"/>
  <c r="G128" i="5"/>
  <c r="F128" i="5"/>
  <c r="D126" i="5"/>
  <c r="B126" i="5"/>
  <c r="A126" i="5"/>
  <c r="AA125" i="5"/>
  <c r="Z125" i="5"/>
  <c r="Y125" i="5"/>
  <c r="H124" i="5"/>
  <c r="G124" i="5"/>
  <c r="E124" i="5"/>
  <c r="J123" i="5"/>
  <c r="E123" i="5"/>
  <c r="J122" i="5"/>
  <c r="E122" i="5"/>
  <c r="J121" i="5"/>
  <c r="E121" i="5"/>
  <c r="J120" i="5"/>
  <c r="H120" i="5"/>
  <c r="G120" i="5"/>
  <c r="F120" i="5"/>
  <c r="J119" i="5"/>
  <c r="H119" i="5"/>
  <c r="G119" i="5"/>
  <c r="F119" i="5"/>
  <c r="J118" i="5"/>
  <c r="H118" i="5"/>
  <c r="G118" i="5"/>
  <c r="F118" i="5"/>
  <c r="D116" i="5"/>
  <c r="B116" i="5"/>
  <c r="A116" i="5"/>
  <c r="A115" i="5"/>
  <c r="C113" i="5"/>
  <c r="I112" i="5"/>
  <c r="J112" i="5"/>
  <c r="I111" i="5"/>
  <c r="J111" i="5"/>
  <c r="AA108" i="5"/>
  <c r="Z108" i="5"/>
  <c r="Y108" i="5"/>
  <c r="H107" i="5"/>
  <c r="G107" i="5"/>
  <c r="E107" i="5"/>
  <c r="J106" i="5"/>
  <c r="E106" i="5"/>
  <c r="J105" i="5"/>
  <c r="E105" i="5"/>
  <c r="J104" i="5"/>
  <c r="E104" i="5"/>
  <c r="J103" i="5"/>
  <c r="H103" i="5"/>
  <c r="AA103" i="5"/>
  <c r="Z103" i="5"/>
  <c r="Y103" i="5"/>
  <c r="F103" i="5"/>
  <c r="D103" i="5"/>
  <c r="B103" i="5"/>
  <c r="A103" i="5"/>
  <c r="J102" i="5"/>
  <c r="H102" i="5"/>
  <c r="G102" i="5"/>
  <c r="F102" i="5"/>
  <c r="J101" i="5"/>
  <c r="H101" i="5"/>
  <c r="G101" i="5"/>
  <c r="F101" i="5"/>
  <c r="J100" i="5"/>
  <c r="H100" i="5"/>
  <c r="G100" i="5"/>
  <c r="F100" i="5"/>
  <c r="D98" i="5"/>
  <c r="B98" i="5"/>
  <c r="A98" i="5"/>
  <c r="AA97" i="5"/>
  <c r="Z97" i="5"/>
  <c r="Y97" i="5"/>
  <c r="H96" i="5"/>
  <c r="G96" i="5"/>
  <c r="E96" i="5"/>
  <c r="J95" i="5"/>
  <c r="E95" i="5"/>
  <c r="J94" i="5"/>
  <c r="E94" i="5"/>
  <c r="J93" i="5"/>
  <c r="E93" i="5"/>
  <c r="J92" i="5"/>
  <c r="H92" i="5"/>
  <c r="AA92" i="5"/>
  <c r="Z92" i="5"/>
  <c r="Y92" i="5"/>
  <c r="F92" i="5"/>
  <c r="D92" i="5"/>
  <c r="B92" i="5"/>
  <c r="A92" i="5"/>
  <c r="J91" i="5"/>
  <c r="H91" i="5"/>
  <c r="G91" i="5"/>
  <c r="F91" i="5"/>
  <c r="J90" i="5"/>
  <c r="H90" i="5"/>
  <c r="G90" i="5"/>
  <c r="F90" i="5"/>
  <c r="J89" i="5"/>
  <c r="H89" i="5"/>
  <c r="G89" i="5"/>
  <c r="F89" i="5"/>
  <c r="J88" i="5"/>
  <c r="H88" i="5"/>
  <c r="G88" i="5"/>
  <c r="F88" i="5"/>
  <c r="D86" i="5"/>
  <c r="B86" i="5"/>
  <c r="A86" i="5"/>
  <c r="AA85" i="5"/>
  <c r="Z85" i="5"/>
  <c r="Y85" i="5"/>
  <c r="H84" i="5"/>
  <c r="G84" i="5"/>
  <c r="E84" i="5"/>
  <c r="J83" i="5"/>
  <c r="E83" i="5"/>
  <c r="J82" i="5"/>
  <c r="E82" i="5"/>
  <c r="J81" i="5"/>
  <c r="E81" i="5"/>
  <c r="J80" i="5"/>
  <c r="H80" i="5"/>
  <c r="AA80" i="5"/>
  <c r="Z80" i="5"/>
  <c r="Y80" i="5"/>
  <c r="F80" i="5"/>
  <c r="D80" i="5"/>
  <c r="B80" i="5"/>
  <c r="A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D74" i="5"/>
  <c r="B74" i="5"/>
  <c r="A74" i="5"/>
  <c r="AA73" i="5"/>
  <c r="Z73" i="5"/>
  <c r="Y73" i="5"/>
  <c r="H72" i="5"/>
  <c r="G72" i="5"/>
  <c r="E72" i="5"/>
  <c r="J71" i="5"/>
  <c r="E71" i="5"/>
  <c r="J70" i="5"/>
  <c r="E70" i="5"/>
  <c r="J69" i="5"/>
  <c r="H69" i="5"/>
  <c r="G69" i="5"/>
  <c r="F69" i="5"/>
  <c r="D67" i="5"/>
  <c r="B67" i="5"/>
  <c r="A67" i="5"/>
  <c r="AA66" i="5"/>
  <c r="Z66" i="5"/>
  <c r="Y66" i="5"/>
  <c r="H65" i="5"/>
  <c r="G65" i="5"/>
  <c r="E65" i="5"/>
  <c r="J64" i="5"/>
  <c r="E64" i="5"/>
  <c r="J63" i="5"/>
  <c r="E63" i="5"/>
  <c r="J62" i="5"/>
  <c r="E62" i="5"/>
  <c r="J61" i="5"/>
  <c r="H61" i="5"/>
  <c r="G61" i="5"/>
  <c r="F61" i="5"/>
  <c r="J60" i="5"/>
  <c r="H60" i="5"/>
  <c r="G60" i="5"/>
  <c r="F60" i="5"/>
  <c r="J59" i="5"/>
  <c r="H59" i="5"/>
  <c r="G59" i="5"/>
  <c r="F59" i="5"/>
  <c r="D57" i="5"/>
  <c r="B57" i="5"/>
  <c r="A57" i="5"/>
  <c r="AA56" i="5"/>
  <c r="Z56" i="5"/>
  <c r="Y56" i="5"/>
  <c r="H55" i="5"/>
  <c r="G55" i="5"/>
  <c r="E55" i="5"/>
  <c r="J54" i="5"/>
  <c r="E54" i="5"/>
  <c r="J53" i="5"/>
  <c r="E53" i="5"/>
  <c r="J52" i="5"/>
  <c r="E52" i="5"/>
  <c r="J51" i="5"/>
  <c r="H51" i="5"/>
  <c r="G51" i="5"/>
  <c r="F51" i="5"/>
  <c r="J50" i="5"/>
  <c r="H50" i="5"/>
  <c r="G50" i="5"/>
  <c r="F50" i="5"/>
  <c r="J49" i="5"/>
  <c r="H49" i="5"/>
  <c r="G49" i="5"/>
  <c r="F49" i="5"/>
  <c r="D47" i="5"/>
  <c r="B47" i="5"/>
  <c r="A47" i="5"/>
  <c r="AA46" i="5"/>
  <c r="Z46" i="5"/>
  <c r="Y46" i="5"/>
  <c r="H45" i="5"/>
  <c r="G45" i="5"/>
  <c r="E45" i="5"/>
  <c r="J44" i="5"/>
  <c r="E44" i="5"/>
  <c r="J43" i="5"/>
  <c r="E43" i="5"/>
  <c r="J42" i="5"/>
  <c r="E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D36" i="5"/>
  <c r="B36" i="5"/>
  <c r="A36" i="5"/>
  <c r="A35" i="5"/>
  <c r="A21" i="5"/>
  <c r="B6" i="5"/>
  <c r="A1" i="5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1" i="3"/>
  <c r="CY1" i="3"/>
  <c r="CZ1" i="3"/>
  <c r="DB1" i="3" s="1"/>
  <c r="DA1" i="3"/>
  <c r="DC1" i="3"/>
  <c r="A2" i="3"/>
  <c r="CY2" i="3"/>
  <c r="CZ2" i="3"/>
  <c r="DB2" i="3" s="1"/>
  <c r="L14" i="10" s="1"/>
  <c r="DA2" i="3"/>
  <c r="DC2" i="3"/>
  <c r="Q14" i="10" s="1"/>
  <c r="A3" i="3"/>
  <c r="CY3" i="3"/>
  <c r="CZ3" i="3"/>
  <c r="DB3" i="3" s="1"/>
  <c r="L13" i="10" s="1"/>
  <c r="DA3" i="3"/>
  <c r="DC3" i="3"/>
  <c r="Q13" i="10" s="1"/>
  <c r="A4" i="3"/>
  <c r="CY4" i="3"/>
  <c r="CZ4" i="3"/>
  <c r="DB4" i="3" s="1"/>
  <c r="L12" i="10" s="1"/>
  <c r="DA4" i="3"/>
  <c r="DC4" i="3"/>
  <c r="Q12" i="10" s="1"/>
  <c r="A5" i="3"/>
  <c r="CY5" i="3"/>
  <c r="CZ5" i="3"/>
  <c r="DB5" i="3" s="1"/>
  <c r="L11" i="10" s="1"/>
  <c r="DA5" i="3"/>
  <c r="DC5" i="3"/>
  <c r="Q11" i="10" s="1"/>
  <c r="A6" i="3"/>
  <c r="CY6" i="3"/>
  <c r="CZ6" i="3"/>
  <c r="DA6" i="3"/>
  <c r="DB6" i="3"/>
  <c r="L10" i="10" s="1"/>
  <c r="DC6" i="3"/>
  <c r="Q10" i="10" s="1"/>
  <c r="A7" i="3"/>
  <c r="CY7" i="3"/>
  <c r="CZ7" i="3"/>
  <c r="DB7" i="3" s="1"/>
  <c r="L9" i="10" s="1"/>
  <c r="DA7" i="3"/>
  <c r="DC7" i="3"/>
  <c r="Q9" i="10" s="1"/>
  <c r="A8" i="3"/>
  <c r="CY8" i="3"/>
  <c r="CZ8" i="3"/>
  <c r="DB8" i="3" s="1"/>
  <c r="L8" i="10" s="1"/>
  <c r="DA8" i="3"/>
  <c r="DC8" i="3"/>
  <c r="Q8" i="10" s="1"/>
  <c r="A9" i="3"/>
  <c r="CY9" i="3"/>
  <c r="CZ9" i="3"/>
  <c r="DA9" i="3"/>
  <c r="DB9" i="3"/>
  <c r="DC9" i="3"/>
  <c r="A10" i="3"/>
  <c r="CY10" i="3"/>
  <c r="CZ10" i="3"/>
  <c r="DB10" i="3" s="1"/>
  <c r="L17" i="10" s="1"/>
  <c r="DA10" i="3"/>
  <c r="DC10" i="3"/>
  <c r="Q17" i="10" s="1"/>
  <c r="A11" i="3"/>
  <c r="CY11" i="3"/>
  <c r="CZ11" i="3"/>
  <c r="DB11" i="3" s="1"/>
  <c r="L16" i="10" s="1"/>
  <c r="DA11" i="3"/>
  <c r="DC11" i="3"/>
  <c r="Q16" i="10" s="1"/>
  <c r="A12" i="3"/>
  <c r="CY12" i="3"/>
  <c r="CZ12" i="3"/>
  <c r="DB12" i="3" s="1"/>
  <c r="L15" i="10" s="1"/>
  <c r="DA12" i="3"/>
  <c r="DC12" i="3"/>
  <c r="Q15" i="10" s="1"/>
  <c r="A13" i="3"/>
  <c r="CY13" i="3"/>
  <c r="CZ13" i="3"/>
  <c r="DB13" i="3" s="1"/>
  <c r="DA13" i="3"/>
  <c r="DC13" i="3"/>
  <c r="A14" i="3"/>
  <c r="CY14" i="3"/>
  <c r="CZ14" i="3"/>
  <c r="DB14" i="3" s="1"/>
  <c r="L21" i="10" s="1"/>
  <c r="DA14" i="3"/>
  <c r="DC14" i="3"/>
  <c r="Q21" i="10" s="1"/>
  <c r="A15" i="3"/>
  <c r="CY15" i="3"/>
  <c r="CZ15" i="3"/>
  <c r="DB15" i="3" s="1"/>
  <c r="L20" i="10" s="1"/>
  <c r="DA15" i="3"/>
  <c r="DC15" i="3"/>
  <c r="Q20" i="10" s="1"/>
  <c r="A16" i="3"/>
  <c r="CY16" i="3"/>
  <c r="CZ16" i="3"/>
  <c r="DB16" i="3" s="1"/>
  <c r="L19" i="10" s="1"/>
  <c r="DA16" i="3"/>
  <c r="DC16" i="3"/>
  <c r="Q19" i="10" s="1"/>
  <c r="A17" i="3"/>
  <c r="CY17" i="3"/>
  <c r="CZ17" i="3"/>
  <c r="DB17" i="3" s="1"/>
  <c r="L18" i="10" s="1"/>
  <c r="DA17" i="3"/>
  <c r="DC17" i="3"/>
  <c r="Q18" i="10" s="1"/>
  <c r="A18" i="3"/>
  <c r="CY18" i="3"/>
  <c r="CZ18" i="3"/>
  <c r="DB18" i="3" s="1"/>
  <c r="DA18" i="3"/>
  <c r="DC18" i="3"/>
  <c r="A19" i="3"/>
  <c r="CX19" i="3"/>
  <c r="CY19" i="3"/>
  <c r="CZ19" i="3"/>
  <c r="DB19" i="3" s="1"/>
  <c r="DA19" i="3"/>
  <c r="DC19" i="3"/>
  <c r="A20" i="3"/>
  <c r="CX20" i="3"/>
  <c r="CY20" i="3"/>
  <c r="CZ20" i="3"/>
  <c r="DB20" i="3" s="1"/>
  <c r="DA20" i="3"/>
  <c r="DC20" i="3"/>
  <c r="A21" i="3"/>
  <c r="CY21" i="3"/>
  <c r="CZ21" i="3"/>
  <c r="DB21" i="3" s="1"/>
  <c r="DA21" i="3"/>
  <c r="DC21" i="3"/>
  <c r="A22" i="3"/>
  <c r="CY22" i="3"/>
  <c r="CZ22" i="3"/>
  <c r="DB22" i="3" s="1"/>
  <c r="L29" i="10" s="1"/>
  <c r="DA22" i="3"/>
  <c r="DC22" i="3"/>
  <c r="Q29" i="10" s="1"/>
  <c r="A23" i="3"/>
  <c r="CY23" i="3"/>
  <c r="CZ23" i="3"/>
  <c r="DB23" i="3" s="1"/>
  <c r="L28" i="10" s="1"/>
  <c r="DA23" i="3"/>
  <c r="DC23" i="3"/>
  <c r="Q28" i="10" s="1"/>
  <c r="A24" i="3"/>
  <c r="CY24" i="3"/>
  <c r="CZ24" i="3"/>
  <c r="DB24" i="3" s="1"/>
  <c r="L27" i="10" s="1"/>
  <c r="DA24" i="3"/>
  <c r="DC24" i="3"/>
  <c r="Q27" i="10" s="1"/>
  <c r="A25" i="3"/>
  <c r="CY25" i="3"/>
  <c r="CZ25" i="3"/>
  <c r="DB25" i="3" s="1"/>
  <c r="L26" i="10" s="1"/>
  <c r="DA25" i="3"/>
  <c r="DC25" i="3"/>
  <c r="Q26" i="10" s="1"/>
  <c r="A26" i="3"/>
  <c r="CY26" i="3"/>
  <c r="CZ26" i="3"/>
  <c r="DA26" i="3"/>
  <c r="DB26" i="3"/>
  <c r="L25" i="10" s="1"/>
  <c r="DC26" i="3"/>
  <c r="Q25" i="10" s="1"/>
  <c r="A27" i="3"/>
  <c r="CY27" i="3"/>
  <c r="CZ27" i="3"/>
  <c r="DB27" i="3" s="1"/>
  <c r="L24" i="10" s="1"/>
  <c r="DA27" i="3"/>
  <c r="DC27" i="3"/>
  <c r="Q24" i="10" s="1"/>
  <c r="A28" i="3"/>
  <c r="CY28" i="3"/>
  <c r="CZ28" i="3"/>
  <c r="DB28" i="3" s="1"/>
  <c r="L23" i="10" s="1"/>
  <c r="DA28" i="3"/>
  <c r="DC28" i="3"/>
  <c r="Q23" i="10" s="1"/>
  <c r="A29" i="3"/>
  <c r="CY29" i="3"/>
  <c r="CZ29" i="3"/>
  <c r="DA29" i="3"/>
  <c r="DB29" i="3"/>
  <c r="DC29" i="3"/>
  <c r="A30" i="3"/>
  <c r="CY30" i="3"/>
  <c r="CZ30" i="3"/>
  <c r="DB30" i="3" s="1"/>
  <c r="L22" i="10" s="1"/>
  <c r="DA30" i="3"/>
  <c r="DC30" i="3"/>
  <c r="Q22" i="10" s="1"/>
  <c r="A31" i="3"/>
  <c r="CY31" i="3"/>
  <c r="CZ31" i="3"/>
  <c r="DB31" i="3" s="1"/>
  <c r="DA31" i="3"/>
  <c r="DC31" i="3"/>
  <c r="A32" i="3"/>
  <c r="CY32" i="3"/>
  <c r="CZ32" i="3"/>
  <c r="DB32" i="3" s="1"/>
  <c r="DA32" i="3"/>
  <c r="DC32" i="3"/>
  <c r="A33" i="3"/>
  <c r="CY33" i="3"/>
  <c r="CZ33" i="3"/>
  <c r="DB33" i="3" s="1"/>
  <c r="L39" i="10" s="1"/>
  <c r="DA33" i="3"/>
  <c r="DC33" i="3"/>
  <c r="Q39" i="10" s="1"/>
  <c r="A34" i="3"/>
  <c r="CY34" i="3"/>
  <c r="CZ34" i="3"/>
  <c r="DB34" i="3" s="1"/>
  <c r="L38" i="10" s="1"/>
  <c r="DA34" i="3"/>
  <c r="DC34" i="3"/>
  <c r="Q38" i="10" s="1"/>
  <c r="A35" i="3"/>
  <c r="CY35" i="3"/>
  <c r="CZ35" i="3"/>
  <c r="DB35" i="3" s="1"/>
  <c r="L37" i="10" s="1"/>
  <c r="DA35" i="3"/>
  <c r="DC35" i="3"/>
  <c r="Q37" i="10" s="1"/>
  <c r="A36" i="3"/>
  <c r="CY36" i="3"/>
  <c r="CZ36" i="3"/>
  <c r="DB36" i="3" s="1"/>
  <c r="L36" i="10" s="1"/>
  <c r="DA36" i="3"/>
  <c r="DC36" i="3"/>
  <c r="Q36" i="10" s="1"/>
  <c r="A37" i="3"/>
  <c r="CY37" i="3"/>
  <c r="CZ37" i="3"/>
  <c r="DB37" i="3" s="1"/>
  <c r="L35" i="10" s="1"/>
  <c r="DA37" i="3"/>
  <c r="DC37" i="3"/>
  <c r="Q35" i="10" s="1"/>
  <c r="A38" i="3"/>
  <c r="CY38" i="3"/>
  <c r="CZ38" i="3"/>
  <c r="DB38" i="3" s="1"/>
  <c r="L34" i="10" s="1"/>
  <c r="DA38" i="3"/>
  <c r="DC38" i="3"/>
  <c r="Q34" i="10" s="1"/>
  <c r="A39" i="3"/>
  <c r="CY39" i="3"/>
  <c r="CZ39" i="3"/>
  <c r="DB39" i="3" s="1"/>
  <c r="L33" i="10" s="1"/>
  <c r="DA39" i="3"/>
  <c r="DC39" i="3"/>
  <c r="Q33" i="10" s="1"/>
  <c r="A40" i="3"/>
  <c r="CY40" i="3"/>
  <c r="CZ40" i="3"/>
  <c r="DB40" i="3" s="1"/>
  <c r="L32" i="10" s="1"/>
  <c r="DA40" i="3"/>
  <c r="DC40" i="3"/>
  <c r="Q32" i="10" s="1"/>
  <c r="A41" i="3"/>
  <c r="CY41" i="3"/>
  <c r="CZ41" i="3"/>
  <c r="DB41" i="3" s="1"/>
  <c r="L31" i="10" s="1"/>
  <c r="DA41" i="3"/>
  <c r="DC41" i="3"/>
  <c r="Q31" i="10" s="1"/>
  <c r="A42" i="3"/>
  <c r="CY42" i="3"/>
  <c r="CZ42" i="3"/>
  <c r="DA42" i="3"/>
  <c r="DB42" i="3"/>
  <c r="DC42" i="3"/>
  <c r="A43" i="3"/>
  <c r="CY43" i="3"/>
  <c r="CZ43" i="3"/>
  <c r="DB43" i="3" s="1"/>
  <c r="DA43" i="3"/>
  <c r="DC43" i="3"/>
  <c r="A44" i="3"/>
  <c r="CY44" i="3"/>
  <c r="CZ44" i="3"/>
  <c r="DB44" i="3" s="1"/>
  <c r="L42" i="10" s="1"/>
  <c r="DA44" i="3"/>
  <c r="DC44" i="3"/>
  <c r="Q42" i="10" s="1"/>
  <c r="A45" i="3"/>
  <c r="CY45" i="3"/>
  <c r="CZ45" i="3"/>
  <c r="DA45" i="3"/>
  <c r="DB45" i="3"/>
  <c r="L41" i="10" s="1"/>
  <c r="DC45" i="3"/>
  <c r="Q41" i="10" s="1"/>
  <c r="A46" i="3"/>
  <c r="CY46" i="3"/>
  <c r="CZ46" i="3"/>
  <c r="DB46" i="3" s="1"/>
  <c r="DA46" i="3"/>
  <c r="DC46" i="3"/>
  <c r="A47" i="3"/>
  <c r="CY47" i="3"/>
  <c r="CZ47" i="3"/>
  <c r="DB47" i="3" s="1"/>
  <c r="DA47" i="3"/>
  <c r="DC47" i="3"/>
  <c r="A48" i="3"/>
  <c r="CY48" i="3"/>
  <c r="CZ48" i="3"/>
  <c r="DB48" i="3" s="1"/>
  <c r="L48" i="10" s="1"/>
  <c r="DA48" i="3"/>
  <c r="DC48" i="3"/>
  <c r="Q48" i="10" s="1"/>
  <c r="A49" i="3"/>
  <c r="CY49" i="3"/>
  <c r="CZ49" i="3"/>
  <c r="DB49" i="3" s="1"/>
  <c r="L47" i="10" s="1"/>
  <c r="DA49" i="3"/>
  <c r="DC49" i="3"/>
  <c r="Q47" i="10" s="1"/>
  <c r="A50" i="3"/>
  <c r="CY50" i="3"/>
  <c r="CZ50" i="3"/>
  <c r="DB50" i="3" s="1"/>
  <c r="L46" i="10" s="1"/>
  <c r="DA50" i="3"/>
  <c r="DC50" i="3"/>
  <c r="Q46" i="10" s="1"/>
  <c r="A51" i="3"/>
  <c r="CY51" i="3"/>
  <c r="CZ51" i="3"/>
  <c r="DB51" i="3" s="1"/>
  <c r="L45" i="10" s="1"/>
  <c r="DA51" i="3"/>
  <c r="DC51" i="3"/>
  <c r="Q45" i="10" s="1"/>
  <c r="A52" i="3"/>
  <c r="CY52" i="3"/>
  <c r="CZ52" i="3"/>
  <c r="DB52" i="3" s="1"/>
  <c r="DA52" i="3"/>
  <c r="DC52" i="3"/>
  <c r="A53" i="3"/>
  <c r="CY53" i="3"/>
  <c r="CZ53" i="3"/>
  <c r="DB53" i="3" s="1"/>
  <c r="L51" i="10" s="1"/>
  <c r="DA53" i="3"/>
  <c r="DC53" i="3"/>
  <c r="Q51" i="10" s="1"/>
  <c r="A54" i="3"/>
  <c r="CY54" i="3"/>
  <c r="CZ54" i="3"/>
  <c r="DB54" i="3" s="1"/>
  <c r="L50" i="10" s="1"/>
  <c r="DA54" i="3"/>
  <c r="DC54" i="3"/>
  <c r="Q50" i="10" s="1"/>
  <c r="A55" i="3"/>
  <c r="CY55" i="3"/>
  <c r="CZ55" i="3"/>
  <c r="DB55" i="3" s="1"/>
  <c r="L49" i="10" s="1"/>
  <c r="DA55" i="3"/>
  <c r="DC55" i="3"/>
  <c r="Q49" i="10" s="1"/>
  <c r="A56" i="3"/>
  <c r="CX56" i="3"/>
  <c r="CY56" i="3"/>
  <c r="CZ56" i="3"/>
  <c r="DB56" i="3" s="1"/>
  <c r="DA56" i="3"/>
  <c r="DC56" i="3"/>
  <c r="A57" i="3"/>
  <c r="CY57" i="3"/>
  <c r="CZ57" i="3"/>
  <c r="DB57" i="3" s="1"/>
  <c r="DA57" i="3"/>
  <c r="DC57" i="3"/>
  <c r="A58" i="3"/>
  <c r="CX58" i="3"/>
  <c r="CY58" i="3"/>
  <c r="CZ58" i="3"/>
  <c r="DB58" i="3" s="1"/>
  <c r="DA58" i="3"/>
  <c r="DC58" i="3"/>
  <c r="A59" i="3"/>
  <c r="CX59" i="3"/>
  <c r="CY59" i="3"/>
  <c r="CZ59" i="3"/>
  <c r="DB59" i="3" s="1"/>
  <c r="DA59" i="3"/>
  <c r="DC59" i="3"/>
  <c r="A60" i="3"/>
  <c r="CY60" i="3"/>
  <c r="CZ60" i="3"/>
  <c r="DB60" i="3" s="1"/>
  <c r="DA60" i="3"/>
  <c r="DC60" i="3"/>
  <c r="A61" i="3"/>
  <c r="CY61" i="3"/>
  <c r="CZ61" i="3"/>
  <c r="DB61" i="3" s="1"/>
  <c r="DA61" i="3"/>
  <c r="DC61" i="3"/>
  <c r="A62" i="3"/>
  <c r="CY62" i="3"/>
  <c r="CZ62" i="3"/>
  <c r="DB62" i="3" s="1"/>
  <c r="L59" i="10" s="1"/>
  <c r="DA62" i="3"/>
  <c r="DC62" i="3"/>
  <c r="Q59" i="10" s="1"/>
  <c r="A63" i="3"/>
  <c r="CY63" i="3"/>
  <c r="CZ63" i="3"/>
  <c r="DB63" i="3" s="1"/>
  <c r="L58" i="10" s="1"/>
  <c r="DA63" i="3"/>
  <c r="DC63" i="3"/>
  <c r="Q58" i="10" s="1"/>
  <c r="A64" i="3"/>
  <c r="CY64" i="3"/>
  <c r="CZ64" i="3"/>
  <c r="DB64" i="3" s="1"/>
  <c r="L57" i="10" s="1"/>
  <c r="DA64" i="3"/>
  <c r="DC64" i="3"/>
  <c r="Q57" i="10" s="1"/>
  <c r="A65" i="3"/>
  <c r="CY65" i="3"/>
  <c r="CZ65" i="3"/>
  <c r="DB65" i="3" s="1"/>
  <c r="L56" i="10" s="1"/>
  <c r="DA65" i="3"/>
  <c r="DC65" i="3"/>
  <c r="Q56" i="10" s="1"/>
  <c r="A66" i="3"/>
  <c r="CY66" i="3"/>
  <c r="CZ66" i="3"/>
  <c r="DB66" i="3" s="1"/>
  <c r="L55" i="10" s="1"/>
  <c r="DA66" i="3"/>
  <c r="DC66" i="3"/>
  <c r="Q55" i="10" s="1"/>
  <c r="A67" i="3"/>
  <c r="CY67" i="3"/>
  <c r="CZ67" i="3"/>
  <c r="DB67" i="3" s="1"/>
  <c r="L54" i="10" s="1"/>
  <c r="DA67" i="3"/>
  <c r="DC67" i="3"/>
  <c r="Q54" i="10" s="1"/>
  <c r="A68" i="3"/>
  <c r="CY68" i="3"/>
  <c r="CZ68" i="3"/>
  <c r="DB68" i="3" s="1"/>
  <c r="L53" i="10" s="1"/>
  <c r="DA68" i="3"/>
  <c r="DC68" i="3"/>
  <c r="Q53" i="10" s="1"/>
  <c r="A69" i="3"/>
  <c r="CY69" i="3"/>
  <c r="CZ69" i="3"/>
  <c r="DB69" i="3" s="1"/>
  <c r="DA69" i="3"/>
  <c r="DC69" i="3"/>
  <c r="A70" i="3"/>
  <c r="CY70" i="3"/>
  <c r="CZ70" i="3"/>
  <c r="DA70" i="3"/>
  <c r="DB70" i="3"/>
  <c r="L52" i="10" s="1"/>
  <c r="DC70" i="3"/>
  <c r="Q52" i="10" s="1"/>
  <c r="A71" i="3"/>
  <c r="CY71" i="3"/>
  <c r="CZ71" i="3"/>
  <c r="DB71" i="3" s="1"/>
  <c r="DA71" i="3"/>
  <c r="DC71" i="3"/>
  <c r="A72" i="3"/>
  <c r="CY72" i="3"/>
  <c r="CZ72" i="3"/>
  <c r="DB72" i="3" s="1"/>
  <c r="L62" i="10" s="1"/>
  <c r="DA72" i="3"/>
  <c r="DC72" i="3"/>
  <c r="Q62" i="10" s="1"/>
  <c r="A73" i="3"/>
  <c r="CY73" i="3"/>
  <c r="CZ73" i="3"/>
  <c r="DA73" i="3"/>
  <c r="DB73" i="3"/>
  <c r="L61" i="10" s="1"/>
  <c r="DC73" i="3"/>
  <c r="Q61" i="10" s="1"/>
  <c r="A74" i="3"/>
  <c r="CY74" i="3"/>
  <c r="CZ74" i="3"/>
  <c r="DB74" i="3" s="1"/>
  <c r="DA74" i="3"/>
  <c r="DC74" i="3"/>
  <c r="A75" i="3"/>
  <c r="CY75" i="3"/>
  <c r="CZ75" i="3"/>
  <c r="DB75" i="3" s="1"/>
  <c r="DA75" i="3"/>
  <c r="DC75" i="3"/>
  <c r="A76" i="3"/>
  <c r="CY76" i="3"/>
  <c r="CZ76" i="3"/>
  <c r="DB76" i="3" s="1"/>
  <c r="DA76" i="3"/>
  <c r="DC76" i="3"/>
  <c r="A77" i="3"/>
  <c r="CX77" i="3"/>
  <c r="CY77" i="3"/>
  <c r="CZ77" i="3"/>
  <c r="DB77" i="3" s="1"/>
  <c r="DA77" i="3"/>
  <c r="DC77" i="3"/>
  <c r="A78" i="3"/>
  <c r="CX78" i="3"/>
  <c r="CY78" i="3"/>
  <c r="CZ78" i="3"/>
  <c r="DB78" i="3" s="1"/>
  <c r="DA78" i="3"/>
  <c r="DC78" i="3"/>
  <c r="A79" i="3"/>
  <c r="CY79" i="3"/>
  <c r="CZ79" i="3"/>
  <c r="DB79" i="3" s="1"/>
  <c r="DA79" i="3"/>
  <c r="DC79" i="3"/>
  <c r="A80" i="3"/>
  <c r="CX80" i="3"/>
  <c r="CY80" i="3"/>
  <c r="CZ80" i="3"/>
  <c r="DB80" i="3" s="1"/>
  <c r="DA80" i="3"/>
  <c r="DC80" i="3"/>
  <c r="A81" i="3"/>
  <c r="CX81" i="3"/>
  <c r="CY81" i="3"/>
  <c r="CZ81" i="3"/>
  <c r="DB81" i="3" s="1"/>
  <c r="DA81" i="3"/>
  <c r="DC81" i="3"/>
  <c r="A82" i="3"/>
  <c r="CX82" i="3"/>
  <c r="CY82" i="3"/>
  <c r="CZ82" i="3"/>
  <c r="DB82" i="3" s="1"/>
  <c r="DA82" i="3"/>
  <c r="DC82" i="3"/>
  <c r="A83" i="3"/>
  <c r="CX83" i="3"/>
  <c r="CY83" i="3"/>
  <c r="CZ83" i="3"/>
  <c r="DB83" i="3" s="1"/>
  <c r="DA83" i="3"/>
  <c r="DC83" i="3"/>
  <c r="A84" i="3"/>
  <c r="CX84" i="3"/>
  <c r="CY84" i="3"/>
  <c r="CZ84" i="3"/>
  <c r="DB84" i="3" s="1"/>
  <c r="DA84" i="3"/>
  <c r="DC84" i="3"/>
  <c r="A85" i="3"/>
  <c r="CX85" i="3"/>
  <c r="CY85" i="3"/>
  <c r="CZ85" i="3"/>
  <c r="DB85" i="3" s="1"/>
  <c r="DA85" i="3"/>
  <c r="DC85" i="3"/>
  <c r="A86" i="3"/>
  <c r="CX86" i="3"/>
  <c r="CY86" i="3"/>
  <c r="CZ86" i="3"/>
  <c r="DB86" i="3" s="1"/>
  <c r="DA86" i="3"/>
  <c r="DC86" i="3"/>
  <c r="A87" i="3"/>
  <c r="CX87" i="3"/>
  <c r="CY87" i="3"/>
  <c r="CZ87" i="3"/>
  <c r="DB87" i="3" s="1"/>
  <c r="DA87" i="3"/>
  <c r="DC87" i="3"/>
  <c r="A88" i="3"/>
  <c r="CY88" i="3"/>
  <c r="CZ88" i="3"/>
  <c r="DB88" i="3" s="1"/>
  <c r="DA88" i="3"/>
  <c r="DC88" i="3"/>
  <c r="A89" i="3"/>
  <c r="CY89" i="3"/>
  <c r="CZ89" i="3"/>
  <c r="DB89" i="3" s="1"/>
  <c r="L69" i="10" s="1"/>
  <c r="DA89" i="3"/>
  <c r="DC89" i="3"/>
  <c r="Q69" i="10" s="1"/>
  <c r="A90" i="3"/>
  <c r="CY90" i="3"/>
  <c r="CZ90" i="3"/>
  <c r="DA90" i="3"/>
  <c r="DB90" i="3"/>
  <c r="L68" i="10" s="1"/>
  <c r="DC90" i="3"/>
  <c r="Q68" i="10" s="1"/>
  <c r="A91" i="3"/>
  <c r="CY91" i="3"/>
  <c r="CZ91" i="3"/>
  <c r="DB91" i="3" s="1"/>
  <c r="L67" i="10" s="1"/>
  <c r="DA91" i="3"/>
  <c r="DC91" i="3"/>
  <c r="Q67" i="10" s="1"/>
  <c r="A92" i="3"/>
  <c r="CY92" i="3"/>
  <c r="CZ92" i="3"/>
  <c r="DB92" i="3" s="1"/>
  <c r="L66" i="10" s="1"/>
  <c r="DA92" i="3"/>
  <c r="DC92" i="3"/>
  <c r="Q66" i="10" s="1"/>
  <c r="A93" i="3"/>
  <c r="CY93" i="3"/>
  <c r="CZ93" i="3"/>
  <c r="DA93" i="3"/>
  <c r="DB93" i="3"/>
  <c r="DC93" i="3"/>
  <c r="A94" i="3"/>
  <c r="CY94" i="3"/>
  <c r="CZ94" i="3"/>
  <c r="DB94" i="3" s="1"/>
  <c r="L72" i="10" s="1"/>
  <c r="DA94" i="3"/>
  <c r="DC94" i="3"/>
  <c r="Q72" i="10" s="1"/>
  <c r="A95" i="3"/>
  <c r="CY95" i="3"/>
  <c r="CZ95" i="3"/>
  <c r="DB95" i="3" s="1"/>
  <c r="L71" i="10" s="1"/>
  <c r="DA95" i="3"/>
  <c r="DC95" i="3"/>
  <c r="Q71" i="10" s="1"/>
  <c r="A96" i="3"/>
  <c r="CY96" i="3"/>
  <c r="CZ96" i="3"/>
  <c r="DB96" i="3" s="1"/>
  <c r="DA96" i="3"/>
  <c r="DC96" i="3"/>
  <c r="A97" i="3"/>
  <c r="CY97" i="3"/>
  <c r="CZ97" i="3"/>
  <c r="DB97" i="3" s="1"/>
  <c r="DA97" i="3"/>
  <c r="DC97" i="3"/>
  <c r="A98" i="3"/>
  <c r="CX98" i="3"/>
  <c r="CY98" i="3"/>
  <c r="CZ98" i="3"/>
  <c r="DB98" i="3" s="1"/>
  <c r="DA98" i="3"/>
  <c r="DC98" i="3"/>
  <c r="A99" i="3"/>
  <c r="CX99" i="3"/>
  <c r="CY99" i="3"/>
  <c r="CZ99" i="3"/>
  <c r="DB99" i="3" s="1"/>
  <c r="DA99" i="3"/>
  <c r="DC99" i="3"/>
  <c r="A100" i="3"/>
  <c r="CY100" i="3"/>
  <c r="CZ100" i="3"/>
  <c r="DB100" i="3" s="1"/>
  <c r="DA100" i="3"/>
  <c r="DC100" i="3"/>
  <c r="A101" i="3"/>
  <c r="CY101" i="3"/>
  <c r="CZ101" i="3"/>
  <c r="DB101" i="3" s="1"/>
  <c r="L78" i="10" s="1"/>
  <c r="DA101" i="3"/>
  <c r="DC101" i="3"/>
  <c r="Q78" i="10" s="1"/>
  <c r="A102" i="3"/>
  <c r="CY102" i="3"/>
  <c r="CZ102" i="3"/>
  <c r="DA102" i="3"/>
  <c r="DB102" i="3"/>
  <c r="L77" i="10" s="1"/>
  <c r="DC102" i="3"/>
  <c r="Q77" i="10" s="1"/>
  <c r="A103" i="3"/>
  <c r="CY103" i="3"/>
  <c r="CZ103" i="3"/>
  <c r="DB103" i="3" s="1"/>
  <c r="L76" i="10" s="1"/>
  <c r="DA103" i="3"/>
  <c r="DC103" i="3"/>
  <c r="Q76" i="10" s="1"/>
  <c r="A104" i="3"/>
  <c r="CY104" i="3"/>
  <c r="CZ104" i="3"/>
  <c r="DB104" i="3" s="1"/>
  <c r="L75" i="10" s="1"/>
  <c r="DA104" i="3"/>
  <c r="DC104" i="3"/>
  <c r="Q75" i="10" s="1"/>
  <c r="A105" i="3"/>
  <c r="CY105" i="3"/>
  <c r="CZ105" i="3"/>
  <c r="DA105" i="3"/>
  <c r="DB105" i="3"/>
  <c r="L74" i="10" s="1"/>
  <c r="DC105" i="3"/>
  <c r="Q74" i="10" s="1"/>
  <c r="A106" i="3"/>
  <c r="CY106" i="3"/>
  <c r="CZ106" i="3"/>
  <c r="DB106" i="3" s="1"/>
  <c r="L73" i="10" s="1"/>
  <c r="DA106" i="3"/>
  <c r="DC106" i="3"/>
  <c r="Q73" i="10" s="1"/>
  <c r="A107" i="3"/>
  <c r="CY107" i="3"/>
  <c r="CZ107" i="3"/>
  <c r="DB107" i="3" s="1"/>
  <c r="DA107" i="3"/>
  <c r="DC107" i="3"/>
  <c r="A108" i="3"/>
  <c r="CY108" i="3"/>
  <c r="CZ108" i="3"/>
  <c r="DB108" i="3" s="1"/>
  <c r="DA108" i="3"/>
  <c r="DC108" i="3"/>
  <c r="A109" i="3"/>
  <c r="CY109" i="3"/>
  <c r="CZ109" i="3"/>
  <c r="DB109" i="3" s="1"/>
  <c r="L86" i="10" s="1"/>
  <c r="DA109" i="3"/>
  <c r="DC109" i="3"/>
  <c r="Q86" i="10" s="1"/>
  <c r="A110" i="3"/>
  <c r="CY110" i="3"/>
  <c r="CZ110" i="3"/>
  <c r="DB110" i="3" s="1"/>
  <c r="L85" i="10" s="1"/>
  <c r="DA110" i="3"/>
  <c r="DC110" i="3"/>
  <c r="Q85" i="10" s="1"/>
  <c r="A111" i="3"/>
  <c r="CY111" i="3"/>
  <c r="CZ111" i="3"/>
  <c r="DB111" i="3" s="1"/>
  <c r="L84" i="10" s="1"/>
  <c r="DA111" i="3"/>
  <c r="DC111" i="3"/>
  <c r="Q84" i="10" s="1"/>
  <c r="A112" i="3"/>
  <c r="CY112" i="3"/>
  <c r="CZ112" i="3"/>
  <c r="DB112" i="3" s="1"/>
  <c r="L83" i="10" s="1"/>
  <c r="DA112" i="3"/>
  <c r="DC112" i="3"/>
  <c r="Q83" i="10" s="1"/>
  <c r="A113" i="3"/>
  <c r="CY113" i="3"/>
  <c r="CZ113" i="3"/>
  <c r="DB113" i="3" s="1"/>
  <c r="L82" i="10" s="1"/>
  <c r="DA113" i="3"/>
  <c r="DC113" i="3"/>
  <c r="Q82" i="10" s="1"/>
  <c r="A114" i="3"/>
  <c r="CY114" i="3"/>
  <c r="CZ114" i="3"/>
  <c r="DB114" i="3" s="1"/>
  <c r="L81" i="10" s="1"/>
  <c r="DA114" i="3"/>
  <c r="DC114" i="3"/>
  <c r="Q81" i="10" s="1"/>
  <c r="A115" i="3"/>
  <c r="CY115" i="3"/>
  <c r="CZ115" i="3"/>
  <c r="DB115" i="3" s="1"/>
  <c r="L80" i="10" s="1"/>
  <c r="DA115" i="3"/>
  <c r="DC115" i="3"/>
  <c r="Q80" i="10" s="1"/>
  <c r="A116" i="3"/>
  <c r="CY116" i="3"/>
  <c r="CZ116" i="3"/>
  <c r="DB116" i="3" s="1"/>
  <c r="DA116" i="3"/>
  <c r="DC116" i="3"/>
  <c r="A117" i="3"/>
  <c r="CY117" i="3"/>
  <c r="CZ117" i="3"/>
  <c r="DB117" i="3" s="1"/>
  <c r="DA117" i="3"/>
  <c r="DC117" i="3"/>
  <c r="A118" i="3"/>
  <c r="CY118" i="3"/>
  <c r="CZ118" i="3"/>
  <c r="DA118" i="3"/>
  <c r="DB118" i="3"/>
  <c r="L89" i="10" s="1"/>
  <c r="DC118" i="3"/>
  <c r="Q89" i="10" s="1"/>
  <c r="A119" i="3"/>
  <c r="CY119" i="3"/>
  <c r="CZ119" i="3"/>
  <c r="DB119" i="3" s="1"/>
  <c r="L88" i="10" s="1"/>
  <c r="DA119" i="3"/>
  <c r="DC119" i="3"/>
  <c r="Q88" i="10" s="1"/>
  <c r="A120" i="3"/>
  <c r="CY120" i="3"/>
  <c r="CZ120" i="3"/>
  <c r="DB120" i="3" s="1"/>
  <c r="DA120" i="3"/>
  <c r="DC120" i="3"/>
  <c r="A121" i="3"/>
  <c r="CY121" i="3"/>
  <c r="CZ121" i="3"/>
  <c r="DA121" i="3"/>
  <c r="DB121" i="3"/>
  <c r="DC121" i="3"/>
  <c r="A122" i="3"/>
  <c r="CY122" i="3"/>
  <c r="CZ122" i="3"/>
  <c r="DB122" i="3" s="1"/>
  <c r="DA122" i="3"/>
  <c r="DC122" i="3"/>
  <c r="A123" i="3"/>
  <c r="CX123" i="3"/>
  <c r="CY123" i="3"/>
  <c r="CZ123" i="3"/>
  <c r="DB123" i="3" s="1"/>
  <c r="DA123" i="3"/>
  <c r="DC123" i="3"/>
  <c r="A124" i="3"/>
  <c r="CX124" i="3"/>
  <c r="CY124" i="3"/>
  <c r="CZ124" i="3"/>
  <c r="DB124" i="3" s="1"/>
  <c r="DA124" i="3"/>
  <c r="DC124" i="3"/>
  <c r="A125" i="3"/>
  <c r="CX125" i="3"/>
  <c r="CY125" i="3"/>
  <c r="CZ125" i="3"/>
  <c r="DB125" i="3" s="1"/>
  <c r="DA125" i="3"/>
  <c r="DC125" i="3"/>
  <c r="A126" i="3"/>
  <c r="CY126" i="3"/>
  <c r="CZ126" i="3"/>
  <c r="DA126" i="3"/>
  <c r="DB126" i="3"/>
  <c r="DC126" i="3"/>
  <c r="A127" i="3"/>
  <c r="CY127" i="3"/>
  <c r="CZ127" i="3"/>
  <c r="DB127" i="3" s="1"/>
  <c r="L97" i="10" s="1"/>
  <c r="DA127" i="3"/>
  <c r="DC127" i="3"/>
  <c r="Q97" i="10" s="1"/>
  <c r="A128" i="3"/>
  <c r="CY128" i="3"/>
  <c r="CZ128" i="3"/>
  <c r="DB128" i="3" s="1"/>
  <c r="L96" i="10" s="1"/>
  <c r="DA128" i="3"/>
  <c r="DC128" i="3"/>
  <c r="Q96" i="10" s="1"/>
  <c r="A129" i="3"/>
  <c r="CY129" i="3"/>
  <c r="CZ129" i="3"/>
  <c r="DA129" i="3"/>
  <c r="DB129" i="3"/>
  <c r="L95" i="10" s="1"/>
  <c r="DC129" i="3"/>
  <c r="Q95" i="10" s="1"/>
  <c r="A130" i="3"/>
  <c r="CY130" i="3"/>
  <c r="CZ130" i="3"/>
  <c r="DB130" i="3" s="1"/>
  <c r="L94" i="10" s="1"/>
  <c r="DA130" i="3"/>
  <c r="DC130" i="3"/>
  <c r="Q94" i="10" s="1"/>
  <c r="A131" i="3"/>
  <c r="CY131" i="3"/>
  <c r="CZ131" i="3"/>
  <c r="DB131" i="3" s="1"/>
  <c r="L93" i="10" s="1"/>
  <c r="DA131" i="3"/>
  <c r="DC131" i="3"/>
  <c r="Q93" i="10" s="1"/>
  <c r="A132" i="3"/>
  <c r="CY132" i="3"/>
  <c r="CZ132" i="3"/>
  <c r="DB132" i="3" s="1"/>
  <c r="L92" i="10" s="1"/>
  <c r="DA132" i="3"/>
  <c r="DC132" i="3"/>
  <c r="Q92" i="10" s="1"/>
  <c r="A133" i="3"/>
  <c r="CY133" i="3"/>
  <c r="CZ133" i="3"/>
  <c r="DB133" i="3" s="1"/>
  <c r="DA133" i="3"/>
  <c r="DC133" i="3"/>
  <c r="A134" i="3"/>
  <c r="CY134" i="3"/>
  <c r="CZ134" i="3"/>
  <c r="DB134" i="3" s="1"/>
  <c r="DA134" i="3"/>
  <c r="DC134" i="3"/>
  <c r="A135" i="3"/>
  <c r="CY135" i="3"/>
  <c r="CZ135" i="3"/>
  <c r="DB135" i="3" s="1"/>
  <c r="L105" i="10" s="1"/>
  <c r="DA135" i="3"/>
  <c r="DC135" i="3"/>
  <c r="Q105" i="10" s="1"/>
  <c r="A136" i="3"/>
  <c r="CY136" i="3"/>
  <c r="CZ136" i="3"/>
  <c r="DB136" i="3" s="1"/>
  <c r="L104" i="10" s="1"/>
  <c r="DA136" i="3"/>
  <c r="DC136" i="3"/>
  <c r="Q104" i="10" s="1"/>
  <c r="A137" i="3"/>
  <c r="CY137" i="3"/>
  <c r="CZ137" i="3"/>
  <c r="DB137" i="3" s="1"/>
  <c r="L103" i="10" s="1"/>
  <c r="DA137" i="3"/>
  <c r="DC137" i="3"/>
  <c r="Q103" i="10" s="1"/>
  <c r="A138" i="3"/>
  <c r="CY138" i="3"/>
  <c r="CZ138" i="3"/>
  <c r="DB138" i="3" s="1"/>
  <c r="L102" i="10" s="1"/>
  <c r="DA138" i="3"/>
  <c r="DC138" i="3"/>
  <c r="Q102" i="10" s="1"/>
  <c r="A139" i="3"/>
  <c r="CY139" i="3"/>
  <c r="CZ139" i="3"/>
  <c r="DB139" i="3" s="1"/>
  <c r="L101" i="10" s="1"/>
  <c r="DA139" i="3"/>
  <c r="DC139" i="3"/>
  <c r="Q101" i="10" s="1"/>
  <c r="A140" i="3"/>
  <c r="CY140" i="3"/>
  <c r="CZ140" i="3"/>
  <c r="DB140" i="3" s="1"/>
  <c r="L100" i="10" s="1"/>
  <c r="DA140" i="3"/>
  <c r="DC140" i="3"/>
  <c r="Q100" i="10" s="1"/>
  <c r="A141" i="3"/>
  <c r="CY141" i="3"/>
  <c r="CZ141" i="3"/>
  <c r="DB141" i="3" s="1"/>
  <c r="L99" i="10" s="1"/>
  <c r="DA141" i="3"/>
  <c r="DC141" i="3"/>
  <c r="Q99" i="10" s="1"/>
  <c r="A142" i="3"/>
  <c r="CY142" i="3"/>
  <c r="CZ142" i="3"/>
  <c r="DA142" i="3"/>
  <c r="DB142" i="3"/>
  <c r="DC142" i="3"/>
  <c r="A143" i="3"/>
  <c r="CY143" i="3"/>
  <c r="CZ143" i="3"/>
  <c r="DB143" i="3" s="1"/>
  <c r="DA143" i="3"/>
  <c r="DC143" i="3"/>
  <c r="A144" i="3"/>
  <c r="CY144" i="3"/>
  <c r="CZ144" i="3"/>
  <c r="DB144" i="3" s="1"/>
  <c r="L110" i="10" s="1"/>
  <c r="DA144" i="3"/>
  <c r="DC144" i="3"/>
  <c r="Q110" i="10" s="1"/>
  <c r="A145" i="3"/>
  <c r="CY145" i="3"/>
  <c r="CZ145" i="3"/>
  <c r="DA145" i="3"/>
  <c r="DB145" i="3"/>
  <c r="L109" i="10" s="1"/>
  <c r="DC145" i="3"/>
  <c r="Q109" i="10" s="1"/>
  <c r="A146" i="3"/>
  <c r="CY146" i="3"/>
  <c r="CZ146" i="3"/>
  <c r="DB146" i="3" s="1"/>
  <c r="DA146" i="3"/>
  <c r="DC146" i="3"/>
  <c r="A147" i="3"/>
  <c r="CY147" i="3"/>
  <c r="CZ147" i="3"/>
  <c r="DB147" i="3" s="1"/>
  <c r="DA147" i="3"/>
  <c r="DC147" i="3"/>
  <c r="A148" i="3"/>
  <c r="CY148" i="3"/>
  <c r="CZ148" i="3"/>
  <c r="DB148" i="3" s="1"/>
  <c r="L112" i="10" s="1"/>
  <c r="DA148" i="3"/>
  <c r="DC148" i="3"/>
  <c r="Q112" i="10" s="1"/>
  <c r="A149" i="3"/>
  <c r="CY149" i="3"/>
  <c r="CZ149" i="3"/>
  <c r="DB149" i="3" s="1"/>
  <c r="L111" i="10" s="1"/>
  <c r="DA149" i="3"/>
  <c r="DC149" i="3"/>
  <c r="Q111" i="10" s="1"/>
  <c r="A150" i="3"/>
  <c r="CY150" i="3"/>
  <c r="CZ150" i="3"/>
  <c r="DB150" i="3" s="1"/>
  <c r="DA150" i="3"/>
  <c r="DC150" i="3"/>
  <c r="A151" i="3"/>
  <c r="CX151" i="3"/>
  <c r="CY151" i="3"/>
  <c r="CZ151" i="3"/>
  <c r="DB151" i="3" s="1"/>
  <c r="DA151" i="3"/>
  <c r="DC151" i="3"/>
  <c r="A152" i="3"/>
  <c r="CY152" i="3"/>
  <c r="CZ152" i="3"/>
  <c r="DB152" i="3" s="1"/>
  <c r="DA152" i="3"/>
  <c r="DC152" i="3"/>
  <c r="A153" i="3"/>
  <c r="CY153" i="3"/>
  <c r="CZ153" i="3"/>
  <c r="DA153" i="3"/>
  <c r="DB153" i="3"/>
  <c r="DC153" i="3"/>
  <c r="A154" i="3"/>
  <c r="CY154" i="3"/>
  <c r="CZ154" i="3"/>
  <c r="DB154" i="3" s="1"/>
  <c r="L114" i="10" s="1"/>
  <c r="DA154" i="3"/>
  <c r="DC154" i="3"/>
  <c r="Q114" i="10" s="1"/>
  <c r="A155" i="3"/>
  <c r="CY155" i="3"/>
  <c r="CZ155" i="3"/>
  <c r="DB155" i="3" s="1"/>
  <c r="L113" i="10" s="1"/>
  <c r="DA155" i="3"/>
  <c r="DC155" i="3"/>
  <c r="Q113" i="10" s="1"/>
  <c r="A156" i="3"/>
  <c r="CY156" i="3"/>
  <c r="CZ156" i="3"/>
  <c r="DB156" i="3" s="1"/>
  <c r="DA156" i="3"/>
  <c r="DC156" i="3"/>
  <c r="A157" i="3"/>
  <c r="CY157" i="3"/>
  <c r="CZ157" i="3"/>
  <c r="DB157" i="3" s="1"/>
  <c r="DA157" i="3"/>
  <c r="DC157" i="3"/>
  <c r="A158" i="3"/>
  <c r="CY158" i="3"/>
  <c r="CZ158" i="3"/>
  <c r="DB158" i="3" s="1"/>
  <c r="DA158" i="3"/>
  <c r="DC158" i="3"/>
  <c r="A159" i="3"/>
  <c r="CY159" i="3"/>
  <c r="CZ159" i="3"/>
  <c r="DB159" i="3" s="1"/>
  <c r="DA159" i="3"/>
  <c r="DC159" i="3"/>
  <c r="A160" i="3"/>
  <c r="CY160" i="3"/>
  <c r="CZ160" i="3"/>
  <c r="DB160" i="3" s="1"/>
  <c r="DA160" i="3"/>
  <c r="DC160" i="3"/>
  <c r="A161" i="3"/>
  <c r="CY161" i="3"/>
  <c r="CZ161" i="3"/>
  <c r="DB161" i="3" s="1"/>
  <c r="DA161" i="3"/>
  <c r="DC161" i="3"/>
  <c r="A162" i="3"/>
  <c r="CY162" i="3"/>
  <c r="CZ162" i="3"/>
  <c r="DB162" i="3" s="1"/>
  <c r="L117" i="10" s="1"/>
  <c r="DA162" i="3"/>
  <c r="DC162" i="3"/>
  <c r="Q117" i="10" s="1"/>
  <c r="A163" i="3"/>
  <c r="CY163" i="3"/>
  <c r="CZ163" i="3"/>
  <c r="DB163" i="3" s="1"/>
  <c r="DA163" i="3"/>
  <c r="DC163" i="3"/>
  <c r="A164" i="3"/>
  <c r="CY164" i="3"/>
  <c r="CZ164" i="3"/>
  <c r="DB164" i="3" s="1"/>
  <c r="DA164" i="3"/>
  <c r="DC164" i="3"/>
  <c r="A165" i="3"/>
  <c r="CY165" i="3"/>
  <c r="CZ165" i="3"/>
  <c r="DB165" i="3" s="1"/>
  <c r="L121" i="10" s="1"/>
  <c r="DA165" i="3"/>
  <c r="DC165" i="3"/>
  <c r="Q121" i="10" s="1"/>
  <c r="A166" i="3"/>
  <c r="CY166" i="3"/>
  <c r="CZ166" i="3"/>
  <c r="DA166" i="3"/>
  <c r="DB166" i="3"/>
  <c r="L120" i="10" s="1"/>
  <c r="DC166" i="3"/>
  <c r="Q120" i="10" s="1"/>
  <c r="A167" i="3"/>
  <c r="CY167" i="3"/>
  <c r="CZ167" i="3"/>
  <c r="DB167" i="3" s="1"/>
  <c r="DA167" i="3"/>
  <c r="DC167" i="3"/>
  <c r="A168" i="3"/>
  <c r="CX168" i="3"/>
  <c r="CY168" i="3"/>
  <c r="CZ168" i="3"/>
  <c r="DB168" i="3" s="1"/>
  <c r="DA168" i="3"/>
  <c r="DC168" i="3"/>
  <c r="A169" i="3"/>
  <c r="CY169" i="3"/>
  <c r="CZ169" i="3"/>
  <c r="DB169" i="3" s="1"/>
  <c r="DA169" i="3"/>
  <c r="DC169" i="3"/>
  <c r="A170" i="3"/>
  <c r="CY170" i="3"/>
  <c r="CZ170" i="3"/>
  <c r="DB170" i="3" s="1"/>
  <c r="DA170" i="3"/>
  <c r="DC170" i="3"/>
  <c r="A171" i="3"/>
  <c r="CY171" i="3"/>
  <c r="CZ171" i="3"/>
  <c r="DB171" i="3" s="1"/>
  <c r="L124" i="10" s="1"/>
  <c r="DA171" i="3"/>
  <c r="DC171" i="3"/>
  <c r="Q124" i="10" s="1"/>
  <c r="A172" i="3"/>
  <c r="CY172" i="3"/>
  <c r="CZ172" i="3"/>
  <c r="DB172" i="3" s="1"/>
  <c r="L123" i="10" s="1"/>
  <c r="DA172" i="3"/>
  <c r="DC172" i="3"/>
  <c r="Q123" i="10" s="1"/>
  <c r="A173" i="3"/>
  <c r="CY173" i="3"/>
  <c r="CZ173" i="3"/>
  <c r="DB173" i="3" s="1"/>
  <c r="DA173" i="3"/>
  <c r="DC173" i="3"/>
  <c r="A174" i="3"/>
  <c r="CY174" i="3"/>
  <c r="CZ174" i="3"/>
  <c r="DB174" i="3" s="1"/>
  <c r="L122" i="10" s="1"/>
  <c r="DA174" i="3"/>
  <c r="DC174" i="3"/>
  <c r="Q122" i="10" s="1"/>
  <c r="A175" i="3"/>
  <c r="CY175" i="3"/>
  <c r="CZ175" i="3"/>
  <c r="DB175" i="3" s="1"/>
  <c r="DA175" i="3"/>
  <c r="DC175" i="3"/>
  <c r="A176" i="3"/>
  <c r="CY176" i="3"/>
  <c r="CZ176" i="3"/>
  <c r="DB176" i="3" s="1"/>
  <c r="DA176" i="3"/>
  <c r="DC176" i="3"/>
  <c r="A177" i="3"/>
  <c r="CY177" i="3"/>
  <c r="CZ177" i="3"/>
  <c r="DB177" i="3" s="1"/>
  <c r="L126" i="10" s="1"/>
  <c r="DA177" i="3"/>
  <c r="DC177" i="3"/>
  <c r="Q126" i="10" s="1"/>
  <c r="A178" i="3"/>
  <c r="CY178" i="3"/>
  <c r="CZ178" i="3"/>
  <c r="DA178" i="3"/>
  <c r="DB178" i="3"/>
  <c r="DC178" i="3"/>
  <c r="A179" i="3"/>
  <c r="CY179" i="3"/>
  <c r="CZ179" i="3"/>
  <c r="DB179" i="3" s="1"/>
  <c r="L129" i="10" s="1"/>
  <c r="DA179" i="3"/>
  <c r="DC179" i="3"/>
  <c r="Q129" i="10" s="1"/>
  <c r="A180" i="3"/>
  <c r="CY180" i="3"/>
  <c r="CZ180" i="3"/>
  <c r="DB180" i="3" s="1"/>
  <c r="L128" i="10" s="1"/>
  <c r="DA180" i="3"/>
  <c r="DC180" i="3"/>
  <c r="Q128" i="10" s="1"/>
  <c r="A181" i="3"/>
  <c r="CY181" i="3"/>
  <c r="CZ181" i="3"/>
  <c r="DA181" i="3"/>
  <c r="DB181" i="3"/>
  <c r="DC181" i="3"/>
  <c r="A182" i="3"/>
  <c r="CY182" i="3"/>
  <c r="CZ182" i="3"/>
  <c r="DB182" i="3" s="1"/>
  <c r="DA182" i="3"/>
  <c r="DC182" i="3"/>
  <c r="A183" i="3"/>
  <c r="CY183" i="3"/>
  <c r="CZ183" i="3"/>
  <c r="DB183" i="3" s="1"/>
  <c r="L135" i="10" s="1"/>
  <c r="DA183" i="3"/>
  <c r="DC183" i="3"/>
  <c r="Q135" i="10" s="1"/>
  <c r="A184" i="3"/>
  <c r="CY184" i="3"/>
  <c r="CZ184" i="3"/>
  <c r="DB184" i="3" s="1"/>
  <c r="DA184" i="3"/>
  <c r="DC184" i="3"/>
  <c r="A185" i="3"/>
  <c r="CY185" i="3"/>
  <c r="CZ185" i="3"/>
  <c r="DB185" i="3" s="1"/>
  <c r="L134" i="10" s="1"/>
  <c r="DA185" i="3"/>
  <c r="DC185" i="3"/>
  <c r="Q134" i="10" s="1"/>
  <c r="A186" i="3"/>
  <c r="CY186" i="3"/>
  <c r="CZ186" i="3"/>
  <c r="DB186" i="3" s="1"/>
  <c r="DA186" i="3"/>
  <c r="DC186" i="3"/>
  <c r="A187" i="3"/>
  <c r="CY187" i="3"/>
  <c r="CZ187" i="3"/>
  <c r="DB187" i="3" s="1"/>
  <c r="DA187" i="3"/>
  <c r="DC187" i="3"/>
  <c r="A188" i="3"/>
  <c r="CY188" i="3"/>
  <c r="CZ188" i="3"/>
  <c r="DB188" i="3" s="1"/>
  <c r="L137" i="10" s="1"/>
  <c r="DA188" i="3"/>
  <c r="DC188" i="3"/>
  <c r="Q137" i="10" s="1"/>
  <c r="A189" i="3"/>
  <c r="CY189" i="3"/>
  <c r="CZ189" i="3"/>
  <c r="DB189" i="3" s="1"/>
  <c r="DA189" i="3"/>
  <c r="DC189" i="3"/>
  <c r="A190" i="3"/>
  <c r="CY190" i="3"/>
  <c r="CZ190" i="3"/>
  <c r="DB190" i="3" s="1"/>
  <c r="L140" i="10" s="1"/>
  <c r="DA190" i="3"/>
  <c r="DC190" i="3"/>
  <c r="Q140" i="10" s="1"/>
  <c r="A191" i="3"/>
  <c r="CY191" i="3"/>
  <c r="CZ191" i="3"/>
  <c r="DB191" i="3" s="1"/>
  <c r="L139" i="10" s="1"/>
  <c r="DA191" i="3"/>
  <c r="DC191" i="3"/>
  <c r="Q139" i="10" s="1"/>
  <c r="A192" i="3"/>
  <c r="CY192" i="3"/>
  <c r="CZ192" i="3"/>
  <c r="DB192" i="3" s="1"/>
  <c r="DA192" i="3"/>
  <c r="DC192" i="3"/>
  <c r="A193" i="3"/>
  <c r="CX193" i="3"/>
  <c r="CY193" i="3"/>
  <c r="CZ193" i="3"/>
  <c r="DB193" i="3" s="1"/>
  <c r="DA193" i="3"/>
  <c r="DC193" i="3"/>
  <c r="A194" i="3"/>
  <c r="CY194" i="3"/>
  <c r="CZ194" i="3"/>
  <c r="DA194" i="3"/>
  <c r="DB194" i="3"/>
  <c r="DC194" i="3"/>
  <c r="A195" i="3"/>
  <c r="CY195" i="3"/>
  <c r="CZ195" i="3"/>
  <c r="DB195" i="3" s="1"/>
  <c r="DA195" i="3"/>
  <c r="DC195" i="3"/>
  <c r="A196" i="3"/>
  <c r="CY196" i="3"/>
  <c r="CZ196" i="3"/>
  <c r="DB196" i="3" s="1"/>
  <c r="L144" i="10" s="1"/>
  <c r="DA196" i="3"/>
  <c r="DC196" i="3"/>
  <c r="Q144" i="10" s="1"/>
  <c r="A197" i="3"/>
  <c r="CY197" i="3"/>
  <c r="CZ197" i="3"/>
  <c r="DA197" i="3"/>
  <c r="DB197" i="3"/>
  <c r="L143" i="10" s="1"/>
  <c r="DC197" i="3"/>
  <c r="Q143" i="10" s="1"/>
  <c r="A198" i="3"/>
  <c r="CY198" i="3"/>
  <c r="CZ198" i="3"/>
  <c r="DB198" i="3" s="1"/>
  <c r="L142" i="10" s="1"/>
  <c r="DA198" i="3"/>
  <c r="DC198" i="3"/>
  <c r="Q142" i="10" s="1"/>
  <c r="A199" i="3"/>
  <c r="CY199" i="3"/>
  <c r="CZ199" i="3"/>
  <c r="DB199" i="3" s="1"/>
  <c r="DA199" i="3"/>
  <c r="DC199" i="3"/>
  <c r="A200" i="3"/>
  <c r="CY200" i="3"/>
  <c r="CZ200" i="3"/>
  <c r="DB200" i="3" s="1"/>
  <c r="L141" i="10" s="1"/>
  <c r="DA200" i="3"/>
  <c r="DC200" i="3"/>
  <c r="Q141" i="10" s="1"/>
  <c r="A201" i="3"/>
  <c r="CY201" i="3"/>
  <c r="CZ201" i="3"/>
  <c r="DB201" i="3" s="1"/>
  <c r="DA201" i="3"/>
  <c r="DC201" i="3"/>
  <c r="A202" i="3"/>
  <c r="CY202" i="3"/>
  <c r="CZ202" i="3"/>
  <c r="DB202" i="3" s="1"/>
  <c r="DA202" i="3"/>
  <c r="DC202" i="3"/>
  <c r="A203" i="3"/>
  <c r="CY203" i="3"/>
  <c r="CZ203" i="3"/>
  <c r="DB203" i="3" s="1"/>
  <c r="DA203" i="3"/>
  <c r="DC203" i="3"/>
  <c r="A204" i="3"/>
  <c r="CY204" i="3"/>
  <c r="CZ204" i="3"/>
  <c r="DB204" i="3" s="1"/>
  <c r="DA204" i="3"/>
  <c r="DC204" i="3"/>
  <c r="A205" i="3"/>
  <c r="CY205" i="3"/>
  <c r="CZ205" i="3"/>
  <c r="DB205" i="3" s="1"/>
  <c r="DA205" i="3"/>
  <c r="DC205" i="3"/>
  <c r="A206" i="3"/>
  <c r="CY206" i="3"/>
  <c r="CZ206" i="3"/>
  <c r="DB206" i="3" s="1"/>
  <c r="L153" i="10" s="1"/>
  <c r="DA206" i="3"/>
  <c r="DC206" i="3"/>
  <c r="Q153" i="10" s="1"/>
  <c r="A207" i="3"/>
  <c r="CY207" i="3"/>
  <c r="CZ207" i="3"/>
  <c r="DB207" i="3" s="1"/>
  <c r="L152" i="10" s="1"/>
  <c r="DA207" i="3"/>
  <c r="DC207" i="3"/>
  <c r="Q152" i="10" s="1"/>
  <c r="A208" i="3"/>
  <c r="CY208" i="3"/>
  <c r="CZ208" i="3"/>
  <c r="DB208" i="3" s="1"/>
  <c r="DA208" i="3"/>
  <c r="DC208" i="3"/>
  <c r="A209" i="3"/>
  <c r="CY209" i="3"/>
  <c r="CZ209" i="3"/>
  <c r="DB209" i="3" s="1"/>
  <c r="L151" i="10" s="1"/>
  <c r="DA209" i="3"/>
  <c r="DC209" i="3"/>
  <c r="Q151" i="10" s="1"/>
  <c r="A210" i="3"/>
  <c r="CY210" i="3"/>
  <c r="CZ210" i="3"/>
  <c r="DA210" i="3"/>
  <c r="DB210" i="3"/>
  <c r="L150" i="10" s="1"/>
  <c r="DC210" i="3"/>
  <c r="Q150" i="10" s="1"/>
  <c r="A211" i="3"/>
  <c r="CY211" i="3"/>
  <c r="CZ211" i="3"/>
  <c r="DB211" i="3" s="1"/>
  <c r="DA211" i="3"/>
  <c r="DC211" i="3"/>
  <c r="A212" i="3"/>
  <c r="CY212" i="3"/>
  <c r="CZ212" i="3"/>
  <c r="DB212" i="3" s="1"/>
  <c r="L158" i="10" s="1"/>
  <c r="DA212" i="3"/>
  <c r="DC212" i="3"/>
  <c r="Q158" i="10" s="1"/>
  <c r="A213" i="3"/>
  <c r="CY213" i="3"/>
  <c r="CZ213" i="3"/>
  <c r="DA213" i="3"/>
  <c r="DB213" i="3"/>
  <c r="L157" i="10" s="1"/>
  <c r="DC213" i="3"/>
  <c r="Q157" i="10" s="1"/>
  <c r="A214" i="3"/>
  <c r="CY214" i="3"/>
  <c r="CZ214" i="3"/>
  <c r="DB214" i="3" s="1"/>
  <c r="DA214" i="3"/>
  <c r="DC214" i="3"/>
  <c r="A215" i="3"/>
  <c r="CY215" i="3"/>
  <c r="CZ215" i="3"/>
  <c r="DB215" i="3" s="1"/>
  <c r="L156" i="10" s="1"/>
  <c r="DA215" i="3"/>
  <c r="DC215" i="3"/>
  <c r="Q156" i="10" s="1"/>
  <c r="A216" i="3"/>
  <c r="CY216" i="3"/>
  <c r="CZ216" i="3"/>
  <c r="DB216" i="3" s="1"/>
  <c r="L155" i="10" s="1"/>
  <c r="DA216" i="3"/>
  <c r="DC216" i="3"/>
  <c r="Q155" i="10" s="1"/>
  <c r="A217" i="3"/>
  <c r="CY217" i="3"/>
  <c r="CZ217" i="3"/>
  <c r="DB217" i="3" s="1"/>
  <c r="DA217" i="3"/>
  <c r="DC217" i="3"/>
  <c r="A218" i="3"/>
  <c r="CY218" i="3"/>
  <c r="CZ218" i="3"/>
  <c r="DB218" i="3" s="1"/>
  <c r="L161" i="10" s="1"/>
  <c r="DA218" i="3"/>
  <c r="DC218" i="3"/>
  <c r="Q161" i="10" s="1"/>
  <c r="A219" i="3"/>
  <c r="CY219" i="3"/>
  <c r="CZ219" i="3"/>
  <c r="DB219" i="3" s="1"/>
  <c r="DA219" i="3"/>
  <c r="DC219" i="3"/>
  <c r="A220" i="3"/>
  <c r="CY220" i="3"/>
  <c r="CZ220" i="3"/>
  <c r="DB220" i="3" s="1"/>
  <c r="L160" i="10" s="1"/>
  <c r="DA220" i="3"/>
  <c r="DC220" i="3"/>
  <c r="Q160" i="10" s="1"/>
  <c r="A221" i="3"/>
  <c r="CY221" i="3"/>
  <c r="CZ221" i="3"/>
  <c r="DB221" i="3" s="1"/>
  <c r="DA221" i="3"/>
  <c r="DC221" i="3"/>
  <c r="A222" i="3"/>
  <c r="CY222" i="3"/>
  <c r="CZ222" i="3"/>
  <c r="DB222" i="3" s="1"/>
  <c r="L166" i="10" s="1"/>
  <c r="DA222" i="3"/>
  <c r="DC222" i="3"/>
  <c r="Q166" i="10" s="1"/>
  <c r="A223" i="3"/>
  <c r="CY223" i="3"/>
  <c r="CZ223" i="3"/>
  <c r="DB223" i="3" s="1"/>
  <c r="L165" i="10" s="1"/>
  <c r="DA223" i="3"/>
  <c r="DC223" i="3"/>
  <c r="Q165" i="10" s="1"/>
  <c r="A224" i="3"/>
  <c r="CY224" i="3"/>
  <c r="CZ224" i="3"/>
  <c r="DB224" i="3" s="1"/>
  <c r="DA224" i="3"/>
  <c r="DC224" i="3"/>
  <c r="A225" i="3"/>
  <c r="CY225" i="3"/>
  <c r="CZ225" i="3"/>
  <c r="DB225" i="3" s="1"/>
  <c r="DA225" i="3"/>
  <c r="DC225" i="3"/>
  <c r="A226" i="3"/>
  <c r="CX226" i="3"/>
  <c r="CY226" i="3"/>
  <c r="CZ226" i="3"/>
  <c r="DB226" i="3" s="1"/>
  <c r="DA226" i="3"/>
  <c r="DC226" i="3"/>
  <c r="A227" i="3"/>
  <c r="CY227" i="3"/>
  <c r="CZ227" i="3"/>
  <c r="DB227" i="3" s="1"/>
  <c r="DA227" i="3"/>
  <c r="DC227" i="3"/>
  <c r="A228" i="3"/>
  <c r="CY228" i="3"/>
  <c r="CZ228" i="3"/>
  <c r="DB228" i="3" s="1"/>
  <c r="DA228" i="3"/>
  <c r="DC228" i="3"/>
  <c r="A229" i="3"/>
  <c r="CY229" i="3"/>
  <c r="CZ229" i="3"/>
  <c r="DB229" i="3" s="1"/>
  <c r="L172" i="10" s="1"/>
  <c r="DA229" i="3"/>
  <c r="DC229" i="3"/>
  <c r="Q172" i="10" s="1"/>
  <c r="A230" i="3"/>
  <c r="CY230" i="3"/>
  <c r="CZ230" i="3"/>
  <c r="DB230" i="3" s="1"/>
  <c r="L171" i="10" s="1"/>
  <c r="DA230" i="3"/>
  <c r="DC230" i="3"/>
  <c r="Q171" i="10" s="1"/>
  <c r="A231" i="3"/>
  <c r="CY231" i="3"/>
  <c r="CZ231" i="3"/>
  <c r="DB231" i="3" s="1"/>
  <c r="L170" i="10" s="1"/>
  <c r="DA231" i="3"/>
  <c r="DC231" i="3"/>
  <c r="Q170" i="10" s="1"/>
  <c r="A232" i="3"/>
  <c r="CY232" i="3"/>
  <c r="CZ232" i="3"/>
  <c r="DB232" i="3" s="1"/>
  <c r="L169" i="10" s="1"/>
  <c r="DA232" i="3"/>
  <c r="DC232" i="3"/>
  <c r="Q169" i="10" s="1"/>
  <c r="A233" i="3"/>
  <c r="CY233" i="3"/>
  <c r="CZ233" i="3"/>
  <c r="DB233" i="3" s="1"/>
  <c r="L168" i="10" s="1"/>
  <c r="DA233" i="3"/>
  <c r="DC233" i="3"/>
  <c r="Q168" i="10" s="1"/>
  <c r="A234" i="3"/>
  <c r="CY234" i="3"/>
  <c r="CZ234" i="3"/>
  <c r="DB234" i="3" s="1"/>
  <c r="L167" i="10" s="1"/>
  <c r="DA234" i="3"/>
  <c r="DC234" i="3"/>
  <c r="Q167" i="10" s="1"/>
  <c r="A235" i="3"/>
  <c r="CY235" i="3"/>
  <c r="CZ235" i="3"/>
  <c r="DB235" i="3" s="1"/>
  <c r="DA235" i="3"/>
  <c r="DC235" i="3"/>
  <c r="A236" i="3"/>
  <c r="CY236" i="3"/>
  <c r="CZ236" i="3"/>
  <c r="DB236" i="3" s="1"/>
  <c r="DA236" i="3"/>
  <c r="DC236" i="3"/>
  <c r="A237" i="3"/>
  <c r="CY237" i="3"/>
  <c r="CZ237" i="3"/>
  <c r="DB237" i="3" s="1"/>
  <c r="L180" i="10" s="1"/>
  <c r="DA237" i="3"/>
  <c r="DC237" i="3"/>
  <c r="Q180" i="10" s="1"/>
  <c r="A238" i="3"/>
  <c r="CY238" i="3"/>
  <c r="CZ238" i="3"/>
  <c r="DA238" i="3"/>
  <c r="DB238" i="3"/>
  <c r="L179" i="10" s="1"/>
  <c r="DC238" i="3"/>
  <c r="Q179" i="10" s="1"/>
  <c r="A239" i="3"/>
  <c r="CY239" i="3"/>
  <c r="CZ239" i="3"/>
  <c r="DB239" i="3" s="1"/>
  <c r="L178" i="10" s="1"/>
  <c r="DA239" i="3"/>
  <c r="DC239" i="3"/>
  <c r="Q178" i="10" s="1"/>
  <c r="A240" i="3"/>
  <c r="CY240" i="3"/>
  <c r="CZ240" i="3"/>
  <c r="DB240" i="3" s="1"/>
  <c r="L177" i="10" s="1"/>
  <c r="DA240" i="3"/>
  <c r="DC240" i="3"/>
  <c r="Q177" i="10" s="1"/>
  <c r="A241" i="3"/>
  <c r="CY241" i="3"/>
  <c r="CZ241" i="3"/>
  <c r="DA241" i="3"/>
  <c r="DB241" i="3"/>
  <c r="L176" i="10" s="1"/>
  <c r="DC241" i="3"/>
  <c r="Q176" i="10" s="1"/>
  <c r="A242" i="3"/>
  <c r="CY242" i="3"/>
  <c r="CZ242" i="3"/>
  <c r="DB242" i="3" s="1"/>
  <c r="L175" i="10" s="1"/>
  <c r="DA242" i="3"/>
  <c r="DC242" i="3"/>
  <c r="Q175" i="10" s="1"/>
  <c r="A243" i="3"/>
  <c r="CY243" i="3"/>
  <c r="CZ243" i="3"/>
  <c r="DB243" i="3" s="1"/>
  <c r="L174" i="10" s="1"/>
  <c r="DA243" i="3"/>
  <c r="DC243" i="3"/>
  <c r="Q174" i="10" s="1"/>
  <c r="A244" i="3"/>
  <c r="CY244" i="3"/>
  <c r="CZ244" i="3"/>
  <c r="DB244" i="3" s="1"/>
  <c r="DA244" i="3"/>
  <c r="DC244" i="3"/>
  <c r="A245" i="3"/>
  <c r="CY245" i="3"/>
  <c r="CZ245" i="3"/>
  <c r="DB245" i="3" s="1"/>
  <c r="DA245" i="3"/>
  <c r="DC245" i="3"/>
  <c r="A246" i="3"/>
  <c r="CY246" i="3"/>
  <c r="CZ246" i="3"/>
  <c r="DB246" i="3" s="1"/>
  <c r="L187" i="10" s="1"/>
  <c r="DA246" i="3"/>
  <c r="DC246" i="3"/>
  <c r="Q187" i="10" s="1"/>
  <c r="A247" i="3"/>
  <c r="CY247" i="3"/>
  <c r="CZ247" i="3"/>
  <c r="DB247" i="3" s="1"/>
  <c r="L186" i="10" s="1"/>
  <c r="DA247" i="3"/>
  <c r="DC247" i="3"/>
  <c r="Q186" i="10" s="1"/>
  <c r="A248" i="3"/>
  <c r="CY248" i="3"/>
  <c r="CZ248" i="3"/>
  <c r="DB248" i="3" s="1"/>
  <c r="L185" i="10" s="1"/>
  <c r="DA248" i="3"/>
  <c r="DC248" i="3"/>
  <c r="Q185" i="10" s="1"/>
  <c r="A249" i="3"/>
  <c r="CY249" i="3"/>
  <c r="CZ249" i="3"/>
  <c r="DB249" i="3" s="1"/>
  <c r="L184" i="10" s="1"/>
  <c r="DA249" i="3"/>
  <c r="DC249" i="3"/>
  <c r="Q184" i="10" s="1"/>
  <c r="A250" i="3"/>
  <c r="CY250" i="3"/>
  <c r="CZ250" i="3"/>
  <c r="DB250" i="3" s="1"/>
  <c r="L183" i="10" s="1"/>
  <c r="DA250" i="3"/>
  <c r="DC250" i="3"/>
  <c r="Q183" i="10" s="1"/>
  <c r="A251" i="3"/>
  <c r="CY251" i="3"/>
  <c r="CZ251" i="3"/>
  <c r="DB251" i="3" s="1"/>
  <c r="L182" i="10" s="1"/>
  <c r="DA251" i="3"/>
  <c r="DC251" i="3"/>
  <c r="Q182" i="10" s="1"/>
  <c r="A252" i="3"/>
  <c r="CY252" i="3"/>
  <c r="CZ252" i="3"/>
  <c r="DB252" i="3" s="1"/>
  <c r="DA252" i="3"/>
  <c r="DC252" i="3"/>
  <c r="A253" i="3"/>
  <c r="CY253" i="3"/>
  <c r="CZ253" i="3"/>
  <c r="DB253" i="3" s="1"/>
  <c r="DA253" i="3"/>
  <c r="DC253" i="3"/>
  <c r="A254" i="3"/>
  <c r="CY254" i="3"/>
  <c r="CZ254" i="3"/>
  <c r="DA254" i="3"/>
  <c r="DB254" i="3"/>
  <c r="DC254" i="3"/>
  <c r="A255" i="3"/>
  <c r="CY255" i="3"/>
  <c r="CZ255" i="3"/>
  <c r="DB255" i="3" s="1"/>
  <c r="DA255" i="3"/>
  <c r="DC255" i="3"/>
  <c r="A256" i="3"/>
  <c r="CY256" i="3"/>
  <c r="CZ256" i="3"/>
  <c r="DB256" i="3" s="1"/>
  <c r="DA256" i="3"/>
  <c r="DC256" i="3"/>
  <c r="A257" i="3"/>
  <c r="CY257" i="3"/>
  <c r="CZ257" i="3"/>
  <c r="DA257" i="3"/>
  <c r="DB257" i="3"/>
  <c r="L192" i="10" s="1"/>
  <c r="DC257" i="3"/>
  <c r="Q192" i="10" s="1"/>
  <c r="A258" i="3"/>
  <c r="CY258" i="3"/>
  <c r="CZ258" i="3"/>
  <c r="DB258" i="3" s="1"/>
  <c r="DA258" i="3"/>
  <c r="DC258" i="3"/>
  <c r="A259" i="3"/>
  <c r="CX259" i="3"/>
  <c r="CY259" i="3"/>
  <c r="CZ259" i="3"/>
  <c r="DB259" i="3" s="1"/>
  <c r="DA259" i="3"/>
  <c r="DC259" i="3"/>
  <c r="A260" i="3"/>
  <c r="CY260" i="3"/>
  <c r="CZ260" i="3"/>
  <c r="DB260" i="3" s="1"/>
  <c r="DA260" i="3"/>
  <c r="DC260" i="3"/>
  <c r="A261" i="3"/>
  <c r="CY261" i="3"/>
  <c r="CZ261" i="3"/>
  <c r="DB261" i="3" s="1"/>
  <c r="DA261" i="3"/>
  <c r="DC261" i="3"/>
  <c r="A262" i="3"/>
  <c r="CY262" i="3"/>
  <c r="CZ262" i="3"/>
  <c r="DB262" i="3" s="1"/>
  <c r="L198" i="10" s="1"/>
  <c r="DA262" i="3"/>
  <c r="DC262" i="3"/>
  <c r="Q198" i="10" s="1"/>
  <c r="A263" i="3"/>
  <c r="CY263" i="3"/>
  <c r="CZ263" i="3"/>
  <c r="DB263" i="3" s="1"/>
  <c r="L197" i="10" s="1"/>
  <c r="DA263" i="3"/>
  <c r="DC263" i="3"/>
  <c r="Q197" i="10" s="1"/>
  <c r="A264" i="3"/>
  <c r="CY264" i="3"/>
  <c r="CZ264" i="3"/>
  <c r="DB264" i="3" s="1"/>
  <c r="L196" i="10" s="1"/>
  <c r="DA264" i="3"/>
  <c r="DC264" i="3"/>
  <c r="Q196" i="10" s="1"/>
  <c r="A265" i="3"/>
  <c r="CY265" i="3"/>
  <c r="CZ265" i="3"/>
  <c r="DB265" i="3" s="1"/>
  <c r="L195" i="10" s="1"/>
  <c r="DA265" i="3"/>
  <c r="DC265" i="3"/>
  <c r="Q195" i="10" s="1"/>
  <c r="A266" i="3"/>
  <c r="CY266" i="3"/>
  <c r="CZ266" i="3"/>
  <c r="DB266" i="3" s="1"/>
  <c r="L194" i="10" s="1"/>
  <c r="DA266" i="3"/>
  <c r="DC266" i="3"/>
  <c r="Q194" i="10" s="1"/>
  <c r="A267" i="3"/>
  <c r="CY267" i="3"/>
  <c r="CZ267" i="3"/>
  <c r="DB267" i="3" s="1"/>
  <c r="L193" i="10" s="1"/>
  <c r="DA267" i="3"/>
  <c r="DC267" i="3"/>
  <c r="Q193" i="10" s="1"/>
  <c r="A268" i="3"/>
  <c r="CY268" i="3"/>
  <c r="CZ268" i="3"/>
  <c r="DB268" i="3" s="1"/>
  <c r="DA268" i="3"/>
  <c r="DC268" i="3"/>
  <c r="A269" i="3"/>
  <c r="CY269" i="3"/>
  <c r="CZ269" i="3"/>
  <c r="DB269" i="3" s="1"/>
  <c r="DA269" i="3"/>
  <c r="DC269" i="3"/>
  <c r="A270" i="3"/>
  <c r="CY270" i="3"/>
  <c r="CZ270" i="3"/>
  <c r="DA270" i="3"/>
  <c r="DB270" i="3"/>
  <c r="L206" i="10" s="1"/>
  <c r="DC270" i="3"/>
  <c r="Q206" i="10" s="1"/>
  <c r="A271" i="3"/>
  <c r="CY271" i="3"/>
  <c r="CZ271" i="3"/>
  <c r="DB271" i="3" s="1"/>
  <c r="L205" i="10" s="1"/>
  <c r="DA271" i="3"/>
  <c r="DC271" i="3"/>
  <c r="Q205" i="10" s="1"/>
  <c r="A272" i="3"/>
  <c r="CY272" i="3"/>
  <c r="CZ272" i="3"/>
  <c r="DB272" i="3" s="1"/>
  <c r="L204" i="10" s="1"/>
  <c r="DA272" i="3"/>
  <c r="DC272" i="3"/>
  <c r="Q204" i="10" s="1"/>
  <c r="A273" i="3"/>
  <c r="CY273" i="3"/>
  <c r="CZ273" i="3"/>
  <c r="DA273" i="3"/>
  <c r="DB273" i="3"/>
  <c r="L203" i="10" s="1"/>
  <c r="DC273" i="3"/>
  <c r="Q203" i="10" s="1"/>
  <c r="A274" i="3"/>
  <c r="CY274" i="3"/>
  <c r="CZ274" i="3"/>
  <c r="DB274" i="3" s="1"/>
  <c r="L202" i="10" s="1"/>
  <c r="DA274" i="3"/>
  <c r="DC274" i="3"/>
  <c r="Q202" i="10" s="1"/>
  <c r="A275" i="3"/>
  <c r="CY275" i="3"/>
  <c r="CZ275" i="3"/>
  <c r="DB275" i="3" s="1"/>
  <c r="L201" i="10" s="1"/>
  <c r="DA275" i="3"/>
  <c r="DC275" i="3"/>
  <c r="Q201" i="10" s="1"/>
  <c r="A276" i="3"/>
  <c r="CY276" i="3"/>
  <c r="CZ276" i="3"/>
  <c r="DB276" i="3" s="1"/>
  <c r="L200" i="10" s="1"/>
  <c r="DA276" i="3"/>
  <c r="DC276" i="3"/>
  <c r="Q200" i="10" s="1"/>
  <c r="A277" i="3"/>
  <c r="CY277" i="3"/>
  <c r="CZ277" i="3"/>
  <c r="DB277" i="3" s="1"/>
  <c r="DA277" i="3"/>
  <c r="DC277" i="3"/>
  <c r="A278" i="3"/>
  <c r="CY278" i="3"/>
  <c r="CZ278" i="3"/>
  <c r="DB278" i="3" s="1"/>
  <c r="DA278" i="3"/>
  <c r="DC278" i="3"/>
  <c r="A279" i="3"/>
  <c r="CY279" i="3"/>
  <c r="CZ279" i="3"/>
  <c r="DB279" i="3" s="1"/>
  <c r="DA279" i="3"/>
  <c r="DC279" i="3"/>
  <c r="A280" i="3"/>
  <c r="CY280" i="3"/>
  <c r="CZ280" i="3"/>
  <c r="DB280" i="3" s="1"/>
  <c r="DA280" i="3"/>
  <c r="DC280" i="3"/>
  <c r="A281" i="3"/>
  <c r="CY281" i="3"/>
  <c r="CZ281" i="3"/>
  <c r="DB281" i="3" s="1"/>
  <c r="L210" i="10" s="1"/>
  <c r="DA281" i="3"/>
  <c r="DC281" i="3"/>
  <c r="Q210" i="10" s="1"/>
  <c r="A282" i="3"/>
  <c r="CY282" i="3"/>
  <c r="CZ282" i="3"/>
  <c r="DB282" i="3" s="1"/>
  <c r="L211" i="10" s="1"/>
  <c r="DA282" i="3"/>
  <c r="DC282" i="3"/>
  <c r="Q211" i="10" s="1"/>
  <c r="A283" i="3"/>
  <c r="CY283" i="3"/>
  <c r="CZ283" i="3"/>
  <c r="DB283" i="3" s="1"/>
  <c r="DA283" i="3"/>
  <c r="DC283" i="3"/>
  <c r="A284" i="3"/>
  <c r="CY284" i="3"/>
  <c r="CZ284" i="3"/>
  <c r="DB284" i="3" s="1"/>
  <c r="DA284" i="3"/>
  <c r="DC284" i="3"/>
  <c r="A285" i="3"/>
  <c r="CY285" i="3"/>
  <c r="CZ285" i="3"/>
  <c r="DB285" i="3" s="1"/>
  <c r="L214" i="10" s="1"/>
  <c r="DA285" i="3"/>
  <c r="DC285" i="3"/>
  <c r="Q214" i="10" s="1"/>
  <c r="A286" i="3"/>
  <c r="CY286" i="3"/>
  <c r="CZ286" i="3"/>
  <c r="DA286" i="3"/>
  <c r="DB286" i="3"/>
  <c r="L213" i="10" s="1"/>
  <c r="DC286" i="3"/>
  <c r="Q213" i="10" s="1"/>
  <c r="A287" i="3"/>
  <c r="CY287" i="3"/>
  <c r="CZ287" i="3"/>
  <c r="DB287" i="3" s="1"/>
  <c r="DA287" i="3"/>
  <c r="DC287" i="3"/>
  <c r="A288" i="3"/>
  <c r="CY288" i="3"/>
  <c r="CZ288" i="3"/>
  <c r="DB288" i="3" s="1"/>
  <c r="DA288" i="3"/>
  <c r="DC288" i="3"/>
  <c r="A289" i="3"/>
  <c r="CY289" i="3"/>
  <c r="CZ289" i="3"/>
  <c r="DA289" i="3"/>
  <c r="DB289" i="3"/>
  <c r="DC289" i="3"/>
  <c r="A290" i="3"/>
  <c r="CY290" i="3"/>
  <c r="CZ290" i="3"/>
  <c r="DB290" i="3" s="1"/>
  <c r="L212" i="10" s="1"/>
  <c r="DA290" i="3"/>
  <c r="DC290" i="3"/>
  <c r="Q212" i="10" s="1"/>
  <c r="A291" i="3"/>
  <c r="CY291" i="3"/>
  <c r="CZ291" i="3"/>
  <c r="DB291" i="3" s="1"/>
  <c r="DA291" i="3"/>
  <c r="DC291" i="3"/>
  <c r="A292" i="3"/>
  <c r="CY292" i="3"/>
  <c r="CZ292" i="3"/>
  <c r="DB292" i="3" s="1"/>
  <c r="L224" i="10" s="1"/>
  <c r="DA292" i="3"/>
  <c r="DC292" i="3"/>
  <c r="Q224" i="10" s="1"/>
  <c r="A293" i="3"/>
  <c r="CY293" i="3"/>
  <c r="CZ293" i="3"/>
  <c r="DB293" i="3" s="1"/>
  <c r="L223" i="10" s="1"/>
  <c r="DA293" i="3"/>
  <c r="DC293" i="3"/>
  <c r="Q223" i="10" s="1"/>
  <c r="A294" i="3"/>
  <c r="CY294" i="3"/>
  <c r="CZ294" i="3"/>
  <c r="DB294" i="3" s="1"/>
  <c r="L222" i="10" s="1"/>
  <c r="DA294" i="3"/>
  <c r="DC294" i="3"/>
  <c r="Q222" i="10" s="1"/>
  <c r="A295" i="3"/>
  <c r="CY295" i="3"/>
  <c r="CZ295" i="3"/>
  <c r="DB295" i="3" s="1"/>
  <c r="L221" i="10" s="1"/>
  <c r="DA295" i="3"/>
  <c r="DC295" i="3"/>
  <c r="Q221" i="10" s="1"/>
  <c r="A296" i="3"/>
  <c r="CY296" i="3"/>
  <c r="CZ296" i="3"/>
  <c r="DB296" i="3" s="1"/>
  <c r="L220" i="10" s="1"/>
  <c r="DA296" i="3"/>
  <c r="DC296" i="3"/>
  <c r="Q220" i="10" s="1"/>
  <c r="A297" i="3"/>
  <c r="CY297" i="3"/>
  <c r="CZ297" i="3"/>
  <c r="DB297" i="3" s="1"/>
  <c r="DA297" i="3"/>
  <c r="DC297" i="3"/>
  <c r="A298" i="3"/>
  <c r="CY298" i="3"/>
  <c r="CZ298" i="3"/>
  <c r="DB298" i="3" s="1"/>
  <c r="L219" i="10" s="1"/>
  <c r="DA298" i="3"/>
  <c r="DC298" i="3"/>
  <c r="Q219" i="10" s="1"/>
  <c r="A299" i="3"/>
  <c r="CY299" i="3"/>
  <c r="CZ299" i="3"/>
  <c r="DB299" i="3" s="1"/>
  <c r="L218" i="10" s="1"/>
  <c r="DA299" i="3"/>
  <c r="DC299" i="3"/>
  <c r="Q218" i="10" s="1"/>
  <c r="A300" i="3"/>
  <c r="CY300" i="3"/>
  <c r="CZ300" i="3"/>
  <c r="DB300" i="3" s="1"/>
  <c r="DA300" i="3"/>
  <c r="DC300" i="3"/>
  <c r="A301" i="3"/>
  <c r="CY301" i="3"/>
  <c r="CZ301" i="3"/>
  <c r="DB301" i="3" s="1"/>
  <c r="L230" i="10" s="1"/>
  <c r="DA301" i="3"/>
  <c r="DC301" i="3"/>
  <c r="Q230" i="10" s="1"/>
  <c r="A302" i="3"/>
  <c r="CY302" i="3"/>
  <c r="CZ302" i="3"/>
  <c r="DA302" i="3"/>
  <c r="DB302" i="3"/>
  <c r="DC302" i="3"/>
  <c r="A303" i="3"/>
  <c r="CY303" i="3"/>
  <c r="CZ303" i="3"/>
  <c r="DB303" i="3" s="1"/>
  <c r="L229" i="10" s="1"/>
  <c r="DA303" i="3"/>
  <c r="DC303" i="3"/>
  <c r="Q229" i="10" s="1"/>
  <c r="A304" i="3"/>
  <c r="CY304" i="3"/>
  <c r="CZ304" i="3"/>
  <c r="DB304" i="3" s="1"/>
  <c r="L228" i="10" s="1"/>
  <c r="DA304" i="3"/>
  <c r="DC304" i="3"/>
  <c r="Q228" i="10" s="1"/>
  <c r="A305" i="3"/>
  <c r="CY305" i="3"/>
  <c r="CZ305" i="3"/>
  <c r="DA305" i="3"/>
  <c r="DB305" i="3"/>
  <c r="DC305" i="3"/>
  <c r="A306" i="3"/>
  <c r="CY306" i="3"/>
  <c r="CZ306" i="3"/>
  <c r="DB306" i="3" s="1"/>
  <c r="L240" i="10" s="1"/>
  <c r="DA306" i="3"/>
  <c r="DC306" i="3"/>
  <c r="Q240" i="10" s="1"/>
  <c r="A307" i="3"/>
  <c r="CY307" i="3"/>
  <c r="CZ307" i="3"/>
  <c r="DB307" i="3" s="1"/>
  <c r="L239" i="10" s="1"/>
  <c r="DA307" i="3"/>
  <c r="DC307" i="3"/>
  <c r="Q239" i="10" s="1"/>
  <c r="A308" i="3"/>
  <c r="CY308" i="3"/>
  <c r="CZ308" i="3"/>
  <c r="DB308" i="3" s="1"/>
  <c r="L238" i="10" s="1"/>
  <c r="DA308" i="3"/>
  <c r="DC308" i="3"/>
  <c r="Q238" i="10" s="1"/>
  <c r="A309" i="3"/>
  <c r="CY309" i="3"/>
  <c r="CZ309" i="3"/>
  <c r="DB309" i="3" s="1"/>
  <c r="DA309" i="3"/>
  <c r="DC309" i="3"/>
  <c r="A310" i="3"/>
  <c r="CY310" i="3"/>
  <c r="CZ310" i="3"/>
  <c r="DB310" i="3" s="1"/>
  <c r="L237" i="10" s="1"/>
  <c r="DA310" i="3"/>
  <c r="DC310" i="3"/>
  <c r="Q237" i="10" s="1"/>
  <c r="A311" i="3"/>
  <c r="CY311" i="3"/>
  <c r="CZ311" i="3"/>
  <c r="DB311" i="3" s="1"/>
  <c r="L236" i="10" s="1"/>
  <c r="DA311" i="3"/>
  <c r="DC311" i="3"/>
  <c r="Q236" i="10" s="1"/>
  <c r="A312" i="3"/>
  <c r="CY312" i="3"/>
  <c r="CZ312" i="3"/>
  <c r="DB312" i="3" s="1"/>
  <c r="DA312" i="3"/>
  <c r="DC312" i="3"/>
  <c r="A313" i="3"/>
  <c r="CY313" i="3"/>
  <c r="CZ313" i="3"/>
  <c r="DB313" i="3" s="1"/>
  <c r="L245" i="10" s="1"/>
  <c r="DA313" i="3"/>
  <c r="DC313" i="3"/>
  <c r="Q245" i="10" s="1"/>
  <c r="A314" i="3"/>
  <c r="CY314" i="3"/>
  <c r="CZ314" i="3"/>
  <c r="DB314" i="3" s="1"/>
  <c r="L244" i="10" s="1"/>
  <c r="DA314" i="3"/>
  <c r="DC314" i="3"/>
  <c r="Q244" i="10" s="1"/>
  <c r="A315" i="3"/>
  <c r="CY315" i="3"/>
  <c r="CZ315" i="3"/>
  <c r="DB315" i="3" s="1"/>
  <c r="L243" i="10" s="1"/>
  <c r="DA315" i="3"/>
  <c r="DC315" i="3"/>
  <c r="Q243" i="10" s="1"/>
  <c r="A316" i="3"/>
  <c r="CY316" i="3"/>
  <c r="CZ316" i="3"/>
  <c r="DB316" i="3" s="1"/>
  <c r="L242" i="10" s="1"/>
  <c r="DA316" i="3"/>
  <c r="DC316" i="3"/>
  <c r="Q242" i="10" s="1"/>
  <c r="A317" i="3"/>
  <c r="CY317" i="3"/>
  <c r="CZ317" i="3"/>
  <c r="DB317" i="3" s="1"/>
  <c r="DA317" i="3"/>
  <c r="DC317" i="3"/>
  <c r="A318" i="3"/>
  <c r="CY318" i="3"/>
  <c r="CZ318" i="3"/>
  <c r="DA318" i="3"/>
  <c r="DB318" i="3"/>
  <c r="L250" i="10" s="1"/>
  <c r="DC318" i="3"/>
  <c r="Q250" i="10" s="1"/>
  <c r="A319" i="3"/>
  <c r="CY319" i="3"/>
  <c r="CZ319" i="3"/>
  <c r="DB319" i="3" s="1"/>
  <c r="L249" i="10" s="1"/>
  <c r="DA319" i="3"/>
  <c r="DC319" i="3"/>
  <c r="Q249" i="10" s="1"/>
  <c r="A320" i="3"/>
  <c r="CY320" i="3"/>
  <c r="CZ320" i="3"/>
  <c r="DB320" i="3" s="1"/>
  <c r="L248" i="10" s="1"/>
  <c r="DA320" i="3"/>
  <c r="DC320" i="3"/>
  <c r="Q248" i="10" s="1"/>
  <c r="A321" i="3"/>
  <c r="CY321" i="3"/>
  <c r="CZ321" i="3"/>
  <c r="DA321" i="3"/>
  <c r="DB321" i="3"/>
  <c r="DC321" i="3"/>
  <c r="A322" i="3"/>
  <c r="CY322" i="3"/>
  <c r="CZ322" i="3"/>
  <c r="DB322" i="3" s="1"/>
  <c r="L247" i="10" s="1"/>
  <c r="DA322" i="3"/>
  <c r="DC322" i="3"/>
  <c r="Q247" i="10" s="1"/>
  <c r="A323" i="3"/>
  <c r="CY323" i="3"/>
  <c r="CZ323" i="3"/>
  <c r="DB323" i="3" s="1"/>
  <c r="DA323" i="3"/>
  <c r="DC323" i="3"/>
  <c r="A324" i="3"/>
  <c r="CY324" i="3"/>
  <c r="CZ324" i="3"/>
  <c r="DB324" i="3" s="1"/>
  <c r="L246" i="10" s="1"/>
  <c r="DA324" i="3"/>
  <c r="DC324" i="3"/>
  <c r="Q246" i="10" s="1"/>
  <c r="A325" i="3"/>
  <c r="CY325" i="3"/>
  <c r="CZ325" i="3"/>
  <c r="DB325" i="3" s="1"/>
  <c r="DA325" i="3"/>
  <c r="DC325" i="3"/>
  <c r="A326" i="3"/>
  <c r="CY326" i="3"/>
  <c r="CZ326" i="3"/>
  <c r="DB326" i="3" s="1"/>
  <c r="L257" i="10" s="1"/>
  <c r="DA326" i="3"/>
  <c r="DC326" i="3"/>
  <c r="Q257" i="10" s="1"/>
  <c r="A327" i="3"/>
  <c r="CY327" i="3"/>
  <c r="CZ327" i="3"/>
  <c r="DB327" i="3" s="1"/>
  <c r="L256" i="10" s="1"/>
  <c r="DA327" i="3"/>
  <c r="DC327" i="3"/>
  <c r="Q256" i="10" s="1"/>
  <c r="A328" i="3"/>
  <c r="CY328" i="3"/>
  <c r="CZ328" i="3"/>
  <c r="DB328" i="3" s="1"/>
  <c r="L255" i="10" s="1"/>
  <c r="DA328" i="3"/>
  <c r="DC328" i="3"/>
  <c r="Q255" i="10" s="1"/>
  <c r="A329" i="3"/>
  <c r="CY329" i="3"/>
  <c r="CZ329" i="3"/>
  <c r="DB329" i="3" s="1"/>
  <c r="L254" i="10" s="1"/>
  <c r="DA329" i="3"/>
  <c r="DC329" i="3"/>
  <c r="Q254" i="10" s="1"/>
  <c r="A330" i="3"/>
  <c r="CY330" i="3"/>
  <c r="CZ330" i="3"/>
  <c r="DB330" i="3" s="1"/>
  <c r="L253" i="10" s="1"/>
  <c r="DA330" i="3"/>
  <c r="DC330" i="3"/>
  <c r="Q253" i="10" s="1"/>
  <c r="A331" i="3"/>
  <c r="CY331" i="3"/>
  <c r="CZ331" i="3"/>
  <c r="DB331" i="3" s="1"/>
  <c r="DA331" i="3"/>
  <c r="DC331" i="3"/>
  <c r="A332" i="3"/>
  <c r="CY332" i="3"/>
  <c r="CZ332" i="3"/>
  <c r="DB332" i="3" s="1"/>
  <c r="L260" i="10" s="1"/>
  <c r="DA332" i="3"/>
  <c r="DC332" i="3"/>
  <c r="Q260" i="10" s="1"/>
  <c r="A333" i="3"/>
  <c r="CY333" i="3"/>
  <c r="CZ333" i="3"/>
  <c r="DB333" i="3" s="1"/>
  <c r="L259" i="10" s="1"/>
  <c r="DA333" i="3"/>
  <c r="DC333" i="3"/>
  <c r="Q259" i="10" s="1"/>
  <c r="A334" i="3"/>
  <c r="CY334" i="3"/>
  <c r="CZ334" i="3"/>
  <c r="DA334" i="3"/>
  <c r="DB334" i="3"/>
  <c r="DC334" i="3"/>
  <c r="A335" i="3"/>
  <c r="CY335" i="3"/>
  <c r="CZ335" i="3"/>
  <c r="DB335" i="3" s="1"/>
  <c r="L258" i="10" s="1"/>
  <c r="DA335" i="3"/>
  <c r="DC335" i="3"/>
  <c r="Q258" i="10" s="1"/>
  <c r="A336" i="3"/>
  <c r="CY336" i="3"/>
  <c r="CZ336" i="3"/>
  <c r="DB336" i="3" s="1"/>
  <c r="DA336" i="3"/>
  <c r="DC336" i="3"/>
  <c r="A337" i="3"/>
  <c r="CY337" i="3"/>
  <c r="CZ337" i="3"/>
  <c r="DA337" i="3"/>
  <c r="DB337" i="3"/>
  <c r="L265" i="10" s="1"/>
  <c r="DC337" i="3"/>
  <c r="Q265" i="10" s="1"/>
  <c r="A338" i="3"/>
  <c r="CY338" i="3"/>
  <c r="CZ338" i="3"/>
  <c r="DB338" i="3" s="1"/>
  <c r="L264" i="10" s="1"/>
  <c r="DA338" i="3"/>
  <c r="DC338" i="3"/>
  <c r="Q264" i="10" s="1"/>
  <c r="A339" i="3"/>
  <c r="CY339" i="3"/>
  <c r="CZ339" i="3"/>
  <c r="DB339" i="3" s="1"/>
  <c r="L263" i="10" s="1"/>
  <c r="DA339" i="3"/>
  <c r="DC339" i="3"/>
  <c r="Q263" i="10" s="1"/>
  <c r="A340" i="3"/>
  <c r="CY340" i="3"/>
  <c r="CZ340" i="3"/>
  <c r="DB340" i="3" s="1"/>
  <c r="L262" i="10" s="1"/>
  <c r="DA340" i="3"/>
  <c r="DC340" i="3"/>
  <c r="Q262" i="10" s="1"/>
  <c r="A341" i="3"/>
  <c r="CY341" i="3"/>
  <c r="CZ341" i="3"/>
  <c r="DB341" i="3" s="1"/>
  <c r="DA341" i="3"/>
  <c r="DC341" i="3"/>
  <c r="A342" i="3"/>
  <c r="CY342" i="3"/>
  <c r="CZ342" i="3"/>
  <c r="DB342" i="3" s="1"/>
  <c r="L271" i="10" s="1"/>
  <c r="DA342" i="3"/>
  <c r="DC342" i="3"/>
  <c r="Q271" i="10" s="1"/>
  <c r="A343" i="3"/>
  <c r="CY343" i="3"/>
  <c r="CZ343" i="3"/>
  <c r="DB343" i="3" s="1"/>
  <c r="L270" i="10" s="1"/>
  <c r="DA343" i="3"/>
  <c r="DC343" i="3"/>
  <c r="Q270" i="10" s="1"/>
  <c r="A344" i="3"/>
  <c r="CY344" i="3"/>
  <c r="CZ344" i="3"/>
  <c r="DB344" i="3" s="1"/>
  <c r="DA344" i="3"/>
  <c r="DC344" i="3"/>
  <c r="A345" i="3"/>
  <c r="CY345" i="3"/>
  <c r="CZ345" i="3"/>
  <c r="DB345" i="3" s="1"/>
  <c r="DA345" i="3"/>
  <c r="DC345" i="3"/>
  <c r="A346" i="3"/>
  <c r="CY346" i="3"/>
  <c r="CZ346" i="3"/>
  <c r="DB346" i="3" s="1"/>
  <c r="DA346" i="3"/>
  <c r="DC346" i="3"/>
  <c r="A347" i="3"/>
  <c r="CY347" i="3"/>
  <c r="CZ347" i="3"/>
  <c r="DB347" i="3" s="1"/>
  <c r="DA347" i="3"/>
  <c r="DC347" i="3"/>
  <c r="A348" i="3"/>
  <c r="CY348" i="3"/>
  <c r="CZ348" i="3"/>
  <c r="DB348" i="3" s="1"/>
  <c r="L275" i="10" s="1"/>
  <c r="DA348" i="3"/>
  <c r="DC348" i="3"/>
  <c r="Q275" i="10" s="1"/>
  <c r="A349" i="3"/>
  <c r="CY349" i="3"/>
  <c r="CZ349" i="3"/>
  <c r="DB349" i="3" s="1"/>
  <c r="DA349" i="3"/>
  <c r="DC349" i="3"/>
  <c r="A350" i="3"/>
  <c r="CY350" i="3"/>
  <c r="CZ350" i="3"/>
  <c r="DA350" i="3"/>
  <c r="DB350" i="3"/>
  <c r="DC350" i="3"/>
  <c r="A351" i="3"/>
  <c r="CY351" i="3"/>
  <c r="CZ351" i="3"/>
  <c r="DB351" i="3" s="1"/>
  <c r="DA351" i="3"/>
  <c r="DC351" i="3"/>
  <c r="A352" i="3"/>
  <c r="CY352" i="3"/>
  <c r="CZ352" i="3"/>
  <c r="DB352" i="3" s="1"/>
  <c r="L285" i="10" s="1"/>
  <c r="DA352" i="3"/>
  <c r="DC352" i="3"/>
  <c r="Q285" i="10" s="1"/>
  <c r="A353" i="3"/>
  <c r="CY353" i="3"/>
  <c r="CZ353" i="3"/>
  <c r="DA353" i="3"/>
  <c r="DB353" i="3"/>
  <c r="L284" i="10" s="1"/>
  <c r="DC353" i="3"/>
  <c r="Q284" i="10" s="1"/>
  <c r="A354" i="3"/>
  <c r="CY354" i="3"/>
  <c r="CZ354" i="3"/>
  <c r="DB354" i="3" s="1"/>
  <c r="L283" i="10" s="1"/>
  <c r="DA354" i="3"/>
  <c r="DC354" i="3"/>
  <c r="Q283" i="10" s="1"/>
  <c r="A355" i="3"/>
  <c r="CY355" i="3"/>
  <c r="CZ355" i="3"/>
  <c r="DB355" i="3" s="1"/>
  <c r="DA355" i="3"/>
  <c r="DC355" i="3"/>
  <c r="A356" i="3"/>
  <c r="CY356" i="3"/>
  <c r="CZ356" i="3"/>
  <c r="DB356" i="3" s="1"/>
  <c r="L282" i="10" s="1"/>
  <c r="DA356" i="3"/>
  <c r="DC356" i="3"/>
  <c r="Q282" i="10" s="1"/>
  <c r="A357" i="3"/>
  <c r="CY357" i="3"/>
  <c r="CZ357" i="3"/>
  <c r="DB357" i="3" s="1"/>
  <c r="L281" i="10" s="1"/>
  <c r="DA357" i="3"/>
  <c r="DC357" i="3"/>
  <c r="Q281" i="10" s="1"/>
  <c r="A358" i="3"/>
  <c r="CY358" i="3"/>
  <c r="CZ358" i="3"/>
  <c r="DB358" i="3" s="1"/>
  <c r="L280" i="10" s="1"/>
  <c r="DA358" i="3"/>
  <c r="DC358" i="3"/>
  <c r="Q280" i="10" s="1"/>
  <c r="A359" i="3"/>
  <c r="CY359" i="3"/>
  <c r="CZ359" i="3"/>
  <c r="DB359" i="3" s="1"/>
  <c r="L279" i="10" s="1"/>
  <c r="DA359" i="3"/>
  <c r="DC359" i="3"/>
  <c r="Q279" i="10" s="1"/>
  <c r="A360" i="3"/>
  <c r="CY360" i="3"/>
  <c r="CZ360" i="3"/>
  <c r="DB360" i="3" s="1"/>
  <c r="DA360" i="3"/>
  <c r="DC360" i="3"/>
  <c r="A361" i="3"/>
  <c r="CY361" i="3"/>
  <c r="CZ361" i="3"/>
  <c r="DB361" i="3" s="1"/>
  <c r="L292" i="10" s="1"/>
  <c r="DA361" i="3"/>
  <c r="DC361" i="3"/>
  <c r="Q292" i="10" s="1"/>
  <c r="A362" i="3"/>
  <c r="CY362" i="3"/>
  <c r="CZ362" i="3"/>
  <c r="DB362" i="3" s="1"/>
  <c r="L291" i="10" s="1"/>
  <c r="DA362" i="3"/>
  <c r="DC362" i="3"/>
  <c r="Q291" i="10" s="1"/>
  <c r="A363" i="3"/>
  <c r="CY363" i="3"/>
  <c r="CZ363" i="3"/>
  <c r="DB363" i="3" s="1"/>
  <c r="L290" i="10" s="1"/>
  <c r="DA363" i="3"/>
  <c r="DC363" i="3"/>
  <c r="Q290" i="10" s="1"/>
  <c r="A364" i="3"/>
  <c r="CY364" i="3"/>
  <c r="CZ364" i="3"/>
  <c r="DB364" i="3" s="1"/>
  <c r="DA364" i="3"/>
  <c r="DC364" i="3"/>
  <c r="A365" i="3"/>
  <c r="CY365" i="3"/>
  <c r="CZ365" i="3"/>
  <c r="DB365" i="3" s="1"/>
  <c r="L289" i="10" s="1"/>
  <c r="DA365" i="3"/>
  <c r="DC365" i="3"/>
  <c r="Q289" i="10" s="1"/>
  <c r="A366" i="3"/>
  <c r="CY366" i="3"/>
  <c r="CZ366" i="3"/>
  <c r="DA366" i="3"/>
  <c r="DB366" i="3"/>
  <c r="L288" i="10" s="1"/>
  <c r="DC366" i="3"/>
  <c r="Q288" i="10" s="1"/>
  <c r="A367" i="3"/>
  <c r="CY367" i="3"/>
  <c r="CZ367" i="3"/>
  <c r="DB367" i="3" s="1"/>
  <c r="L287" i="10" s="1"/>
  <c r="DA367" i="3"/>
  <c r="DC367" i="3"/>
  <c r="Q287" i="10" s="1"/>
  <c r="A368" i="3"/>
  <c r="CY368" i="3"/>
  <c r="CZ368" i="3"/>
  <c r="DB368" i="3" s="1"/>
  <c r="DA368" i="3"/>
  <c r="DC368" i="3"/>
  <c r="A369" i="3"/>
  <c r="CY369" i="3"/>
  <c r="CZ369" i="3"/>
  <c r="DA369" i="3"/>
  <c r="DB369" i="3"/>
  <c r="L305" i="10" s="1"/>
  <c r="DC369" i="3"/>
  <c r="Q305" i="10" s="1"/>
  <c r="A370" i="3"/>
  <c r="CY370" i="3"/>
  <c r="CZ370" i="3"/>
  <c r="DB370" i="3" s="1"/>
  <c r="L304" i="10" s="1"/>
  <c r="DA370" i="3"/>
  <c r="DC370" i="3"/>
  <c r="Q304" i="10" s="1"/>
  <c r="A371" i="3"/>
  <c r="CY371" i="3"/>
  <c r="CZ371" i="3"/>
  <c r="DB371" i="3" s="1"/>
  <c r="L303" i="10" s="1"/>
  <c r="DA371" i="3"/>
  <c r="DC371" i="3"/>
  <c r="Q303" i="10" s="1"/>
  <c r="A372" i="3"/>
  <c r="CY372" i="3"/>
  <c r="CZ372" i="3"/>
  <c r="DB372" i="3" s="1"/>
  <c r="L302" i="10" s="1"/>
  <c r="DA372" i="3"/>
  <c r="DC372" i="3"/>
  <c r="Q302" i="10" s="1"/>
  <c r="A373" i="3"/>
  <c r="CY373" i="3"/>
  <c r="CZ373" i="3"/>
  <c r="DB373" i="3" s="1"/>
  <c r="L301" i="10" s="1"/>
  <c r="DA373" i="3"/>
  <c r="DC373" i="3"/>
  <c r="Q301" i="10" s="1"/>
  <c r="A374" i="3"/>
  <c r="CY374" i="3"/>
  <c r="CZ374" i="3"/>
  <c r="DB374" i="3" s="1"/>
  <c r="L300" i="10" s="1"/>
  <c r="DA374" i="3"/>
  <c r="DC374" i="3"/>
  <c r="Q300" i="10" s="1"/>
  <c r="A375" i="3"/>
  <c r="CY375" i="3"/>
  <c r="CZ375" i="3"/>
  <c r="DB375" i="3" s="1"/>
  <c r="L299" i="10" s="1"/>
  <c r="DA375" i="3"/>
  <c r="DC375" i="3"/>
  <c r="Q299" i="10" s="1"/>
  <c r="A376" i="3"/>
  <c r="CY376" i="3"/>
  <c r="CZ376" i="3"/>
  <c r="DB376" i="3" s="1"/>
  <c r="DA376" i="3"/>
  <c r="DC376" i="3"/>
  <c r="A377" i="3"/>
  <c r="CY377" i="3"/>
  <c r="CZ377" i="3"/>
  <c r="DB377" i="3" s="1"/>
  <c r="L298" i="10" s="1"/>
  <c r="DA377" i="3"/>
  <c r="DC377" i="3"/>
  <c r="Q298" i="10" s="1"/>
  <c r="A378" i="3"/>
  <c r="CY378" i="3"/>
  <c r="CZ378" i="3"/>
  <c r="DB378" i="3" s="1"/>
  <c r="L297" i="10" s="1"/>
  <c r="DA378" i="3"/>
  <c r="DC378" i="3"/>
  <c r="Q297" i="10" s="1"/>
  <c r="A379" i="3"/>
  <c r="CY379" i="3"/>
  <c r="CZ379" i="3"/>
  <c r="DB379" i="3" s="1"/>
  <c r="DA379" i="3"/>
  <c r="DC379" i="3"/>
  <c r="A380" i="3"/>
  <c r="CY380" i="3"/>
  <c r="CZ380" i="3"/>
  <c r="DB380" i="3" s="1"/>
  <c r="L311" i="10" s="1"/>
  <c r="DA380" i="3"/>
  <c r="DC380" i="3"/>
  <c r="Q311" i="10" s="1"/>
  <c r="A381" i="3"/>
  <c r="CY381" i="3"/>
  <c r="CZ381" i="3"/>
  <c r="DB381" i="3" s="1"/>
  <c r="L310" i="10" s="1"/>
  <c r="DA381" i="3"/>
  <c r="DC381" i="3"/>
  <c r="Q310" i="10" s="1"/>
  <c r="A382" i="3"/>
  <c r="CY382" i="3"/>
  <c r="CZ382" i="3"/>
  <c r="DA382" i="3"/>
  <c r="DB382" i="3"/>
  <c r="L309" i="10" s="1"/>
  <c r="DC382" i="3"/>
  <c r="Q309" i="10" s="1"/>
  <c r="A383" i="3"/>
  <c r="CY383" i="3"/>
  <c r="CZ383" i="3"/>
  <c r="DB383" i="3" s="1"/>
  <c r="L308" i="10" s="1"/>
  <c r="DA383" i="3"/>
  <c r="DC383" i="3"/>
  <c r="Q308" i="10" s="1"/>
  <c r="A384" i="3"/>
  <c r="CY384" i="3"/>
  <c r="CZ384" i="3"/>
  <c r="DB384" i="3" s="1"/>
  <c r="L307" i="10" s="1"/>
  <c r="DA384" i="3"/>
  <c r="DC384" i="3"/>
  <c r="Q307" i="10" s="1"/>
  <c r="A385" i="3"/>
  <c r="CY385" i="3"/>
  <c r="CZ385" i="3"/>
  <c r="DA385" i="3"/>
  <c r="DB385" i="3"/>
  <c r="DC385" i="3"/>
  <c r="A386" i="3"/>
  <c r="CY386" i="3"/>
  <c r="CZ386" i="3"/>
  <c r="DB386" i="3" s="1"/>
  <c r="DA386" i="3"/>
  <c r="DC386" i="3"/>
  <c r="A387" i="3"/>
  <c r="CY387" i="3"/>
  <c r="CZ387" i="3"/>
  <c r="DB387" i="3" s="1"/>
  <c r="L321" i="10" s="1"/>
  <c r="DA387" i="3"/>
  <c r="DC387" i="3"/>
  <c r="Q321" i="10" s="1"/>
  <c r="A388" i="3"/>
  <c r="CY388" i="3"/>
  <c r="CZ388" i="3"/>
  <c r="DB388" i="3" s="1"/>
  <c r="L320" i="10" s="1"/>
  <c r="DA388" i="3"/>
  <c r="DC388" i="3"/>
  <c r="Q320" i="10" s="1"/>
  <c r="A389" i="3"/>
  <c r="CY389" i="3"/>
  <c r="CZ389" i="3"/>
  <c r="DB389" i="3" s="1"/>
  <c r="L319" i="10" s="1"/>
  <c r="DA389" i="3"/>
  <c r="DC389" i="3"/>
  <c r="Q319" i="10" s="1"/>
  <c r="A390" i="3"/>
  <c r="CY390" i="3"/>
  <c r="CZ390" i="3"/>
  <c r="DB390" i="3" s="1"/>
  <c r="L318" i="10" s="1"/>
  <c r="DA390" i="3"/>
  <c r="DC390" i="3"/>
  <c r="Q318" i="10" s="1"/>
  <c r="A391" i="3"/>
  <c r="CY391" i="3"/>
  <c r="CZ391" i="3"/>
  <c r="DB391" i="3" s="1"/>
  <c r="L317" i="10" s="1"/>
  <c r="DA391" i="3"/>
  <c r="DC391" i="3"/>
  <c r="Q317" i="10" s="1"/>
  <c r="A392" i="3"/>
  <c r="CY392" i="3"/>
  <c r="CZ392" i="3"/>
  <c r="DB392" i="3" s="1"/>
  <c r="L316" i="10" s="1"/>
  <c r="DA392" i="3"/>
  <c r="DC392" i="3"/>
  <c r="Q316" i="10" s="1"/>
  <c r="A393" i="3"/>
  <c r="CY393" i="3"/>
  <c r="CZ393" i="3"/>
  <c r="DB393" i="3" s="1"/>
  <c r="L315" i="10" s="1"/>
  <c r="DA393" i="3"/>
  <c r="DC393" i="3"/>
  <c r="Q315" i="10" s="1"/>
  <c r="A394" i="3"/>
  <c r="CY394" i="3"/>
  <c r="CZ394" i="3"/>
  <c r="DB394" i="3" s="1"/>
  <c r="DA394" i="3"/>
  <c r="DC394" i="3"/>
  <c r="A395" i="3"/>
  <c r="CY395" i="3"/>
  <c r="CZ395" i="3"/>
  <c r="DB395" i="3" s="1"/>
  <c r="L314" i="10" s="1"/>
  <c r="DA395" i="3"/>
  <c r="DC395" i="3"/>
  <c r="Q314" i="10" s="1"/>
  <c r="A396" i="3"/>
  <c r="CY396" i="3"/>
  <c r="CZ396" i="3"/>
  <c r="DB396" i="3" s="1"/>
  <c r="L313" i="10" s="1"/>
  <c r="DA396" i="3"/>
  <c r="DC396" i="3"/>
  <c r="Q313" i="10" s="1"/>
  <c r="A397" i="3"/>
  <c r="CY397" i="3"/>
  <c r="CZ397" i="3"/>
  <c r="DB397" i="3" s="1"/>
  <c r="DA397" i="3"/>
  <c r="DC397" i="3"/>
  <c r="A398" i="3"/>
  <c r="CY398" i="3"/>
  <c r="CZ398" i="3"/>
  <c r="DA398" i="3"/>
  <c r="DB398" i="3"/>
  <c r="L326" i="10" s="1"/>
  <c r="DC398" i="3"/>
  <c r="Q326" i="10" s="1"/>
  <c r="A399" i="3"/>
  <c r="CY399" i="3"/>
  <c r="CZ399" i="3"/>
  <c r="DB399" i="3" s="1"/>
  <c r="L325" i="10" s="1"/>
  <c r="DA399" i="3"/>
  <c r="DC399" i="3"/>
  <c r="Q325" i="10" s="1"/>
  <c r="A400" i="3"/>
  <c r="CY400" i="3"/>
  <c r="CZ400" i="3"/>
  <c r="DB400" i="3" s="1"/>
  <c r="DA400" i="3"/>
  <c r="DC400" i="3"/>
  <c r="A401" i="3"/>
  <c r="CY401" i="3"/>
  <c r="CZ401" i="3"/>
  <c r="DA401" i="3"/>
  <c r="DB401" i="3"/>
  <c r="DC401" i="3"/>
  <c r="A402" i="3"/>
  <c r="CY402" i="3"/>
  <c r="CZ402" i="3"/>
  <c r="DB402" i="3" s="1"/>
  <c r="DA402" i="3"/>
  <c r="DC402" i="3"/>
  <c r="A403" i="3"/>
  <c r="CY403" i="3"/>
  <c r="CZ403" i="3"/>
  <c r="DB403" i="3" s="1"/>
  <c r="L324" i="10" s="1"/>
  <c r="DA403" i="3"/>
  <c r="DC403" i="3"/>
  <c r="Q324" i="10" s="1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C28" i="1"/>
  <c r="D28" i="1"/>
  <c r="I28" i="1"/>
  <c r="I39" i="5" s="1"/>
  <c r="AC28" i="1"/>
  <c r="AE28" i="1"/>
  <c r="AD28" i="1" s="1"/>
  <c r="AF28" i="1"/>
  <c r="AG28" i="1"/>
  <c r="CU28" i="1" s="1"/>
  <c r="AH28" i="1"/>
  <c r="CV28" i="1" s="1"/>
  <c r="AI28" i="1"/>
  <c r="AJ28" i="1"/>
  <c r="CX28" i="1" s="1"/>
  <c r="CS28" i="1"/>
  <c r="CW28" i="1"/>
  <c r="FR28" i="1"/>
  <c r="GL28" i="1"/>
  <c r="GO28" i="1"/>
  <c r="GP28" i="1"/>
  <c r="GV28" i="1"/>
  <c r="HC28" i="1" s="1"/>
  <c r="C29" i="1"/>
  <c r="D29" i="1"/>
  <c r="I29" i="1"/>
  <c r="E47" i="5" s="1"/>
  <c r="AC29" i="1"/>
  <c r="AE29" i="1"/>
  <c r="AF29" i="1"/>
  <c r="I49" i="5" s="1"/>
  <c r="AG29" i="1"/>
  <c r="CU29" i="1" s="1"/>
  <c r="AH29" i="1"/>
  <c r="CV29" i="1" s="1"/>
  <c r="AI29" i="1"/>
  <c r="AJ29" i="1"/>
  <c r="CX29" i="1" s="1"/>
  <c r="CW29" i="1"/>
  <c r="FR29" i="1"/>
  <c r="GL29" i="1"/>
  <c r="GO29" i="1"/>
  <c r="GP29" i="1"/>
  <c r="GV29" i="1"/>
  <c r="HC29" i="1"/>
  <c r="C30" i="1"/>
  <c r="D30" i="1"/>
  <c r="I30" i="1"/>
  <c r="AC30" i="1"/>
  <c r="AE30" i="1"/>
  <c r="AF30" i="1"/>
  <c r="AG30" i="1"/>
  <c r="CU30" i="1" s="1"/>
  <c r="AH30" i="1"/>
  <c r="CV30" i="1" s="1"/>
  <c r="AI30" i="1"/>
  <c r="CW30" i="1" s="1"/>
  <c r="V30" i="1" s="1"/>
  <c r="AJ30" i="1"/>
  <c r="CX30" i="1" s="1"/>
  <c r="W30" i="1" s="1"/>
  <c r="FR30" i="1"/>
  <c r="GL30" i="1"/>
  <c r="GO30" i="1"/>
  <c r="GP30" i="1"/>
  <c r="GV30" i="1"/>
  <c r="HC30" i="1" s="1"/>
  <c r="GX30" i="1" s="1"/>
  <c r="C31" i="1"/>
  <c r="D31" i="1"/>
  <c r="I31" i="1"/>
  <c r="AC31" i="1"/>
  <c r="CQ31" i="1" s="1"/>
  <c r="AE31" i="1"/>
  <c r="AF31" i="1"/>
  <c r="AG31" i="1"/>
  <c r="AH31" i="1"/>
  <c r="CV31" i="1" s="1"/>
  <c r="AI31" i="1"/>
  <c r="CW31" i="1" s="1"/>
  <c r="AJ31" i="1"/>
  <c r="CX31" i="1" s="1"/>
  <c r="CU31" i="1"/>
  <c r="FR31" i="1"/>
  <c r="GL31" i="1"/>
  <c r="GO31" i="1"/>
  <c r="GP31" i="1"/>
  <c r="GV31" i="1"/>
  <c r="HC31" i="1" s="1"/>
  <c r="C32" i="1"/>
  <c r="D32" i="1"/>
  <c r="S32" i="1"/>
  <c r="CY32" i="1" s="1"/>
  <c r="X32" i="1" s="1"/>
  <c r="AC32" i="1"/>
  <c r="AE32" i="1"/>
  <c r="AF32" i="1"/>
  <c r="AG32" i="1"/>
  <c r="CU32" i="1" s="1"/>
  <c r="T32" i="1" s="1"/>
  <c r="AH32" i="1"/>
  <c r="CV32" i="1" s="1"/>
  <c r="U32" i="1" s="1"/>
  <c r="AI32" i="1"/>
  <c r="CW32" i="1" s="1"/>
  <c r="V32" i="1" s="1"/>
  <c r="AJ32" i="1"/>
  <c r="CX32" i="1" s="1"/>
  <c r="W32" i="1" s="1"/>
  <c r="CT32" i="1"/>
  <c r="FR32" i="1"/>
  <c r="GL32" i="1"/>
  <c r="GO32" i="1"/>
  <c r="GP32" i="1"/>
  <c r="GV32" i="1"/>
  <c r="HC32" i="1" s="1"/>
  <c r="GX32" i="1" s="1"/>
  <c r="C33" i="1"/>
  <c r="D33" i="1"/>
  <c r="AC33" i="1"/>
  <c r="P33" i="1" s="1"/>
  <c r="AE33" i="1"/>
  <c r="AF33" i="1"/>
  <c r="AG33" i="1"/>
  <c r="CU33" i="1" s="1"/>
  <c r="T33" i="1" s="1"/>
  <c r="AH33" i="1"/>
  <c r="CV33" i="1" s="1"/>
  <c r="U33" i="1" s="1"/>
  <c r="AI33" i="1"/>
  <c r="CW33" i="1" s="1"/>
  <c r="V33" i="1" s="1"/>
  <c r="AJ33" i="1"/>
  <c r="CX33" i="1" s="1"/>
  <c r="W33" i="1" s="1"/>
  <c r="FR33" i="1"/>
  <c r="GL33" i="1"/>
  <c r="GN33" i="1"/>
  <c r="GO33" i="1"/>
  <c r="GV33" i="1"/>
  <c r="HC33" i="1" s="1"/>
  <c r="GX33" i="1" s="1"/>
  <c r="C34" i="1"/>
  <c r="D34" i="1"/>
  <c r="I34" i="1"/>
  <c r="E74" i="5" s="1"/>
  <c r="S34" i="1"/>
  <c r="AC34" i="1"/>
  <c r="I79" i="5" s="1"/>
  <c r="AE34" i="1"/>
  <c r="I78" i="5" s="1"/>
  <c r="W78" i="5" s="1"/>
  <c r="AF34" i="1"/>
  <c r="S74" i="5" s="1"/>
  <c r="AG34" i="1"/>
  <c r="CU34" i="1" s="1"/>
  <c r="T34" i="1" s="1"/>
  <c r="AH34" i="1"/>
  <c r="CV34" i="1" s="1"/>
  <c r="U34" i="1" s="1"/>
  <c r="I84" i="5" s="1"/>
  <c r="AI34" i="1"/>
  <c r="CW34" i="1" s="1"/>
  <c r="AJ34" i="1"/>
  <c r="CR34" i="1"/>
  <c r="CT34" i="1"/>
  <c r="CX34" i="1"/>
  <c r="W34" i="1" s="1"/>
  <c r="FR34" i="1"/>
  <c r="GL34" i="1"/>
  <c r="GO34" i="1"/>
  <c r="GP34" i="1"/>
  <c r="GV34" i="1"/>
  <c r="HC34" i="1" s="1"/>
  <c r="GX34" i="1" s="1"/>
  <c r="AC35" i="1"/>
  <c r="AE35" i="1"/>
  <c r="AF35" i="1"/>
  <c r="CT35" i="1" s="1"/>
  <c r="AG35" i="1"/>
  <c r="CU35" i="1" s="1"/>
  <c r="AH35" i="1"/>
  <c r="CV35" i="1" s="1"/>
  <c r="AI35" i="1"/>
  <c r="CW35" i="1" s="1"/>
  <c r="AJ35" i="1"/>
  <c r="CX35" i="1" s="1"/>
  <c r="FR35" i="1"/>
  <c r="GL35" i="1"/>
  <c r="GO35" i="1"/>
  <c r="GP35" i="1"/>
  <c r="GV35" i="1"/>
  <c r="HC35" i="1"/>
  <c r="C36" i="1"/>
  <c r="D36" i="1"/>
  <c r="I36" i="1"/>
  <c r="CX31" i="3" s="1"/>
  <c r="S36" i="1"/>
  <c r="CZ36" i="1" s="1"/>
  <c r="Y36" i="1" s="1"/>
  <c r="AC36" i="1"/>
  <c r="AE36" i="1"/>
  <c r="AF36" i="1"/>
  <c r="CT36" i="1" s="1"/>
  <c r="AG36" i="1"/>
  <c r="CU36" i="1" s="1"/>
  <c r="T36" i="1" s="1"/>
  <c r="AH36" i="1"/>
  <c r="CV36" i="1" s="1"/>
  <c r="AI36" i="1"/>
  <c r="CW36" i="1" s="1"/>
  <c r="AJ36" i="1"/>
  <c r="CX36" i="1" s="1"/>
  <c r="W36" i="1" s="1"/>
  <c r="CR36" i="1"/>
  <c r="FR36" i="1"/>
  <c r="GL36" i="1"/>
  <c r="GN36" i="1"/>
  <c r="GO36" i="1"/>
  <c r="GV36" i="1"/>
  <c r="HC36" i="1"/>
  <c r="C37" i="1"/>
  <c r="D37" i="1"/>
  <c r="I37" i="1"/>
  <c r="S37" i="1"/>
  <c r="AC37" i="1"/>
  <c r="AE37" i="1"/>
  <c r="AF37" i="1"/>
  <c r="AG37" i="1"/>
  <c r="CU37" i="1" s="1"/>
  <c r="T37" i="1" s="1"/>
  <c r="AH37" i="1"/>
  <c r="AI37" i="1"/>
  <c r="CW37" i="1" s="1"/>
  <c r="AJ37" i="1"/>
  <c r="CX37" i="1" s="1"/>
  <c r="W37" i="1" s="1"/>
  <c r="CR37" i="1"/>
  <c r="CV37" i="1"/>
  <c r="FR37" i="1"/>
  <c r="GL37" i="1"/>
  <c r="GO37" i="1"/>
  <c r="GP37" i="1"/>
  <c r="GV37" i="1"/>
  <c r="HC37" i="1" s="1"/>
  <c r="GX37" i="1" s="1"/>
  <c r="AC38" i="1"/>
  <c r="AE38" i="1"/>
  <c r="AF38" i="1"/>
  <c r="AG38" i="1"/>
  <c r="CU38" i="1" s="1"/>
  <c r="AH38" i="1"/>
  <c r="AI38" i="1"/>
  <c r="CW38" i="1" s="1"/>
  <c r="AJ38" i="1"/>
  <c r="CV38" i="1"/>
  <c r="CX38" i="1"/>
  <c r="FR38" i="1"/>
  <c r="GL38" i="1"/>
  <c r="GO38" i="1"/>
  <c r="GP38" i="1"/>
  <c r="GV38" i="1"/>
  <c r="HC38" i="1" s="1"/>
  <c r="C39" i="1"/>
  <c r="D39" i="1"/>
  <c r="I39" i="1"/>
  <c r="AC39" i="1"/>
  <c r="AE39" i="1"/>
  <c r="AF39" i="1"/>
  <c r="AG39" i="1"/>
  <c r="CU39" i="1" s="1"/>
  <c r="AH39" i="1"/>
  <c r="CV39" i="1" s="1"/>
  <c r="U39" i="1" s="1"/>
  <c r="I107" i="5" s="1"/>
  <c r="AI39" i="1"/>
  <c r="CW39" i="1" s="1"/>
  <c r="AJ39" i="1"/>
  <c r="CX39" i="1"/>
  <c r="W39" i="1" s="1"/>
  <c r="FR39" i="1"/>
  <c r="GL39" i="1"/>
  <c r="GO39" i="1"/>
  <c r="GP39" i="1"/>
  <c r="GV39" i="1"/>
  <c r="HC39" i="1" s="1"/>
  <c r="AC40" i="1"/>
  <c r="AE40" i="1"/>
  <c r="CR40" i="1" s="1"/>
  <c r="AF40" i="1"/>
  <c r="AG40" i="1"/>
  <c r="CU40" i="1" s="1"/>
  <c r="AH40" i="1"/>
  <c r="AI40" i="1"/>
  <c r="CW40" i="1" s="1"/>
  <c r="AJ40" i="1"/>
  <c r="CX40" i="1" s="1"/>
  <c r="CV40" i="1"/>
  <c r="FR40" i="1"/>
  <c r="GL40" i="1"/>
  <c r="GO40" i="1"/>
  <c r="GP40" i="1"/>
  <c r="GV40" i="1"/>
  <c r="HC40" i="1" s="1"/>
  <c r="B42" i="1"/>
  <c r="B26" i="1" s="1"/>
  <c r="C42" i="1"/>
  <c r="C26" i="1" s="1"/>
  <c r="D42" i="1"/>
  <c r="D26" i="1" s="1"/>
  <c r="F42" i="1"/>
  <c r="F26" i="1" s="1"/>
  <c r="G42" i="1"/>
  <c r="BX42" i="1"/>
  <c r="BX26" i="1" s="1"/>
  <c r="CK42" i="1"/>
  <c r="CK26" i="1" s="1"/>
  <c r="CL42" i="1"/>
  <c r="CL26" i="1" s="1"/>
  <c r="CM42" i="1"/>
  <c r="CM26" i="1" s="1"/>
  <c r="D73" i="1"/>
  <c r="E75" i="1"/>
  <c r="Z75" i="1"/>
  <c r="AA75" i="1"/>
  <c r="AM75" i="1"/>
  <c r="AN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EO75" i="1"/>
  <c r="EP75" i="1"/>
  <c r="EQ75" i="1"/>
  <c r="ER75" i="1"/>
  <c r="ES75" i="1"/>
  <c r="ET75" i="1"/>
  <c r="EU75" i="1"/>
  <c r="EV75" i="1"/>
  <c r="EW75" i="1"/>
  <c r="EX75" i="1"/>
  <c r="EY75" i="1"/>
  <c r="EZ75" i="1"/>
  <c r="FA75" i="1"/>
  <c r="FB75" i="1"/>
  <c r="FC75" i="1"/>
  <c r="FD75" i="1"/>
  <c r="FE75" i="1"/>
  <c r="FF75" i="1"/>
  <c r="FG75" i="1"/>
  <c r="FH75" i="1"/>
  <c r="FI75" i="1"/>
  <c r="FJ75" i="1"/>
  <c r="FK75" i="1"/>
  <c r="FL75" i="1"/>
  <c r="FM75" i="1"/>
  <c r="FN75" i="1"/>
  <c r="FO75" i="1"/>
  <c r="FP75" i="1"/>
  <c r="FQ75" i="1"/>
  <c r="FR75" i="1"/>
  <c r="FS75" i="1"/>
  <c r="FT75" i="1"/>
  <c r="FU75" i="1"/>
  <c r="FV75" i="1"/>
  <c r="FW75" i="1"/>
  <c r="FX75" i="1"/>
  <c r="FY75" i="1"/>
  <c r="FZ75" i="1"/>
  <c r="GA75" i="1"/>
  <c r="GB75" i="1"/>
  <c r="GC75" i="1"/>
  <c r="GD75" i="1"/>
  <c r="GE75" i="1"/>
  <c r="GF75" i="1"/>
  <c r="GG75" i="1"/>
  <c r="GH75" i="1"/>
  <c r="GI75" i="1"/>
  <c r="GJ75" i="1"/>
  <c r="GK75" i="1"/>
  <c r="GL75" i="1"/>
  <c r="GM75" i="1"/>
  <c r="GN75" i="1"/>
  <c r="GO75" i="1"/>
  <c r="GP75" i="1"/>
  <c r="GQ75" i="1"/>
  <c r="GR75" i="1"/>
  <c r="GS75" i="1"/>
  <c r="GT75" i="1"/>
  <c r="GU75" i="1"/>
  <c r="GV75" i="1"/>
  <c r="GW75" i="1"/>
  <c r="GX75" i="1"/>
  <c r="C77" i="1"/>
  <c r="D77" i="1"/>
  <c r="I77" i="1"/>
  <c r="C117" i="5" s="1"/>
  <c r="AC77" i="1"/>
  <c r="AE77" i="1"/>
  <c r="AF77" i="1"/>
  <c r="AG77" i="1"/>
  <c r="CU77" i="1" s="1"/>
  <c r="T77" i="1" s="1"/>
  <c r="AH77" i="1"/>
  <c r="CV77" i="1" s="1"/>
  <c r="AI77" i="1"/>
  <c r="CW77" i="1" s="1"/>
  <c r="AJ77" i="1"/>
  <c r="CX77" i="1" s="1"/>
  <c r="W77" i="1" s="1"/>
  <c r="CS77" i="1"/>
  <c r="FR77" i="1"/>
  <c r="GL77" i="1"/>
  <c r="GO77" i="1"/>
  <c r="GP77" i="1"/>
  <c r="GV77" i="1"/>
  <c r="HC77" i="1" s="1"/>
  <c r="C78" i="1"/>
  <c r="D78" i="1"/>
  <c r="I78" i="1"/>
  <c r="AC78" i="1"/>
  <c r="AE78" i="1"/>
  <c r="AF78" i="1"/>
  <c r="AG78" i="1"/>
  <c r="CU78" i="1" s="1"/>
  <c r="T78" i="1" s="1"/>
  <c r="AH78" i="1"/>
  <c r="CV78" i="1" s="1"/>
  <c r="AI78" i="1"/>
  <c r="CW78" i="1" s="1"/>
  <c r="V78" i="1" s="1"/>
  <c r="AJ78" i="1"/>
  <c r="CX78" i="1" s="1"/>
  <c r="FR78" i="1"/>
  <c r="GL78" i="1"/>
  <c r="GO78" i="1"/>
  <c r="GP78" i="1"/>
  <c r="GV78" i="1"/>
  <c r="HC78" i="1" s="1"/>
  <c r="C79" i="1"/>
  <c r="D79" i="1"/>
  <c r="AC79" i="1"/>
  <c r="P79" i="1" s="1"/>
  <c r="AE79" i="1"/>
  <c r="AF79" i="1"/>
  <c r="S79" i="1" s="1"/>
  <c r="AG79" i="1"/>
  <c r="CU79" i="1" s="1"/>
  <c r="T79" i="1" s="1"/>
  <c r="AH79" i="1"/>
  <c r="CV79" i="1" s="1"/>
  <c r="U79" i="1" s="1"/>
  <c r="AI79" i="1"/>
  <c r="AJ79" i="1"/>
  <c r="CW79" i="1"/>
  <c r="V79" i="1" s="1"/>
  <c r="CX79" i="1"/>
  <c r="W79" i="1" s="1"/>
  <c r="FR79" i="1"/>
  <c r="GL79" i="1"/>
  <c r="GO79" i="1"/>
  <c r="GP79" i="1"/>
  <c r="GV79" i="1"/>
  <c r="HC79" i="1" s="1"/>
  <c r="GX79" i="1" s="1"/>
  <c r="C80" i="1"/>
  <c r="D80" i="1"/>
  <c r="I80" i="1"/>
  <c r="AC80" i="1"/>
  <c r="AE80" i="1"/>
  <c r="AF80" i="1"/>
  <c r="AG80" i="1"/>
  <c r="CU80" i="1" s="1"/>
  <c r="AH80" i="1"/>
  <c r="AI80" i="1"/>
  <c r="CW80" i="1" s="1"/>
  <c r="AJ80" i="1"/>
  <c r="CX80" i="1" s="1"/>
  <c r="W80" i="1" s="1"/>
  <c r="CV80" i="1"/>
  <c r="FR80" i="1"/>
  <c r="GL80" i="1"/>
  <c r="GO80" i="1"/>
  <c r="GP80" i="1"/>
  <c r="GV80" i="1"/>
  <c r="HC80" i="1" s="1"/>
  <c r="GX80" i="1" s="1"/>
  <c r="C81" i="1"/>
  <c r="D81" i="1"/>
  <c r="S81" i="1"/>
  <c r="CZ81" i="1" s="1"/>
  <c r="Y81" i="1" s="1"/>
  <c r="AC81" i="1"/>
  <c r="P81" i="1" s="1"/>
  <c r="AE81" i="1"/>
  <c r="R81" i="1" s="1"/>
  <c r="GK81" i="1" s="1"/>
  <c r="AF81" i="1"/>
  <c r="AG81" i="1"/>
  <c r="CU81" i="1" s="1"/>
  <c r="T81" i="1" s="1"/>
  <c r="AH81" i="1"/>
  <c r="CV81" i="1" s="1"/>
  <c r="U81" i="1" s="1"/>
  <c r="AI81" i="1"/>
  <c r="CW81" i="1" s="1"/>
  <c r="V81" i="1" s="1"/>
  <c r="AJ81" i="1"/>
  <c r="CX81" i="1" s="1"/>
  <c r="W81" i="1" s="1"/>
  <c r="CT81" i="1"/>
  <c r="FR81" i="1"/>
  <c r="GL81" i="1"/>
  <c r="GN81" i="1"/>
  <c r="GO81" i="1"/>
  <c r="GV81" i="1"/>
  <c r="HC81" i="1" s="1"/>
  <c r="GX81" i="1" s="1"/>
  <c r="C82" i="1"/>
  <c r="D82" i="1"/>
  <c r="AC82" i="1"/>
  <c r="AE82" i="1"/>
  <c r="AF82" i="1"/>
  <c r="CT82" i="1" s="1"/>
  <c r="AG82" i="1"/>
  <c r="AH82" i="1"/>
  <c r="CV82" i="1" s="1"/>
  <c r="U82" i="1" s="1"/>
  <c r="AI82" i="1"/>
  <c r="CW82" i="1" s="1"/>
  <c r="V82" i="1" s="1"/>
  <c r="AJ82" i="1"/>
  <c r="CX82" i="1" s="1"/>
  <c r="W82" i="1" s="1"/>
  <c r="CU82" i="1"/>
  <c r="T82" i="1" s="1"/>
  <c r="FR82" i="1"/>
  <c r="GL82" i="1"/>
  <c r="GN82" i="1"/>
  <c r="GO82" i="1"/>
  <c r="GV82" i="1"/>
  <c r="HC82" i="1" s="1"/>
  <c r="GX82" i="1" s="1"/>
  <c r="C83" i="1"/>
  <c r="D83" i="1"/>
  <c r="I83" i="1"/>
  <c r="CX60" i="3" s="1"/>
  <c r="AC83" i="1"/>
  <c r="AE83" i="1"/>
  <c r="AF83" i="1"/>
  <c r="AG83" i="1"/>
  <c r="CU83" i="1" s="1"/>
  <c r="AH83" i="1"/>
  <c r="CV83" i="1" s="1"/>
  <c r="AI83" i="1"/>
  <c r="CW83" i="1" s="1"/>
  <c r="AJ83" i="1"/>
  <c r="CT83" i="1"/>
  <c r="CX83" i="1"/>
  <c r="FR83" i="1"/>
  <c r="GL83" i="1"/>
  <c r="GN83" i="1"/>
  <c r="GO83" i="1"/>
  <c r="GV83" i="1"/>
  <c r="HC83" i="1" s="1"/>
  <c r="C84" i="1"/>
  <c r="D84" i="1"/>
  <c r="I84" i="1"/>
  <c r="AC84" i="1"/>
  <c r="AE84" i="1"/>
  <c r="AF84" i="1"/>
  <c r="I145" i="5" s="1"/>
  <c r="AG84" i="1"/>
  <c r="CU84" i="1" s="1"/>
  <c r="T84" i="1" s="1"/>
  <c r="AH84" i="1"/>
  <c r="CV84" i="1" s="1"/>
  <c r="AI84" i="1"/>
  <c r="CW84" i="1" s="1"/>
  <c r="AJ84" i="1"/>
  <c r="CX84" i="1" s="1"/>
  <c r="CQ84" i="1"/>
  <c r="FR84" i="1"/>
  <c r="GL84" i="1"/>
  <c r="GO84" i="1"/>
  <c r="GP84" i="1"/>
  <c r="GV84" i="1"/>
  <c r="HC84" i="1" s="1"/>
  <c r="I85" i="1"/>
  <c r="AC85" i="1"/>
  <c r="AE85" i="1"/>
  <c r="AF85" i="1"/>
  <c r="AG85" i="1"/>
  <c r="CU85" i="1" s="1"/>
  <c r="AH85" i="1"/>
  <c r="AI85" i="1"/>
  <c r="AJ85" i="1"/>
  <c r="CX85" i="1" s="1"/>
  <c r="CR85" i="1"/>
  <c r="CV85" i="1"/>
  <c r="CW85" i="1"/>
  <c r="FR85" i="1"/>
  <c r="GL85" i="1"/>
  <c r="GO85" i="1"/>
  <c r="GP85" i="1"/>
  <c r="GV85" i="1"/>
  <c r="HC85" i="1" s="1"/>
  <c r="C86" i="1"/>
  <c r="D86" i="1"/>
  <c r="I86" i="1"/>
  <c r="AC86" i="1"/>
  <c r="AE86" i="1"/>
  <c r="CS86" i="1" s="1"/>
  <c r="AF86" i="1"/>
  <c r="AG86" i="1"/>
  <c r="CU86" i="1" s="1"/>
  <c r="T86" i="1" s="1"/>
  <c r="AH86" i="1"/>
  <c r="AI86" i="1"/>
  <c r="CW86" i="1" s="1"/>
  <c r="V86" i="1" s="1"/>
  <c r="AJ86" i="1"/>
  <c r="CX86" i="1" s="1"/>
  <c r="CV86" i="1"/>
  <c r="FR86" i="1"/>
  <c r="GL86" i="1"/>
  <c r="GO86" i="1"/>
  <c r="GP86" i="1"/>
  <c r="GV86" i="1"/>
  <c r="HC86" i="1" s="1"/>
  <c r="GX86" i="1" s="1"/>
  <c r="AC87" i="1"/>
  <c r="AD87" i="1"/>
  <c r="AE87" i="1"/>
  <c r="AF87" i="1"/>
  <c r="AG87" i="1"/>
  <c r="CU87" i="1" s="1"/>
  <c r="AH87" i="1"/>
  <c r="CV87" i="1" s="1"/>
  <c r="AI87" i="1"/>
  <c r="CW87" i="1" s="1"/>
  <c r="AJ87" i="1"/>
  <c r="CX87" i="1" s="1"/>
  <c r="CQ87" i="1"/>
  <c r="CR87" i="1"/>
  <c r="FR87" i="1"/>
  <c r="GL87" i="1"/>
  <c r="GO87" i="1"/>
  <c r="GP87" i="1"/>
  <c r="GV87" i="1"/>
  <c r="HC87" i="1" s="1"/>
  <c r="B89" i="1"/>
  <c r="B75" i="1" s="1"/>
  <c r="C89" i="1"/>
  <c r="C75" i="1" s="1"/>
  <c r="D89" i="1"/>
  <c r="D75" i="1" s="1"/>
  <c r="F89" i="1"/>
  <c r="F75" i="1" s="1"/>
  <c r="G89" i="1"/>
  <c r="AL168" i="5" s="1"/>
  <c r="BX89" i="1"/>
  <c r="BX75" i="1" s="1"/>
  <c r="CK89" i="1"/>
  <c r="CK75" i="1" s="1"/>
  <c r="CL89" i="1"/>
  <c r="CL75" i="1" s="1"/>
  <c r="CM89" i="1"/>
  <c r="BD89" i="1" s="1"/>
  <c r="D120" i="1"/>
  <c r="E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DB122" i="1"/>
  <c r="DC122" i="1"/>
  <c r="DD122" i="1"/>
  <c r="DE122" i="1"/>
  <c r="DF122" i="1"/>
  <c r="DG122" i="1"/>
  <c r="DH122" i="1"/>
  <c r="DI122" i="1"/>
  <c r="DJ122" i="1"/>
  <c r="DK122" i="1"/>
  <c r="DL122" i="1"/>
  <c r="DM122" i="1"/>
  <c r="DN122" i="1"/>
  <c r="DO122" i="1"/>
  <c r="DP122" i="1"/>
  <c r="DQ122" i="1"/>
  <c r="DR122" i="1"/>
  <c r="DS122" i="1"/>
  <c r="DT122" i="1"/>
  <c r="DU122" i="1"/>
  <c r="DV122" i="1"/>
  <c r="DW122" i="1"/>
  <c r="DX122" i="1"/>
  <c r="DY122" i="1"/>
  <c r="DZ122" i="1"/>
  <c r="EA122" i="1"/>
  <c r="EB122" i="1"/>
  <c r="EC122" i="1"/>
  <c r="ED122" i="1"/>
  <c r="EE122" i="1"/>
  <c r="EF122" i="1"/>
  <c r="EG122" i="1"/>
  <c r="EH122" i="1"/>
  <c r="EI122" i="1"/>
  <c r="EJ122" i="1"/>
  <c r="EK122" i="1"/>
  <c r="EL122" i="1"/>
  <c r="EM122" i="1"/>
  <c r="EN122" i="1"/>
  <c r="EO122" i="1"/>
  <c r="EP122" i="1"/>
  <c r="EQ122" i="1"/>
  <c r="ER122" i="1"/>
  <c r="ES122" i="1"/>
  <c r="ET122" i="1"/>
  <c r="EU122" i="1"/>
  <c r="EV122" i="1"/>
  <c r="EW122" i="1"/>
  <c r="EX122" i="1"/>
  <c r="EY122" i="1"/>
  <c r="EZ122" i="1"/>
  <c r="FA122" i="1"/>
  <c r="FB122" i="1"/>
  <c r="FC122" i="1"/>
  <c r="FD122" i="1"/>
  <c r="FE122" i="1"/>
  <c r="FF122" i="1"/>
  <c r="FG122" i="1"/>
  <c r="FH122" i="1"/>
  <c r="FI122" i="1"/>
  <c r="FJ122" i="1"/>
  <c r="FK122" i="1"/>
  <c r="FL122" i="1"/>
  <c r="FM122" i="1"/>
  <c r="FN122" i="1"/>
  <c r="FO122" i="1"/>
  <c r="FP122" i="1"/>
  <c r="FQ122" i="1"/>
  <c r="FR122" i="1"/>
  <c r="FS122" i="1"/>
  <c r="FT122" i="1"/>
  <c r="FU122" i="1"/>
  <c r="FV122" i="1"/>
  <c r="FW122" i="1"/>
  <c r="FX122" i="1"/>
  <c r="FY122" i="1"/>
  <c r="FZ122" i="1"/>
  <c r="GA122" i="1"/>
  <c r="GB122" i="1"/>
  <c r="GC122" i="1"/>
  <c r="GD122" i="1"/>
  <c r="GE122" i="1"/>
  <c r="GF122" i="1"/>
  <c r="GG122" i="1"/>
  <c r="GH122" i="1"/>
  <c r="GI122" i="1"/>
  <c r="GJ122" i="1"/>
  <c r="GK122" i="1"/>
  <c r="GL122" i="1"/>
  <c r="GM122" i="1"/>
  <c r="GN122" i="1"/>
  <c r="GO122" i="1"/>
  <c r="GP122" i="1"/>
  <c r="GQ122" i="1"/>
  <c r="GR122" i="1"/>
  <c r="GS122" i="1"/>
  <c r="GT122" i="1"/>
  <c r="GU122" i="1"/>
  <c r="GV122" i="1"/>
  <c r="GW122" i="1"/>
  <c r="GX122" i="1"/>
  <c r="B124" i="1"/>
  <c r="B122" i="1" s="1"/>
  <c r="C124" i="1"/>
  <c r="C122" i="1" s="1"/>
  <c r="D124" i="1"/>
  <c r="D122" i="1" s="1"/>
  <c r="F124" i="1"/>
  <c r="F122" i="1" s="1"/>
  <c r="G124" i="1"/>
  <c r="G122" i="1" s="1"/>
  <c r="O124" i="1"/>
  <c r="O122" i="1" s="1"/>
  <c r="P124" i="1"/>
  <c r="P122" i="1" s="1"/>
  <c r="Q124" i="1"/>
  <c r="Q122" i="1" s="1"/>
  <c r="R124" i="1"/>
  <c r="R122" i="1" s="1"/>
  <c r="S124" i="1"/>
  <c r="S122" i="1" s="1"/>
  <c r="T124" i="1"/>
  <c r="F145" i="1" s="1"/>
  <c r="U124" i="1"/>
  <c r="V124" i="1"/>
  <c r="W124" i="1"/>
  <c r="W122" i="1" s="1"/>
  <c r="X124" i="1"/>
  <c r="F150" i="1" s="1"/>
  <c r="Y124" i="1"/>
  <c r="F151" i="1" s="1"/>
  <c r="AO124" i="1"/>
  <c r="AO122" i="1" s="1"/>
  <c r="AP124" i="1"/>
  <c r="AQ124" i="1"/>
  <c r="AQ122" i="1" s="1"/>
  <c r="AR124" i="1"/>
  <c r="AR122" i="1" s="1"/>
  <c r="AS124" i="1"/>
  <c r="F141" i="1" s="1"/>
  <c r="AT124" i="1"/>
  <c r="F142" i="1" s="1"/>
  <c r="AU124" i="1"/>
  <c r="AU122" i="1" s="1"/>
  <c r="AV124" i="1"/>
  <c r="AW124" i="1"/>
  <c r="AX124" i="1"/>
  <c r="AX122" i="1" s="1"/>
  <c r="AY124" i="1"/>
  <c r="AZ124" i="1"/>
  <c r="AZ122" i="1" s="1"/>
  <c r="BA124" i="1"/>
  <c r="BB124" i="1"/>
  <c r="BB122" i="1" s="1"/>
  <c r="BC124" i="1"/>
  <c r="BC122" i="1" s="1"/>
  <c r="BD124" i="1"/>
  <c r="F128" i="1"/>
  <c r="F139" i="1"/>
  <c r="F148" i="1"/>
  <c r="D154" i="1"/>
  <c r="E156" i="1"/>
  <c r="Z156" i="1"/>
  <c r="AA156" i="1"/>
  <c r="AM156" i="1"/>
  <c r="AN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DB156" i="1"/>
  <c r="DC156" i="1"/>
  <c r="DD156" i="1"/>
  <c r="DE156" i="1"/>
  <c r="DF156" i="1"/>
  <c r="DG156" i="1"/>
  <c r="DH156" i="1"/>
  <c r="DI156" i="1"/>
  <c r="DJ156" i="1"/>
  <c r="DK156" i="1"/>
  <c r="DL156" i="1"/>
  <c r="DM156" i="1"/>
  <c r="DN156" i="1"/>
  <c r="DO156" i="1"/>
  <c r="DP156" i="1"/>
  <c r="DQ156" i="1"/>
  <c r="DR156" i="1"/>
  <c r="DS156" i="1"/>
  <c r="DT156" i="1"/>
  <c r="DU156" i="1"/>
  <c r="DV156" i="1"/>
  <c r="DW156" i="1"/>
  <c r="DX156" i="1"/>
  <c r="DY156" i="1"/>
  <c r="DZ156" i="1"/>
  <c r="EA156" i="1"/>
  <c r="EB156" i="1"/>
  <c r="EC156" i="1"/>
  <c r="ED156" i="1"/>
  <c r="EE156" i="1"/>
  <c r="EF156" i="1"/>
  <c r="EG156" i="1"/>
  <c r="EH156" i="1"/>
  <c r="EI156" i="1"/>
  <c r="EJ156" i="1"/>
  <c r="EK156" i="1"/>
  <c r="EL156" i="1"/>
  <c r="EM156" i="1"/>
  <c r="EN156" i="1"/>
  <c r="EO156" i="1"/>
  <c r="EP156" i="1"/>
  <c r="EQ156" i="1"/>
  <c r="ER156" i="1"/>
  <c r="ES156" i="1"/>
  <c r="ET156" i="1"/>
  <c r="EU156" i="1"/>
  <c r="EV156" i="1"/>
  <c r="EW156" i="1"/>
  <c r="EX156" i="1"/>
  <c r="EY156" i="1"/>
  <c r="EZ156" i="1"/>
  <c r="FA156" i="1"/>
  <c r="FB156" i="1"/>
  <c r="FC156" i="1"/>
  <c r="FD156" i="1"/>
  <c r="FE156" i="1"/>
  <c r="FF156" i="1"/>
  <c r="FG156" i="1"/>
  <c r="FH156" i="1"/>
  <c r="FI156" i="1"/>
  <c r="FJ156" i="1"/>
  <c r="FK156" i="1"/>
  <c r="FL156" i="1"/>
  <c r="FM156" i="1"/>
  <c r="FN156" i="1"/>
  <c r="FO156" i="1"/>
  <c r="FP156" i="1"/>
  <c r="FQ156" i="1"/>
  <c r="FR156" i="1"/>
  <c r="FS156" i="1"/>
  <c r="FT156" i="1"/>
  <c r="FU156" i="1"/>
  <c r="FV156" i="1"/>
  <c r="FW156" i="1"/>
  <c r="FX156" i="1"/>
  <c r="FY156" i="1"/>
  <c r="FZ156" i="1"/>
  <c r="GA156" i="1"/>
  <c r="GB156" i="1"/>
  <c r="GC156" i="1"/>
  <c r="GD156" i="1"/>
  <c r="GE156" i="1"/>
  <c r="GF156" i="1"/>
  <c r="GG156" i="1"/>
  <c r="GH156" i="1"/>
  <c r="GI156" i="1"/>
  <c r="GJ156" i="1"/>
  <c r="GK156" i="1"/>
  <c r="GL156" i="1"/>
  <c r="GM156" i="1"/>
  <c r="GN156" i="1"/>
  <c r="GO156" i="1"/>
  <c r="GP156" i="1"/>
  <c r="GQ156" i="1"/>
  <c r="GR156" i="1"/>
  <c r="GS156" i="1"/>
  <c r="GT156" i="1"/>
  <c r="GU156" i="1"/>
  <c r="GV156" i="1"/>
  <c r="GW156" i="1"/>
  <c r="GX156" i="1"/>
  <c r="C158" i="1"/>
  <c r="D158" i="1"/>
  <c r="I158" i="1"/>
  <c r="P158" i="1"/>
  <c r="AC158" i="1"/>
  <c r="AE158" i="1"/>
  <c r="AF158" i="1"/>
  <c r="CT158" i="1" s="1"/>
  <c r="AG158" i="1"/>
  <c r="CU158" i="1" s="1"/>
  <c r="T158" i="1" s="1"/>
  <c r="AH158" i="1"/>
  <c r="CV158" i="1" s="1"/>
  <c r="AI158" i="1"/>
  <c r="CW158" i="1" s="1"/>
  <c r="V158" i="1" s="1"/>
  <c r="AJ158" i="1"/>
  <c r="CX158" i="1" s="1"/>
  <c r="W158" i="1" s="1"/>
  <c r="CQ158" i="1"/>
  <c r="FR158" i="1"/>
  <c r="GL158" i="1"/>
  <c r="GO158" i="1"/>
  <c r="GP158" i="1"/>
  <c r="GV158" i="1"/>
  <c r="HC158" i="1" s="1"/>
  <c r="GX158" i="1" s="1"/>
  <c r="C159" i="1"/>
  <c r="D159" i="1"/>
  <c r="I159" i="1"/>
  <c r="AC159" i="1"/>
  <c r="AD159" i="1"/>
  <c r="AE159" i="1"/>
  <c r="AF159" i="1"/>
  <c r="AG159" i="1"/>
  <c r="CU159" i="1" s="1"/>
  <c r="AH159" i="1"/>
  <c r="CV159" i="1" s="1"/>
  <c r="U159" i="1" s="1"/>
  <c r="I186" i="5" s="1"/>
  <c r="AI159" i="1"/>
  <c r="CW159" i="1" s="1"/>
  <c r="AJ159" i="1"/>
  <c r="CX159" i="1" s="1"/>
  <c r="CQ159" i="1"/>
  <c r="CR159" i="1"/>
  <c r="FR159" i="1"/>
  <c r="GL159" i="1"/>
  <c r="GO159" i="1"/>
  <c r="GP159" i="1"/>
  <c r="GV159" i="1"/>
  <c r="HC159" i="1" s="1"/>
  <c r="C160" i="1"/>
  <c r="D160" i="1"/>
  <c r="AC160" i="1"/>
  <c r="P160" i="1" s="1"/>
  <c r="AE160" i="1"/>
  <c r="AF160" i="1"/>
  <c r="S160" i="1" s="1"/>
  <c r="AG160" i="1"/>
  <c r="AH160" i="1"/>
  <c r="AI160" i="1"/>
  <c r="CW160" i="1" s="1"/>
  <c r="V160" i="1" s="1"/>
  <c r="AJ160" i="1"/>
  <c r="CX160" i="1" s="1"/>
  <c r="W160" i="1" s="1"/>
  <c r="CU160" i="1"/>
  <c r="T160" i="1" s="1"/>
  <c r="CV160" i="1"/>
  <c r="U160" i="1" s="1"/>
  <c r="FR160" i="1"/>
  <c r="GL160" i="1"/>
  <c r="GO160" i="1"/>
  <c r="GP160" i="1"/>
  <c r="GV160" i="1"/>
  <c r="HC160" i="1" s="1"/>
  <c r="GX160" i="1" s="1"/>
  <c r="C161" i="1"/>
  <c r="D161" i="1"/>
  <c r="AC161" i="1"/>
  <c r="P161" i="1" s="1"/>
  <c r="AE161" i="1"/>
  <c r="AF161" i="1"/>
  <c r="AG161" i="1"/>
  <c r="CU161" i="1" s="1"/>
  <c r="T161" i="1" s="1"/>
  <c r="AH161" i="1"/>
  <c r="CV161" i="1" s="1"/>
  <c r="U161" i="1" s="1"/>
  <c r="AI161" i="1"/>
  <c r="CW161" i="1" s="1"/>
  <c r="V161" i="1" s="1"/>
  <c r="AJ161" i="1"/>
  <c r="CX161" i="1" s="1"/>
  <c r="W161" i="1" s="1"/>
  <c r="FR161" i="1"/>
  <c r="GL161" i="1"/>
  <c r="GN161" i="1"/>
  <c r="GO161" i="1"/>
  <c r="GV161" i="1"/>
  <c r="HC161" i="1" s="1"/>
  <c r="GX161" i="1"/>
  <c r="C162" i="1"/>
  <c r="D162" i="1"/>
  <c r="I162" i="1"/>
  <c r="CX79" i="3" s="1"/>
  <c r="Q162" i="1"/>
  <c r="AC162" i="1"/>
  <c r="P162" i="1" s="1"/>
  <c r="AE162" i="1"/>
  <c r="AD162" i="1" s="1"/>
  <c r="AF162" i="1"/>
  <c r="AG162" i="1"/>
  <c r="CU162" i="1" s="1"/>
  <c r="AH162" i="1"/>
  <c r="AI162" i="1"/>
  <c r="AJ162" i="1"/>
  <c r="CX162" i="1" s="1"/>
  <c r="W162" i="1" s="1"/>
  <c r="CS162" i="1"/>
  <c r="CV162" i="1"/>
  <c r="U162" i="1" s="1"/>
  <c r="CW162" i="1"/>
  <c r="FR162" i="1"/>
  <c r="GL162" i="1"/>
  <c r="GN162" i="1"/>
  <c r="GO162" i="1"/>
  <c r="GV162" i="1"/>
  <c r="HC162" i="1" s="1"/>
  <c r="GX162" i="1"/>
  <c r="C163" i="1"/>
  <c r="D163" i="1"/>
  <c r="AC163" i="1"/>
  <c r="P163" i="1" s="1"/>
  <c r="AE163" i="1"/>
  <c r="AF163" i="1"/>
  <c r="AG163" i="1"/>
  <c r="AH163" i="1"/>
  <c r="CV163" i="1" s="1"/>
  <c r="U163" i="1" s="1"/>
  <c r="AI163" i="1"/>
  <c r="CW163" i="1" s="1"/>
  <c r="V163" i="1" s="1"/>
  <c r="AJ163" i="1"/>
  <c r="CX163" i="1" s="1"/>
  <c r="W163" i="1" s="1"/>
  <c r="CU163" i="1"/>
  <c r="T163" i="1" s="1"/>
  <c r="FR163" i="1"/>
  <c r="GL163" i="1"/>
  <c r="GO163" i="1"/>
  <c r="GP163" i="1"/>
  <c r="GV163" i="1"/>
  <c r="HC163" i="1" s="1"/>
  <c r="GX163" i="1" s="1"/>
  <c r="I164" i="1"/>
  <c r="AC164" i="1"/>
  <c r="AD164" i="1"/>
  <c r="AE164" i="1"/>
  <c r="AF164" i="1"/>
  <c r="AG164" i="1"/>
  <c r="CU164" i="1" s="1"/>
  <c r="AH164" i="1"/>
  <c r="CV164" i="1" s="1"/>
  <c r="AI164" i="1"/>
  <c r="AJ164" i="1"/>
  <c r="CX164" i="1" s="1"/>
  <c r="CQ164" i="1"/>
  <c r="CR164" i="1"/>
  <c r="CS164" i="1"/>
  <c r="CW164" i="1"/>
  <c r="V164" i="1" s="1"/>
  <c r="FR164" i="1"/>
  <c r="GL164" i="1"/>
  <c r="GO164" i="1"/>
  <c r="GP164" i="1"/>
  <c r="GV164" i="1"/>
  <c r="HC164" i="1" s="1"/>
  <c r="C165" i="1"/>
  <c r="D165" i="1"/>
  <c r="I165" i="1"/>
  <c r="I191" i="5" s="1"/>
  <c r="AC165" i="1"/>
  <c r="AE165" i="1"/>
  <c r="AF165" i="1"/>
  <c r="Q188" i="5" s="1"/>
  <c r="I194" i="5" s="1"/>
  <c r="AG165" i="1"/>
  <c r="CU165" i="1" s="1"/>
  <c r="AH165" i="1"/>
  <c r="CV165" i="1" s="1"/>
  <c r="AI165" i="1"/>
  <c r="CW165" i="1" s="1"/>
  <c r="V165" i="1" s="1"/>
  <c r="AJ165" i="1"/>
  <c r="CX165" i="1" s="1"/>
  <c r="W165" i="1" s="1"/>
  <c r="CS165" i="1"/>
  <c r="FR165" i="1"/>
  <c r="GL165" i="1"/>
  <c r="GO165" i="1"/>
  <c r="CC167" i="1" s="1"/>
  <c r="CC156" i="1" s="1"/>
  <c r="GP165" i="1"/>
  <c r="GV165" i="1"/>
  <c r="HC165" i="1" s="1"/>
  <c r="B167" i="1"/>
  <c r="B156" i="1" s="1"/>
  <c r="C167" i="1"/>
  <c r="C156" i="1" s="1"/>
  <c r="D167" i="1"/>
  <c r="D156" i="1" s="1"/>
  <c r="F167" i="1"/>
  <c r="F156" i="1" s="1"/>
  <c r="G167" i="1"/>
  <c r="G156" i="1" s="1"/>
  <c r="A61" i="9" s="1"/>
  <c r="BX167" i="1"/>
  <c r="BX156" i="1" s="1"/>
  <c r="CK167" i="1"/>
  <c r="CK156" i="1" s="1"/>
  <c r="CL167" i="1"/>
  <c r="CL156" i="1" s="1"/>
  <c r="CM167" i="1"/>
  <c r="CM156" i="1" s="1"/>
  <c r="D198" i="1"/>
  <c r="E200" i="1"/>
  <c r="Z200" i="1"/>
  <c r="AA200" i="1"/>
  <c r="AM200" i="1"/>
  <c r="AN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DB200" i="1"/>
  <c r="DC200" i="1"/>
  <c r="DD200" i="1"/>
  <c r="DE200" i="1"/>
  <c r="DF200" i="1"/>
  <c r="DG200" i="1"/>
  <c r="DH200" i="1"/>
  <c r="DI200" i="1"/>
  <c r="DJ200" i="1"/>
  <c r="DK200" i="1"/>
  <c r="DL200" i="1"/>
  <c r="DM200" i="1"/>
  <c r="DN200" i="1"/>
  <c r="DO200" i="1"/>
  <c r="DP200" i="1"/>
  <c r="DQ200" i="1"/>
  <c r="DR200" i="1"/>
  <c r="DS200" i="1"/>
  <c r="DT200" i="1"/>
  <c r="DU200" i="1"/>
  <c r="DV200" i="1"/>
  <c r="DW200" i="1"/>
  <c r="DX200" i="1"/>
  <c r="DY200" i="1"/>
  <c r="DZ200" i="1"/>
  <c r="EA200" i="1"/>
  <c r="EB200" i="1"/>
  <c r="EC200" i="1"/>
  <c r="ED200" i="1"/>
  <c r="EE200" i="1"/>
  <c r="EF200" i="1"/>
  <c r="EG200" i="1"/>
  <c r="EH200" i="1"/>
  <c r="EI200" i="1"/>
  <c r="EJ200" i="1"/>
  <c r="EK200" i="1"/>
  <c r="EL200" i="1"/>
  <c r="EM200" i="1"/>
  <c r="EN200" i="1"/>
  <c r="EO200" i="1"/>
  <c r="EP200" i="1"/>
  <c r="EQ200" i="1"/>
  <c r="ER200" i="1"/>
  <c r="ES200" i="1"/>
  <c r="ET200" i="1"/>
  <c r="EU200" i="1"/>
  <c r="EV200" i="1"/>
  <c r="EW200" i="1"/>
  <c r="EX200" i="1"/>
  <c r="EY200" i="1"/>
  <c r="EZ200" i="1"/>
  <c r="FA200" i="1"/>
  <c r="FB200" i="1"/>
  <c r="FC200" i="1"/>
  <c r="FD200" i="1"/>
  <c r="FE200" i="1"/>
  <c r="FF200" i="1"/>
  <c r="FG200" i="1"/>
  <c r="FH200" i="1"/>
  <c r="FI200" i="1"/>
  <c r="FJ200" i="1"/>
  <c r="FK200" i="1"/>
  <c r="FL200" i="1"/>
  <c r="FM200" i="1"/>
  <c r="FN200" i="1"/>
  <c r="FO200" i="1"/>
  <c r="FP200" i="1"/>
  <c r="FQ200" i="1"/>
  <c r="FR200" i="1"/>
  <c r="FS200" i="1"/>
  <c r="FT200" i="1"/>
  <c r="FU200" i="1"/>
  <c r="FV200" i="1"/>
  <c r="FW200" i="1"/>
  <c r="FX200" i="1"/>
  <c r="FY200" i="1"/>
  <c r="FZ200" i="1"/>
  <c r="GA200" i="1"/>
  <c r="GB200" i="1"/>
  <c r="GC200" i="1"/>
  <c r="GD200" i="1"/>
  <c r="GE200" i="1"/>
  <c r="GF200" i="1"/>
  <c r="GG200" i="1"/>
  <c r="GH200" i="1"/>
  <c r="GI200" i="1"/>
  <c r="GJ200" i="1"/>
  <c r="GK200" i="1"/>
  <c r="GL200" i="1"/>
  <c r="GM200" i="1"/>
  <c r="GN200" i="1"/>
  <c r="GO200" i="1"/>
  <c r="GP200" i="1"/>
  <c r="GQ200" i="1"/>
  <c r="GR200" i="1"/>
  <c r="GS200" i="1"/>
  <c r="GT200" i="1"/>
  <c r="GU200" i="1"/>
  <c r="GV200" i="1"/>
  <c r="GW200" i="1"/>
  <c r="GX200" i="1"/>
  <c r="C202" i="1"/>
  <c r="D202" i="1"/>
  <c r="I202" i="1"/>
  <c r="R202" i="1"/>
  <c r="AC202" i="1"/>
  <c r="P202" i="1" s="1"/>
  <c r="AE202" i="1"/>
  <c r="AF202" i="1"/>
  <c r="AG202" i="1"/>
  <c r="CU202" i="1" s="1"/>
  <c r="T202" i="1" s="1"/>
  <c r="AH202" i="1"/>
  <c r="CV202" i="1" s="1"/>
  <c r="U202" i="1" s="1"/>
  <c r="I214" i="5" s="1"/>
  <c r="AI202" i="1"/>
  <c r="CW202" i="1" s="1"/>
  <c r="V202" i="1" s="1"/>
  <c r="AJ202" i="1"/>
  <c r="CX202" i="1" s="1"/>
  <c r="W202" i="1" s="1"/>
  <c r="CS202" i="1"/>
  <c r="FR202" i="1"/>
  <c r="GL202" i="1"/>
  <c r="GO202" i="1"/>
  <c r="GP202" i="1"/>
  <c r="GV202" i="1"/>
  <c r="HC202" i="1" s="1"/>
  <c r="GX202" i="1" s="1"/>
  <c r="C203" i="1"/>
  <c r="D203" i="1"/>
  <c r="I203" i="1"/>
  <c r="I204" i="1" s="1"/>
  <c r="AC203" i="1"/>
  <c r="P203" i="1" s="1"/>
  <c r="AE203" i="1"/>
  <c r="AF203" i="1"/>
  <c r="AG203" i="1"/>
  <c r="CU203" i="1" s="1"/>
  <c r="T203" i="1" s="1"/>
  <c r="AH203" i="1"/>
  <c r="CV203" i="1" s="1"/>
  <c r="AI203" i="1"/>
  <c r="AJ203" i="1"/>
  <c r="CX203" i="1" s="1"/>
  <c r="CS203" i="1"/>
  <c r="CW203" i="1"/>
  <c r="FR203" i="1"/>
  <c r="GL203" i="1"/>
  <c r="GO203" i="1"/>
  <c r="GP203" i="1"/>
  <c r="GV203" i="1"/>
  <c r="HC203" i="1" s="1"/>
  <c r="GX203" i="1" s="1"/>
  <c r="C204" i="1"/>
  <c r="D204" i="1"/>
  <c r="P204" i="1"/>
  <c r="AC204" i="1"/>
  <c r="AE204" i="1"/>
  <c r="CS204" i="1" s="1"/>
  <c r="AF204" i="1"/>
  <c r="AG204" i="1"/>
  <c r="CU204" i="1" s="1"/>
  <c r="T204" i="1" s="1"/>
  <c r="AH204" i="1"/>
  <c r="CV204" i="1" s="1"/>
  <c r="AI204" i="1"/>
  <c r="CW204" i="1" s="1"/>
  <c r="V204" i="1" s="1"/>
  <c r="AJ204" i="1"/>
  <c r="CX204" i="1" s="1"/>
  <c r="CQ204" i="1"/>
  <c r="FR204" i="1"/>
  <c r="GL204" i="1"/>
  <c r="GO204" i="1"/>
  <c r="GP204" i="1"/>
  <c r="GV204" i="1"/>
  <c r="HC204" i="1" s="1"/>
  <c r="GX204" i="1" s="1"/>
  <c r="C205" i="1"/>
  <c r="D205" i="1"/>
  <c r="AC205" i="1"/>
  <c r="AE205" i="1"/>
  <c r="AF205" i="1"/>
  <c r="AG205" i="1"/>
  <c r="CU205" i="1" s="1"/>
  <c r="T205" i="1" s="1"/>
  <c r="AH205" i="1"/>
  <c r="CV205" i="1" s="1"/>
  <c r="U205" i="1" s="1"/>
  <c r="AI205" i="1"/>
  <c r="CW205" i="1" s="1"/>
  <c r="V205" i="1" s="1"/>
  <c r="AJ205" i="1"/>
  <c r="CX205" i="1"/>
  <c r="W205" i="1" s="1"/>
  <c r="FR205" i="1"/>
  <c r="GL205" i="1"/>
  <c r="GN205" i="1"/>
  <c r="GO205" i="1"/>
  <c r="GV205" i="1"/>
  <c r="HC205" i="1" s="1"/>
  <c r="GX205" i="1" s="1"/>
  <c r="C206" i="1"/>
  <c r="D206" i="1"/>
  <c r="R206" i="1"/>
  <c r="GK206" i="1" s="1"/>
  <c r="AC206" i="1"/>
  <c r="P206" i="1" s="1"/>
  <c r="AE206" i="1"/>
  <c r="Q206" i="1" s="1"/>
  <c r="AF206" i="1"/>
  <c r="S206" i="1" s="1"/>
  <c r="AG206" i="1"/>
  <c r="CU206" i="1" s="1"/>
  <c r="T206" i="1" s="1"/>
  <c r="AH206" i="1"/>
  <c r="CV206" i="1" s="1"/>
  <c r="U206" i="1" s="1"/>
  <c r="AI206" i="1"/>
  <c r="AJ206" i="1"/>
  <c r="CX206" i="1" s="1"/>
  <c r="W206" i="1" s="1"/>
  <c r="CS206" i="1"/>
  <c r="CW206" i="1"/>
  <c r="V206" i="1" s="1"/>
  <c r="FR206" i="1"/>
  <c r="GL206" i="1"/>
  <c r="GN206" i="1"/>
  <c r="GO206" i="1"/>
  <c r="GV206" i="1"/>
  <c r="HC206" i="1" s="1"/>
  <c r="GX206" i="1" s="1"/>
  <c r="C207" i="1"/>
  <c r="D207" i="1"/>
  <c r="I207" i="1"/>
  <c r="AC207" i="1"/>
  <c r="AE207" i="1"/>
  <c r="AF207" i="1"/>
  <c r="AG207" i="1"/>
  <c r="CU207" i="1" s="1"/>
  <c r="AH207" i="1"/>
  <c r="CV207" i="1" s="1"/>
  <c r="AI207" i="1"/>
  <c r="CW207" i="1" s="1"/>
  <c r="AJ207" i="1"/>
  <c r="CX207" i="1" s="1"/>
  <c r="CQ207" i="1"/>
  <c r="FR207" i="1"/>
  <c r="GL207" i="1"/>
  <c r="GO207" i="1"/>
  <c r="GP207" i="1"/>
  <c r="GV207" i="1"/>
  <c r="HC207" i="1" s="1"/>
  <c r="AC208" i="1"/>
  <c r="AE208" i="1"/>
  <c r="CS208" i="1" s="1"/>
  <c r="AF208" i="1"/>
  <c r="AG208" i="1"/>
  <c r="CU208" i="1" s="1"/>
  <c r="AH208" i="1"/>
  <c r="CV208" i="1" s="1"/>
  <c r="AI208" i="1"/>
  <c r="CW208" i="1" s="1"/>
  <c r="AJ208" i="1"/>
  <c r="CX208" i="1" s="1"/>
  <c r="CQ208" i="1"/>
  <c r="FR208" i="1"/>
  <c r="GL208" i="1"/>
  <c r="GO208" i="1"/>
  <c r="GP208" i="1"/>
  <c r="GV208" i="1"/>
  <c r="HC208" i="1" s="1"/>
  <c r="C209" i="1"/>
  <c r="D209" i="1"/>
  <c r="I209" i="1"/>
  <c r="AC209" i="1"/>
  <c r="AE209" i="1"/>
  <c r="AF209" i="1"/>
  <c r="AG209" i="1"/>
  <c r="CU209" i="1" s="1"/>
  <c r="AH209" i="1"/>
  <c r="CV209" i="1" s="1"/>
  <c r="AI209" i="1"/>
  <c r="CW209" i="1" s="1"/>
  <c r="V209" i="1" s="1"/>
  <c r="AJ209" i="1"/>
  <c r="CX209" i="1" s="1"/>
  <c r="FR209" i="1"/>
  <c r="GL209" i="1"/>
  <c r="GO209" i="1"/>
  <c r="GP209" i="1"/>
  <c r="GV209" i="1"/>
  <c r="HC209" i="1" s="1"/>
  <c r="GX209" i="1" s="1"/>
  <c r="I210" i="1"/>
  <c r="AC210" i="1"/>
  <c r="AE210" i="1"/>
  <c r="AF210" i="1"/>
  <c r="AG210" i="1"/>
  <c r="CU210" i="1" s="1"/>
  <c r="AH210" i="1"/>
  <c r="CV210" i="1" s="1"/>
  <c r="AI210" i="1"/>
  <c r="AJ210" i="1"/>
  <c r="CX210" i="1" s="1"/>
  <c r="W210" i="1" s="1"/>
  <c r="CW210" i="1"/>
  <c r="V210" i="1" s="1"/>
  <c r="FR210" i="1"/>
  <c r="GL210" i="1"/>
  <c r="GO210" i="1"/>
  <c r="GP210" i="1"/>
  <c r="GV210" i="1"/>
  <c r="HC210" i="1" s="1"/>
  <c r="C211" i="1"/>
  <c r="D211" i="1"/>
  <c r="I211" i="1"/>
  <c r="AC211" i="1"/>
  <c r="AD211" i="1"/>
  <c r="AE211" i="1"/>
  <c r="AF211" i="1"/>
  <c r="S254" i="5" s="1"/>
  <c r="AG211" i="1"/>
  <c r="CU211" i="1" s="1"/>
  <c r="AH211" i="1"/>
  <c r="CV211" i="1" s="1"/>
  <c r="AI211" i="1"/>
  <c r="CW211" i="1" s="1"/>
  <c r="AJ211" i="1"/>
  <c r="CX211" i="1" s="1"/>
  <c r="CQ211" i="1"/>
  <c r="CR211" i="1"/>
  <c r="CS211" i="1"/>
  <c r="FR211" i="1"/>
  <c r="GL211" i="1"/>
  <c r="GO211" i="1"/>
  <c r="GP211" i="1"/>
  <c r="GV211" i="1"/>
  <c r="HC211" i="1" s="1"/>
  <c r="GX211" i="1" s="1"/>
  <c r="AC212" i="1"/>
  <c r="AE212" i="1"/>
  <c r="AF212" i="1"/>
  <c r="AG212" i="1"/>
  <c r="CU212" i="1" s="1"/>
  <c r="AH212" i="1"/>
  <c r="CV212" i="1" s="1"/>
  <c r="AI212" i="1"/>
  <c r="CW212" i="1" s="1"/>
  <c r="AJ212" i="1"/>
  <c r="CX212" i="1" s="1"/>
  <c r="CS212" i="1"/>
  <c r="FR212" i="1"/>
  <c r="GL212" i="1"/>
  <c r="GO212" i="1"/>
  <c r="GP212" i="1"/>
  <c r="GV212" i="1"/>
  <c r="HC212" i="1"/>
  <c r="B214" i="1"/>
  <c r="B200" i="1" s="1"/>
  <c r="C214" i="1"/>
  <c r="C200" i="1" s="1"/>
  <c r="D214" i="1"/>
  <c r="D200" i="1" s="1"/>
  <c r="F214" i="1"/>
  <c r="F200" i="1" s="1"/>
  <c r="G214" i="1"/>
  <c r="BX214" i="1"/>
  <c r="BX200" i="1" s="1"/>
  <c r="CK214" i="1"/>
  <c r="CK200" i="1" s="1"/>
  <c r="CL214" i="1"/>
  <c r="BC214" i="1" s="1"/>
  <c r="CM214" i="1"/>
  <c r="BD214" i="1" s="1"/>
  <c r="D245" i="1"/>
  <c r="E247" i="1"/>
  <c r="Z247" i="1"/>
  <c r="AA247" i="1"/>
  <c r="AM247" i="1"/>
  <c r="AN247" i="1"/>
  <c r="BE247" i="1"/>
  <c r="BF247" i="1"/>
  <c r="BG247" i="1"/>
  <c r="BH247" i="1"/>
  <c r="BI247" i="1"/>
  <c r="BJ247" i="1"/>
  <c r="BK247" i="1"/>
  <c r="BL247" i="1"/>
  <c r="BM247" i="1"/>
  <c r="BN247" i="1"/>
  <c r="BO247" i="1"/>
  <c r="BP247" i="1"/>
  <c r="BQ247" i="1"/>
  <c r="BR247" i="1"/>
  <c r="BS247" i="1"/>
  <c r="BT247" i="1"/>
  <c r="BU247" i="1"/>
  <c r="BV247" i="1"/>
  <c r="BW247" i="1"/>
  <c r="CN247" i="1"/>
  <c r="CO247" i="1"/>
  <c r="CP247" i="1"/>
  <c r="CQ247" i="1"/>
  <c r="CR247" i="1"/>
  <c r="CS247" i="1"/>
  <c r="CT247" i="1"/>
  <c r="CU247" i="1"/>
  <c r="CV247" i="1"/>
  <c r="CW247" i="1"/>
  <c r="CX247" i="1"/>
  <c r="CY247" i="1"/>
  <c r="CZ247" i="1"/>
  <c r="DA247" i="1"/>
  <c r="DB247" i="1"/>
  <c r="DC247" i="1"/>
  <c r="DD247" i="1"/>
  <c r="DE247" i="1"/>
  <c r="DF247" i="1"/>
  <c r="DG247" i="1"/>
  <c r="DH247" i="1"/>
  <c r="DI247" i="1"/>
  <c r="DJ247" i="1"/>
  <c r="DK247" i="1"/>
  <c r="DL247" i="1"/>
  <c r="DM247" i="1"/>
  <c r="DN247" i="1"/>
  <c r="DO247" i="1"/>
  <c r="DP247" i="1"/>
  <c r="DQ247" i="1"/>
  <c r="DR247" i="1"/>
  <c r="DS247" i="1"/>
  <c r="DT247" i="1"/>
  <c r="DU247" i="1"/>
  <c r="DV247" i="1"/>
  <c r="DW247" i="1"/>
  <c r="DX247" i="1"/>
  <c r="DY247" i="1"/>
  <c r="DZ247" i="1"/>
  <c r="EA247" i="1"/>
  <c r="EB247" i="1"/>
  <c r="EC247" i="1"/>
  <c r="ED247" i="1"/>
  <c r="EE247" i="1"/>
  <c r="EF247" i="1"/>
  <c r="EG247" i="1"/>
  <c r="EH247" i="1"/>
  <c r="EI247" i="1"/>
  <c r="EJ247" i="1"/>
  <c r="EK247" i="1"/>
  <c r="EL247" i="1"/>
  <c r="EM247" i="1"/>
  <c r="EN247" i="1"/>
  <c r="EO247" i="1"/>
  <c r="EP247" i="1"/>
  <c r="EQ247" i="1"/>
  <c r="ER247" i="1"/>
  <c r="ES247" i="1"/>
  <c r="ET247" i="1"/>
  <c r="EU247" i="1"/>
  <c r="EV247" i="1"/>
  <c r="EW247" i="1"/>
  <c r="EX247" i="1"/>
  <c r="EY247" i="1"/>
  <c r="EZ247" i="1"/>
  <c r="FA247" i="1"/>
  <c r="FB247" i="1"/>
  <c r="FC247" i="1"/>
  <c r="FD247" i="1"/>
  <c r="FE247" i="1"/>
  <c r="FF247" i="1"/>
  <c r="FG247" i="1"/>
  <c r="FH247" i="1"/>
  <c r="FI247" i="1"/>
  <c r="FJ247" i="1"/>
  <c r="FK247" i="1"/>
  <c r="FL247" i="1"/>
  <c r="FM247" i="1"/>
  <c r="FN247" i="1"/>
  <c r="FO247" i="1"/>
  <c r="FP247" i="1"/>
  <c r="FQ247" i="1"/>
  <c r="FR247" i="1"/>
  <c r="FS247" i="1"/>
  <c r="FT247" i="1"/>
  <c r="FU247" i="1"/>
  <c r="FV247" i="1"/>
  <c r="FW247" i="1"/>
  <c r="FX247" i="1"/>
  <c r="FY247" i="1"/>
  <c r="FZ247" i="1"/>
  <c r="GA247" i="1"/>
  <c r="GB247" i="1"/>
  <c r="GC247" i="1"/>
  <c r="GD247" i="1"/>
  <c r="GE247" i="1"/>
  <c r="GF247" i="1"/>
  <c r="GG247" i="1"/>
  <c r="GH247" i="1"/>
  <c r="GI247" i="1"/>
  <c r="GJ247" i="1"/>
  <c r="GK247" i="1"/>
  <c r="GL247" i="1"/>
  <c r="GM247" i="1"/>
  <c r="GN247" i="1"/>
  <c r="GO247" i="1"/>
  <c r="GP247" i="1"/>
  <c r="GQ247" i="1"/>
  <c r="GR247" i="1"/>
  <c r="GS247" i="1"/>
  <c r="GT247" i="1"/>
  <c r="GU247" i="1"/>
  <c r="GV247" i="1"/>
  <c r="GW247" i="1"/>
  <c r="GX247" i="1"/>
  <c r="C249" i="1"/>
  <c r="D249" i="1"/>
  <c r="I249" i="1"/>
  <c r="AC249" i="1"/>
  <c r="AE249" i="1"/>
  <c r="CS249" i="1" s="1"/>
  <c r="AF249" i="1"/>
  <c r="AG249" i="1"/>
  <c r="CU249" i="1" s="1"/>
  <c r="T249" i="1" s="1"/>
  <c r="AH249" i="1"/>
  <c r="CV249" i="1" s="1"/>
  <c r="AI249" i="1"/>
  <c r="CW249" i="1" s="1"/>
  <c r="AJ249" i="1"/>
  <c r="CX249" i="1" s="1"/>
  <c r="CQ249" i="1"/>
  <c r="FR249" i="1"/>
  <c r="GL249" i="1"/>
  <c r="GO249" i="1"/>
  <c r="GP249" i="1"/>
  <c r="GV249" i="1"/>
  <c r="HC249" i="1" s="1"/>
  <c r="C250" i="1"/>
  <c r="D250" i="1"/>
  <c r="I250" i="1"/>
  <c r="AC250" i="1"/>
  <c r="CQ250" i="1" s="1"/>
  <c r="AE250" i="1"/>
  <c r="R250" i="1" s="1"/>
  <c r="GK250" i="1" s="1"/>
  <c r="AF250" i="1"/>
  <c r="AG250" i="1"/>
  <c r="AH250" i="1"/>
  <c r="CV250" i="1" s="1"/>
  <c r="AI250" i="1"/>
  <c r="CW250" i="1" s="1"/>
  <c r="AJ250" i="1"/>
  <c r="CX250" i="1" s="1"/>
  <c r="W250" i="1" s="1"/>
  <c r="CU250" i="1"/>
  <c r="FR250" i="1"/>
  <c r="GL250" i="1"/>
  <c r="GO250" i="1"/>
  <c r="GP250" i="1"/>
  <c r="GV250" i="1"/>
  <c r="HC250" i="1" s="1"/>
  <c r="GX250" i="1" s="1"/>
  <c r="C251" i="1"/>
  <c r="D251" i="1"/>
  <c r="AC251" i="1"/>
  <c r="AE251" i="1"/>
  <c r="AF251" i="1"/>
  <c r="S251" i="1" s="1"/>
  <c r="AG251" i="1"/>
  <c r="CU251" i="1" s="1"/>
  <c r="T251" i="1" s="1"/>
  <c r="AH251" i="1"/>
  <c r="AI251" i="1"/>
  <c r="CW251" i="1" s="1"/>
  <c r="V251" i="1" s="1"/>
  <c r="AJ251" i="1"/>
  <c r="CX251" i="1" s="1"/>
  <c r="W251" i="1" s="1"/>
  <c r="CV251" i="1"/>
  <c r="U251" i="1" s="1"/>
  <c r="FR251" i="1"/>
  <c r="GL251" i="1"/>
  <c r="GO251" i="1"/>
  <c r="GP251" i="1"/>
  <c r="GV251" i="1"/>
  <c r="HC251" i="1"/>
  <c r="GX251" i="1" s="1"/>
  <c r="C252" i="1"/>
  <c r="D252" i="1"/>
  <c r="AC252" i="1"/>
  <c r="P252" i="1" s="1"/>
  <c r="AE252" i="1"/>
  <c r="Q252" i="1" s="1"/>
  <c r="AF252" i="1"/>
  <c r="S252" i="1" s="1"/>
  <c r="CZ252" i="1" s="1"/>
  <c r="Y252" i="1" s="1"/>
  <c r="AG252" i="1"/>
  <c r="AH252" i="1"/>
  <c r="CV252" i="1" s="1"/>
  <c r="U252" i="1" s="1"/>
  <c r="AI252" i="1"/>
  <c r="AJ252" i="1"/>
  <c r="CX252" i="1" s="1"/>
  <c r="W252" i="1" s="1"/>
  <c r="CU252" i="1"/>
  <c r="T252" i="1" s="1"/>
  <c r="CW252" i="1"/>
  <c r="V252" i="1" s="1"/>
  <c r="FR252" i="1"/>
  <c r="GL252" i="1"/>
  <c r="GN252" i="1"/>
  <c r="GO252" i="1"/>
  <c r="GV252" i="1"/>
  <c r="HC252" i="1"/>
  <c r="GX252" i="1" s="1"/>
  <c r="C253" i="1"/>
  <c r="D253" i="1"/>
  <c r="AC253" i="1"/>
  <c r="AE253" i="1"/>
  <c r="CR253" i="1" s="1"/>
  <c r="AF253" i="1"/>
  <c r="AG253" i="1"/>
  <c r="CU253" i="1" s="1"/>
  <c r="T253" i="1" s="1"/>
  <c r="AH253" i="1"/>
  <c r="AI253" i="1"/>
  <c r="CW253" i="1" s="1"/>
  <c r="V253" i="1" s="1"/>
  <c r="AJ253" i="1"/>
  <c r="CX253" i="1" s="1"/>
  <c r="W253" i="1" s="1"/>
  <c r="CV253" i="1"/>
  <c r="U253" i="1" s="1"/>
  <c r="FR253" i="1"/>
  <c r="GL253" i="1"/>
  <c r="GN253" i="1"/>
  <c r="GO253" i="1"/>
  <c r="GV253" i="1"/>
  <c r="HC253" i="1" s="1"/>
  <c r="GX253" i="1" s="1"/>
  <c r="C254" i="1"/>
  <c r="D254" i="1"/>
  <c r="I254" i="1"/>
  <c r="Q254" i="1" s="1"/>
  <c r="K290" i="5" s="1"/>
  <c r="AC254" i="1"/>
  <c r="AE254" i="1"/>
  <c r="AF254" i="1"/>
  <c r="I289" i="5" s="1"/>
  <c r="AG254" i="1"/>
  <c r="CU254" i="1" s="1"/>
  <c r="AH254" i="1"/>
  <c r="AI254" i="1"/>
  <c r="CW254" i="1" s="1"/>
  <c r="AJ254" i="1"/>
  <c r="CX254" i="1" s="1"/>
  <c r="W254" i="1" s="1"/>
  <c r="CV254" i="1"/>
  <c r="FR254" i="1"/>
  <c r="GL254" i="1"/>
  <c r="GO254" i="1"/>
  <c r="GP254" i="1"/>
  <c r="GV254" i="1"/>
  <c r="HC254" i="1" s="1"/>
  <c r="I255" i="1"/>
  <c r="AC255" i="1"/>
  <c r="AE255" i="1"/>
  <c r="AF255" i="1"/>
  <c r="CT255" i="1" s="1"/>
  <c r="AG255" i="1"/>
  <c r="CU255" i="1" s="1"/>
  <c r="AH255" i="1"/>
  <c r="AI255" i="1"/>
  <c r="CW255" i="1" s="1"/>
  <c r="AJ255" i="1"/>
  <c r="CX255" i="1" s="1"/>
  <c r="W255" i="1" s="1"/>
  <c r="CV255" i="1"/>
  <c r="U255" i="1" s="1"/>
  <c r="FR255" i="1"/>
  <c r="GL255" i="1"/>
  <c r="GO255" i="1"/>
  <c r="GP255" i="1"/>
  <c r="GV255" i="1"/>
  <c r="HC255" i="1" s="1"/>
  <c r="C256" i="1"/>
  <c r="D256" i="1"/>
  <c r="I256" i="1"/>
  <c r="I257" i="1" s="1"/>
  <c r="S257" i="1" s="1"/>
  <c r="AC256" i="1"/>
  <c r="I304" i="5" s="1"/>
  <c r="AE256" i="1"/>
  <c r="AF256" i="1"/>
  <c r="AG256" i="1"/>
  <c r="CU256" i="1" s="1"/>
  <c r="AH256" i="1"/>
  <c r="CV256" i="1" s="1"/>
  <c r="U256" i="1" s="1"/>
  <c r="I309" i="5" s="1"/>
  <c r="AI256" i="1"/>
  <c r="CW256" i="1" s="1"/>
  <c r="AJ256" i="1"/>
  <c r="CX256" i="1"/>
  <c r="FR256" i="1"/>
  <c r="GL256" i="1"/>
  <c r="GO256" i="1"/>
  <c r="GP256" i="1"/>
  <c r="GV256" i="1"/>
  <c r="HC256" i="1" s="1"/>
  <c r="AC257" i="1"/>
  <c r="AE257" i="1"/>
  <c r="AF257" i="1"/>
  <c r="AG257" i="1"/>
  <c r="CU257" i="1" s="1"/>
  <c r="AH257" i="1"/>
  <c r="AI257" i="1"/>
  <c r="CW257" i="1" s="1"/>
  <c r="AJ257" i="1"/>
  <c r="CT257" i="1"/>
  <c r="CV257" i="1"/>
  <c r="CX257" i="1"/>
  <c r="FR257" i="1"/>
  <c r="GL257" i="1"/>
  <c r="GO257" i="1"/>
  <c r="GP257" i="1"/>
  <c r="GV257" i="1"/>
  <c r="HC257" i="1" s="1"/>
  <c r="B259" i="1"/>
  <c r="B247" i="1" s="1"/>
  <c r="C259" i="1"/>
  <c r="C247" i="1" s="1"/>
  <c r="D259" i="1"/>
  <c r="D247" i="1" s="1"/>
  <c r="F259" i="1"/>
  <c r="F247" i="1" s="1"/>
  <c r="G259" i="1"/>
  <c r="BX259" i="1"/>
  <c r="CK259" i="1"/>
  <c r="CK247" i="1" s="1"/>
  <c r="CL259" i="1"/>
  <c r="CL247" i="1" s="1"/>
  <c r="CM259" i="1"/>
  <c r="CM247" i="1" s="1"/>
  <c r="D290" i="1"/>
  <c r="E292" i="1"/>
  <c r="Z292" i="1"/>
  <c r="AA292" i="1"/>
  <c r="AB292" i="1"/>
  <c r="AC292" i="1"/>
  <c r="AD292" i="1"/>
  <c r="AE292" i="1"/>
  <c r="AF292" i="1"/>
  <c r="AG292" i="1"/>
  <c r="AH292" i="1"/>
  <c r="AI292" i="1"/>
  <c r="AJ292" i="1"/>
  <c r="AK292" i="1"/>
  <c r="AL292" i="1"/>
  <c r="AM292" i="1"/>
  <c r="AN292" i="1"/>
  <c r="BE292" i="1"/>
  <c r="BF292" i="1"/>
  <c r="BG292" i="1"/>
  <c r="BH292" i="1"/>
  <c r="BI292" i="1"/>
  <c r="BJ292" i="1"/>
  <c r="BK292" i="1"/>
  <c r="BL292" i="1"/>
  <c r="BM292" i="1"/>
  <c r="BN292" i="1"/>
  <c r="BO292" i="1"/>
  <c r="BP292" i="1"/>
  <c r="BQ292" i="1"/>
  <c r="BR292" i="1"/>
  <c r="BS292" i="1"/>
  <c r="BT292" i="1"/>
  <c r="BU292" i="1"/>
  <c r="BV292" i="1"/>
  <c r="BW292" i="1"/>
  <c r="BX292" i="1"/>
  <c r="BY292" i="1"/>
  <c r="BZ292" i="1"/>
  <c r="CA292" i="1"/>
  <c r="CB292" i="1"/>
  <c r="CC292" i="1"/>
  <c r="CD292" i="1"/>
  <c r="CE292" i="1"/>
  <c r="CF292" i="1"/>
  <c r="CG292" i="1"/>
  <c r="CH292" i="1"/>
  <c r="CI292" i="1"/>
  <c r="CJ292" i="1"/>
  <c r="CK292" i="1"/>
  <c r="CL292" i="1"/>
  <c r="CM292" i="1"/>
  <c r="CN292" i="1"/>
  <c r="CO292" i="1"/>
  <c r="CP292" i="1"/>
  <c r="CQ292" i="1"/>
  <c r="CR292" i="1"/>
  <c r="CS292" i="1"/>
  <c r="CT292" i="1"/>
  <c r="CU292" i="1"/>
  <c r="CV292" i="1"/>
  <c r="CW292" i="1"/>
  <c r="CX292" i="1"/>
  <c r="CY292" i="1"/>
  <c r="CZ292" i="1"/>
  <c r="DA292" i="1"/>
  <c r="DB292" i="1"/>
  <c r="DC292" i="1"/>
  <c r="DD292" i="1"/>
  <c r="DE292" i="1"/>
  <c r="DF292" i="1"/>
  <c r="DG292" i="1"/>
  <c r="DH292" i="1"/>
  <c r="DI292" i="1"/>
  <c r="DJ292" i="1"/>
  <c r="DK292" i="1"/>
  <c r="DL292" i="1"/>
  <c r="DM292" i="1"/>
  <c r="DN292" i="1"/>
  <c r="DO292" i="1"/>
  <c r="DP292" i="1"/>
  <c r="DQ292" i="1"/>
  <c r="DR292" i="1"/>
  <c r="DS292" i="1"/>
  <c r="DT292" i="1"/>
  <c r="DU292" i="1"/>
  <c r="DV292" i="1"/>
  <c r="DW292" i="1"/>
  <c r="DX292" i="1"/>
  <c r="DY292" i="1"/>
  <c r="DZ292" i="1"/>
  <c r="EA292" i="1"/>
  <c r="EB292" i="1"/>
  <c r="EC292" i="1"/>
  <c r="ED292" i="1"/>
  <c r="EE292" i="1"/>
  <c r="EF292" i="1"/>
  <c r="EG292" i="1"/>
  <c r="EH292" i="1"/>
  <c r="EI292" i="1"/>
  <c r="EJ292" i="1"/>
  <c r="EK292" i="1"/>
  <c r="EL292" i="1"/>
  <c r="EM292" i="1"/>
  <c r="EN292" i="1"/>
  <c r="EO292" i="1"/>
  <c r="EP292" i="1"/>
  <c r="EQ292" i="1"/>
  <c r="ER292" i="1"/>
  <c r="ES292" i="1"/>
  <c r="ET292" i="1"/>
  <c r="EU292" i="1"/>
  <c r="EV292" i="1"/>
  <c r="EW292" i="1"/>
  <c r="EX292" i="1"/>
  <c r="EY292" i="1"/>
  <c r="EZ292" i="1"/>
  <c r="FA292" i="1"/>
  <c r="FB292" i="1"/>
  <c r="FC292" i="1"/>
  <c r="FD292" i="1"/>
  <c r="FE292" i="1"/>
  <c r="FF292" i="1"/>
  <c r="FG292" i="1"/>
  <c r="FH292" i="1"/>
  <c r="FI292" i="1"/>
  <c r="FJ292" i="1"/>
  <c r="FK292" i="1"/>
  <c r="FL292" i="1"/>
  <c r="FM292" i="1"/>
  <c r="FN292" i="1"/>
  <c r="FO292" i="1"/>
  <c r="FP292" i="1"/>
  <c r="FQ292" i="1"/>
  <c r="FR292" i="1"/>
  <c r="FS292" i="1"/>
  <c r="FT292" i="1"/>
  <c r="FU292" i="1"/>
  <c r="FV292" i="1"/>
  <c r="FW292" i="1"/>
  <c r="FX292" i="1"/>
  <c r="FY292" i="1"/>
  <c r="FZ292" i="1"/>
  <c r="GA292" i="1"/>
  <c r="GB292" i="1"/>
  <c r="GC292" i="1"/>
  <c r="GD292" i="1"/>
  <c r="GE292" i="1"/>
  <c r="GF292" i="1"/>
  <c r="GG292" i="1"/>
  <c r="GH292" i="1"/>
  <c r="GI292" i="1"/>
  <c r="GJ292" i="1"/>
  <c r="GK292" i="1"/>
  <c r="GL292" i="1"/>
  <c r="GM292" i="1"/>
  <c r="GN292" i="1"/>
  <c r="GO292" i="1"/>
  <c r="GP292" i="1"/>
  <c r="GQ292" i="1"/>
  <c r="GR292" i="1"/>
  <c r="GS292" i="1"/>
  <c r="GT292" i="1"/>
  <c r="GU292" i="1"/>
  <c r="GV292" i="1"/>
  <c r="GW292" i="1"/>
  <c r="GX292" i="1"/>
  <c r="B294" i="1"/>
  <c r="B292" i="1" s="1"/>
  <c r="C294" i="1"/>
  <c r="C292" i="1" s="1"/>
  <c r="D294" i="1"/>
  <c r="D292" i="1" s="1"/>
  <c r="F294" i="1"/>
  <c r="F292" i="1" s="1"/>
  <c r="G294" i="1"/>
  <c r="G292" i="1" s="1"/>
  <c r="O294" i="1"/>
  <c r="P294" i="1"/>
  <c r="P292" i="1" s="1"/>
  <c r="Q294" i="1"/>
  <c r="Q292" i="1" s="1"/>
  <c r="R294" i="1"/>
  <c r="S294" i="1"/>
  <c r="S292" i="1" s="1"/>
  <c r="T294" i="1"/>
  <c r="F315" i="1" s="1"/>
  <c r="U294" i="1"/>
  <c r="U292" i="1" s="1"/>
  <c r="V294" i="1"/>
  <c r="V292" i="1" s="1"/>
  <c r="W294" i="1"/>
  <c r="W292" i="1" s="1"/>
  <c r="X294" i="1"/>
  <c r="F320" i="1" s="1"/>
  <c r="Y294" i="1"/>
  <c r="Y292" i="1" s="1"/>
  <c r="AO294" i="1"/>
  <c r="AO292" i="1" s="1"/>
  <c r="AP294" i="1"/>
  <c r="AP292" i="1" s="1"/>
  <c r="AQ294" i="1"/>
  <c r="AQ292" i="1" s="1"/>
  <c r="AR294" i="1"/>
  <c r="AR292" i="1" s="1"/>
  <c r="AS294" i="1"/>
  <c r="F311" i="1" s="1"/>
  <c r="AT294" i="1"/>
  <c r="AU294" i="1"/>
  <c r="AU292" i="1" s="1"/>
  <c r="AV294" i="1"/>
  <c r="AW294" i="1"/>
  <c r="AW292" i="1" s="1"/>
  <c r="AX294" i="1"/>
  <c r="AY294" i="1"/>
  <c r="AY292" i="1" s="1"/>
  <c r="AZ294" i="1"/>
  <c r="AZ292" i="1" s="1"/>
  <c r="BA294" i="1"/>
  <c r="BA292" i="1" s="1"/>
  <c r="BB294" i="1"/>
  <c r="BB292" i="1" s="1"/>
  <c r="BC294" i="1"/>
  <c r="BC292" i="1" s="1"/>
  <c r="BD294" i="1"/>
  <c r="BD292" i="1" s="1"/>
  <c r="F298" i="1"/>
  <c r="F305" i="1"/>
  <c r="F306" i="1"/>
  <c r="F309" i="1"/>
  <c r="F314" i="1"/>
  <c r="F316" i="1"/>
  <c r="F318" i="1"/>
  <c r="F322" i="1"/>
  <c r="D324" i="1"/>
  <c r="E326" i="1"/>
  <c r="Z326" i="1"/>
  <c r="AA326" i="1"/>
  <c r="AM326" i="1"/>
  <c r="AN326" i="1"/>
  <c r="BE326" i="1"/>
  <c r="BF326" i="1"/>
  <c r="BG326" i="1"/>
  <c r="BH326" i="1"/>
  <c r="BI326" i="1"/>
  <c r="BJ326" i="1"/>
  <c r="BK326" i="1"/>
  <c r="BL326" i="1"/>
  <c r="BM326" i="1"/>
  <c r="BN326" i="1"/>
  <c r="BO326" i="1"/>
  <c r="BP326" i="1"/>
  <c r="BQ326" i="1"/>
  <c r="BR326" i="1"/>
  <c r="BS326" i="1"/>
  <c r="BT326" i="1"/>
  <c r="BU326" i="1"/>
  <c r="BV326" i="1"/>
  <c r="BW326" i="1"/>
  <c r="CN326" i="1"/>
  <c r="CO326" i="1"/>
  <c r="CP326" i="1"/>
  <c r="CQ326" i="1"/>
  <c r="CR326" i="1"/>
  <c r="CS326" i="1"/>
  <c r="CT326" i="1"/>
  <c r="CU326" i="1"/>
  <c r="CV326" i="1"/>
  <c r="CW326" i="1"/>
  <c r="CX326" i="1"/>
  <c r="CY326" i="1"/>
  <c r="CZ326" i="1"/>
  <c r="DA326" i="1"/>
  <c r="DB326" i="1"/>
  <c r="DC326" i="1"/>
  <c r="DD326" i="1"/>
  <c r="DE326" i="1"/>
  <c r="DF326" i="1"/>
  <c r="DG326" i="1"/>
  <c r="DH326" i="1"/>
  <c r="DI326" i="1"/>
  <c r="DJ326" i="1"/>
  <c r="DK326" i="1"/>
  <c r="DL326" i="1"/>
  <c r="DM326" i="1"/>
  <c r="DN326" i="1"/>
  <c r="DO326" i="1"/>
  <c r="DP326" i="1"/>
  <c r="DQ326" i="1"/>
  <c r="DR326" i="1"/>
  <c r="DS326" i="1"/>
  <c r="DT326" i="1"/>
  <c r="DU326" i="1"/>
  <c r="DV326" i="1"/>
  <c r="DW326" i="1"/>
  <c r="DX326" i="1"/>
  <c r="DY326" i="1"/>
  <c r="DZ326" i="1"/>
  <c r="EA326" i="1"/>
  <c r="EB326" i="1"/>
  <c r="EC326" i="1"/>
  <c r="ED326" i="1"/>
  <c r="EE326" i="1"/>
  <c r="EF326" i="1"/>
  <c r="EG326" i="1"/>
  <c r="EH326" i="1"/>
  <c r="EI326" i="1"/>
  <c r="EJ326" i="1"/>
  <c r="EK326" i="1"/>
  <c r="EL326" i="1"/>
  <c r="EM326" i="1"/>
  <c r="EN326" i="1"/>
  <c r="EO326" i="1"/>
  <c r="EP326" i="1"/>
  <c r="EQ326" i="1"/>
  <c r="ER326" i="1"/>
  <c r="ES326" i="1"/>
  <c r="ET326" i="1"/>
  <c r="EU326" i="1"/>
  <c r="EV326" i="1"/>
  <c r="EW326" i="1"/>
  <c r="EX326" i="1"/>
  <c r="EY326" i="1"/>
  <c r="EZ326" i="1"/>
  <c r="FA326" i="1"/>
  <c r="FB326" i="1"/>
  <c r="FC326" i="1"/>
  <c r="FD326" i="1"/>
  <c r="FE326" i="1"/>
  <c r="FF326" i="1"/>
  <c r="FG326" i="1"/>
  <c r="FH326" i="1"/>
  <c r="FI326" i="1"/>
  <c r="FJ326" i="1"/>
  <c r="FK326" i="1"/>
  <c r="FL326" i="1"/>
  <c r="FM326" i="1"/>
  <c r="FN326" i="1"/>
  <c r="FO326" i="1"/>
  <c r="FP326" i="1"/>
  <c r="FQ326" i="1"/>
  <c r="FR326" i="1"/>
  <c r="FS326" i="1"/>
  <c r="FT326" i="1"/>
  <c r="FU326" i="1"/>
  <c r="FV326" i="1"/>
  <c r="FW326" i="1"/>
  <c r="FX326" i="1"/>
  <c r="FY326" i="1"/>
  <c r="FZ326" i="1"/>
  <c r="GA326" i="1"/>
  <c r="GB326" i="1"/>
  <c r="GC326" i="1"/>
  <c r="GD326" i="1"/>
  <c r="GE326" i="1"/>
  <c r="GF326" i="1"/>
  <c r="GG326" i="1"/>
  <c r="GH326" i="1"/>
  <c r="GI326" i="1"/>
  <c r="GJ326" i="1"/>
  <c r="GK326" i="1"/>
  <c r="GL326" i="1"/>
  <c r="GM326" i="1"/>
  <c r="GN326" i="1"/>
  <c r="GO326" i="1"/>
  <c r="GP326" i="1"/>
  <c r="GQ326" i="1"/>
  <c r="GR326" i="1"/>
  <c r="GS326" i="1"/>
  <c r="GT326" i="1"/>
  <c r="GU326" i="1"/>
  <c r="GV326" i="1"/>
  <c r="GW326" i="1"/>
  <c r="GX326" i="1"/>
  <c r="C328" i="1"/>
  <c r="D328" i="1"/>
  <c r="I328" i="1"/>
  <c r="P328" i="1"/>
  <c r="AC328" i="1"/>
  <c r="CQ328" i="1" s="1"/>
  <c r="AE328" i="1"/>
  <c r="AF328" i="1"/>
  <c r="AG328" i="1"/>
  <c r="AH328" i="1"/>
  <c r="CV328" i="1" s="1"/>
  <c r="U328" i="1" s="1"/>
  <c r="I326" i="5" s="1"/>
  <c r="AI328" i="1"/>
  <c r="CW328" i="1" s="1"/>
  <c r="AJ328" i="1"/>
  <c r="CX328" i="1" s="1"/>
  <c r="W328" i="1" s="1"/>
  <c r="CU328" i="1"/>
  <c r="T328" i="1" s="1"/>
  <c r="FR328" i="1"/>
  <c r="GL328" i="1"/>
  <c r="GO328" i="1"/>
  <c r="GP328" i="1"/>
  <c r="GV328" i="1"/>
  <c r="HC328" i="1" s="1"/>
  <c r="GX328" i="1" s="1"/>
  <c r="C329" i="1"/>
  <c r="D329" i="1"/>
  <c r="I329" i="1"/>
  <c r="AC329" i="1"/>
  <c r="AE329" i="1"/>
  <c r="CS329" i="1" s="1"/>
  <c r="AF329" i="1"/>
  <c r="AG329" i="1"/>
  <c r="CU329" i="1" s="1"/>
  <c r="AH329" i="1"/>
  <c r="CV329" i="1" s="1"/>
  <c r="AI329" i="1"/>
  <c r="CW329" i="1" s="1"/>
  <c r="AJ329" i="1"/>
  <c r="CX329" i="1" s="1"/>
  <c r="CQ329" i="1"/>
  <c r="FR329" i="1"/>
  <c r="GL329" i="1"/>
  <c r="GO329" i="1"/>
  <c r="GP329" i="1"/>
  <c r="GV329" i="1"/>
  <c r="HC329" i="1" s="1"/>
  <c r="C330" i="1"/>
  <c r="D330" i="1"/>
  <c r="I330" i="1"/>
  <c r="AC330" i="1"/>
  <c r="P330" i="1" s="1"/>
  <c r="AE330" i="1"/>
  <c r="AD330" i="1" s="1"/>
  <c r="AB330" i="1" s="1"/>
  <c r="AF330" i="1"/>
  <c r="Q335" i="5" s="1"/>
  <c r="I340" i="5" s="1"/>
  <c r="AG330" i="1"/>
  <c r="CU330" i="1" s="1"/>
  <c r="T330" i="1" s="1"/>
  <c r="AH330" i="1"/>
  <c r="CV330" i="1" s="1"/>
  <c r="U330" i="1" s="1"/>
  <c r="I343" i="5" s="1"/>
  <c r="AI330" i="1"/>
  <c r="CW330" i="1" s="1"/>
  <c r="V330" i="1" s="1"/>
  <c r="AJ330" i="1"/>
  <c r="CX330" i="1" s="1"/>
  <c r="CQ330" i="1"/>
  <c r="FR330" i="1"/>
  <c r="GL330" i="1"/>
  <c r="GO330" i="1"/>
  <c r="GP330" i="1"/>
  <c r="GV330" i="1"/>
  <c r="HC330" i="1" s="1"/>
  <c r="GX330" i="1" s="1"/>
  <c r="C331" i="1"/>
  <c r="D331" i="1"/>
  <c r="AC331" i="1"/>
  <c r="AD331" i="1"/>
  <c r="AE331" i="1"/>
  <c r="AF331" i="1"/>
  <c r="AG331" i="1"/>
  <c r="CU331" i="1" s="1"/>
  <c r="AH331" i="1"/>
  <c r="CV331" i="1" s="1"/>
  <c r="AI331" i="1"/>
  <c r="AJ331" i="1"/>
  <c r="CX331" i="1" s="1"/>
  <c r="CQ331" i="1"/>
  <c r="CR331" i="1"/>
  <c r="CS331" i="1"/>
  <c r="CW331" i="1"/>
  <c r="FR331" i="1"/>
  <c r="GL331" i="1"/>
  <c r="GO331" i="1"/>
  <c r="GP331" i="1"/>
  <c r="GV331" i="1"/>
  <c r="HC331" i="1" s="1"/>
  <c r="C332" i="1"/>
  <c r="D332" i="1"/>
  <c r="AC332" i="1"/>
  <c r="AE332" i="1"/>
  <c r="AF332" i="1"/>
  <c r="AG332" i="1"/>
  <c r="CU332" i="1" s="1"/>
  <c r="T332" i="1" s="1"/>
  <c r="AH332" i="1"/>
  <c r="CV332" i="1" s="1"/>
  <c r="U332" i="1" s="1"/>
  <c r="AI332" i="1"/>
  <c r="CW332" i="1" s="1"/>
  <c r="V332" i="1" s="1"/>
  <c r="AJ332" i="1"/>
  <c r="CX332" i="1" s="1"/>
  <c r="W332" i="1" s="1"/>
  <c r="FR332" i="1"/>
  <c r="GL332" i="1"/>
  <c r="GN332" i="1"/>
  <c r="GO332" i="1"/>
  <c r="GV332" i="1"/>
  <c r="HC332" i="1" s="1"/>
  <c r="GX332" i="1" s="1"/>
  <c r="C333" i="1"/>
  <c r="D333" i="1"/>
  <c r="I333" i="1"/>
  <c r="CX152" i="3" s="1"/>
  <c r="AC333" i="1"/>
  <c r="AE333" i="1"/>
  <c r="AF333" i="1"/>
  <c r="AG333" i="1"/>
  <c r="CU333" i="1" s="1"/>
  <c r="AH333" i="1"/>
  <c r="CV333" i="1" s="1"/>
  <c r="U333" i="1" s="1"/>
  <c r="AI333" i="1"/>
  <c r="CW333" i="1" s="1"/>
  <c r="V333" i="1" s="1"/>
  <c r="AJ333" i="1"/>
  <c r="CX333" i="1"/>
  <c r="W333" i="1" s="1"/>
  <c r="FR333" i="1"/>
  <c r="GL333" i="1"/>
  <c r="GN333" i="1"/>
  <c r="GO333" i="1"/>
  <c r="GV333" i="1"/>
  <c r="HC333" i="1" s="1"/>
  <c r="C334" i="1"/>
  <c r="D334" i="1"/>
  <c r="I334" i="1"/>
  <c r="E352" i="5" s="1"/>
  <c r="AC334" i="1"/>
  <c r="AE334" i="1"/>
  <c r="AF334" i="1"/>
  <c r="S334" i="1" s="1"/>
  <c r="CZ334" i="1" s="1"/>
  <c r="Y334" i="1" s="1"/>
  <c r="T352" i="5" s="1"/>
  <c r="AG334" i="1"/>
  <c r="CU334" i="1" s="1"/>
  <c r="AH334" i="1"/>
  <c r="CV334" i="1" s="1"/>
  <c r="AI334" i="1"/>
  <c r="CW334" i="1" s="1"/>
  <c r="AJ334" i="1"/>
  <c r="CX334" i="1" s="1"/>
  <c r="W334" i="1" s="1"/>
  <c r="FR334" i="1"/>
  <c r="GL334" i="1"/>
  <c r="GO334" i="1"/>
  <c r="GP334" i="1"/>
  <c r="GV334" i="1"/>
  <c r="HC334" i="1" s="1"/>
  <c r="AC335" i="1"/>
  <c r="AE335" i="1"/>
  <c r="AF335" i="1"/>
  <c r="CT335" i="1" s="1"/>
  <c r="AG335" i="1"/>
  <c r="CU335" i="1" s="1"/>
  <c r="AH335" i="1"/>
  <c r="AI335" i="1"/>
  <c r="CW335" i="1" s="1"/>
  <c r="AJ335" i="1"/>
  <c r="CV335" i="1"/>
  <c r="CX335" i="1"/>
  <c r="FR335" i="1"/>
  <c r="GL335" i="1"/>
  <c r="GO335" i="1"/>
  <c r="GP335" i="1"/>
  <c r="GV335" i="1"/>
  <c r="HC335" i="1" s="1"/>
  <c r="C336" i="1"/>
  <c r="D336" i="1"/>
  <c r="I336" i="1"/>
  <c r="AC336" i="1"/>
  <c r="AE336" i="1"/>
  <c r="AF336" i="1"/>
  <c r="AG336" i="1"/>
  <c r="CU336" i="1" s="1"/>
  <c r="AH336" i="1"/>
  <c r="AI336" i="1"/>
  <c r="CW336" i="1" s="1"/>
  <c r="AJ336" i="1"/>
  <c r="CX336" i="1" s="1"/>
  <c r="W336" i="1" s="1"/>
  <c r="CR336" i="1"/>
  <c r="CV336" i="1"/>
  <c r="FR336" i="1"/>
  <c r="GL336" i="1"/>
  <c r="GO336" i="1"/>
  <c r="GP336" i="1"/>
  <c r="GV336" i="1"/>
  <c r="HC336" i="1"/>
  <c r="AC337" i="1"/>
  <c r="AE337" i="1"/>
  <c r="AF337" i="1"/>
  <c r="AG337" i="1"/>
  <c r="CU337" i="1" s="1"/>
  <c r="AH337" i="1"/>
  <c r="AI337" i="1"/>
  <c r="CW337" i="1" s="1"/>
  <c r="AJ337" i="1"/>
  <c r="CT337" i="1"/>
  <c r="CV337" i="1"/>
  <c r="CX337" i="1"/>
  <c r="FR337" i="1"/>
  <c r="GL337" i="1"/>
  <c r="GO337" i="1"/>
  <c r="GP337" i="1"/>
  <c r="GV337" i="1"/>
  <c r="HC337" i="1" s="1"/>
  <c r="C338" i="1"/>
  <c r="D338" i="1"/>
  <c r="I338" i="1"/>
  <c r="AC338" i="1"/>
  <c r="AE338" i="1"/>
  <c r="AF338" i="1"/>
  <c r="AG338" i="1"/>
  <c r="CU338" i="1" s="1"/>
  <c r="AH338" i="1"/>
  <c r="CV338" i="1" s="1"/>
  <c r="U338" i="1" s="1"/>
  <c r="I377" i="5" s="1"/>
  <c r="AI338" i="1"/>
  <c r="CW338" i="1" s="1"/>
  <c r="V338" i="1" s="1"/>
  <c r="AJ338" i="1"/>
  <c r="CX338" i="1" s="1"/>
  <c r="W338" i="1" s="1"/>
  <c r="FR338" i="1"/>
  <c r="GL338" i="1"/>
  <c r="GO338" i="1"/>
  <c r="GP338" i="1"/>
  <c r="GV338" i="1"/>
  <c r="HC338" i="1" s="1"/>
  <c r="I339" i="1"/>
  <c r="AC339" i="1"/>
  <c r="AE339" i="1"/>
  <c r="AF339" i="1"/>
  <c r="AG339" i="1"/>
  <c r="CU339" i="1" s="1"/>
  <c r="AH339" i="1"/>
  <c r="CV339" i="1" s="1"/>
  <c r="U339" i="1" s="1"/>
  <c r="AI339" i="1"/>
  <c r="CW339" i="1" s="1"/>
  <c r="V339" i="1" s="1"/>
  <c r="AJ339" i="1"/>
  <c r="CX339" i="1"/>
  <c r="W339" i="1" s="1"/>
  <c r="FR339" i="1"/>
  <c r="GL339" i="1"/>
  <c r="GO339" i="1"/>
  <c r="GP339" i="1"/>
  <c r="GV339" i="1"/>
  <c r="HC339" i="1" s="1"/>
  <c r="C340" i="1"/>
  <c r="D340" i="1"/>
  <c r="I340" i="1"/>
  <c r="AC340" i="1"/>
  <c r="AE340" i="1"/>
  <c r="AF340" i="1"/>
  <c r="AG340" i="1"/>
  <c r="CU340" i="1" s="1"/>
  <c r="AH340" i="1"/>
  <c r="CV340" i="1" s="1"/>
  <c r="U340" i="1" s="1"/>
  <c r="I386" i="5" s="1"/>
  <c r="AI340" i="1"/>
  <c r="CW340" i="1" s="1"/>
  <c r="AJ340" i="1"/>
  <c r="CT340" i="1"/>
  <c r="CX340" i="1"/>
  <c r="W340" i="1" s="1"/>
  <c r="FR340" i="1"/>
  <c r="GL340" i="1"/>
  <c r="GO340" i="1"/>
  <c r="GP340" i="1"/>
  <c r="GV340" i="1"/>
  <c r="HC340" i="1" s="1"/>
  <c r="AC341" i="1"/>
  <c r="AE341" i="1"/>
  <c r="AF341" i="1"/>
  <c r="AG341" i="1"/>
  <c r="CU341" i="1" s="1"/>
  <c r="AH341" i="1"/>
  <c r="CV341" i="1" s="1"/>
  <c r="AI341" i="1"/>
  <c r="CW341" i="1" s="1"/>
  <c r="AJ341" i="1"/>
  <c r="CX341" i="1" s="1"/>
  <c r="FR341" i="1"/>
  <c r="GL341" i="1"/>
  <c r="GO341" i="1"/>
  <c r="GP341" i="1"/>
  <c r="GV341" i="1"/>
  <c r="HC341" i="1" s="1"/>
  <c r="B343" i="1"/>
  <c r="B326" i="1" s="1"/>
  <c r="C343" i="1"/>
  <c r="C326" i="1" s="1"/>
  <c r="D343" i="1"/>
  <c r="D326" i="1" s="1"/>
  <c r="F343" i="1"/>
  <c r="F326" i="1" s="1"/>
  <c r="G343" i="1"/>
  <c r="BX343" i="1"/>
  <c r="AO343" i="1" s="1"/>
  <c r="CK343" i="1"/>
  <c r="CK326" i="1" s="1"/>
  <c r="CL343" i="1"/>
  <c r="BC343" i="1" s="1"/>
  <c r="CM343" i="1"/>
  <c r="BD343" i="1" s="1"/>
  <c r="D374" i="1"/>
  <c r="E376" i="1"/>
  <c r="Z376" i="1"/>
  <c r="AA376" i="1"/>
  <c r="AM376" i="1"/>
  <c r="AN376" i="1"/>
  <c r="BE376" i="1"/>
  <c r="BF376" i="1"/>
  <c r="BG376" i="1"/>
  <c r="BH376" i="1"/>
  <c r="BI376" i="1"/>
  <c r="BJ376" i="1"/>
  <c r="BK376" i="1"/>
  <c r="BL376" i="1"/>
  <c r="BM376" i="1"/>
  <c r="BN376" i="1"/>
  <c r="BO376" i="1"/>
  <c r="BP376" i="1"/>
  <c r="BQ376" i="1"/>
  <c r="BR376" i="1"/>
  <c r="BS376" i="1"/>
  <c r="BT376" i="1"/>
  <c r="BU376" i="1"/>
  <c r="BV376" i="1"/>
  <c r="BW376" i="1"/>
  <c r="CN376" i="1"/>
  <c r="CO376" i="1"/>
  <c r="CP376" i="1"/>
  <c r="CQ376" i="1"/>
  <c r="CR376" i="1"/>
  <c r="CS376" i="1"/>
  <c r="CT376" i="1"/>
  <c r="CU376" i="1"/>
  <c r="CV376" i="1"/>
  <c r="CW376" i="1"/>
  <c r="CX376" i="1"/>
  <c r="CY376" i="1"/>
  <c r="CZ376" i="1"/>
  <c r="DA376" i="1"/>
  <c r="DB376" i="1"/>
  <c r="DC376" i="1"/>
  <c r="DD376" i="1"/>
  <c r="DE376" i="1"/>
  <c r="DF376" i="1"/>
  <c r="DG376" i="1"/>
  <c r="DH376" i="1"/>
  <c r="DI376" i="1"/>
  <c r="DJ376" i="1"/>
  <c r="DK376" i="1"/>
  <c r="DL376" i="1"/>
  <c r="DM376" i="1"/>
  <c r="DN376" i="1"/>
  <c r="DO376" i="1"/>
  <c r="DP376" i="1"/>
  <c r="DQ376" i="1"/>
  <c r="DR376" i="1"/>
  <c r="DS376" i="1"/>
  <c r="DT376" i="1"/>
  <c r="DU376" i="1"/>
  <c r="DV376" i="1"/>
  <c r="DW376" i="1"/>
  <c r="DX376" i="1"/>
  <c r="DY376" i="1"/>
  <c r="DZ376" i="1"/>
  <c r="EA376" i="1"/>
  <c r="EB376" i="1"/>
  <c r="EC376" i="1"/>
  <c r="ED376" i="1"/>
  <c r="EE376" i="1"/>
  <c r="EF376" i="1"/>
  <c r="EG376" i="1"/>
  <c r="EH376" i="1"/>
  <c r="EI376" i="1"/>
  <c r="EJ376" i="1"/>
  <c r="EK376" i="1"/>
  <c r="EL376" i="1"/>
  <c r="EM376" i="1"/>
  <c r="EN376" i="1"/>
  <c r="EO376" i="1"/>
  <c r="EP376" i="1"/>
  <c r="EQ376" i="1"/>
  <c r="ER376" i="1"/>
  <c r="ES376" i="1"/>
  <c r="ET376" i="1"/>
  <c r="EU376" i="1"/>
  <c r="EV376" i="1"/>
  <c r="EW376" i="1"/>
  <c r="EX376" i="1"/>
  <c r="EY376" i="1"/>
  <c r="EZ376" i="1"/>
  <c r="FA376" i="1"/>
  <c r="FB376" i="1"/>
  <c r="FC376" i="1"/>
  <c r="FD376" i="1"/>
  <c r="FE376" i="1"/>
  <c r="FF376" i="1"/>
  <c r="FG376" i="1"/>
  <c r="FH376" i="1"/>
  <c r="FI376" i="1"/>
  <c r="FJ376" i="1"/>
  <c r="FK376" i="1"/>
  <c r="FL376" i="1"/>
  <c r="FM376" i="1"/>
  <c r="FN376" i="1"/>
  <c r="FO376" i="1"/>
  <c r="FP376" i="1"/>
  <c r="FQ376" i="1"/>
  <c r="FR376" i="1"/>
  <c r="FS376" i="1"/>
  <c r="FT376" i="1"/>
  <c r="FU376" i="1"/>
  <c r="FV376" i="1"/>
  <c r="FW376" i="1"/>
  <c r="FX376" i="1"/>
  <c r="FY376" i="1"/>
  <c r="FZ376" i="1"/>
  <c r="GA376" i="1"/>
  <c r="GB376" i="1"/>
  <c r="GC376" i="1"/>
  <c r="GD376" i="1"/>
  <c r="GE376" i="1"/>
  <c r="GF376" i="1"/>
  <c r="GG376" i="1"/>
  <c r="GH376" i="1"/>
  <c r="GI376" i="1"/>
  <c r="GJ376" i="1"/>
  <c r="GK376" i="1"/>
  <c r="GL376" i="1"/>
  <c r="GM376" i="1"/>
  <c r="GN376" i="1"/>
  <c r="GO376" i="1"/>
  <c r="GP376" i="1"/>
  <c r="GQ376" i="1"/>
  <c r="GR376" i="1"/>
  <c r="GS376" i="1"/>
  <c r="GT376" i="1"/>
  <c r="GU376" i="1"/>
  <c r="GV376" i="1"/>
  <c r="GW376" i="1"/>
  <c r="GX376" i="1"/>
  <c r="C378" i="1"/>
  <c r="D378" i="1"/>
  <c r="I378" i="1"/>
  <c r="AC378" i="1"/>
  <c r="AE378" i="1"/>
  <c r="CR378" i="1" s="1"/>
  <c r="AF378" i="1"/>
  <c r="AG378" i="1"/>
  <c r="CU378" i="1" s="1"/>
  <c r="AH378" i="1"/>
  <c r="AI378" i="1"/>
  <c r="CW378" i="1" s="1"/>
  <c r="AJ378" i="1"/>
  <c r="CX378" i="1" s="1"/>
  <c r="CV378" i="1"/>
  <c r="FR378" i="1"/>
  <c r="GL378" i="1"/>
  <c r="GO378" i="1"/>
  <c r="GP378" i="1"/>
  <c r="GV378" i="1"/>
  <c r="HC378" i="1" s="1"/>
  <c r="C379" i="1"/>
  <c r="D379" i="1"/>
  <c r="I379" i="1"/>
  <c r="AC379" i="1"/>
  <c r="AE379" i="1"/>
  <c r="CR379" i="1" s="1"/>
  <c r="AF379" i="1"/>
  <c r="I407" i="5" s="1"/>
  <c r="AG379" i="1"/>
  <c r="CU379" i="1" s="1"/>
  <c r="AH379" i="1"/>
  <c r="AI379" i="1"/>
  <c r="CW379" i="1" s="1"/>
  <c r="V379" i="1" s="1"/>
  <c r="AJ379" i="1"/>
  <c r="CV379" i="1"/>
  <c r="CX379" i="1"/>
  <c r="W379" i="1" s="1"/>
  <c r="FR379" i="1"/>
  <c r="GL379" i="1"/>
  <c r="GO379" i="1"/>
  <c r="GP379" i="1"/>
  <c r="GV379" i="1"/>
  <c r="HC379" i="1" s="1"/>
  <c r="GX379" i="1" s="1"/>
  <c r="C380" i="1"/>
  <c r="D380" i="1"/>
  <c r="P380" i="1"/>
  <c r="AC380" i="1"/>
  <c r="CQ380" i="1" s="1"/>
  <c r="AE380" i="1"/>
  <c r="Q380" i="1" s="1"/>
  <c r="AF380" i="1"/>
  <c r="AG380" i="1"/>
  <c r="AH380" i="1"/>
  <c r="CV380" i="1" s="1"/>
  <c r="U380" i="1" s="1"/>
  <c r="AI380" i="1"/>
  <c r="CW380" i="1" s="1"/>
  <c r="V380" i="1" s="1"/>
  <c r="AJ380" i="1"/>
  <c r="CX380" i="1" s="1"/>
  <c r="W380" i="1" s="1"/>
  <c r="CU380" i="1"/>
  <c r="T380" i="1" s="1"/>
  <c r="FR380" i="1"/>
  <c r="GL380" i="1"/>
  <c r="GN380" i="1"/>
  <c r="GO380" i="1"/>
  <c r="GV380" i="1"/>
  <c r="HC380" i="1" s="1"/>
  <c r="GX380" i="1" s="1"/>
  <c r="C381" i="1"/>
  <c r="D381" i="1"/>
  <c r="I381" i="1"/>
  <c r="AC381" i="1"/>
  <c r="AE381" i="1"/>
  <c r="AD381" i="1" s="1"/>
  <c r="AF381" i="1"/>
  <c r="AG381" i="1"/>
  <c r="CU381" i="1" s="1"/>
  <c r="T381" i="1" s="1"/>
  <c r="AH381" i="1"/>
  <c r="CV381" i="1" s="1"/>
  <c r="AI381" i="1"/>
  <c r="AJ381" i="1"/>
  <c r="CX381" i="1" s="1"/>
  <c r="CQ381" i="1"/>
  <c r="CW381" i="1"/>
  <c r="FR381" i="1"/>
  <c r="GL381" i="1"/>
  <c r="GN381" i="1"/>
  <c r="GO381" i="1"/>
  <c r="GV381" i="1"/>
  <c r="HC381" i="1" s="1"/>
  <c r="GX381" i="1" s="1"/>
  <c r="C382" i="1"/>
  <c r="D382" i="1"/>
  <c r="I382" i="1"/>
  <c r="AC382" i="1"/>
  <c r="AD382" i="1"/>
  <c r="AE382" i="1"/>
  <c r="AF382" i="1"/>
  <c r="AG382" i="1"/>
  <c r="CU382" i="1" s="1"/>
  <c r="T382" i="1" s="1"/>
  <c r="AH382" i="1"/>
  <c r="CV382" i="1" s="1"/>
  <c r="AI382" i="1"/>
  <c r="AJ382" i="1"/>
  <c r="CX382" i="1" s="1"/>
  <c r="CQ382" i="1"/>
  <c r="CR382" i="1"/>
  <c r="CS382" i="1"/>
  <c r="CW382" i="1"/>
  <c r="V382" i="1" s="1"/>
  <c r="FR382" i="1"/>
  <c r="GL382" i="1"/>
  <c r="GO382" i="1"/>
  <c r="GP382" i="1"/>
  <c r="GV382" i="1"/>
  <c r="HC382" i="1" s="1"/>
  <c r="I383" i="1"/>
  <c r="GX383" i="1" s="1"/>
  <c r="AC383" i="1"/>
  <c r="AE383" i="1"/>
  <c r="AD383" i="1" s="1"/>
  <c r="AB383" i="1" s="1"/>
  <c r="AF383" i="1"/>
  <c r="AG383" i="1"/>
  <c r="AH383" i="1"/>
  <c r="CV383" i="1" s="1"/>
  <c r="AI383" i="1"/>
  <c r="CW383" i="1" s="1"/>
  <c r="AJ383" i="1"/>
  <c r="CX383" i="1" s="1"/>
  <c r="CQ383" i="1"/>
  <c r="CS383" i="1"/>
  <c r="CU383" i="1"/>
  <c r="T383" i="1" s="1"/>
  <c r="FR383" i="1"/>
  <c r="GL383" i="1"/>
  <c r="GO383" i="1"/>
  <c r="GP383" i="1"/>
  <c r="GV383" i="1"/>
  <c r="HC383" i="1" s="1"/>
  <c r="C384" i="1"/>
  <c r="D384" i="1"/>
  <c r="I384" i="1"/>
  <c r="AC384" i="1"/>
  <c r="P384" i="1" s="1"/>
  <c r="K427" i="5" s="1"/>
  <c r="AE384" i="1"/>
  <c r="AF384" i="1"/>
  <c r="AG384" i="1"/>
  <c r="CU384" i="1" s="1"/>
  <c r="AH384" i="1"/>
  <c r="CV384" i="1" s="1"/>
  <c r="U384" i="1" s="1"/>
  <c r="I431" i="5" s="1"/>
  <c r="AI384" i="1"/>
  <c r="CW384" i="1" s="1"/>
  <c r="V384" i="1" s="1"/>
  <c r="AJ384" i="1"/>
  <c r="CX384" i="1" s="1"/>
  <c r="CS384" i="1"/>
  <c r="FR384" i="1"/>
  <c r="GL384" i="1"/>
  <c r="GO384" i="1"/>
  <c r="GP384" i="1"/>
  <c r="GV384" i="1"/>
  <c r="HC384" i="1" s="1"/>
  <c r="GX384" i="1" s="1"/>
  <c r="AC385" i="1"/>
  <c r="AD385" i="1"/>
  <c r="AE385" i="1"/>
  <c r="AF385" i="1"/>
  <c r="AG385" i="1"/>
  <c r="CU385" i="1" s="1"/>
  <c r="AH385" i="1"/>
  <c r="CV385" i="1" s="1"/>
  <c r="AI385" i="1"/>
  <c r="CW385" i="1" s="1"/>
  <c r="AJ385" i="1"/>
  <c r="CX385" i="1" s="1"/>
  <c r="CQ385" i="1"/>
  <c r="CR385" i="1"/>
  <c r="CS385" i="1"/>
  <c r="FR385" i="1"/>
  <c r="GL385" i="1"/>
  <c r="GO385" i="1"/>
  <c r="GP385" i="1"/>
  <c r="GV385" i="1"/>
  <c r="HC385" i="1" s="1"/>
  <c r="C386" i="1"/>
  <c r="D386" i="1"/>
  <c r="I386" i="1"/>
  <c r="AC386" i="1"/>
  <c r="CQ386" i="1" s="1"/>
  <c r="AE386" i="1"/>
  <c r="AD386" i="1" s="1"/>
  <c r="AB386" i="1" s="1"/>
  <c r="AF386" i="1"/>
  <c r="AG386" i="1"/>
  <c r="AH386" i="1"/>
  <c r="CV386" i="1" s="1"/>
  <c r="AI386" i="1"/>
  <c r="CW386" i="1" s="1"/>
  <c r="V386" i="1" s="1"/>
  <c r="AJ386" i="1"/>
  <c r="CX386" i="1" s="1"/>
  <c r="CU386" i="1"/>
  <c r="FR386" i="1"/>
  <c r="GL386" i="1"/>
  <c r="GO386" i="1"/>
  <c r="GP386" i="1"/>
  <c r="GV386" i="1"/>
  <c r="HC386" i="1" s="1"/>
  <c r="AC387" i="1"/>
  <c r="CQ387" i="1" s="1"/>
  <c r="AE387" i="1"/>
  <c r="CS387" i="1" s="1"/>
  <c r="AF387" i="1"/>
  <c r="AG387" i="1"/>
  <c r="CU387" i="1" s="1"/>
  <c r="AH387" i="1"/>
  <c r="AI387" i="1"/>
  <c r="CW387" i="1" s="1"/>
  <c r="AJ387" i="1"/>
  <c r="CX387" i="1" s="1"/>
  <c r="CV387" i="1"/>
  <c r="FR387" i="1"/>
  <c r="GL387" i="1"/>
  <c r="GO387" i="1"/>
  <c r="GP387" i="1"/>
  <c r="GV387" i="1"/>
  <c r="HC387" i="1" s="1"/>
  <c r="B389" i="1"/>
  <c r="B376" i="1" s="1"/>
  <c r="C389" i="1"/>
  <c r="C376" i="1" s="1"/>
  <c r="D389" i="1"/>
  <c r="D376" i="1" s="1"/>
  <c r="F389" i="1"/>
  <c r="F376" i="1" s="1"/>
  <c r="G389" i="1"/>
  <c r="BX389" i="1"/>
  <c r="BX376" i="1" s="1"/>
  <c r="CK389" i="1"/>
  <c r="CK376" i="1" s="1"/>
  <c r="CL389" i="1"/>
  <c r="CL376" i="1" s="1"/>
  <c r="CM389" i="1"/>
  <c r="CM376" i="1" s="1"/>
  <c r="D420" i="1"/>
  <c r="E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R422" i="1"/>
  <c r="AZ422" i="1"/>
  <c r="BE422" i="1"/>
  <c r="BF422" i="1"/>
  <c r="BG422" i="1"/>
  <c r="BH422" i="1"/>
  <c r="BI422" i="1"/>
  <c r="BJ422" i="1"/>
  <c r="BK422" i="1"/>
  <c r="BL422" i="1"/>
  <c r="BM422" i="1"/>
  <c r="BN422" i="1"/>
  <c r="BO422" i="1"/>
  <c r="BP422" i="1"/>
  <c r="BQ422" i="1"/>
  <c r="BR422" i="1"/>
  <c r="BS422" i="1"/>
  <c r="BT422" i="1"/>
  <c r="BU422" i="1"/>
  <c r="BV422" i="1"/>
  <c r="BW422" i="1"/>
  <c r="BX422" i="1"/>
  <c r="BY422" i="1"/>
  <c r="BZ422" i="1"/>
  <c r="CA422" i="1"/>
  <c r="CB422" i="1"/>
  <c r="CC422" i="1"/>
  <c r="CD422" i="1"/>
  <c r="CE422" i="1"/>
  <c r="CF422" i="1"/>
  <c r="CG422" i="1"/>
  <c r="CH422" i="1"/>
  <c r="CI422" i="1"/>
  <c r="CJ422" i="1"/>
  <c r="CK422" i="1"/>
  <c r="CL422" i="1"/>
  <c r="CM422" i="1"/>
  <c r="CN422" i="1"/>
  <c r="CO422" i="1"/>
  <c r="CP422" i="1"/>
  <c r="CQ422" i="1"/>
  <c r="CR422" i="1"/>
  <c r="CS422" i="1"/>
  <c r="CT422" i="1"/>
  <c r="CU422" i="1"/>
  <c r="CV422" i="1"/>
  <c r="CW422" i="1"/>
  <c r="CX422" i="1"/>
  <c r="CY422" i="1"/>
  <c r="CZ422" i="1"/>
  <c r="DA422" i="1"/>
  <c r="DB422" i="1"/>
  <c r="DC422" i="1"/>
  <c r="DD422" i="1"/>
  <c r="DE422" i="1"/>
  <c r="DF422" i="1"/>
  <c r="DG422" i="1"/>
  <c r="DH422" i="1"/>
  <c r="DI422" i="1"/>
  <c r="DJ422" i="1"/>
  <c r="DK422" i="1"/>
  <c r="DL422" i="1"/>
  <c r="DM422" i="1"/>
  <c r="DN422" i="1"/>
  <c r="DO422" i="1"/>
  <c r="DP422" i="1"/>
  <c r="DQ422" i="1"/>
  <c r="DR422" i="1"/>
  <c r="DS422" i="1"/>
  <c r="DT422" i="1"/>
  <c r="DU422" i="1"/>
  <c r="DV422" i="1"/>
  <c r="DW422" i="1"/>
  <c r="DX422" i="1"/>
  <c r="DY422" i="1"/>
  <c r="DZ422" i="1"/>
  <c r="EA422" i="1"/>
  <c r="EB422" i="1"/>
  <c r="EC422" i="1"/>
  <c r="ED422" i="1"/>
  <c r="EE422" i="1"/>
  <c r="EF422" i="1"/>
  <c r="EG422" i="1"/>
  <c r="EH422" i="1"/>
  <c r="EI422" i="1"/>
  <c r="EJ422" i="1"/>
  <c r="EK422" i="1"/>
  <c r="EL422" i="1"/>
  <c r="EM422" i="1"/>
  <c r="EN422" i="1"/>
  <c r="EO422" i="1"/>
  <c r="EP422" i="1"/>
  <c r="EQ422" i="1"/>
  <c r="ER422" i="1"/>
  <c r="ES422" i="1"/>
  <c r="ET422" i="1"/>
  <c r="EU422" i="1"/>
  <c r="EV422" i="1"/>
  <c r="EW422" i="1"/>
  <c r="EX422" i="1"/>
  <c r="EY422" i="1"/>
  <c r="EZ422" i="1"/>
  <c r="FA422" i="1"/>
  <c r="FB422" i="1"/>
  <c r="FC422" i="1"/>
  <c r="FD422" i="1"/>
  <c r="FE422" i="1"/>
  <c r="FF422" i="1"/>
  <c r="FG422" i="1"/>
  <c r="FH422" i="1"/>
  <c r="FI422" i="1"/>
  <c r="FJ422" i="1"/>
  <c r="FK422" i="1"/>
  <c r="FL422" i="1"/>
  <c r="FM422" i="1"/>
  <c r="FN422" i="1"/>
  <c r="FO422" i="1"/>
  <c r="FP422" i="1"/>
  <c r="FQ422" i="1"/>
  <c r="FR422" i="1"/>
  <c r="FS422" i="1"/>
  <c r="FT422" i="1"/>
  <c r="FU422" i="1"/>
  <c r="FV422" i="1"/>
  <c r="FW422" i="1"/>
  <c r="FX422" i="1"/>
  <c r="FY422" i="1"/>
  <c r="FZ422" i="1"/>
  <c r="GA422" i="1"/>
  <c r="GB422" i="1"/>
  <c r="GC422" i="1"/>
  <c r="GD422" i="1"/>
  <c r="GE422" i="1"/>
  <c r="GF422" i="1"/>
  <c r="GG422" i="1"/>
  <c r="GH422" i="1"/>
  <c r="GI422" i="1"/>
  <c r="GJ422" i="1"/>
  <c r="GK422" i="1"/>
  <c r="GL422" i="1"/>
  <c r="GM422" i="1"/>
  <c r="GN422" i="1"/>
  <c r="GO422" i="1"/>
  <c r="GP422" i="1"/>
  <c r="GQ422" i="1"/>
  <c r="GR422" i="1"/>
  <c r="GS422" i="1"/>
  <c r="GT422" i="1"/>
  <c r="GU422" i="1"/>
  <c r="GV422" i="1"/>
  <c r="GW422" i="1"/>
  <c r="GX422" i="1"/>
  <c r="B424" i="1"/>
  <c r="B422" i="1" s="1"/>
  <c r="C424" i="1"/>
  <c r="C422" i="1" s="1"/>
  <c r="D424" i="1"/>
  <c r="D422" i="1" s="1"/>
  <c r="F424" i="1"/>
  <c r="F422" i="1" s="1"/>
  <c r="G424" i="1"/>
  <c r="G422" i="1" s="1"/>
  <c r="O424" i="1"/>
  <c r="O422" i="1" s="1"/>
  <c r="P424" i="1"/>
  <c r="P422" i="1" s="1"/>
  <c r="Q424" i="1"/>
  <c r="Q422" i="1" s="1"/>
  <c r="R424" i="1"/>
  <c r="R422" i="1" s="1"/>
  <c r="S424" i="1"/>
  <c r="S422" i="1" s="1"/>
  <c r="T424" i="1"/>
  <c r="T422" i="1" s="1"/>
  <c r="U424" i="1"/>
  <c r="V424" i="1"/>
  <c r="V422" i="1" s="1"/>
  <c r="W424" i="1"/>
  <c r="F448" i="1" s="1"/>
  <c r="X424" i="1"/>
  <c r="X422" i="1" s="1"/>
  <c r="Y424" i="1"/>
  <c r="AO424" i="1"/>
  <c r="AO422" i="1" s="1"/>
  <c r="AP424" i="1"/>
  <c r="AP422" i="1" s="1"/>
  <c r="AQ424" i="1"/>
  <c r="F434" i="1" s="1"/>
  <c r="AR424" i="1"/>
  <c r="F452" i="1" s="1"/>
  <c r="AS424" i="1"/>
  <c r="AS422" i="1" s="1"/>
  <c r="AT424" i="1"/>
  <c r="F442" i="1" s="1"/>
  <c r="AU424" i="1"/>
  <c r="AU422" i="1" s="1"/>
  <c r="AV424" i="1"/>
  <c r="AW424" i="1"/>
  <c r="AW422" i="1" s="1"/>
  <c r="AX424" i="1"/>
  <c r="AX422" i="1" s="1"/>
  <c r="AY424" i="1"/>
  <c r="AY422" i="1" s="1"/>
  <c r="AZ424" i="1"/>
  <c r="F435" i="1" s="1"/>
  <c r="BA424" i="1"/>
  <c r="BA422" i="1" s="1"/>
  <c r="BB424" i="1"/>
  <c r="BB422" i="1" s="1"/>
  <c r="BC424" i="1"/>
  <c r="F440" i="1" s="1"/>
  <c r="BD424" i="1"/>
  <c r="BD422" i="1" s="1"/>
  <c r="F430" i="1"/>
  <c r="F431" i="1"/>
  <c r="F439" i="1"/>
  <c r="D454" i="1"/>
  <c r="E456" i="1"/>
  <c r="Z456" i="1"/>
  <c r="AA456" i="1"/>
  <c r="AB456" i="1"/>
  <c r="AC456" i="1"/>
  <c r="AD456" i="1"/>
  <c r="AE456" i="1"/>
  <c r="AF456" i="1"/>
  <c r="AG456" i="1"/>
  <c r="AH456" i="1"/>
  <c r="AI456" i="1"/>
  <c r="AJ456" i="1"/>
  <c r="AK456" i="1"/>
  <c r="AL456" i="1"/>
  <c r="AM456" i="1"/>
  <c r="AN456" i="1"/>
  <c r="AT456" i="1"/>
  <c r="BE456" i="1"/>
  <c r="BF456" i="1"/>
  <c r="BG456" i="1"/>
  <c r="BH456" i="1"/>
  <c r="BI456" i="1"/>
  <c r="BJ456" i="1"/>
  <c r="BK456" i="1"/>
  <c r="BL456" i="1"/>
  <c r="BM456" i="1"/>
  <c r="BN456" i="1"/>
  <c r="BO456" i="1"/>
  <c r="BP456" i="1"/>
  <c r="BQ456" i="1"/>
  <c r="BR456" i="1"/>
  <c r="BS456" i="1"/>
  <c r="BT456" i="1"/>
  <c r="BU456" i="1"/>
  <c r="BV456" i="1"/>
  <c r="BW456" i="1"/>
  <c r="BX456" i="1"/>
  <c r="BY456" i="1"/>
  <c r="BZ456" i="1"/>
  <c r="CA456" i="1"/>
  <c r="CB456" i="1"/>
  <c r="CC456" i="1"/>
  <c r="CD456" i="1"/>
  <c r="CE456" i="1"/>
  <c r="CF456" i="1"/>
  <c r="CG456" i="1"/>
  <c r="CH456" i="1"/>
  <c r="CI456" i="1"/>
  <c r="CJ456" i="1"/>
  <c r="CK456" i="1"/>
  <c r="CL456" i="1"/>
  <c r="CM456" i="1"/>
  <c r="CN456" i="1"/>
  <c r="CO456" i="1"/>
  <c r="CP456" i="1"/>
  <c r="CQ456" i="1"/>
  <c r="CR456" i="1"/>
  <c r="CS456" i="1"/>
  <c r="CT456" i="1"/>
  <c r="CU456" i="1"/>
  <c r="CV456" i="1"/>
  <c r="CW456" i="1"/>
  <c r="CX456" i="1"/>
  <c r="CY456" i="1"/>
  <c r="CZ456" i="1"/>
  <c r="DA456" i="1"/>
  <c r="DB456" i="1"/>
  <c r="DC456" i="1"/>
  <c r="DD456" i="1"/>
  <c r="DE456" i="1"/>
  <c r="DF456" i="1"/>
  <c r="DG456" i="1"/>
  <c r="DH456" i="1"/>
  <c r="DI456" i="1"/>
  <c r="DJ456" i="1"/>
  <c r="DK456" i="1"/>
  <c r="DL456" i="1"/>
  <c r="DM456" i="1"/>
  <c r="DN456" i="1"/>
  <c r="DO456" i="1"/>
  <c r="DP456" i="1"/>
  <c r="DQ456" i="1"/>
  <c r="DR456" i="1"/>
  <c r="DS456" i="1"/>
  <c r="DT456" i="1"/>
  <c r="DU456" i="1"/>
  <c r="DV456" i="1"/>
  <c r="DW456" i="1"/>
  <c r="DX456" i="1"/>
  <c r="DY456" i="1"/>
  <c r="DZ456" i="1"/>
  <c r="EA456" i="1"/>
  <c r="EB456" i="1"/>
  <c r="EC456" i="1"/>
  <c r="ED456" i="1"/>
  <c r="EE456" i="1"/>
  <c r="EF456" i="1"/>
  <c r="EG456" i="1"/>
  <c r="EH456" i="1"/>
  <c r="EI456" i="1"/>
  <c r="EJ456" i="1"/>
  <c r="EK456" i="1"/>
  <c r="EL456" i="1"/>
  <c r="EM456" i="1"/>
  <c r="EN456" i="1"/>
  <c r="EO456" i="1"/>
  <c r="EP456" i="1"/>
  <c r="EQ456" i="1"/>
  <c r="ER456" i="1"/>
  <c r="ES456" i="1"/>
  <c r="ET456" i="1"/>
  <c r="EU456" i="1"/>
  <c r="EV456" i="1"/>
  <c r="EW456" i="1"/>
  <c r="EX456" i="1"/>
  <c r="EY456" i="1"/>
  <c r="EZ456" i="1"/>
  <c r="FA456" i="1"/>
  <c r="FB456" i="1"/>
  <c r="FC456" i="1"/>
  <c r="FD456" i="1"/>
  <c r="FE456" i="1"/>
  <c r="FF456" i="1"/>
  <c r="FG456" i="1"/>
  <c r="FH456" i="1"/>
  <c r="FI456" i="1"/>
  <c r="FJ456" i="1"/>
  <c r="FK456" i="1"/>
  <c r="FL456" i="1"/>
  <c r="FM456" i="1"/>
  <c r="FN456" i="1"/>
  <c r="FO456" i="1"/>
  <c r="FP456" i="1"/>
  <c r="FQ456" i="1"/>
  <c r="FR456" i="1"/>
  <c r="FS456" i="1"/>
  <c r="FT456" i="1"/>
  <c r="FU456" i="1"/>
  <c r="FV456" i="1"/>
  <c r="FW456" i="1"/>
  <c r="FX456" i="1"/>
  <c r="FY456" i="1"/>
  <c r="FZ456" i="1"/>
  <c r="GA456" i="1"/>
  <c r="GB456" i="1"/>
  <c r="GC456" i="1"/>
  <c r="GD456" i="1"/>
  <c r="GE456" i="1"/>
  <c r="GF456" i="1"/>
  <c r="GG456" i="1"/>
  <c r="GH456" i="1"/>
  <c r="GI456" i="1"/>
  <c r="GJ456" i="1"/>
  <c r="GK456" i="1"/>
  <c r="GL456" i="1"/>
  <c r="GM456" i="1"/>
  <c r="GN456" i="1"/>
  <c r="GO456" i="1"/>
  <c r="GP456" i="1"/>
  <c r="GQ456" i="1"/>
  <c r="GR456" i="1"/>
  <c r="GS456" i="1"/>
  <c r="GT456" i="1"/>
  <c r="GU456" i="1"/>
  <c r="GV456" i="1"/>
  <c r="GW456" i="1"/>
  <c r="GX456" i="1"/>
  <c r="B458" i="1"/>
  <c r="B456" i="1" s="1"/>
  <c r="C458" i="1"/>
  <c r="C456" i="1" s="1"/>
  <c r="D458" i="1"/>
  <c r="D456" i="1" s="1"/>
  <c r="F458" i="1"/>
  <c r="F456" i="1" s="1"/>
  <c r="G458" i="1"/>
  <c r="G456" i="1" s="1"/>
  <c r="O458" i="1"/>
  <c r="O456" i="1" s="1"/>
  <c r="P458" i="1"/>
  <c r="P456" i="1" s="1"/>
  <c r="Q458" i="1"/>
  <c r="Q456" i="1" s="1"/>
  <c r="R458" i="1"/>
  <c r="R456" i="1" s="1"/>
  <c r="S458" i="1"/>
  <c r="S456" i="1" s="1"/>
  <c r="T458" i="1"/>
  <c r="T456" i="1" s="1"/>
  <c r="U458" i="1"/>
  <c r="F480" i="1" s="1"/>
  <c r="V458" i="1"/>
  <c r="F481" i="1" s="1"/>
  <c r="W458" i="1"/>
  <c r="W456" i="1" s="1"/>
  <c r="X458" i="1"/>
  <c r="F484" i="1" s="1"/>
  <c r="Y458" i="1"/>
  <c r="Y456" i="1" s="1"/>
  <c r="AO458" i="1"/>
  <c r="AO456" i="1" s="1"/>
  <c r="AP458" i="1"/>
  <c r="AP456" i="1" s="1"/>
  <c r="AQ458" i="1"/>
  <c r="AQ456" i="1" s="1"/>
  <c r="AR458" i="1"/>
  <c r="F486" i="1" s="1"/>
  <c r="AS458" i="1"/>
  <c r="F475" i="1" s="1"/>
  <c r="AT458" i="1"/>
  <c r="F476" i="1" s="1"/>
  <c r="AU458" i="1"/>
  <c r="AU456" i="1" s="1"/>
  <c r="AV458" i="1"/>
  <c r="AV456" i="1" s="1"/>
  <c r="AW458" i="1"/>
  <c r="F464" i="1" s="1"/>
  <c r="AX458" i="1"/>
  <c r="AX456" i="1" s="1"/>
  <c r="AY458" i="1"/>
  <c r="AY456" i="1" s="1"/>
  <c r="AZ458" i="1"/>
  <c r="AZ456" i="1" s="1"/>
  <c r="BA458" i="1"/>
  <c r="BA456" i="1" s="1"/>
  <c r="BB458" i="1"/>
  <c r="F471" i="1" s="1"/>
  <c r="BC458" i="1"/>
  <c r="BC456" i="1" s="1"/>
  <c r="BD458" i="1"/>
  <c r="BD456" i="1" s="1"/>
  <c r="F462" i="1"/>
  <c r="F463" i="1"/>
  <c r="F472" i="1"/>
  <c r="F473" i="1"/>
  <c r="F479" i="1"/>
  <c r="F483" i="1"/>
  <c r="D488" i="1"/>
  <c r="E490" i="1"/>
  <c r="Z490" i="1"/>
  <c r="AA490" i="1"/>
  <c r="AM490" i="1"/>
  <c r="AN490" i="1"/>
  <c r="BE490" i="1"/>
  <c r="BF490" i="1"/>
  <c r="BG490" i="1"/>
  <c r="BH490" i="1"/>
  <c r="BI490" i="1"/>
  <c r="BJ490" i="1"/>
  <c r="BK490" i="1"/>
  <c r="BL490" i="1"/>
  <c r="BM490" i="1"/>
  <c r="BN490" i="1"/>
  <c r="BO490" i="1"/>
  <c r="BP490" i="1"/>
  <c r="BQ490" i="1"/>
  <c r="BR490" i="1"/>
  <c r="BS490" i="1"/>
  <c r="BT490" i="1"/>
  <c r="BU490" i="1"/>
  <c r="BV490" i="1"/>
  <c r="BW490" i="1"/>
  <c r="CN490" i="1"/>
  <c r="CO490" i="1"/>
  <c r="CP490" i="1"/>
  <c r="CQ490" i="1"/>
  <c r="CR490" i="1"/>
  <c r="CS490" i="1"/>
  <c r="CT490" i="1"/>
  <c r="CU490" i="1"/>
  <c r="CV490" i="1"/>
  <c r="CW490" i="1"/>
  <c r="CX490" i="1"/>
  <c r="CY490" i="1"/>
  <c r="CZ490" i="1"/>
  <c r="DA490" i="1"/>
  <c r="DB490" i="1"/>
  <c r="DC490" i="1"/>
  <c r="DD490" i="1"/>
  <c r="DE490" i="1"/>
  <c r="DF490" i="1"/>
  <c r="DG490" i="1"/>
  <c r="DH490" i="1"/>
  <c r="DI490" i="1"/>
  <c r="DJ490" i="1"/>
  <c r="DK490" i="1"/>
  <c r="DL490" i="1"/>
  <c r="DM490" i="1"/>
  <c r="DN490" i="1"/>
  <c r="DO490" i="1"/>
  <c r="DP490" i="1"/>
  <c r="DQ490" i="1"/>
  <c r="DR490" i="1"/>
  <c r="DS490" i="1"/>
  <c r="DT490" i="1"/>
  <c r="DU490" i="1"/>
  <c r="DV490" i="1"/>
  <c r="DW490" i="1"/>
  <c r="DX490" i="1"/>
  <c r="DY490" i="1"/>
  <c r="DZ490" i="1"/>
  <c r="EA490" i="1"/>
  <c r="EB490" i="1"/>
  <c r="EC490" i="1"/>
  <c r="ED490" i="1"/>
  <c r="EE490" i="1"/>
  <c r="EF490" i="1"/>
  <c r="EG490" i="1"/>
  <c r="EH490" i="1"/>
  <c r="EI490" i="1"/>
  <c r="EJ490" i="1"/>
  <c r="EK490" i="1"/>
  <c r="EL490" i="1"/>
  <c r="EM490" i="1"/>
  <c r="EN490" i="1"/>
  <c r="EO490" i="1"/>
  <c r="EP490" i="1"/>
  <c r="EQ490" i="1"/>
  <c r="ER490" i="1"/>
  <c r="ES490" i="1"/>
  <c r="ET490" i="1"/>
  <c r="EU490" i="1"/>
  <c r="EV490" i="1"/>
  <c r="EW490" i="1"/>
  <c r="EX490" i="1"/>
  <c r="EY490" i="1"/>
  <c r="EZ490" i="1"/>
  <c r="FA490" i="1"/>
  <c r="FB490" i="1"/>
  <c r="FC490" i="1"/>
  <c r="FD490" i="1"/>
  <c r="FE490" i="1"/>
  <c r="FF490" i="1"/>
  <c r="FG490" i="1"/>
  <c r="FH490" i="1"/>
  <c r="FI490" i="1"/>
  <c r="FJ490" i="1"/>
  <c r="FK490" i="1"/>
  <c r="FL490" i="1"/>
  <c r="FM490" i="1"/>
  <c r="FN490" i="1"/>
  <c r="FO490" i="1"/>
  <c r="FP490" i="1"/>
  <c r="FQ490" i="1"/>
  <c r="FR490" i="1"/>
  <c r="FS490" i="1"/>
  <c r="FT490" i="1"/>
  <c r="FU490" i="1"/>
  <c r="FV490" i="1"/>
  <c r="FW490" i="1"/>
  <c r="FX490" i="1"/>
  <c r="FY490" i="1"/>
  <c r="FZ490" i="1"/>
  <c r="GA490" i="1"/>
  <c r="GB490" i="1"/>
  <c r="GC490" i="1"/>
  <c r="GD490" i="1"/>
  <c r="GE490" i="1"/>
  <c r="GF490" i="1"/>
  <c r="GG490" i="1"/>
  <c r="GH490" i="1"/>
  <c r="GI490" i="1"/>
  <c r="GJ490" i="1"/>
  <c r="GK490" i="1"/>
  <c r="GL490" i="1"/>
  <c r="GM490" i="1"/>
  <c r="GN490" i="1"/>
  <c r="GO490" i="1"/>
  <c r="GP490" i="1"/>
  <c r="GQ490" i="1"/>
  <c r="GR490" i="1"/>
  <c r="GS490" i="1"/>
  <c r="GT490" i="1"/>
  <c r="GU490" i="1"/>
  <c r="GV490" i="1"/>
  <c r="GW490" i="1"/>
  <c r="GX490" i="1"/>
  <c r="C492" i="1"/>
  <c r="D492" i="1"/>
  <c r="I492" i="1"/>
  <c r="S492" i="1"/>
  <c r="K454" i="5" s="1"/>
  <c r="AC492" i="1"/>
  <c r="I457" i="5" s="1"/>
  <c r="AE492" i="1"/>
  <c r="AF492" i="1"/>
  <c r="AG492" i="1"/>
  <c r="CU492" i="1" s="1"/>
  <c r="T492" i="1" s="1"/>
  <c r="AH492" i="1"/>
  <c r="CV492" i="1" s="1"/>
  <c r="U492" i="1" s="1"/>
  <c r="I462" i="5" s="1"/>
  <c r="AI492" i="1"/>
  <c r="CW492" i="1" s="1"/>
  <c r="AJ492" i="1"/>
  <c r="CX492" i="1" s="1"/>
  <c r="W492" i="1" s="1"/>
  <c r="CR492" i="1"/>
  <c r="CT492" i="1"/>
  <c r="FR492" i="1"/>
  <c r="GL492" i="1"/>
  <c r="GO492" i="1"/>
  <c r="GP492" i="1"/>
  <c r="GV492" i="1"/>
  <c r="HC492" i="1" s="1"/>
  <c r="I493" i="1"/>
  <c r="AC493" i="1"/>
  <c r="AE493" i="1"/>
  <c r="AF493" i="1"/>
  <c r="CT493" i="1" s="1"/>
  <c r="AG493" i="1"/>
  <c r="CU493" i="1" s="1"/>
  <c r="AH493" i="1"/>
  <c r="CV493" i="1" s="1"/>
  <c r="AI493" i="1"/>
  <c r="CW493" i="1" s="1"/>
  <c r="AJ493" i="1"/>
  <c r="CX493" i="1" s="1"/>
  <c r="W493" i="1" s="1"/>
  <c r="CR493" i="1"/>
  <c r="FR493" i="1"/>
  <c r="GL493" i="1"/>
  <c r="GO493" i="1"/>
  <c r="GP493" i="1"/>
  <c r="GV493" i="1"/>
  <c r="HC493" i="1" s="1"/>
  <c r="C494" i="1"/>
  <c r="D494" i="1"/>
  <c r="I494" i="1"/>
  <c r="AC494" i="1"/>
  <c r="AE494" i="1"/>
  <c r="AF494" i="1"/>
  <c r="AG494" i="1"/>
  <c r="CU494" i="1" s="1"/>
  <c r="AH494" i="1"/>
  <c r="AI494" i="1"/>
  <c r="CW494" i="1" s="1"/>
  <c r="AJ494" i="1"/>
  <c r="CX494" i="1" s="1"/>
  <c r="W494" i="1" s="1"/>
  <c r="CV494" i="1"/>
  <c r="FR494" i="1"/>
  <c r="GL494" i="1"/>
  <c r="GO494" i="1"/>
  <c r="GP494" i="1"/>
  <c r="GV494" i="1"/>
  <c r="HC494" i="1" s="1"/>
  <c r="AC495" i="1"/>
  <c r="AE495" i="1"/>
  <c r="AF495" i="1"/>
  <c r="CT495" i="1" s="1"/>
  <c r="AG495" i="1"/>
  <c r="CU495" i="1" s="1"/>
  <c r="AH495" i="1"/>
  <c r="AI495" i="1"/>
  <c r="CW495" i="1" s="1"/>
  <c r="AJ495" i="1"/>
  <c r="CX495" i="1" s="1"/>
  <c r="CV495" i="1"/>
  <c r="FR495" i="1"/>
  <c r="GL495" i="1"/>
  <c r="GO495" i="1"/>
  <c r="GP495" i="1"/>
  <c r="GV495" i="1"/>
  <c r="HC495" i="1" s="1"/>
  <c r="C496" i="1"/>
  <c r="D496" i="1"/>
  <c r="I496" i="1"/>
  <c r="AC496" i="1"/>
  <c r="AE496" i="1"/>
  <c r="AF496" i="1"/>
  <c r="AG496" i="1"/>
  <c r="CU496" i="1" s="1"/>
  <c r="AH496" i="1"/>
  <c r="CV496" i="1" s="1"/>
  <c r="U496" i="1" s="1"/>
  <c r="I481" i="5" s="1"/>
  <c r="AI496" i="1"/>
  <c r="CW496" i="1" s="1"/>
  <c r="V496" i="1" s="1"/>
  <c r="AJ496" i="1"/>
  <c r="CT496" i="1"/>
  <c r="CX496" i="1"/>
  <c r="W496" i="1" s="1"/>
  <c r="FR496" i="1"/>
  <c r="GL496" i="1"/>
  <c r="GO496" i="1"/>
  <c r="GP496" i="1"/>
  <c r="GV496" i="1"/>
  <c r="HC496" i="1" s="1"/>
  <c r="C497" i="1"/>
  <c r="D497" i="1"/>
  <c r="I497" i="1"/>
  <c r="AC497" i="1"/>
  <c r="AE497" i="1"/>
  <c r="AF497" i="1"/>
  <c r="I485" i="5" s="1"/>
  <c r="W485" i="5" s="1"/>
  <c r="AG497" i="1"/>
  <c r="CU497" i="1" s="1"/>
  <c r="AH497" i="1"/>
  <c r="AI497" i="1"/>
  <c r="CW497" i="1" s="1"/>
  <c r="AJ497" i="1"/>
  <c r="CX497" i="1" s="1"/>
  <c r="W497" i="1" s="1"/>
  <c r="CV497" i="1"/>
  <c r="FR497" i="1"/>
  <c r="GL497" i="1"/>
  <c r="GO497" i="1"/>
  <c r="GP497" i="1"/>
  <c r="GV497" i="1"/>
  <c r="HC497" i="1" s="1"/>
  <c r="C498" i="1"/>
  <c r="D498" i="1"/>
  <c r="R498" i="1"/>
  <c r="GK498" i="1" s="1"/>
  <c r="AC498" i="1"/>
  <c r="P498" i="1" s="1"/>
  <c r="AE498" i="1"/>
  <c r="Q498" i="1" s="1"/>
  <c r="AF498" i="1"/>
  <c r="S498" i="1" s="1"/>
  <c r="AG498" i="1"/>
  <c r="CU498" i="1" s="1"/>
  <c r="T498" i="1" s="1"/>
  <c r="AH498" i="1"/>
  <c r="CV498" i="1" s="1"/>
  <c r="U498" i="1" s="1"/>
  <c r="AI498" i="1"/>
  <c r="AJ498" i="1"/>
  <c r="CX498" i="1" s="1"/>
  <c r="W498" i="1" s="1"/>
  <c r="CQ498" i="1"/>
  <c r="CS498" i="1"/>
  <c r="CW498" i="1"/>
  <c r="V498" i="1" s="1"/>
  <c r="FR498" i="1"/>
  <c r="GL498" i="1"/>
  <c r="GN498" i="1"/>
  <c r="GO498" i="1"/>
  <c r="GV498" i="1"/>
  <c r="HC498" i="1" s="1"/>
  <c r="GX498" i="1" s="1"/>
  <c r="C499" i="1"/>
  <c r="D499" i="1"/>
  <c r="I499" i="1"/>
  <c r="CX194" i="3" s="1"/>
  <c r="AC499" i="1"/>
  <c r="AE499" i="1"/>
  <c r="AD499" i="1" s="1"/>
  <c r="AF499" i="1"/>
  <c r="S499" i="1" s="1"/>
  <c r="AG499" i="1"/>
  <c r="CU499" i="1" s="1"/>
  <c r="T499" i="1" s="1"/>
  <c r="AH499" i="1"/>
  <c r="CV499" i="1" s="1"/>
  <c r="AI499" i="1"/>
  <c r="CW499" i="1" s="1"/>
  <c r="AJ499" i="1"/>
  <c r="CX499" i="1" s="1"/>
  <c r="W499" i="1" s="1"/>
  <c r="CQ499" i="1"/>
  <c r="FR499" i="1"/>
  <c r="GL499" i="1"/>
  <c r="GN499" i="1"/>
  <c r="GO499" i="1"/>
  <c r="GV499" i="1"/>
  <c r="HC499" i="1" s="1"/>
  <c r="C500" i="1"/>
  <c r="D500" i="1"/>
  <c r="I500" i="1"/>
  <c r="R500" i="1"/>
  <c r="AC500" i="1"/>
  <c r="I495" i="5" s="1"/>
  <c r="AE500" i="1"/>
  <c r="AD500" i="1" s="1"/>
  <c r="AF500" i="1"/>
  <c r="AG500" i="1"/>
  <c r="CU500" i="1" s="1"/>
  <c r="T500" i="1" s="1"/>
  <c r="AH500" i="1"/>
  <c r="CV500" i="1" s="1"/>
  <c r="AI500" i="1"/>
  <c r="AJ500" i="1"/>
  <c r="CX500" i="1" s="1"/>
  <c r="W500" i="1" s="1"/>
  <c r="CR500" i="1"/>
  <c r="CW500" i="1"/>
  <c r="V500" i="1" s="1"/>
  <c r="FR500" i="1"/>
  <c r="GL500" i="1"/>
  <c r="GO500" i="1"/>
  <c r="GP500" i="1"/>
  <c r="GV500" i="1"/>
  <c r="HC500" i="1" s="1"/>
  <c r="GX500" i="1" s="1"/>
  <c r="AC501" i="1"/>
  <c r="AE501" i="1"/>
  <c r="AF501" i="1"/>
  <c r="AG501" i="1"/>
  <c r="CU501" i="1" s="1"/>
  <c r="AH501" i="1"/>
  <c r="CV501" i="1" s="1"/>
  <c r="AI501" i="1"/>
  <c r="CW501" i="1" s="1"/>
  <c r="AJ501" i="1"/>
  <c r="CX501" i="1" s="1"/>
  <c r="CQ501" i="1"/>
  <c r="CS501" i="1"/>
  <c r="FR501" i="1"/>
  <c r="GL501" i="1"/>
  <c r="GO501" i="1"/>
  <c r="GP501" i="1"/>
  <c r="GV501" i="1"/>
  <c r="HC501" i="1"/>
  <c r="B503" i="1"/>
  <c r="B490" i="1" s="1"/>
  <c r="C503" i="1"/>
  <c r="C490" i="1" s="1"/>
  <c r="D503" i="1"/>
  <c r="D490" i="1" s="1"/>
  <c r="F503" i="1"/>
  <c r="F490" i="1" s="1"/>
  <c r="G503" i="1"/>
  <c r="BX503" i="1"/>
  <c r="BX490" i="1" s="1"/>
  <c r="CK503" i="1"/>
  <c r="CK490" i="1" s="1"/>
  <c r="CL503" i="1"/>
  <c r="BC503" i="1" s="1"/>
  <c r="CM503" i="1"/>
  <c r="CM490" i="1" s="1"/>
  <c r="D534" i="1"/>
  <c r="B536" i="1"/>
  <c r="E536" i="1"/>
  <c r="Z536" i="1"/>
  <c r="AA536" i="1"/>
  <c r="AB536" i="1"/>
  <c r="AC536" i="1"/>
  <c r="AD536" i="1"/>
  <c r="AE536" i="1"/>
  <c r="AF536" i="1"/>
  <c r="AG536" i="1"/>
  <c r="AH536" i="1"/>
  <c r="AI536" i="1"/>
  <c r="AJ536" i="1"/>
  <c r="AK536" i="1"/>
  <c r="AL536" i="1"/>
  <c r="AM536" i="1"/>
  <c r="AN536" i="1"/>
  <c r="BE536" i="1"/>
  <c r="BF536" i="1"/>
  <c r="BG536" i="1"/>
  <c r="BH536" i="1"/>
  <c r="BI536" i="1"/>
  <c r="BJ536" i="1"/>
  <c r="BK536" i="1"/>
  <c r="BL536" i="1"/>
  <c r="BM536" i="1"/>
  <c r="BN536" i="1"/>
  <c r="BO536" i="1"/>
  <c r="BP536" i="1"/>
  <c r="BQ536" i="1"/>
  <c r="BR536" i="1"/>
  <c r="BS536" i="1"/>
  <c r="BT536" i="1"/>
  <c r="BU536" i="1"/>
  <c r="BV536" i="1"/>
  <c r="BW536" i="1"/>
  <c r="BX536" i="1"/>
  <c r="BY536" i="1"/>
  <c r="BZ536" i="1"/>
  <c r="CA536" i="1"/>
  <c r="CB536" i="1"/>
  <c r="CC536" i="1"/>
  <c r="CD536" i="1"/>
  <c r="CE536" i="1"/>
  <c r="CF536" i="1"/>
  <c r="CG536" i="1"/>
  <c r="CH536" i="1"/>
  <c r="CI536" i="1"/>
  <c r="CJ536" i="1"/>
  <c r="CK536" i="1"/>
  <c r="CL536" i="1"/>
  <c r="CM536" i="1"/>
  <c r="CN536" i="1"/>
  <c r="CO536" i="1"/>
  <c r="CP536" i="1"/>
  <c r="CQ536" i="1"/>
  <c r="CR536" i="1"/>
  <c r="CS536" i="1"/>
  <c r="CT536" i="1"/>
  <c r="CU536" i="1"/>
  <c r="CV536" i="1"/>
  <c r="CW536" i="1"/>
  <c r="CX536" i="1"/>
  <c r="CY536" i="1"/>
  <c r="CZ536" i="1"/>
  <c r="DA536" i="1"/>
  <c r="DB536" i="1"/>
  <c r="DC536" i="1"/>
  <c r="DD536" i="1"/>
  <c r="DE536" i="1"/>
  <c r="DF536" i="1"/>
  <c r="DG536" i="1"/>
  <c r="DH536" i="1"/>
  <c r="DI536" i="1"/>
  <c r="DJ536" i="1"/>
  <c r="DK536" i="1"/>
  <c r="DL536" i="1"/>
  <c r="DM536" i="1"/>
  <c r="DN536" i="1"/>
  <c r="DO536" i="1"/>
  <c r="DP536" i="1"/>
  <c r="DQ536" i="1"/>
  <c r="DR536" i="1"/>
  <c r="DS536" i="1"/>
  <c r="DT536" i="1"/>
  <c r="DU536" i="1"/>
  <c r="DV536" i="1"/>
  <c r="DW536" i="1"/>
  <c r="DX536" i="1"/>
  <c r="DY536" i="1"/>
  <c r="DZ536" i="1"/>
  <c r="EA536" i="1"/>
  <c r="EB536" i="1"/>
  <c r="EC536" i="1"/>
  <c r="ED536" i="1"/>
  <c r="EE536" i="1"/>
  <c r="EF536" i="1"/>
  <c r="EG536" i="1"/>
  <c r="EH536" i="1"/>
  <c r="EI536" i="1"/>
  <c r="EJ536" i="1"/>
  <c r="EK536" i="1"/>
  <c r="EL536" i="1"/>
  <c r="EM536" i="1"/>
  <c r="EN536" i="1"/>
  <c r="EO536" i="1"/>
  <c r="EP536" i="1"/>
  <c r="EQ536" i="1"/>
  <c r="ER536" i="1"/>
  <c r="ES536" i="1"/>
  <c r="ET536" i="1"/>
  <c r="EU536" i="1"/>
  <c r="EV536" i="1"/>
  <c r="EW536" i="1"/>
  <c r="EX536" i="1"/>
  <c r="EY536" i="1"/>
  <c r="EZ536" i="1"/>
  <c r="FA536" i="1"/>
  <c r="FB536" i="1"/>
  <c r="FC536" i="1"/>
  <c r="FD536" i="1"/>
  <c r="FE536" i="1"/>
  <c r="FF536" i="1"/>
  <c r="FG536" i="1"/>
  <c r="FH536" i="1"/>
  <c r="FI536" i="1"/>
  <c r="FJ536" i="1"/>
  <c r="FK536" i="1"/>
  <c r="FL536" i="1"/>
  <c r="FM536" i="1"/>
  <c r="FN536" i="1"/>
  <c r="FO536" i="1"/>
  <c r="FP536" i="1"/>
  <c r="FQ536" i="1"/>
  <c r="FR536" i="1"/>
  <c r="FS536" i="1"/>
  <c r="FT536" i="1"/>
  <c r="FU536" i="1"/>
  <c r="FV536" i="1"/>
  <c r="FW536" i="1"/>
  <c r="FX536" i="1"/>
  <c r="FY536" i="1"/>
  <c r="FZ536" i="1"/>
  <c r="GA536" i="1"/>
  <c r="GB536" i="1"/>
  <c r="GC536" i="1"/>
  <c r="GD536" i="1"/>
  <c r="GE536" i="1"/>
  <c r="GF536" i="1"/>
  <c r="GG536" i="1"/>
  <c r="GH536" i="1"/>
  <c r="GI536" i="1"/>
  <c r="GJ536" i="1"/>
  <c r="GK536" i="1"/>
  <c r="GL536" i="1"/>
  <c r="GM536" i="1"/>
  <c r="GN536" i="1"/>
  <c r="GO536" i="1"/>
  <c r="GP536" i="1"/>
  <c r="GQ536" i="1"/>
  <c r="GR536" i="1"/>
  <c r="GS536" i="1"/>
  <c r="GT536" i="1"/>
  <c r="GU536" i="1"/>
  <c r="GV536" i="1"/>
  <c r="GW536" i="1"/>
  <c r="GX536" i="1"/>
  <c r="B538" i="1"/>
  <c r="C538" i="1"/>
  <c r="C536" i="1" s="1"/>
  <c r="D538" i="1"/>
  <c r="D536" i="1" s="1"/>
  <c r="F538" i="1"/>
  <c r="F536" i="1" s="1"/>
  <c r="G538" i="1"/>
  <c r="G536" i="1" s="1"/>
  <c r="O538" i="1"/>
  <c r="O536" i="1" s="1"/>
  <c r="P538" i="1"/>
  <c r="P536" i="1" s="1"/>
  <c r="Q538" i="1"/>
  <c r="Q536" i="1" s="1"/>
  <c r="R538" i="1"/>
  <c r="R536" i="1" s="1"/>
  <c r="S538" i="1"/>
  <c r="S536" i="1" s="1"/>
  <c r="T538" i="1"/>
  <c r="F559" i="1" s="1"/>
  <c r="U538" i="1"/>
  <c r="U536" i="1" s="1"/>
  <c r="V538" i="1"/>
  <c r="V536" i="1" s="1"/>
  <c r="W538" i="1"/>
  <c r="W536" i="1" s="1"/>
  <c r="X538" i="1"/>
  <c r="X536" i="1" s="1"/>
  <c r="Y538" i="1"/>
  <c r="Y536" i="1" s="1"/>
  <c r="AO538" i="1"/>
  <c r="AO536" i="1" s="1"/>
  <c r="AP538" i="1"/>
  <c r="AP536" i="1" s="1"/>
  <c r="AQ538" i="1"/>
  <c r="AQ536" i="1" s="1"/>
  <c r="AR538" i="1"/>
  <c r="AR536" i="1" s="1"/>
  <c r="AS538" i="1"/>
  <c r="F555" i="1" s="1"/>
  <c r="AT538" i="1"/>
  <c r="AT536" i="1" s="1"/>
  <c r="AU538" i="1"/>
  <c r="F557" i="1" s="1"/>
  <c r="AV538" i="1"/>
  <c r="F543" i="1" s="1"/>
  <c r="AW538" i="1"/>
  <c r="AW536" i="1" s="1"/>
  <c r="AX538" i="1"/>
  <c r="AX536" i="1" s="1"/>
  <c r="AY538" i="1"/>
  <c r="AY536" i="1" s="1"/>
  <c r="AZ538" i="1"/>
  <c r="F549" i="1" s="1"/>
  <c r="BA538" i="1"/>
  <c r="BA536" i="1" s="1"/>
  <c r="BB538" i="1"/>
  <c r="BB536" i="1" s="1"/>
  <c r="BC538" i="1"/>
  <c r="BC536" i="1" s="1"/>
  <c r="BD538" i="1"/>
  <c r="F563" i="1" s="1"/>
  <c r="F542" i="1"/>
  <c r="F550" i="1"/>
  <c r="F552" i="1"/>
  <c r="F558" i="1"/>
  <c r="F560" i="1"/>
  <c r="F566" i="1"/>
  <c r="D568" i="1"/>
  <c r="E570" i="1"/>
  <c r="Z570" i="1"/>
  <c r="AA570" i="1"/>
  <c r="AM570" i="1"/>
  <c r="AN570" i="1"/>
  <c r="BE570" i="1"/>
  <c r="BF570" i="1"/>
  <c r="BG570" i="1"/>
  <c r="BH570" i="1"/>
  <c r="BI570" i="1"/>
  <c r="BJ570" i="1"/>
  <c r="BK570" i="1"/>
  <c r="BL570" i="1"/>
  <c r="BM570" i="1"/>
  <c r="BN570" i="1"/>
  <c r="BO570" i="1"/>
  <c r="BP570" i="1"/>
  <c r="BQ570" i="1"/>
  <c r="BR570" i="1"/>
  <c r="BS570" i="1"/>
  <c r="BT570" i="1"/>
  <c r="BU570" i="1"/>
  <c r="BV570" i="1"/>
  <c r="BW570" i="1"/>
  <c r="CN570" i="1"/>
  <c r="CO570" i="1"/>
  <c r="CP570" i="1"/>
  <c r="CQ570" i="1"/>
  <c r="CR570" i="1"/>
  <c r="CS570" i="1"/>
  <c r="CT570" i="1"/>
  <c r="CU570" i="1"/>
  <c r="CV570" i="1"/>
  <c r="CW570" i="1"/>
  <c r="CX570" i="1"/>
  <c r="CY570" i="1"/>
  <c r="CZ570" i="1"/>
  <c r="DA570" i="1"/>
  <c r="DB570" i="1"/>
  <c r="DC570" i="1"/>
  <c r="DD570" i="1"/>
  <c r="DE570" i="1"/>
  <c r="DF570" i="1"/>
  <c r="DG570" i="1"/>
  <c r="DH570" i="1"/>
  <c r="DI570" i="1"/>
  <c r="DJ570" i="1"/>
  <c r="DK570" i="1"/>
  <c r="DL570" i="1"/>
  <c r="DM570" i="1"/>
  <c r="DN570" i="1"/>
  <c r="DO570" i="1"/>
  <c r="DP570" i="1"/>
  <c r="DQ570" i="1"/>
  <c r="DR570" i="1"/>
  <c r="DS570" i="1"/>
  <c r="DT570" i="1"/>
  <c r="DU570" i="1"/>
  <c r="DV570" i="1"/>
  <c r="DW570" i="1"/>
  <c r="DX570" i="1"/>
  <c r="DY570" i="1"/>
  <c r="DZ570" i="1"/>
  <c r="EA570" i="1"/>
  <c r="EB570" i="1"/>
  <c r="EC570" i="1"/>
  <c r="ED570" i="1"/>
  <c r="EE570" i="1"/>
  <c r="EF570" i="1"/>
  <c r="EG570" i="1"/>
  <c r="EH570" i="1"/>
  <c r="EI570" i="1"/>
  <c r="EJ570" i="1"/>
  <c r="EK570" i="1"/>
  <c r="EL570" i="1"/>
  <c r="EM570" i="1"/>
  <c r="EN570" i="1"/>
  <c r="EO570" i="1"/>
  <c r="EP570" i="1"/>
  <c r="EQ570" i="1"/>
  <c r="ER570" i="1"/>
  <c r="ES570" i="1"/>
  <c r="ET570" i="1"/>
  <c r="EU570" i="1"/>
  <c r="EV570" i="1"/>
  <c r="EW570" i="1"/>
  <c r="EX570" i="1"/>
  <c r="EY570" i="1"/>
  <c r="EZ570" i="1"/>
  <c r="FA570" i="1"/>
  <c r="FB570" i="1"/>
  <c r="FC570" i="1"/>
  <c r="FD570" i="1"/>
  <c r="FE570" i="1"/>
  <c r="FF570" i="1"/>
  <c r="FG570" i="1"/>
  <c r="FH570" i="1"/>
  <c r="FI570" i="1"/>
  <c r="FJ570" i="1"/>
  <c r="FK570" i="1"/>
  <c r="FL570" i="1"/>
  <c r="FM570" i="1"/>
  <c r="FN570" i="1"/>
  <c r="FO570" i="1"/>
  <c r="FP570" i="1"/>
  <c r="FQ570" i="1"/>
  <c r="FR570" i="1"/>
  <c r="FS570" i="1"/>
  <c r="FT570" i="1"/>
  <c r="FU570" i="1"/>
  <c r="FV570" i="1"/>
  <c r="FW570" i="1"/>
  <c r="FX570" i="1"/>
  <c r="FY570" i="1"/>
  <c r="FZ570" i="1"/>
  <c r="GA570" i="1"/>
  <c r="GB570" i="1"/>
  <c r="GC570" i="1"/>
  <c r="GD570" i="1"/>
  <c r="GE570" i="1"/>
  <c r="GF570" i="1"/>
  <c r="GG570" i="1"/>
  <c r="GH570" i="1"/>
  <c r="GI570" i="1"/>
  <c r="GJ570" i="1"/>
  <c r="GK570" i="1"/>
  <c r="GL570" i="1"/>
  <c r="GM570" i="1"/>
  <c r="GN570" i="1"/>
  <c r="GO570" i="1"/>
  <c r="GP570" i="1"/>
  <c r="GQ570" i="1"/>
  <c r="GR570" i="1"/>
  <c r="GS570" i="1"/>
  <c r="GT570" i="1"/>
  <c r="GU570" i="1"/>
  <c r="GV570" i="1"/>
  <c r="GW570" i="1"/>
  <c r="GX570" i="1"/>
  <c r="C572" i="1"/>
  <c r="D572" i="1"/>
  <c r="I572" i="1"/>
  <c r="I573" i="1" s="1"/>
  <c r="P572" i="1"/>
  <c r="AC572" i="1"/>
  <c r="AE572" i="1"/>
  <c r="AD572" i="1" s="1"/>
  <c r="AF572" i="1"/>
  <c r="AG572" i="1"/>
  <c r="CU572" i="1" s="1"/>
  <c r="T572" i="1" s="1"/>
  <c r="AH572" i="1"/>
  <c r="CV572" i="1" s="1"/>
  <c r="U572" i="1" s="1"/>
  <c r="I515" i="5" s="1"/>
  <c r="AI572" i="1"/>
  <c r="CW572" i="1" s="1"/>
  <c r="AJ572" i="1"/>
  <c r="CX572" i="1" s="1"/>
  <c r="CQ572" i="1"/>
  <c r="CS572" i="1"/>
  <c r="FR572" i="1"/>
  <c r="GL572" i="1"/>
  <c r="GO572" i="1"/>
  <c r="CC583" i="1" s="1"/>
  <c r="CC570" i="1" s="1"/>
  <c r="GP572" i="1"/>
  <c r="GV572" i="1"/>
  <c r="HC572" i="1" s="1"/>
  <c r="GX572" i="1" s="1"/>
  <c r="AC573" i="1"/>
  <c r="CQ573" i="1" s="1"/>
  <c r="AE573" i="1"/>
  <c r="CS573" i="1" s="1"/>
  <c r="AF573" i="1"/>
  <c r="AG573" i="1"/>
  <c r="CU573" i="1" s="1"/>
  <c r="AH573" i="1"/>
  <c r="CV573" i="1" s="1"/>
  <c r="AI573" i="1"/>
  <c r="AJ573" i="1"/>
  <c r="CX573" i="1" s="1"/>
  <c r="CW573" i="1"/>
  <c r="FR573" i="1"/>
  <c r="GL573" i="1"/>
  <c r="GO573" i="1"/>
  <c r="GP573" i="1"/>
  <c r="GV573" i="1"/>
  <c r="HC573" i="1" s="1"/>
  <c r="C574" i="1"/>
  <c r="D574" i="1"/>
  <c r="I574" i="1"/>
  <c r="AC574" i="1"/>
  <c r="AE574" i="1"/>
  <c r="AD574" i="1" s="1"/>
  <c r="AF574" i="1"/>
  <c r="AG574" i="1"/>
  <c r="CU574" i="1" s="1"/>
  <c r="T574" i="1" s="1"/>
  <c r="AH574" i="1"/>
  <c r="CV574" i="1" s="1"/>
  <c r="AI574" i="1"/>
  <c r="CW574" i="1" s="1"/>
  <c r="AJ574" i="1"/>
  <c r="CX574" i="1" s="1"/>
  <c r="CQ574" i="1"/>
  <c r="CS574" i="1"/>
  <c r="FR574" i="1"/>
  <c r="GL574" i="1"/>
  <c r="GO574" i="1"/>
  <c r="GP574" i="1"/>
  <c r="GV574" i="1"/>
  <c r="HC574" i="1" s="1"/>
  <c r="AC575" i="1"/>
  <c r="CQ575" i="1" s="1"/>
  <c r="AE575" i="1"/>
  <c r="CS575" i="1" s="1"/>
  <c r="AF575" i="1"/>
  <c r="AG575" i="1"/>
  <c r="CU575" i="1" s="1"/>
  <c r="AH575" i="1"/>
  <c r="CV575" i="1" s="1"/>
  <c r="AI575" i="1"/>
  <c r="CW575" i="1" s="1"/>
  <c r="AJ575" i="1"/>
  <c r="CX575" i="1" s="1"/>
  <c r="FR575" i="1"/>
  <c r="GL575" i="1"/>
  <c r="GO575" i="1"/>
  <c r="GP575" i="1"/>
  <c r="GV575" i="1"/>
  <c r="HC575" i="1" s="1"/>
  <c r="C576" i="1"/>
  <c r="D576" i="1"/>
  <c r="I576" i="1"/>
  <c r="I577" i="1" s="1"/>
  <c r="AC576" i="1"/>
  <c r="AE576" i="1"/>
  <c r="R576" i="1" s="1"/>
  <c r="GK576" i="1" s="1"/>
  <c r="AF576" i="1"/>
  <c r="AG576" i="1"/>
  <c r="CU576" i="1" s="1"/>
  <c r="AH576" i="1"/>
  <c r="CV576" i="1" s="1"/>
  <c r="AI576" i="1"/>
  <c r="CW576" i="1" s="1"/>
  <c r="V576" i="1" s="1"/>
  <c r="AJ576" i="1"/>
  <c r="CX576" i="1" s="1"/>
  <c r="W576" i="1" s="1"/>
  <c r="CQ576" i="1"/>
  <c r="FR576" i="1"/>
  <c r="GL576" i="1"/>
  <c r="GO576" i="1"/>
  <c r="GP576" i="1"/>
  <c r="GV576" i="1"/>
  <c r="HC576" i="1" s="1"/>
  <c r="GX576" i="1" s="1"/>
  <c r="AC577" i="1"/>
  <c r="CQ577" i="1" s="1"/>
  <c r="AE577" i="1"/>
  <c r="AD577" i="1" s="1"/>
  <c r="AF577" i="1"/>
  <c r="AG577" i="1"/>
  <c r="CU577" i="1" s="1"/>
  <c r="AH577" i="1"/>
  <c r="CV577" i="1" s="1"/>
  <c r="AI577" i="1"/>
  <c r="CW577" i="1" s="1"/>
  <c r="AJ577" i="1"/>
  <c r="CX577" i="1" s="1"/>
  <c r="CS577" i="1"/>
  <c r="FR577" i="1"/>
  <c r="GL577" i="1"/>
  <c r="GO577" i="1"/>
  <c r="GP577" i="1"/>
  <c r="GV577" i="1"/>
  <c r="HC577" i="1" s="1"/>
  <c r="C578" i="1"/>
  <c r="D578" i="1"/>
  <c r="I578" i="1"/>
  <c r="R578" i="1" s="1"/>
  <c r="GK578" i="1" s="1"/>
  <c r="AC578" i="1"/>
  <c r="AE578" i="1"/>
  <c r="AF578" i="1"/>
  <c r="AG578" i="1"/>
  <c r="CU578" i="1" s="1"/>
  <c r="AH578" i="1"/>
  <c r="CV578" i="1" s="1"/>
  <c r="AI578" i="1"/>
  <c r="AJ578" i="1"/>
  <c r="CX578" i="1" s="1"/>
  <c r="W578" i="1" s="1"/>
  <c r="CQ578" i="1"/>
  <c r="CS578" i="1"/>
  <c r="CW578" i="1"/>
  <c r="FR578" i="1"/>
  <c r="GL578" i="1"/>
  <c r="GO578" i="1"/>
  <c r="GP578" i="1"/>
  <c r="GV578" i="1"/>
  <c r="HC578" i="1" s="1"/>
  <c r="AC579" i="1"/>
  <c r="AE579" i="1"/>
  <c r="AD579" i="1" s="1"/>
  <c r="AF579" i="1"/>
  <c r="AG579" i="1"/>
  <c r="CU579" i="1" s="1"/>
  <c r="AH579" i="1"/>
  <c r="CV579" i="1" s="1"/>
  <c r="AI579" i="1"/>
  <c r="CW579" i="1" s="1"/>
  <c r="AJ579" i="1"/>
  <c r="CX579" i="1" s="1"/>
  <c r="CQ579" i="1"/>
  <c r="CS579" i="1"/>
  <c r="FR579" i="1"/>
  <c r="GL579" i="1"/>
  <c r="GO579" i="1"/>
  <c r="GP579" i="1"/>
  <c r="GV579" i="1"/>
  <c r="HC579" i="1" s="1"/>
  <c r="C580" i="1"/>
  <c r="D580" i="1"/>
  <c r="I580" i="1"/>
  <c r="I581" i="1" s="1"/>
  <c r="AC580" i="1"/>
  <c r="P580" i="1" s="1"/>
  <c r="K546" i="5" s="1"/>
  <c r="AE580" i="1"/>
  <c r="AD580" i="1" s="1"/>
  <c r="AF580" i="1"/>
  <c r="AG580" i="1"/>
  <c r="CU580" i="1" s="1"/>
  <c r="AH580" i="1"/>
  <c r="CV580" i="1" s="1"/>
  <c r="U580" i="1" s="1"/>
  <c r="I550" i="5" s="1"/>
  <c r="AI580" i="1"/>
  <c r="CW580" i="1" s="1"/>
  <c r="V580" i="1" s="1"/>
  <c r="AJ580" i="1"/>
  <c r="CX580" i="1" s="1"/>
  <c r="CS580" i="1"/>
  <c r="FR580" i="1"/>
  <c r="GL580" i="1"/>
  <c r="GO580" i="1"/>
  <c r="GP580" i="1"/>
  <c r="GV580" i="1"/>
  <c r="HC580" i="1" s="1"/>
  <c r="GX580" i="1" s="1"/>
  <c r="AC581" i="1"/>
  <c r="AE581" i="1"/>
  <c r="AF581" i="1"/>
  <c r="AG581" i="1"/>
  <c r="CU581" i="1" s="1"/>
  <c r="AH581" i="1"/>
  <c r="CV581" i="1" s="1"/>
  <c r="AI581" i="1"/>
  <c r="AJ581" i="1"/>
  <c r="CX581" i="1" s="1"/>
  <c r="CQ581" i="1"/>
  <c r="CS581" i="1"/>
  <c r="CW581" i="1"/>
  <c r="FR581" i="1"/>
  <c r="GL581" i="1"/>
  <c r="GO581" i="1"/>
  <c r="GP581" i="1"/>
  <c r="GV581" i="1"/>
  <c r="HC581" i="1" s="1"/>
  <c r="B583" i="1"/>
  <c r="B570" i="1" s="1"/>
  <c r="C583" i="1"/>
  <c r="C570" i="1" s="1"/>
  <c r="D583" i="1"/>
  <c r="D570" i="1" s="1"/>
  <c r="F583" i="1"/>
  <c r="F570" i="1" s="1"/>
  <c r="G583" i="1"/>
  <c r="BX583" i="1"/>
  <c r="BX570" i="1" s="1"/>
  <c r="CK583" i="1"/>
  <c r="CK570" i="1" s="1"/>
  <c r="CL583" i="1"/>
  <c r="CL570" i="1" s="1"/>
  <c r="CM583" i="1"/>
  <c r="CM570" i="1" s="1"/>
  <c r="D614" i="1"/>
  <c r="E616" i="1"/>
  <c r="F616" i="1"/>
  <c r="Z616" i="1"/>
  <c r="AA616" i="1"/>
  <c r="AB616" i="1"/>
  <c r="AC616" i="1"/>
  <c r="AD616" i="1"/>
  <c r="AE616" i="1"/>
  <c r="AF616" i="1"/>
  <c r="AG616" i="1"/>
  <c r="AH616" i="1"/>
  <c r="AI616" i="1"/>
  <c r="AJ616" i="1"/>
  <c r="AK616" i="1"/>
  <c r="AL616" i="1"/>
  <c r="AM616" i="1"/>
  <c r="AN616" i="1"/>
  <c r="AQ616" i="1"/>
  <c r="BE616" i="1"/>
  <c r="BF616" i="1"/>
  <c r="BG616" i="1"/>
  <c r="BH616" i="1"/>
  <c r="BI616" i="1"/>
  <c r="BJ616" i="1"/>
  <c r="BK616" i="1"/>
  <c r="BL616" i="1"/>
  <c r="BM616" i="1"/>
  <c r="BN616" i="1"/>
  <c r="BO616" i="1"/>
  <c r="BP616" i="1"/>
  <c r="BQ616" i="1"/>
  <c r="BR616" i="1"/>
  <c r="BS616" i="1"/>
  <c r="BT616" i="1"/>
  <c r="BU616" i="1"/>
  <c r="BV616" i="1"/>
  <c r="BW616" i="1"/>
  <c r="BX616" i="1"/>
  <c r="BY616" i="1"/>
  <c r="BZ616" i="1"/>
  <c r="CA616" i="1"/>
  <c r="CB616" i="1"/>
  <c r="CC616" i="1"/>
  <c r="CD616" i="1"/>
  <c r="CE616" i="1"/>
  <c r="CF616" i="1"/>
  <c r="CG616" i="1"/>
  <c r="CH616" i="1"/>
  <c r="CI616" i="1"/>
  <c r="CJ616" i="1"/>
  <c r="CK616" i="1"/>
  <c r="CL616" i="1"/>
  <c r="CM616" i="1"/>
  <c r="CN616" i="1"/>
  <c r="CO616" i="1"/>
  <c r="CP616" i="1"/>
  <c r="CQ616" i="1"/>
  <c r="CR616" i="1"/>
  <c r="CS616" i="1"/>
  <c r="CT616" i="1"/>
  <c r="CU616" i="1"/>
  <c r="CV616" i="1"/>
  <c r="CW616" i="1"/>
  <c r="CX616" i="1"/>
  <c r="CY616" i="1"/>
  <c r="CZ616" i="1"/>
  <c r="DA616" i="1"/>
  <c r="DB616" i="1"/>
  <c r="DC616" i="1"/>
  <c r="DD616" i="1"/>
  <c r="DE616" i="1"/>
  <c r="DF616" i="1"/>
  <c r="DG616" i="1"/>
  <c r="DH616" i="1"/>
  <c r="DI616" i="1"/>
  <c r="DJ616" i="1"/>
  <c r="DK616" i="1"/>
  <c r="DL616" i="1"/>
  <c r="DM616" i="1"/>
  <c r="DN616" i="1"/>
  <c r="DO616" i="1"/>
  <c r="DP616" i="1"/>
  <c r="DQ616" i="1"/>
  <c r="DR616" i="1"/>
  <c r="DS616" i="1"/>
  <c r="DT616" i="1"/>
  <c r="DU616" i="1"/>
  <c r="DV616" i="1"/>
  <c r="DW616" i="1"/>
  <c r="DX616" i="1"/>
  <c r="DY616" i="1"/>
  <c r="DZ616" i="1"/>
  <c r="EA616" i="1"/>
  <c r="EB616" i="1"/>
  <c r="EC616" i="1"/>
  <c r="ED616" i="1"/>
  <c r="EE616" i="1"/>
  <c r="EF616" i="1"/>
  <c r="EG616" i="1"/>
  <c r="EH616" i="1"/>
  <c r="EI616" i="1"/>
  <c r="EJ616" i="1"/>
  <c r="EK616" i="1"/>
  <c r="EL616" i="1"/>
  <c r="EM616" i="1"/>
  <c r="EN616" i="1"/>
  <c r="EO616" i="1"/>
  <c r="EP616" i="1"/>
  <c r="EQ616" i="1"/>
  <c r="ER616" i="1"/>
  <c r="ES616" i="1"/>
  <c r="ET616" i="1"/>
  <c r="EU616" i="1"/>
  <c r="EV616" i="1"/>
  <c r="EW616" i="1"/>
  <c r="EX616" i="1"/>
  <c r="EY616" i="1"/>
  <c r="EZ616" i="1"/>
  <c r="FA616" i="1"/>
  <c r="FB616" i="1"/>
  <c r="FC616" i="1"/>
  <c r="FD616" i="1"/>
  <c r="FE616" i="1"/>
  <c r="FF616" i="1"/>
  <c r="FG616" i="1"/>
  <c r="FH616" i="1"/>
  <c r="FI616" i="1"/>
  <c r="FJ616" i="1"/>
  <c r="FK616" i="1"/>
  <c r="FL616" i="1"/>
  <c r="FM616" i="1"/>
  <c r="FN616" i="1"/>
  <c r="FO616" i="1"/>
  <c r="FP616" i="1"/>
  <c r="FQ616" i="1"/>
  <c r="FR616" i="1"/>
  <c r="FS616" i="1"/>
  <c r="FT616" i="1"/>
  <c r="FU616" i="1"/>
  <c r="FV616" i="1"/>
  <c r="FW616" i="1"/>
  <c r="FX616" i="1"/>
  <c r="FY616" i="1"/>
  <c r="FZ616" i="1"/>
  <c r="GA616" i="1"/>
  <c r="GB616" i="1"/>
  <c r="GC616" i="1"/>
  <c r="GD616" i="1"/>
  <c r="GE616" i="1"/>
  <c r="GF616" i="1"/>
  <c r="GG616" i="1"/>
  <c r="GH616" i="1"/>
  <c r="GI616" i="1"/>
  <c r="GJ616" i="1"/>
  <c r="GK616" i="1"/>
  <c r="GL616" i="1"/>
  <c r="GM616" i="1"/>
  <c r="GN616" i="1"/>
  <c r="GO616" i="1"/>
  <c r="GP616" i="1"/>
  <c r="GQ616" i="1"/>
  <c r="GR616" i="1"/>
  <c r="GS616" i="1"/>
  <c r="GT616" i="1"/>
  <c r="GU616" i="1"/>
  <c r="GV616" i="1"/>
  <c r="GW616" i="1"/>
  <c r="GX616" i="1"/>
  <c r="B618" i="1"/>
  <c r="B616" i="1" s="1"/>
  <c r="C618" i="1"/>
  <c r="C616" i="1" s="1"/>
  <c r="D618" i="1"/>
  <c r="D616" i="1" s="1"/>
  <c r="F618" i="1"/>
  <c r="G618" i="1"/>
  <c r="G616" i="1" s="1"/>
  <c r="O618" i="1"/>
  <c r="O616" i="1" s="1"/>
  <c r="P618" i="1"/>
  <c r="P616" i="1" s="1"/>
  <c r="Q618" i="1"/>
  <c r="Q616" i="1" s="1"/>
  <c r="R618" i="1"/>
  <c r="R616" i="1" s="1"/>
  <c r="S618" i="1"/>
  <c r="S616" i="1" s="1"/>
  <c r="T618" i="1"/>
  <c r="T616" i="1" s="1"/>
  <c r="U618" i="1"/>
  <c r="F640" i="1" s="1"/>
  <c r="V618" i="1"/>
  <c r="F641" i="1" s="1"/>
  <c r="W618" i="1"/>
  <c r="W616" i="1" s="1"/>
  <c r="X618" i="1"/>
  <c r="X616" i="1" s="1"/>
  <c r="Y618" i="1"/>
  <c r="F645" i="1" s="1"/>
  <c r="AO618" i="1"/>
  <c r="AO616" i="1" s="1"/>
  <c r="AP618" i="1"/>
  <c r="F627" i="1" s="1"/>
  <c r="AQ618" i="1"/>
  <c r="F628" i="1" s="1"/>
  <c r="AR618" i="1"/>
  <c r="AR616" i="1" s="1"/>
  <c r="AS618" i="1"/>
  <c r="F635" i="1" s="1"/>
  <c r="AT618" i="1"/>
  <c r="AT616" i="1" s="1"/>
  <c r="AU618" i="1"/>
  <c r="F637" i="1" s="1"/>
  <c r="AV618" i="1"/>
  <c r="AV616" i="1" s="1"/>
  <c r="AW618" i="1"/>
  <c r="AW616" i="1" s="1"/>
  <c r="AX618" i="1"/>
  <c r="AX616" i="1" s="1"/>
  <c r="AY618" i="1"/>
  <c r="AY616" i="1" s="1"/>
  <c r="AZ618" i="1"/>
  <c r="AZ616" i="1" s="1"/>
  <c r="BA618" i="1"/>
  <c r="BA616" i="1" s="1"/>
  <c r="BB618" i="1"/>
  <c r="F631" i="1" s="1"/>
  <c r="BC618" i="1"/>
  <c r="BC616" i="1" s="1"/>
  <c r="BD618" i="1"/>
  <c r="BD616" i="1" s="1"/>
  <c r="F625" i="1"/>
  <c r="F626" i="1"/>
  <c r="F630" i="1"/>
  <c r="F636" i="1"/>
  <c r="F643" i="1"/>
  <c r="D648" i="1"/>
  <c r="E650" i="1"/>
  <c r="Z650" i="1"/>
  <c r="AA650" i="1"/>
  <c r="AM650" i="1"/>
  <c r="AN650" i="1"/>
  <c r="BE650" i="1"/>
  <c r="BF650" i="1"/>
  <c r="BG650" i="1"/>
  <c r="BH650" i="1"/>
  <c r="BI650" i="1"/>
  <c r="BJ650" i="1"/>
  <c r="BK650" i="1"/>
  <c r="BL650" i="1"/>
  <c r="BM650" i="1"/>
  <c r="BN650" i="1"/>
  <c r="BO650" i="1"/>
  <c r="BP650" i="1"/>
  <c r="BQ650" i="1"/>
  <c r="BR650" i="1"/>
  <c r="BS650" i="1"/>
  <c r="BT650" i="1"/>
  <c r="BU650" i="1"/>
  <c r="BV650" i="1"/>
  <c r="BW650" i="1"/>
  <c r="CN650" i="1"/>
  <c r="CO650" i="1"/>
  <c r="CP650" i="1"/>
  <c r="CQ650" i="1"/>
  <c r="CR650" i="1"/>
  <c r="CS650" i="1"/>
  <c r="CT650" i="1"/>
  <c r="CU650" i="1"/>
  <c r="CV650" i="1"/>
  <c r="CW650" i="1"/>
  <c r="CX650" i="1"/>
  <c r="CY650" i="1"/>
  <c r="CZ650" i="1"/>
  <c r="DA650" i="1"/>
  <c r="DB650" i="1"/>
  <c r="DC650" i="1"/>
  <c r="DD650" i="1"/>
  <c r="DE650" i="1"/>
  <c r="DF650" i="1"/>
  <c r="DG650" i="1"/>
  <c r="DH650" i="1"/>
  <c r="DI650" i="1"/>
  <c r="DJ650" i="1"/>
  <c r="DK650" i="1"/>
  <c r="DL650" i="1"/>
  <c r="DM650" i="1"/>
  <c r="DN650" i="1"/>
  <c r="DO650" i="1"/>
  <c r="DP650" i="1"/>
  <c r="DQ650" i="1"/>
  <c r="DR650" i="1"/>
  <c r="DS650" i="1"/>
  <c r="DT650" i="1"/>
  <c r="DU650" i="1"/>
  <c r="DV650" i="1"/>
  <c r="DW650" i="1"/>
  <c r="DX650" i="1"/>
  <c r="DY650" i="1"/>
  <c r="DZ650" i="1"/>
  <c r="EA650" i="1"/>
  <c r="EB650" i="1"/>
  <c r="EC650" i="1"/>
  <c r="ED650" i="1"/>
  <c r="EE650" i="1"/>
  <c r="EF650" i="1"/>
  <c r="EG650" i="1"/>
  <c r="EH650" i="1"/>
  <c r="EI650" i="1"/>
  <c r="EJ650" i="1"/>
  <c r="EK650" i="1"/>
  <c r="EL650" i="1"/>
  <c r="EM650" i="1"/>
  <c r="EN650" i="1"/>
  <c r="EO650" i="1"/>
  <c r="EP650" i="1"/>
  <c r="EQ650" i="1"/>
  <c r="ER650" i="1"/>
  <c r="ES650" i="1"/>
  <c r="ET650" i="1"/>
  <c r="EU650" i="1"/>
  <c r="EV650" i="1"/>
  <c r="EW650" i="1"/>
  <c r="EX650" i="1"/>
  <c r="EY650" i="1"/>
  <c r="EZ650" i="1"/>
  <c r="FA650" i="1"/>
  <c r="FB650" i="1"/>
  <c r="FC650" i="1"/>
  <c r="FD650" i="1"/>
  <c r="FE650" i="1"/>
  <c r="FF650" i="1"/>
  <c r="FG650" i="1"/>
  <c r="FH650" i="1"/>
  <c r="FI650" i="1"/>
  <c r="FJ650" i="1"/>
  <c r="FK650" i="1"/>
  <c r="FL650" i="1"/>
  <c r="FM650" i="1"/>
  <c r="FN650" i="1"/>
  <c r="FO650" i="1"/>
  <c r="FP650" i="1"/>
  <c r="FQ650" i="1"/>
  <c r="FR650" i="1"/>
  <c r="FS650" i="1"/>
  <c r="FT650" i="1"/>
  <c r="FU650" i="1"/>
  <c r="FV650" i="1"/>
  <c r="FW650" i="1"/>
  <c r="FX650" i="1"/>
  <c r="FY650" i="1"/>
  <c r="FZ650" i="1"/>
  <c r="GA650" i="1"/>
  <c r="GB650" i="1"/>
  <c r="GC650" i="1"/>
  <c r="GD650" i="1"/>
  <c r="GE650" i="1"/>
  <c r="GF650" i="1"/>
  <c r="GG650" i="1"/>
  <c r="GH650" i="1"/>
  <c r="GI650" i="1"/>
  <c r="GJ650" i="1"/>
  <c r="GK650" i="1"/>
  <c r="GL650" i="1"/>
  <c r="GM650" i="1"/>
  <c r="GN650" i="1"/>
  <c r="GO650" i="1"/>
  <c r="GP650" i="1"/>
  <c r="GQ650" i="1"/>
  <c r="GR650" i="1"/>
  <c r="GS650" i="1"/>
  <c r="GT650" i="1"/>
  <c r="GU650" i="1"/>
  <c r="GV650" i="1"/>
  <c r="GW650" i="1"/>
  <c r="GX650" i="1"/>
  <c r="C652" i="1"/>
  <c r="D652" i="1"/>
  <c r="I652" i="1"/>
  <c r="AC652" i="1"/>
  <c r="AE652" i="1"/>
  <c r="CS652" i="1" s="1"/>
  <c r="AF652" i="1"/>
  <c r="AG652" i="1"/>
  <c r="CU652" i="1" s="1"/>
  <c r="T652" i="1" s="1"/>
  <c r="AH652" i="1"/>
  <c r="CV652" i="1" s="1"/>
  <c r="AI652" i="1"/>
  <c r="CW652" i="1" s="1"/>
  <c r="V652" i="1" s="1"/>
  <c r="AJ652" i="1"/>
  <c r="CX652" i="1" s="1"/>
  <c r="CQ652" i="1"/>
  <c r="FR652" i="1"/>
  <c r="GL652" i="1"/>
  <c r="GO652" i="1"/>
  <c r="GP652" i="1"/>
  <c r="GV652" i="1"/>
  <c r="HC652" i="1" s="1"/>
  <c r="C653" i="1"/>
  <c r="D653" i="1"/>
  <c r="I653" i="1"/>
  <c r="R653" i="1"/>
  <c r="GK653" i="1" s="1"/>
  <c r="AC653" i="1"/>
  <c r="AE653" i="1"/>
  <c r="AF653" i="1"/>
  <c r="AG653" i="1"/>
  <c r="CU653" i="1" s="1"/>
  <c r="T653" i="1" s="1"/>
  <c r="AH653" i="1"/>
  <c r="CV653" i="1" s="1"/>
  <c r="AI653" i="1"/>
  <c r="AJ653" i="1"/>
  <c r="CX653" i="1" s="1"/>
  <c r="W653" i="1" s="1"/>
  <c r="CQ653" i="1"/>
  <c r="CS653" i="1"/>
  <c r="CW653" i="1"/>
  <c r="V653" i="1" s="1"/>
  <c r="FR653" i="1"/>
  <c r="GL653" i="1"/>
  <c r="GO653" i="1"/>
  <c r="GP653" i="1"/>
  <c r="GV653" i="1"/>
  <c r="HC653" i="1" s="1"/>
  <c r="C654" i="1"/>
  <c r="D654" i="1"/>
  <c r="I654" i="1"/>
  <c r="AC654" i="1"/>
  <c r="AE654" i="1"/>
  <c r="AD654" i="1" s="1"/>
  <c r="AF654" i="1"/>
  <c r="AG654" i="1"/>
  <c r="CU654" i="1" s="1"/>
  <c r="T654" i="1" s="1"/>
  <c r="AH654" i="1"/>
  <c r="CV654" i="1" s="1"/>
  <c r="AI654" i="1"/>
  <c r="CW654" i="1" s="1"/>
  <c r="V654" i="1" s="1"/>
  <c r="AJ654" i="1"/>
  <c r="CX654" i="1" s="1"/>
  <c r="CQ654" i="1"/>
  <c r="FR654" i="1"/>
  <c r="GL654" i="1"/>
  <c r="GO654" i="1"/>
  <c r="GP654" i="1"/>
  <c r="GV654" i="1"/>
  <c r="HC654" i="1" s="1"/>
  <c r="C655" i="1"/>
  <c r="D655" i="1"/>
  <c r="AC655" i="1"/>
  <c r="P655" i="1" s="1"/>
  <c r="AE655" i="1"/>
  <c r="AD655" i="1" s="1"/>
  <c r="AF655" i="1"/>
  <c r="S655" i="1" s="1"/>
  <c r="CY655" i="1" s="1"/>
  <c r="X655" i="1" s="1"/>
  <c r="AG655" i="1"/>
  <c r="CU655" i="1" s="1"/>
  <c r="T655" i="1" s="1"/>
  <c r="AH655" i="1"/>
  <c r="AI655" i="1"/>
  <c r="CW655" i="1" s="1"/>
  <c r="V655" i="1" s="1"/>
  <c r="AJ655" i="1"/>
  <c r="CV655" i="1"/>
  <c r="U655" i="1" s="1"/>
  <c r="CX655" i="1"/>
  <c r="W655" i="1" s="1"/>
  <c r="FR655" i="1"/>
  <c r="GL655" i="1"/>
  <c r="GN655" i="1"/>
  <c r="GO655" i="1"/>
  <c r="GV655" i="1"/>
  <c r="HC655" i="1" s="1"/>
  <c r="GX655" i="1" s="1"/>
  <c r="C656" i="1"/>
  <c r="D656" i="1"/>
  <c r="I656" i="1"/>
  <c r="CX227" i="3" s="1"/>
  <c r="AC656" i="1"/>
  <c r="P656" i="1" s="1"/>
  <c r="AE656" i="1"/>
  <c r="AD656" i="1" s="1"/>
  <c r="AF656" i="1"/>
  <c r="S656" i="1" s="1"/>
  <c r="CY656" i="1" s="1"/>
  <c r="X656" i="1" s="1"/>
  <c r="AG656" i="1"/>
  <c r="CU656" i="1" s="1"/>
  <c r="AH656" i="1"/>
  <c r="CV656" i="1" s="1"/>
  <c r="U656" i="1" s="1"/>
  <c r="AI656" i="1"/>
  <c r="CW656" i="1" s="1"/>
  <c r="AJ656" i="1"/>
  <c r="CT656" i="1"/>
  <c r="CX656" i="1"/>
  <c r="W656" i="1" s="1"/>
  <c r="FR656" i="1"/>
  <c r="GL656" i="1"/>
  <c r="GN656" i="1"/>
  <c r="GO656" i="1"/>
  <c r="GV656" i="1"/>
  <c r="HC656" i="1" s="1"/>
  <c r="GX656" i="1" s="1"/>
  <c r="C657" i="1"/>
  <c r="D657" i="1"/>
  <c r="I657" i="1"/>
  <c r="AC657" i="1"/>
  <c r="AE657" i="1"/>
  <c r="CR657" i="1" s="1"/>
  <c r="AF657" i="1"/>
  <c r="S657" i="1" s="1"/>
  <c r="AG657" i="1"/>
  <c r="CU657" i="1" s="1"/>
  <c r="AH657" i="1"/>
  <c r="AI657" i="1"/>
  <c r="CW657" i="1" s="1"/>
  <c r="AJ657" i="1"/>
  <c r="CV657" i="1"/>
  <c r="CX657" i="1"/>
  <c r="W657" i="1" s="1"/>
  <c r="FR657" i="1"/>
  <c r="GL657" i="1"/>
  <c r="GO657" i="1"/>
  <c r="GP657" i="1"/>
  <c r="GV657" i="1"/>
  <c r="HC657" i="1" s="1"/>
  <c r="GX657" i="1" s="1"/>
  <c r="AC658" i="1"/>
  <c r="AE658" i="1"/>
  <c r="AF658" i="1"/>
  <c r="CT658" i="1" s="1"/>
  <c r="AG658" i="1"/>
  <c r="CU658" i="1" s="1"/>
  <c r="AH658" i="1"/>
  <c r="AI658" i="1"/>
  <c r="CW658" i="1" s="1"/>
  <c r="AJ658" i="1"/>
  <c r="CX658" i="1" s="1"/>
  <c r="CV658" i="1"/>
  <c r="FR658" i="1"/>
  <c r="GL658" i="1"/>
  <c r="GO658" i="1"/>
  <c r="GP658" i="1"/>
  <c r="GV658" i="1"/>
  <c r="HC658" i="1" s="1"/>
  <c r="C659" i="1"/>
  <c r="D659" i="1"/>
  <c r="I659" i="1"/>
  <c r="AC659" i="1"/>
  <c r="AE659" i="1"/>
  <c r="CR659" i="1" s="1"/>
  <c r="AF659" i="1"/>
  <c r="CT659" i="1" s="1"/>
  <c r="AG659" i="1"/>
  <c r="CU659" i="1" s="1"/>
  <c r="AH659" i="1"/>
  <c r="AI659" i="1"/>
  <c r="CW659" i="1" s="1"/>
  <c r="V659" i="1" s="1"/>
  <c r="AJ659" i="1"/>
  <c r="CV659" i="1"/>
  <c r="U659" i="1" s="1"/>
  <c r="I605" i="5" s="1"/>
  <c r="CX659" i="1"/>
  <c r="FR659" i="1"/>
  <c r="GL659" i="1"/>
  <c r="GO659" i="1"/>
  <c r="GP659" i="1"/>
  <c r="GV659" i="1"/>
  <c r="HC659" i="1" s="1"/>
  <c r="I660" i="1"/>
  <c r="AC660" i="1"/>
  <c r="AE660" i="1"/>
  <c r="AF660" i="1"/>
  <c r="CT660" i="1" s="1"/>
  <c r="AG660" i="1"/>
  <c r="CU660" i="1" s="1"/>
  <c r="AH660" i="1"/>
  <c r="CV660" i="1" s="1"/>
  <c r="AI660" i="1"/>
  <c r="CW660" i="1" s="1"/>
  <c r="AJ660" i="1"/>
  <c r="CX660" i="1"/>
  <c r="W660" i="1" s="1"/>
  <c r="FR660" i="1"/>
  <c r="GL660" i="1"/>
  <c r="GO660" i="1"/>
  <c r="GP660" i="1"/>
  <c r="GV660" i="1"/>
  <c r="HC660" i="1" s="1"/>
  <c r="C661" i="1"/>
  <c r="D661" i="1"/>
  <c r="I661" i="1"/>
  <c r="I663" i="1" s="1"/>
  <c r="AC661" i="1"/>
  <c r="AE661" i="1"/>
  <c r="CR661" i="1" s="1"/>
  <c r="AF661" i="1"/>
  <c r="S661" i="1" s="1"/>
  <c r="CZ661" i="1" s="1"/>
  <c r="Y661" i="1" s="1"/>
  <c r="T607" i="5" s="1"/>
  <c r="AG661" i="1"/>
  <c r="CU661" i="1" s="1"/>
  <c r="AH661" i="1"/>
  <c r="AI661" i="1"/>
  <c r="CW661" i="1" s="1"/>
  <c r="V661" i="1" s="1"/>
  <c r="AJ661" i="1"/>
  <c r="CV661" i="1"/>
  <c r="CX661" i="1"/>
  <c r="W661" i="1" s="1"/>
  <c r="FR661" i="1"/>
  <c r="GL661" i="1"/>
  <c r="GO661" i="1"/>
  <c r="GP661" i="1"/>
  <c r="GV661" i="1"/>
  <c r="HC661" i="1" s="1"/>
  <c r="AC662" i="1"/>
  <c r="AE662" i="1"/>
  <c r="CR662" i="1" s="1"/>
  <c r="AF662" i="1"/>
  <c r="CT662" i="1" s="1"/>
  <c r="AG662" i="1"/>
  <c r="CU662" i="1" s="1"/>
  <c r="AH662" i="1"/>
  <c r="CV662" i="1" s="1"/>
  <c r="AI662" i="1"/>
  <c r="CW662" i="1" s="1"/>
  <c r="AJ662" i="1"/>
  <c r="CX662" i="1"/>
  <c r="FR662" i="1"/>
  <c r="GL662" i="1"/>
  <c r="GO662" i="1"/>
  <c r="GP662" i="1"/>
  <c r="GV662" i="1"/>
  <c r="HC662" i="1" s="1"/>
  <c r="AC663" i="1"/>
  <c r="AE663" i="1"/>
  <c r="CR663" i="1" s="1"/>
  <c r="AF663" i="1"/>
  <c r="AG663" i="1"/>
  <c r="CU663" i="1" s="1"/>
  <c r="AH663" i="1"/>
  <c r="CV663" i="1" s="1"/>
  <c r="AI663" i="1"/>
  <c r="CW663" i="1" s="1"/>
  <c r="AJ663" i="1"/>
  <c r="CT663" i="1"/>
  <c r="CX663" i="1"/>
  <c r="FR663" i="1"/>
  <c r="GL663" i="1"/>
  <c r="GO663" i="1"/>
  <c r="GP663" i="1"/>
  <c r="GV663" i="1"/>
  <c r="HC663" i="1" s="1"/>
  <c r="AC664" i="1"/>
  <c r="AE664" i="1"/>
  <c r="AF664" i="1"/>
  <c r="AG664" i="1"/>
  <c r="CU664" i="1" s="1"/>
  <c r="AH664" i="1"/>
  <c r="AI664" i="1"/>
  <c r="CW664" i="1" s="1"/>
  <c r="AJ664" i="1"/>
  <c r="CX664" i="1" s="1"/>
  <c r="CV664" i="1"/>
  <c r="FR664" i="1"/>
  <c r="GL664" i="1"/>
  <c r="GO664" i="1"/>
  <c r="GP664" i="1"/>
  <c r="GV664" i="1"/>
  <c r="HC664" i="1" s="1"/>
  <c r="B666" i="1"/>
  <c r="B650" i="1" s="1"/>
  <c r="C666" i="1"/>
  <c r="C650" i="1" s="1"/>
  <c r="D666" i="1"/>
  <c r="D650" i="1" s="1"/>
  <c r="F666" i="1"/>
  <c r="F650" i="1" s="1"/>
  <c r="G666" i="1"/>
  <c r="BX666" i="1"/>
  <c r="CK666" i="1"/>
  <c r="CK650" i="1" s="1"/>
  <c r="CL666" i="1"/>
  <c r="CL650" i="1" s="1"/>
  <c r="CM666" i="1"/>
  <c r="BD666" i="1" s="1"/>
  <c r="D697" i="1"/>
  <c r="E699" i="1"/>
  <c r="Z699" i="1"/>
  <c r="AA699" i="1"/>
  <c r="AM699" i="1"/>
  <c r="AN699" i="1"/>
  <c r="BE699" i="1"/>
  <c r="BF699" i="1"/>
  <c r="BG699" i="1"/>
  <c r="BH699" i="1"/>
  <c r="BI699" i="1"/>
  <c r="BJ699" i="1"/>
  <c r="BK699" i="1"/>
  <c r="BL699" i="1"/>
  <c r="BM699" i="1"/>
  <c r="BN699" i="1"/>
  <c r="BO699" i="1"/>
  <c r="BP699" i="1"/>
  <c r="BQ699" i="1"/>
  <c r="BR699" i="1"/>
  <c r="BS699" i="1"/>
  <c r="BT699" i="1"/>
  <c r="BU699" i="1"/>
  <c r="BV699" i="1"/>
  <c r="BW699" i="1"/>
  <c r="CN699" i="1"/>
  <c r="CO699" i="1"/>
  <c r="CP699" i="1"/>
  <c r="CQ699" i="1"/>
  <c r="CR699" i="1"/>
  <c r="CS699" i="1"/>
  <c r="CT699" i="1"/>
  <c r="CU699" i="1"/>
  <c r="CV699" i="1"/>
  <c r="CW699" i="1"/>
  <c r="CX699" i="1"/>
  <c r="CY699" i="1"/>
  <c r="CZ699" i="1"/>
  <c r="DA699" i="1"/>
  <c r="DB699" i="1"/>
  <c r="DC699" i="1"/>
  <c r="DD699" i="1"/>
  <c r="DE699" i="1"/>
  <c r="DF699" i="1"/>
  <c r="DG699" i="1"/>
  <c r="DH699" i="1"/>
  <c r="DI699" i="1"/>
  <c r="DJ699" i="1"/>
  <c r="DK699" i="1"/>
  <c r="DL699" i="1"/>
  <c r="DM699" i="1"/>
  <c r="DN699" i="1"/>
  <c r="DO699" i="1"/>
  <c r="DP699" i="1"/>
  <c r="DQ699" i="1"/>
  <c r="DR699" i="1"/>
  <c r="DS699" i="1"/>
  <c r="DT699" i="1"/>
  <c r="DU699" i="1"/>
  <c r="DV699" i="1"/>
  <c r="DW699" i="1"/>
  <c r="DX699" i="1"/>
  <c r="DY699" i="1"/>
  <c r="DZ699" i="1"/>
  <c r="EA699" i="1"/>
  <c r="EB699" i="1"/>
  <c r="EC699" i="1"/>
  <c r="ED699" i="1"/>
  <c r="EE699" i="1"/>
  <c r="EF699" i="1"/>
  <c r="EG699" i="1"/>
  <c r="EH699" i="1"/>
  <c r="EI699" i="1"/>
  <c r="EJ699" i="1"/>
  <c r="EK699" i="1"/>
  <c r="EL699" i="1"/>
  <c r="EM699" i="1"/>
  <c r="EN699" i="1"/>
  <c r="EO699" i="1"/>
  <c r="EP699" i="1"/>
  <c r="EQ699" i="1"/>
  <c r="ER699" i="1"/>
  <c r="ES699" i="1"/>
  <c r="ET699" i="1"/>
  <c r="EU699" i="1"/>
  <c r="EV699" i="1"/>
  <c r="EW699" i="1"/>
  <c r="EX699" i="1"/>
  <c r="EY699" i="1"/>
  <c r="EZ699" i="1"/>
  <c r="FA699" i="1"/>
  <c r="FB699" i="1"/>
  <c r="FC699" i="1"/>
  <c r="FD699" i="1"/>
  <c r="FE699" i="1"/>
  <c r="FF699" i="1"/>
  <c r="FG699" i="1"/>
  <c r="FH699" i="1"/>
  <c r="FI699" i="1"/>
  <c r="FJ699" i="1"/>
  <c r="FK699" i="1"/>
  <c r="FL699" i="1"/>
  <c r="FM699" i="1"/>
  <c r="FN699" i="1"/>
  <c r="FO699" i="1"/>
  <c r="FP699" i="1"/>
  <c r="FQ699" i="1"/>
  <c r="FR699" i="1"/>
  <c r="FS699" i="1"/>
  <c r="FT699" i="1"/>
  <c r="FU699" i="1"/>
  <c r="FV699" i="1"/>
  <c r="FW699" i="1"/>
  <c r="FX699" i="1"/>
  <c r="FY699" i="1"/>
  <c r="FZ699" i="1"/>
  <c r="GA699" i="1"/>
  <c r="GB699" i="1"/>
  <c r="GC699" i="1"/>
  <c r="GD699" i="1"/>
  <c r="GE699" i="1"/>
  <c r="GF699" i="1"/>
  <c r="GG699" i="1"/>
  <c r="GH699" i="1"/>
  <c r="GI699" i="1"/>
  <c r="GJ699" i="1"/>
  <c r="GK699" i="1"/>
  <c r="GL699" i="1"/>
  <c r="GM699" i="1"/>
  <c r="GN699" i="1"/>
  <c r="GO699" i="1"/>
  <c r="GP699" i="1"/>
  <c r="GQ699" i="1"/>
  <c r="GR699" i="1"/>
  <c r="GS699" i="1"/>
  <c r="GT699" i="1"/>
  <c r="GU699" i="1"/>
  <c r="GV699" i="1"/>
  <c r="GW699" i="1"/>
  <c r="GX699" i="1"/>
  <c r="C701" i="1"/>
  <c r="D701" i="1"/>
  <c r="I701" i="1"/>
  <c r="AC701" i="1"/>
  <c r="AE701" i="1"/>
  <c r="CS701" i="1" s="1"/>
  <c r="AF701" i="1"/>
  <c r="AG701" i="1"/>
  <c r="CU701" i="1" s="1"/>
  <c r="AH701" i="1"/>
  <c r="AI701" i="1"/>
  <c r="CW701" i="1" s="1"/>
  <c r="AJ701" i="1"/>
  <c r="CV701" i="1"/>
  <c r="CX701" i="1"/>
  <c r="FR701" i="1"/>
  <c r="GL701" i="1"/>
  <c r="GO701" i="1"/>
  <c r="GP701" i="1"/>
  <c r="GV701" i="1"/>
  <c r="HC701" i="1" s="1"/>
  <c r="GX701" i="1" s="1"/>
  <c r="C702" i="1"/>
  <c r="D702" i="1"/>
  <c r="AC702" i="1"/>
  <c r="AE702" i="1"/>
  <c r="CR702" i="1" s="1"/>
  <c r="AF702" i="1"/>
  <c r="AG702" i="1"/>
  <c r="CU702" i="1" s="1"/>
  <c r="AH702" i="1"/>
  <c r="CV702" i="1" s="1"/>
  <c r="AI702" i="1"/>
  <c r="CW702" i="1" s="1"/>
  <c r="AJ702" i="1"/>
  <c r="CT702" i="1"/>
  <c r="CX702" i="1"/>
  <c r="FR702" i="1"/>
  <c r="GL702" i="1"/>
  <c r="GO702" i="1"/>
  <c r="GP702" i="1"/>
  <c r="GV702" i="1"/>
  <c r="HC702" i="1" s="1"/>
  <c r="C703" i="1"/>
  <c r="D703" i="1"/>
  <c r="AC703" i="1"/>
  <c r="AE703" i="1"/>
  <c r="AF703" i="1"/>
  <c r="AG703" i="1"/>
  <c r="CU703" i="1" s="1"/>
  <c r="AH703" i="1"/>
  <c r="AI703" i="1"/>
  <c r="AJ703" i="1"/>
  <c r="CX703" i="1" s="1"/>
  <c r="CR703" i="1"/>
  <c r="CV703" i="1"/>
  <c r="CW703" i="1"/>
  <c r="FR703" i="1"/>
  <c r="GL703" i="1"/>
  <c r="GO703" i="1"/>
  <c r="GP703" i="1"/>
  <c r="GV703" i="1"/>
  <c r="HC703" i="1"/>
  <c r="C704" i="1"/>
  <c r="D704" i="1"/>
  <c r="AC704" i="1"/>
  <c r="P704" i="1" s="1"/>
  <c r="AD704" i="1"/>
  <c r="AE704" i="1"/>
  <c r="Q704" i="1" s="1"/>
  <c r="AF704" i="1"/>
  <c r="CT704" i="1" s="1"/>
  <c r="AG704" i="1"/>
  <c r="CU704" i="1" s="1"/>
  <c r="T704" i="1" s="1"/>
  <c r="AH704" i="1"/>
  <c r="CV704" i="1" s="1"/>
  <c r="U704" i="1" s="1"/>
  <c r="AI704" i="1"/>
  <c r="AJ704" i="1"/>
  <c r="CR704" i="1"/>
  <c r="CS704" i="1"/>
  <c r="CW704" i="1"/>
  <c r="V704" i="1" s="1"/>
  <c r="CX704" i="1"/>
  <c r="W704" i="1" s="1"/>
  <c r="FR704" i="1"/>
  <c r="GL704" i="1"/>
  <c r="GN704" i="1"/>
  <c r="GO704" i="1"/>
  <c r="GV704" i="1"/>
  <c r="HC704" i="1" s="1"/>
  <c r="GX704" i="1" s="1"/>
  <c r="C705" i="1"/>
  <c r="D705" i="1"/>
  <c r="I705" i="1"/>
  <c r="AC705" i="1"/>
  <c r="P705" i="1" s="1"/>
  <c r="AE705" i="1"/>
  <c r="R705" i="1" s="1"/>
  <c r="GK705" i="1" s="1"/>
  <c r="AF705" i="1"/>
  <c r="S705" i="1" s="1"/>
  <c r="CZ705" i="1" s="1"/>
  <c r="Y705" i="1" s="1"/>
  <c r="AG705" i="1"/>
  <c r="AH705" i="1"/>
  <c r="CV705" i="1" s="1"/>
  <c r="U705" i="1" s="1"/>
  <c r="AI705" i="1"/>
  <c r="CW705" i="1" s="1"/>
  <c r="V705" i="1" s="1"/>
  <c r="AJ705" i="1"/>
  <c r="CX705" i="1" s="1"/>
  <c r="W705" i="1" s="1"/>
  <c r="CS705" i="1"/>
  <c r="CT705" i="1"/>
  <c r="CU705" i="1"/>
  <c r="T705" i="1" s="1"/>
  <c r="FR705" i="1"/>
  <c r="GL705" i="1"/>
  <c r="GN705" i="1"/>
  <c r="GO705" i="1"/>
  <c r="GV705" i="1"/>
  <c r="HC705" i="1" s="1"/>
  <c r="GX705" i="1" s="1"/>
  <c r="C706" i="1"/>
  <c r="D706" i="1"/>
  <c r="I706" i="1"/>
  <c r="AC706" i="1"/>
  <c r="AE706" i="1"/>
  <c r="CR706" i="1" s="1"/>
  <c r="AF706" i="1"/>
  <c r="AG706" i="1"/>
  <c r="CU706" i="1" s="1"/>
  <c r="AH706" i="1"/>
  <c r="CV706" i="1" s="1"/>
  <c r="AI706" i="1"/>
  <c r="CW706" i="1" s="1"/>
  <c r="V706" i="1" s="1"/>
  <c r="AJ706" i="1"/>
  <c r="CX706" i="1" s="1"/>
  <c r="FR706" i="1"/>
  <c r="GL706" i="1"/>
  <c r="GO706" i="1"/>
  <c r="GP706" i="1"/>
  <c r="GV706" i="1"/>
  <c r="HC706" i="1" s="1"/>
  <c r="GX706" i="1" s="1"/>
  <c r="AC707" i="1"/>
  <c r="AE707" i="1"/>
  <c r="AF707" i="1"/>
  <c r="AG707" i="1"/>
  <c r="CU707" i="1" s="1"/>
  <c r="AH707" i="1"/>
  <c r="AI707" i="1"/>
  <c r="CW707" i="1" s="1"/>
  <c r="AJ707" i="1"/>
  <c r="CX707" i="1" s="1"/>
  <c r="CQ707" i="1"/>
  <c r="CV707" i="1"/>
  <c r="FR707" i="1"/>
  <c r="GL707" i="1"/>
  <c r="GO707" i="1"/>
  <c r="GP707" i="1"/>
  <c r="GV707" i="1"/>
  <c r="HC707" i="1" s="1"/>
  <c r="C708" i="1"/>
  <c r="D708" i="1"/>
  <c r="I708" i="1"/>
  <c r="AC708" i="1"/>
  <c r="AE708" i="1"/>
  <c r="CS708" i="1" s="1"/>
  <c r="AF708" i="1"/>
  <c r="AG708" i="1"/>
  <c r="CU708" i="1" s="1"/>
  <c r="T708" i="1" s="1"/>
  <c r="AH708" i="1"/>
  <c r="CV708" i="1" s="1"/>
  <c r="AI708" i="1"/>
  <c r="CW708" i="1" s="1"/>
  <c r="AJ708" i="1"/>
  <c r="CX708" i="1" s="1"/>
  <c r="FR708" i="1"/>
  <c r="GL708" i="1"/>
  <c r="GO708" i="1"/>
  <c r="GP708" i="1"/>
  <c r="GV708" i="1"/>
  <c r="HC708" i="1" s="1"/>
  <c r="I709" i="1"/>
  <c r="AC709" i="1"/>
  <c r="AE709" i="1"/>
  <c r="CS709" i="1" s="1"/>
  <c r="AF709" i="1"/>
  <c r="AG709" i="1"/>
  <c r="CU709" i="1" s="1"/>
  <c r="AH709" i="1"/>
  <c r="AI709" i="1"/>
  <c r="AJ709" i="1"/>
  <c r="CX709" i="1" s="1"/>
  <c r="CV709" i="1"/>
  <c r="CW709" i="1"/>
  <c r="FR709" i="1"/>
  <c r="GL709" i="1"/>
  <c r="GO709" i="1"/>
  <c r="GP709" i="1"/>
  <c r="GV709" i="1"/>
  <c r="HC709" i="1" s="1"/>
  <c r="GX709" i="1" s="1"/>
  <c r="B711" i="1"/>
  <c r="B699" i="1" s="1"/>
  <c r="C711" i="1"/>
  <c r="C699" i="1" s="1"/>
  <c r="D711" i="1"/>
  <c r="D699" i="1" s="1"/>
  <c r="F711" i="1"/>
  <c r="F699" i="1" s="1"/>
  <c r="G711" i="1"/>
  <c r="BX711" i="1"/>
  <c r="AO711" i="1" s="1"/>
  <c r="CK711" i="1"/>
  <c r="CK699" i="1" s="1"/>
  <c r="CL711" i="1"/>
  <c r="CL699" i="1" s="1"/>
  <c r="CM711" i="1"/>
  <c r="CM699" i="1" s="1"/>
  <c r="D742" i="1"/>
  <c r="E744" i="1"/>
  <c r="Z744" i="1"/>
  <c r="AA744" i="1"/>
  <c r="AB744" i="1"/>
  <c r="AC744" i="1"/>
  <c r="AD744" i="1"/>
  <c r="AE744" i="1"/>
  <c r="AF744" i="1"/>
  <c r="AG744" i="1"/>
  <c r="AH744" i="1"/>
  <c r="AI744" i="1"/>
  <c r="AJ744" i="1"/>
  <c r="AK744" i="1"/>
  <c r="AL744" i="1"/>
  <c r="AM744" i="1"/>
  <c r="AN744" i="1"/>
  <c r="BE744" i="1"/>
  <c r="BF744" i="1"/>
  <c r="BG744" i="1"/>
  <c r="BH744" i="1"/>
  <c r="BI744" i="1"/>
  <c r="BJ744" i="1"/>
  <c r="BK744" i="1"/>
  <c r="BL744" i="1"/>
  <c r="BM744" i="1"/>
  <c r="BN744" i="1"/>
  <c r="BO744" i="1"/>
  <c r="BP744" i="1"/>
  <c r="BQ744" i="1"/>
  <c r="BR744" i="1"/>
  <c r="BS744" i="1"/>
  <c r="BT744" i="1"/>
  <c r="BU744" i="1"/>
  <c r="BV744" i="1"/>
  <c r="BW744" i="1"/>
  <c r="BX744" i="1"/>
  <c r="BY744" i="1"/>
  <c r="BZ744" i="1"/>
  <c r="CA744" i="1"/>
  <c r="CB744" i="1"/>
  <c r="CC744" i="1"/>
  <c r="CD744" i="1"/>
  <c r="CE744" i="1"/>
  <c r="CF744" i="1"/>
  <c r="CG744" i="1"/>
  <c r="CH744" i="1"/>
  <c r="CI744" i="1"/>
  <c r="CJ744" i="1"/>
  <c r="CK744" i="1"/>
  <c r="CL744" i="1"/>
  <c r="CM744" i="1"/>
  <c r="CN744" i="1"/>
  <c r="CO744" i="1"/>
  <c r="CP744" i="1"/>
  <c r="CQ744" i="1"/>
  <c r="CR744" i="1"/>
  <c r="CS744" i="1"/>
  <c r="CT744" i="1"/>
  <c r="CU744" i="1"/>
  <c r="CV744" i="1"/>
  <c r="CW744" i="1"/>
  <c r="CX744" i="1"/>
  <c r="CY744" i="1"/>
  <c r="CZ744" i="1"/>
  <c r="DA744" i="1"/>
  <c r="DB744" i="1"/>
  <c r="DC744" i="1"/>
  <c r="DD744" i="1"/>
  <c r="DE744" i="1"/>
  <c r="DF744" i="1"/>
  <c r="DG744" i="1"/>
  <c r="DH744" i="1"/>
  <c r="DI744" i="1"/>
  <c r="DJ744" i="1"/>
  <c r="DK744" i="1"/>
  <c r="DL744" i="1"/>
  <c r="DM744" i="1"/>
  <c r="DN744" i="1"/>
  <c r="DO744" i="1"/>
  <c r="DP744" i="1"/>
  <c r="DQ744" i="1"/>
  <c r="DR744" i="1"/>
  <c r="DS744" i="1"/>
  <c r="DT744" i="1"/>
  <c r="DU744" i="1"/>
  <c r="DV744" i="1"/>
  <c r="DW744" i="1"/>
  <c r="DX744" i="1"/>
  <c r="DY744" i="1"/>
  <c r="DZ744" i="1"/>
  <c r="EA744" i="1"/>
  <c r="EB744" i="1"/>
  <c r="EC744" i="1"/>
  <c r="ED744" i="1"/>
  <c r="EE744" i="1"/>
  <c r="EF744" i="1"/>
  <c r="EG744" i="1"/>
  <c r="EH744" i="1"/>
  <c r="EI744" i="1"/>
  <c r="EJ744" i="1"/>
  <c r="EK744" i="1"/>
  <c r="EL744" i="1"/>
  <c r="EM744" i="1"/>
  <c r="EN744" i="1"/>
  <c r="EO744" i="1"/>
  <c r="EP744" i="1"/>
  <c r="EQ744" i="1"/>
  <c r="ER744" i="1"/>
  <c r="ES744" i="1"/>
  <c r="ET744" i="1"/>
  <c r="EU744" i="1"/>
  <c r="EV744" i="1"/>
  <c r="EW744" i="1"/>
  <c r="EX744" i="1"/>
  <c r="EY744" i="1"/>
  <c r="EZ744" i="1"/>
  <c r="FA744" i="1"/>
  <c r="FB744" i="1"/>
  <c r="FC744" i="1"/>
  <c r="FD744" i="1"/>
  <c r="FE744" i="1"/>
  <c r="FF744" i="1"/>
  <c r="FG744" i="1"/>
  <c r="FH744" i="1"/>
  <c r="FI744" i="1"/>
  <c r="FJ744" i="1"/>
  <c r="FK744" i="1"/>
  <c r="FL744" i="1"/>
  <c r="FM744" i="1"/>
  <c r="FN744" i="1"/>
  <c r="FO744" i="1"/>
  <c r="FP744" i="1"/>
  <c r="FQ744" i="1"/>
  <c r="FR744" i="1"/>
  <c r="FS744" i="1"/>
  <c r="FT744" i="1"/>
  <c r="FU744" i="1"/>
  <c r="FV744" i="1"/>
  <c r="FW744" i="1"/>
  <c r="FX744" i="1"/>
  <c r="FY744" i="1"/>
  <c r="FZ744" i="1"/>
  <c r="GA744" i="1"/>
  <c r="GB744" i="1"/>
  <c r="GC744" i="1"/>
  <c r="GD744" i="1"/>
  <c r="GE744" i="1"/>
  <c r="GF744" i="1"/>
  <c r="GG744" i="1"/>
  <c r="GH744" i="1"/>
  <c r="GI744" i="1"/>
  <c r="GJ744" i="1"/>
  <c r="GK744" i="1"/>
  <c r="GL744" i="1"/>
  <c r="GM744" i="1"/>
  <c r="GN744" i="1"/>
  <c r="GO744" i="1"/>
  <c r="GP744" i="1"/>
  <c r="GQ744" i="1"/>
  <c r="GR744" i="1"/>
  <c r="GS744" i="1"/>
  <c r="GT744" i="1"/>
  <c r="GU744" i="1"/>
  <c r="GV744" i="1"/>
  <c r="GW744" i="1"/>
  <c r="GX744" i="1"/>
  <c r="B746" i="1"/>
  <c r="B744" i="1" s="1"/>
  <c r="C746" i="1"/>
  <c r="C744" i="1" s="1"/>
  <c r="D746" i="1"/>
  <c r="D744" i="1" s="1"/>
  <c r="F746" i="1"/>
  <c r="F744" i="1" s="1"/>
  <c r="G746" i="1"/>
  <c r="G744" i="1" s="1"/>
  <c r="O746" i="1"/>
  <c r="O744" i="1" s="1"/>
  <c r="P746" i="1"/>
  <c r="P744" i="1" s="1"/>
  <c r="Q746" i="1"/>
  <c r="Q744" i="1" s="1"/>
  <c r="R746" i="1"/>
  <c r="R744" i="1" s="1"/>
  <c r="S746" i="1"/>
  <c r="S744" i="1" s="1"/>
  <c r="T746" i="1"/>
  <c r="F767" i="1" s="1"/>
  <c r="U746" i="1"/>
  <c r="U744" i="1" s="1"/>
  <c r="V746" i="1"/>
  <c r="F769" i="1" s="1"/>
  <c r="W746" i="1"/>
  <c r="F770" i="1" s="1"/>
  <c r="X746" i="1"/>
  <c r="X744" i="1" s="1"/>
  <c r="Y746" i="1"/>
  <c r="Y744" i="1" s="1"/>
  <c r="AO746" i="1"/>
  <c r="AO744" i="1" s="1"/>
  <c r="AP746" i="1"/>
  <c r="AP744" i="1" s="1"/>
  <c r="AQ746" i="1"/>
  <c r="AQ744" i="1" s="1"/>
  <c r="AR746" i="1"/>
  <c r="F774" i="1" s="1"/>
  <c r="AS746" i="1"/>
  <c r="F763" i="1" s="1"/>
  <c r="AT746" i="1"/>
  <c r="AT744" i="1" s="1"/>
  <c r="AU746" i="1"/>
  <c r="F765" i="1" s="1"/>
  <c r="AV746" i="1"/>
  <c r="F751" i="1" s="1"/>
  <c r="AW746" i="1"/>
  <c r="AW744" i="1" s="1"/>
  <c r="AX746" i="1"/>
  <c r="AX744" i="1" s="1"/>
  <c r="AY746" i="1"/>
  <c r="AY744" i="1" s="1"/>
  <c r="AZ746" i="1"/>
  <c r="AZ744" i="1" s="1"/>
  <c r="BA746" i="1"/>
  <c r="BA744" i="1" s="1"/>
  <c r="BB746" i="1"/>
  <c r="BB744" i="1" s="1"/>
  <c r="BC746" i="1"/>
  <c r="BC744" i="1" s="1"/>
  <c r="BD746" i="1"/>
  <c r="BD744" i="1" s="1"/>
  <c r="F756" i="1"/>
  <c r="F757" i="1"/>
  <c r="F760" i="1"/>
  <c r="F761" i="1"/>
  <c r="F762" i="1"/>
  <c r="F772" i="1"/>
  <c r="F773" i="1"/>
  <c r="D776" i="1"/>
  <c r="E778" i="1"/>
  <c r="Z778" i="1"/>
  <c r="AA778" i="1"/>
  <c r="AM778" i="1"/>
  <c r="AN778" i="1"/>
  <c r="BE778" i="1"/>
  <c r="BF778" i="1"/>
  <c r="BG778" i="1"/>
  <c r="BH778" i="1"/>
  <c r="BI778" i="1"/>
  <c r="BJ778" i="1"/>
  <c r="BK778" i="1"/>
  <c r="BL778" i="1"/>
  <c r="BM778" i="1"/>
  <c r="BN778" i="1"/>
  <c r="BO778" i="1"/>
  <c r="BP778" i="1"/>
  <c r="BQ778" i="1"/>
  <c r="BR778" i="1"/>
  <c r="BS778" i="1"/>
  <c r="BT778" i="1"/>
  <c r="BU778" i="1"/>
  <c r="BV778" i="1"/>
  <c r="BW778" i="1"/>
  <c r="CN778" i="1"/>
  <c r="CO778" i="1"/>
  <c r="CP778" i="1"/>
  <c r="CQ778" i="1"/>
  <c r="CR778" i="1"/>
  <c r="CS778" i="1"/>
  <c r="CT778" i="1"/>
  <c r="CU778" i="1"/>
  <c r="CV778" i="1"/>
  <c r="CW778" i="1"/>
  <c r="CX778" i="1"/>
  <c r="CY778" i="1"/>
  <c r="CZ778" i="1"/>
  <c r="DA778" i="1"/>
  <c r="DB778" i="1"/>
  <c r="DC778" i="1"/>
  <c r="DD778" i="1"/>
  <c r="DE778" i="1"/>
  <c r="DF778" i="1"/>
  <c r="DG778" i="1"/>
  <c r="DH778" i="1"/>
  <c r="DI778" i="1"/>
  <c r="DJ778" i="1"/>
  <c r="DK778" i="1"/>
  <c r="DL778" i="1"/>
  <c r="DM778" i="1"/>
  <c r="DN778" i="1"/>
  <c r="DO778" i="1"/>
  <c r="DP778" i="1"/>
  <c r="DQ778" i="1"/>
  <c r="DR778" i="1"/>
  <c r="DS778" i="1"/>
  <c r="DT778" i="1"/>
  <c r="DU778" i="1"/>
  <c r="DV778" i="1"/>
  <c r="DW778" i="1"/>
  <c r="DX778" i="1"/>
  <c r="DY778" i="1"/>
  <c r="DZ778" i="1"/>
  <c r="EA778" i="1"/>
  <c r="EB778" i="1"/>
  <c r="EC778" i="1"/>
  <c r="ED778" i="1"/>
  <c r="EE778" i="1"/>
  <c r="EF778" i="1"/>
  <c r="EG778" i="1"/>
  <c r="EH778" i="1"/>
  <c r="EI778" i="1"/>
  <c r="EJ778" i="1"/>
  <c r="EK778" i="1"/>
  <c r="EL778" i="1"/>
  <c r="EM778" i="1"/>
  <c r="EN778" i="1"/>
  <c r="EO778" i="1"/>
  <c r="EP778" i="1"/>
  <c r="EQ778" i="1"/>
  <c r="ER778" i="1"/>
  <c r="ES778" i="1"/>
  <c r="ET778" i="1"/>
  <c r="EU778" i="1"/>
  <c r="EV778" i="1"/>
  <c r="EW778" i="1"/>
  <c r="EX778" i="1"/>
  <c r="EY778" i="1"/>
  <c r="EZ778" i="1"/>
  <c r="FA778" i="1"/>
  <c r="FB778" i="1"/>
  <c r="FC778" i="1"/>
  <c r="FD778" i="1"/>
  <c r="FE778" i="1"/>
  <c r="FF778" i="1"/>
  <c r="FG778" i="1"/>
  <c r="FH778" i="1"/>
  <c r="FI778" i="1"/>
  <c r="FJ778" i="1"/>
  <c r="FK778" i="1"/>
  <c r="FL778" i="1"/>
  <c r="FM778" i="1"/>
  <c r="FN778" i="1"/>
  <c r="FO778" i="1"/>
  <c r="FP778" i="1"/>
  <c r="FQ778" i="1"/>
  <c r="FR778" i="1"/>
  <c r="FS778" i="1"/>
  <c r="FT778" i="1"/>
  <c r="FU778" i="1"/>
  <c r="FV778" i="1"/>
  <c r="FW778" i="1"/>
  <c r="FX778" i="1"/>
  <c r="FY778" i="1"/>
  <c r="FZ778" i="1"/>
  <c r="GA778" i="1"/>
  <c r="GB778" i="1"/>
  <c r="GC778" i="1"/>
  <c r="GD778" i="1"/>
  <c r="GE778" i="1"/>
  <c r="GF778" i="1"/>
  <c r="GG778" i="1"/>
  <c r="GH778" i="1"/>
  <c r="GI778" i="1"/>
  <c r="GJ778" i="1"/>
  <c r="GK778" i="1"/>
  <c r="GL778" i="1"/>
  <c r="GM778" i="1"/>
  <c r="GN778" i="1"/>
  <c r="GO778" i="1"/>
  <c r="GP778" i="1"/>
  <c r="GQ778" i="1"/>
  <c r="GR778" i="1"/>
  <c r="GS778" i="1"/>
  <c r="GT778" i="1"/>
  <c r="GU778" i="1"/>
  <c r="GV778" i="1"/>
  <c r="GW778" i="1"/>
  <c r="GX778" i="1"/>
  <c r="C780" i="1"/>
  <c r="D780" i="1"/>
  <c r="I780" i="1"/>
  <c r="R780" i="1" s="1"/>
  <c r="GK780" i="1" s="1"/>
  <c r="AC780" i="1"/>
  <c r="AE780" i="1"/>
  <c r="AF780" i="1"/>
  <c r="AG780" i="1"/>
  <c r="CU780" i="1" s="1"/>
  <c r="AH780" i="1"/>
  <c r="AI780" i="1"/>
  <c r="AJ780" i="1"/>
  <c r="CX780" i="1" s="1"/>
  <c r="W780" i="1" s="1"/>
  <c r="CR780" i="1"/>
  <c r="CV780" i="1"/>
  <c r="CW780" i="1"/>
  <c r="FR780" i="1"/>
  <c r="GL780" i="1"/>
  <c r="GO780" i="1"/>
  <c r="GP780" i="1"/>
  <c r="GV780" i="1"/>
  <c r="HC780" i="1" s="1"/>
  <c r="GX780" i="1" s="1"/>
  <c r="C781" i="1"/>
  <c r="D781" i="1"/>
  <c r="AC781" i="1"/>
  <c r="AE781" i="1"/>
  <c r="AF781" i="1"/>
  <c r="AG781" i="1"/>
  <c r="CU781" i="1" s="1"/>
  <c r="AH781" i="1"/>
  <c r="AI781" i="1"/>
  <c r="CW781" i="1" s="1"/>
  <c r="AJ781" i="1"/>
  <c r="CX781" i="1" s="1"/>
  <c r="CV781" i="1"/>
  <c r="FR781" i="1"/>
  <c r="GL781" i="1"/>
  <c r="GO781" i="1"/>
  <c r="GP781" i="1"/>
  <c r="GV781" i="1"/>
  <c r="HC781" i="1"/>
  <c r="C782" i="1"/>
  <c r="D782" i="1"/>
  <c r="CX281" i="3"/>
  <c r="R782" i="1"/>
  <c r="GK782" i="1" s="1"/>
  <c r="AC782" i="1"/>
  <c r="P782" i="1" s="1"/>
  <c r="AE782" i="1"/>
  <c r="AF782" i="1"/>
  <c r="AG782" i="1"/>
  <c r="CU782" i="1" s="1"/>
  <c r="T782" i="1" s="1"/>
  <c r="AH782" i="1"/>
  <c r="AI782" i="1"/>
  <c r="AJ782" i="1"/>
  <c r="CX782" i="1" s="1"/>
  <c r="W782" i="1" s="1"/>
  <c r="CR782" i="1"/>
  <c r="CV782" i="1"/>
  <c r="U782" i="1" s="1"/>
  <c r="CW782" i="1"/>
  <c r="V782" i="1" s="1"/>
  <c r="FR782" i="1"/>
  <c r="GL782" i="1"/>
  <c r="GN782" i="1"/>
  <c r="GO782" i="1"/>
  <c r="GV782" i="1"/>
  <c r="HC782" i="1" s="1"/>
  <c r="GX782" i="1" s="1"/>
  <c r="C783" i="1"/>
  <c r="D783" i="1"/>
  <c r="I783" i="1"/>
  <c r="CX282" i="3" s="1"/>
  <c r="AC783" i="1"/>
  <c r="AE783" i="1"/>
  <c r="AD783" i="1" s="1"/>
  <c r="AF783" i="1"/>
  <c r="AG783" i="1"/>
  <c r="CU783" i="1" s="1"/>
  <c r="AH783" i="1"/>
  <c r="AI783" i="1"/>
  <c r="CW783" i="1" s="1"/>
  <c r="V783" i="1" s="1"/>
  <c r="AJ783" i="1"/>
  <c r="CX783" i="1" s="1"/>
  <c r="W783" i="1" s="1"/>
  <c r="CV783" i="1"/>
  <c r="FR783" i="1"/>
  <c r="GL783" i="1"/>
  <c r="GN783" i="1"/>
  <c r="GO783" i="1"/>
  <c r="GV783" i="1"/>
  <c r="HC783" i="1" s="1"/>
  <c r="GX783" i="1" s="1"/>
  <c r="C784" i="1"/>
  <c r="D784" i="1"/>
  <c r="I784" i="1"/>
  <c r="R784" i="1" s="1"/>
  <c r="GK784" i="1" s="1"/>
  <c r="AC784" i="1"/>
  <c r="AE784" i="1"/>
  <c r="AF784" i="1"/>
  <c r="AG784" i="1"/>
  <c r="CU784" i="1" s="1"/>
  <c r="AH784" i="1"/>
  <c r="CV784" i="1" s="1"/>
  <c r="AI784" i="1"/>
  <c r="AJ784" i="1"/>
  <c r="CX784" i="1" s="1"/>
  <c r="W784" i="1" s="1"/>
  <c r="CR784" i="1"/>
  <c r="CS784" i="1"/>
  <c r="CW784" i="1"/>
  <c r="FR784" i="1"/>
  <c r="GL784" i="1"/>
  <c r="GO784" i="1"/>
  <c r="GP784" i="1"/>
  <c r="GV784" i="1"/>
  <c r="HC784" i="1" s="1"/>
  <c r="GX784" i="1" s="1"/>
  <c r="C785" i="1"/>
  <c r="D785" i="1"/>
  <c r="I785" i="1"/>
  <c r="I787" i="1" s="1"/>
  <c r="AC785" i="1"/>
  <c r="AE785" i="1"/>
  <c r="CS785" i="1" s="1"/>
  <c r="AF785" i="1"/>
  <c r="AG785" i="1"/>
  <c r="CU785" i="1" s="1"/>
  <c r="AH785" i="1"/>
  <c r="CV785" i="1" s="1"/>
  <c r="AI785" i="1"/>
  <c r="AJ785" i="1"/>
  <c r="CX785" i="1" s="1"/>
  <c r="W785" i="1" s="1"/>
  <c r="CW785" i="1"/>
  <c r="V785" i="1" s="1"/>
  <c r="FR785" i="1"/>
  <c r="GL785" i="1"/>
  <c r="GO785" i="1"/>
  <c r="GP785" i="1"/>
  <c r="GV785" i="1"/>
  <c r="HC785" i="1" s="1"/>
  <c r="GX785" i="1" s="1"/>
  <c r="AC786" i="1"/>
  <c r="AE786" i="1"/>
  <c r="AF786" i="1"/>
  <c r="CT786" i="1" s="1"/>
  <c r="AG786" i="1"/>
  <c r="CU786" i="1" s="1"/>
  <c r="AH786" i="1"/>
  <c r="CV786" i="1" s="1"/>
  <c r="AI786" i="1"/>
  <c r="CW786" i="1" s="1"/>
  <c r="AJ786" i="1"/>
  <c r="CX786" i="1" s="1"/>
  <c r="CQ786" i="1"/>
  <c r="FR786" i="1"/>
  <c r="GL786" i="1"/>
  <c r="GO786" i="1"/>
  <c r="GP786" i="1"/>
  <c r="GV786" i="1"/>
  <c r="HC786" i="1" s="1"/>
  <c r="AC787" i="1"/>
  <c r="AE787" i="1"/>
  <c r="AF787" i="1"/>
  <c r="AG787" i="1"/>
  <c r="CU787" i="1" s="1"/>
  <c r="AH787" i="1"/>
  <c r="CV787" i="1" s="1"/>
  <c r="AI787" i="1"/>
  <c r="AJ787" i="1"/>
  <c r="CX787" i="1" s="1"/>
  <c r="CR787" i="1"/>
  <c r="CS787" i="1"/>
  <c r="CW787" i="1"/>
  <c r="FR787" i="1"/>
  <c r="GL787" i="1"/>
  <c r="GO787" i="1"/>
  <c r="GP787" i="1"/>
  <c r="GV787" i="1"/>
  <c r="HC787" i="1" s="1"/>
  <c r="GX787" i="1" s="1"/>
  <c r="AC788" i="1"/>
  <c r="CQ788" i="1" s="1"/>
  <c r="AE788" i="1"/>
  <c r="AF788" i="1"/>
  <c r="AG788" i="1"/>
  <c r="CU788" i="1" s="1"/>
  <c r="AH788" i="1"/>
  <c r="CV788" i="1" s="1"/>
  <c r="AI788" i="1"/>
  <c r="CW788" i="1" s="1"/>
  <c r="AJ788" i="1"/>
  <c r="CT788" i="1"/>
  <c r="CX788" i="1"/>
  <c r="FR788" i="1"/>
  <c r="GL788" i="1"/>
  <c r="GO788" i="1"/>
  <c r="GP788" i="1"/>
  <c r="GV788" i="1"/>
  <c r="HC788" i="1" s="1"/>
  <c r="C789" i="1"/>
  <c r="D789" i="1"/>
  <c r="I789" i="1"/>
  <c r="AC789" i="1"/>
  <c r="P789" i="1" s="1"/>
  <c r="K729" i="5" s="1"/>
  <c r="AE789" i="1"/>
  <c r="AF789" i="1"/>
  <c r="AG789" i="1"/>
  <c r="AH789" i="1"/>
  <c r="CV789" i="1" s="1"/>
  <c r="AI789" i="1"/>
  <c r="CW789" i="1" s="1"/>
  <c r="V789" i="1" s="1"/>
  <c r="AJ789" i="1"/>
  <c r="CX789" i="1" s="1"/>
  <c r="W789" i="1" s="1"/>
  <c r="CQ789" i="1"/>
  <c r="CU789" i="1"/>
  <c r="FR789" i="1"/>
  <c r="GL789" i="1"/>
  <c r="GO789" i="1"/>
  <c r="GP789" i="1"/>
  <c r="GV789" i="1"/>
  <c r="HC789" i="1" s="1"/>
  <c r="GX789" i="1" s="1"/>
  <c r="AC790" i="1"/>
  <c r="AE790" i="1"/>
  <c r="AF790" i="1"/>
  <c r="AG790" i="1"/>
  <c r="CU790" i="1" s="1"/>
  <c r="AH790" i="1"/>
  <c r="AI790" i="1"/>
  <c r="CW790" i="1" s="1"/>
  <c r="AJ790" i="1"/>
  <c r="CX790" i="1" s="1"/>
  <c r="CV790" i="1"/>
  <c r="FR790" i="1"/>
  <c r="GL790" i="1"/>
  <c r="GO790" i="1"/>
  <c r="GP790" i="1"/>
  <c r="GV790" i="1"/>
  <c r="HC790" i="1" s="1"/>
  <c r="B792" i="1"/>
  <c r="B778" i="1" s="1"/>
  <c r="C792" i="1"/>
  <c r="C778" i="1" s="1"/>
  <c r="D792" i="1"/>
  <c r="D778" i="1" s="1"/>
  <c r="F792" i="1"/>
  <c r="F778" i="1" s="1"/>
  <c r="G792" i="1"/>
  <c r="BX792" i="1"/>
  <c r="AO792" i="1" s="1"/>
  <c r="CK792" i="1"/>
  <c r="CK778" i="1" s="1"/>
  <c r="CL792" i="1"/>
  <c r="CL778" i="1" s="1"/>
  <c r="CM792" i="1"/>
  <c r="BD792" i="1" s="1"/>
  <c r="D823" i="1"/>
  <c r="E825" i="1"/>
  <c r="Z825" i="1"/>
  <c r="AA825" i="1"/>
  <c r="AB825" i="1"/>
  <c r="AC825" i="1"/>
  <c r="AD825" i="1"/>
  <c r="AE825" i="1"/>
  <c r="AF825" i="1"/>
  <c r="AG825" i="1"/>
  <c r="AH825" i="1"/>
  <c r="AI825" i="1"/>
  <c r="AJ825" i="1"/>
  <c r="AK825" i="1"/>
  <c r="AL825" i="1"/>
  <c r="AM825" i="1"/>
  <c r="AN825" i="1"/>
  <c r="BE825" i="1"/>
  <c r="BF825" i="1"/>
  <c r="BG825" i="1"/>
  <c r="BH825" i="1"/>
  <c r="BI825" i="1"/>
  <c r="BJ825" i="1"/>
  <c r="BK825" i="1"/>
  <c r="BL825" i="1"/>
  <c r="BM825" i="1"/>
  <c r="BN825" i="1"/>
  <c r="BO825" i="1"/>
  <c r="BP825" i="1"/>
  <c r="BQ825" i="1"/>
  <c r="BR825" i="1"/>
  <c r="BS825" i="1"/>
  <c r="BT825" i="1"/>
  <c r="BU825" i="1"/>
  <c r="BV825" i="1"/>
  <c r="BW825" i="1"/>
  <c r="BX825" i="1"/>
  <c r="BY825" i="1"/>
  <c r="BZ825" i="1"/>
  <c r="CA825" i="1"/>
  <c r="CB825" i="1"/>
  <c r="CC825" i="1"/>
  <c r="CD825" i="1"/>
  <c r="CE825" i="1"/>
  <c r="CF825" i="1"/>
  <c r="CG825" i="1"/>
  <c r="CH825" i="1"/>
  <c r="CI825" i="1"/>
  <c r="CJ825" i="1"/>
  <c r="CK825" i="1"/>
  <c r="CL825" i="1"/>
  <c r="CM825" i="1"/>
  <c r="CN825" i="1"/>
  <c r="CO825" i="1"/>
  <c r="CP825" i="1"/>
  <c r="CQ825" i="1"/>
  <c r="CR825" i="1"/>
  <c r="CS825" i="1"/>
  <c r="CT825" i="1"/>
  <c r="CU825" i="1"/>
  <c r="CV825" i="1"/>
  <c r="CW825" i="1"/>
  <c r="CX825" i="1"/>
  <c r="CY825" i="1"/>
  <c r="CZ825" i="1"/>
  <c r="DA825" i="1"/>
  <c r="DB825" i="1"/>
  <c r="DC825" i="1"/>
  <c r="DD825" i="1"/>
  <c r="DE825" i="1"/>
  <c r="DF825" i="1"/>
  <c r="DG825" i="1"/>
  <c r="DH825" i="1"/>
  <c r="DI825" i="1"/>
  <c r="DJ825" i="1"/>
  <c r="DK825" i="1"/>
  <c r="DL825" i="1"/>
  <c r="DM825" i="1"/>
  <c r="DN825" i="1"/>
  <c r="DO825" i="1"/>
  <c r="DP825" i="1"/>
  <c r="DQ825" i="1"/>
  <c r="DR825" i="1"/>
  <c r="DS825" i="1"/>
  <c r="DT825" i="1"/>
  <c r="DU825" i="1"/>
  <c r="DV825" i="1"/>
  <c r="DW825" i="1"/>
  <c r="DX825" i="1"/>
  <c r="DY825" i="1"/>
  <c r="DZ825" i="1"/>
  <c r="EA825" i="1"/>
  <c r="EB825" i="1"/>
  <c r="EC825" i="1"/>
  <c r="ED825" i="1"/>
  <c r="EE825" i="1"/>
  <c r="EF825" i="1"/>
  <c r="EG825" i="1"/>
  <c r="EH825" i="1"/>
  <c r="EI825" i="1"/>
  <c r="EJ825" i="1"/>
  <c r="EK825" i="1"/>
  <c r="EL825" i="1"/>
  <c r="EM825" i="1"/>
  <c r="EN825" i="1"/>
  <c r="EO825" i="1"/>
  <c r="EP825" i="1"/>
  <c r="EQ825" i="1"/>
  <c r="ER825" i="1"/>
  <c r="ES825" i="1"/>
  <c r="ET825" i="1"/>
  <c r="EU825" i="1"/>
  <c r="EV825" i="1"/>
  <c r="EW825" i="1"/>
  <c r="EX825" i="1"/>
  <c r="EY825" i="1"/>
  <c r="EZ825" i="1"/>
  <c r="FA825" i="1"/>
  <c r="FB825" i="1"/>
  <c r="FC825" i="1"/>
  <c r="FD825" i="1"/>
  <c r="FE825" i="1"/>
  <c r="FF825" i="1"/>
  <c r="FG825" i="1"/>
  <c r="FH825" i="1"/>
  <c r="FI825" i="1"/>
  <c r="FJ825" i="1"/>
  <c r="FK825" i="1"/>
  <c r="FL825" i="1"/>
  <c r="FM825" i="1"/>
  <c r="FN825" i="1"/>
  <c r="FO825" i="1"/>
  <c r="FP825" i="1"/>
  <c r="FQ825" i="1"/>
  <c r="FR825" i="1"/>
  <c r="FS825" i="1"/>
  <c r="FT825" i="1"/>
  <c r="FU825" i="1"/>
  <c r="FV825" i="1"/>
  <c r="FW825" i="1"/>
  <c r="FX825" i="1"/>
  <c r="FY825" i="1"/>
  <c r="FZ825" i="1"/>
  <c r="GA825" i="1"/>
  <c r="GB825" i="1"/>
  <c r="GC825" i="1"/>
  <c r="GD825" i="1"/>
  <c r="GE825" i="1"/>
  <c r="GF825" i="1"/>
  <c r="GG825" i="1"/>
  <c r="GH825" i="1"/>
  <c r="GI825" i="1"/>
  <c r="GJ825" i="1"/>
  <c r="GK825" i="1"/>
  <c r="GL825" i="1"/>
  <c r="GM825" i="1"/>
  <c r="GN825" i="1"/>
  <c r="GO825" i="1"/>
  <c r="GP825" i="1"/>
  <c r="GQ825" i="1"/>
  <c r="GR825" i="1"/>
  <c r="GS825" i="1"/>
  <c r="GT825" i="1"/>
  <c r="GU825" i="1"/>
  <c r="GV825" i="1"/>
  <c r="GW825" i="1"/>
  <c r="GX825" i="1"/>
  <c r="B827" i="1"/>
  <c r="B825" i="1" s="1"/>
  <c r="C827" i="1"/>
  <c r="C825" i="1" s="1"/>
  <c r="D827" i="1"/>
  <c r="D825" i="1" s="1"/>
  <c r="F827" i="1"/>
  <c r="F825" i="1" s="1"/>
  <c r="G827" i="1"/>
  <c r="G825" i="1" s="1"/>
  <c r="O827" i="1"/>
  <c r="O825" i="1" s="1"/>
  <c r="P827" i="1"/>
  <c r="P825" i="1" s="1"/>
  <c r="Q827" i="1"/>
  <c r="Q825" i="1" s="1"/>
  <c r="R827" i="1"/>
  <c r="R825" i="1" s="1"/>
  <c r="S827" i="1"/>
  <c r="F842" i="1" s="1"/>
  <c r="T827" i="1"/>
  <c r="T825" i="1" s="1"/>
  <c r="U827" i="1"/>
  <c r="U825" i="1" s="1"/>
  <c r="V827" i="1"/>
  <c r="F850" i="1" s="1"/>
  <c r="W827" i="1"/>
  <c r="F851" i="1" s="1"/>
  <c r="X827" i="1"/>
  <c r="X825" i="1" s="1"/>
  <c r="Y827" i="1"/>
  <c r="Y825" i="1" s="1"/>
  <c r="AO827" i="1"/>
  <c r="AO825" i="1" s="1"/>
  <c r="AP827" i="1"/>
  <c r="AP825" i="1" s="1"/>
  <c r="AQ827" i="1"/>
  <c r="F837" i="1" s="1"/>
  <c r="AR827" i="1"/>
  <c r="AR825" i="1" s="1"/>
  <c r="AS827" i="1"/>
  <c r="F844" i="1" s="1"/>
  <c r="AT827" i="1"/>
  <c r="AT825" i="1" s="1"/>
  <c r="AU827" i="1"/>
  <c r="AU825" i="1" s="1"/>
  <c r="AV827" i="1"/>
  <c r="AV825" i="1" s="1"/>
  <c r="AW827" i="1"/>
  <c r="AW825" i="1" s="1"/>
  <c r="AX827" i="1"/>
  <c r="AX825" i="1" s="1"/>
  <c r="AY827" i="1"/>
  <c r="AY825" i="1" s="1"/>
  <c r="AZ827" i="1"/>
  <c r="AZ825" i="1" s="1"/>
  <c r="BA827" i="1"/>
  <c r="BA825" i="1" s="1"/>
  <c r="BB827" i="1"/>
  <c r="BB825" i="1" s="1"/>
  <c r="BC827" i="1"/>
  <c r="BC825" i="1" s="1"/>
  <c r="BD827" i="1"/>
  <c r="BD825" i="1" s="1"/>
  <c r="F832" i="1"/>
  <c r="F836" i="1"/>
  <c r="F841" i="1"/>
  <c r="F845" i="1"/>
  <c r="F846" i="1"/>
  <c r="F849" i="1"/>
  <c r="F852" i="1"/>
  <c r="F853" i="1"/>
  <c r="F854" i="1"/>
  <c r="D857" i="1"/>
  <c r="E859" i="1"/>
  <c r="F859" i="1"/>
  <c r="Z859" i="1"/>
  <c r="AA859" i="1"/>
  <c r="AM859" i="1"/>
  <c r="AN859" i="1"/>
  <c r="BE859" i="1"/>
  <c r="BF859" i="1"/>
  <c r="BG859" i="1"/>
  <c r="BH859" i="1"/>
  <c r="BI859" i="1"/>
  <c r="BJ859" i="1"/>
  <c r="BK859" i="1"/>
  <c r="BL859" i="1"/>
  <c r="BM859" i="1"/>
  <c r="BN859" i="1"/>
  <c r="BO859" i="1"/>
  <c r="BP859" i="1"/>
  <c r="BQ859" i="1"/>
  <c r="BR859" i="1"/>
  <c r="BS859" i="1"/>
  <c r="BT859" i="1"/>
  <c r="BU859" i="1"/>
  <c r="BV859" i="1"/>
  <c r="BW859" i="1"/>
  <c r="CN859" i="1"/>
  <c r="CO859" i="1"/>
  <c r="CP859" i="1"/>
  <c r="CQ859" i="1"/>
  <c r="CR859" i="1"/>
  <c r="CS859" i="1"/>
  <c r="CT859" i="1"/>
  <c r="CU859" i="1"/>
  <c r="CV859" i="1"/>
  <c r="CW859" i="1"/>
  <c r="CX859" i="1"/>
  <c r="CY859" i="1"/>
  <c r="CZ859" i="1"/>
  <c r="DA859" i="1"/>
  <c r="DB859" i="1"/>
  <c r="DC859" i="1"/>
  <c r="DD859" i="1"/>
  <c r="DE859" i="1"/>
  <c r="DF859" i="1"/>
  <c r="DG859" i="1"/>
  <c r="DH859" i="1"/>
  <c r="DI859" i="1"/>
  <c r="DJ859" i="1"/>
  <c r="DK859" i="1"/>
  <c r="DL859" i="1"/>
  <c r="DM859" i="1"/>
  <c r="DN859" i="1"/>
  <c r="DO859" i="1"/>
  <c r="DP859" i="1"/>
  <c r="DQ859" i="1"/>
  <c r="DR859" i="1"/>
  <c r="DS859" i="1"/>
  <c r="DT859" i="1"/>
  <c r="DU859" i="1"/>
  <c r="DV859" i="1"/>
  <c r="DW859" i="1"/>
  <c r="DX859" i="1"/>
  <c r="DY859" i="1"/>
  <c r="DZ859" i="1"/>
  <c r="EA859" i="1"/>
  <c r="EB859" i="1"/>
  <c r="EC859" i="1"/>
  <c r="ED859" i="1"/>
  <c r="EE859" i="1"/>
  <c r="EF859" i="1"/>
  <c r="EG859" i="1"/>
  <c r="EH859" i="1"/>
  <c r="EI859" i="1"/>
  <c r="EJ859" i="1"/>
  <c r="EK859" i="1"/>
  <c r="EL859" i="1"/>
  <c r="EM859" i="1"/>
  <c r="EN859" i="1"/>
  <c r="EO859" i="1"/>
  <c r="EP859" i="1"/>
  <c r="EQ859" i="1"/>
  <c r="ER859" i="1"/>
  <c r="ES859" i="1"/>
  <c r="ET859" i="1"/>
  <c r="EU859" i="1"/>
  <c r="EV859" i="1"/>
  <c r="EW859" i="1"/>
  <c r="EX859" i="1"/>
  <c r="EY859" i="1"/>
  <c r="EZ859" i="1"/>
  <c r="FA859" i="1"/>
  <c r="FB859" i="1"/>
  <c r="FC859" i="1"/>
  <c r="FD859" i="1"/>
  <c r="FE859" i="1"/>
  <c r="FF859" i="1"/>
  <c r="FG859" i="1"/>
  <c r="FH859" i="1"/>
  <c r="FI859" i="1"/>
  <c r="FJ859" i="1"/>
  <c r="FK859" i="1"/>
  <c r="FL859" i="1"/>
  <c r="FM859" i="1"/>
  <c r="FN859" i="1"/>
  <c r="FO859" i="1"/>
  <c r="FP859" i="1"/>
  <c r="FQ859" i="1"/>
  <c r="FR859" i="1"/>
  <c r="FS859" i="1"/>
  <c r="FT859" i="1"/>
  <c r="FU859" i="1"/>
  <c r="FV859" i="1"/>
  <c r="FW859" i="1"/>
  <c r="FX859" i="1"/>
  <c r="FY859" i="1"/>
  <c r="FZ859" i="1"/>
  <c r="GA859" i="1"/>
  <c r="GB859" i="1"/>
  <c r="GC859" i="1"/>
  <c r="GD859" i="1"/>
  <c r="GE859" i="1"/>
  <c r="GF859" i="1"/>
  <c r="GG859" i="1"/>
  <c r="GH859" i="1"/>
  <c r="GI859" i="1"/>
  <c r="GJ859" i="1"/>
  <c r="GK859" i="1"/>
  <c r="GL859" i="1"/>
  <c r="GM859" i="1"/>
  <c r="GN859" i="1"/>
  <c r="GO859" i="1"/>
  <c r="GP859" i="1"/>
  <c r="GQ859" i="1"/>
  <c r="GR859" i="1"/>
  <c r="GS859" i="1"/>
  <c r="GT859" i="1"/>
  <c r="GU859" i="1"/>
  <c r="GV859" i="1"/>
  <c r="GW859" i="1"/>
  <c r="GX859" i="1"/>
  <c r="C861" i="1"/>
  <c r="D861" i="1"/>
  <c r="I861" i="1"/>
  <c r="AC861" i="1"/>
  <c r="AE861" i="1"/>
  <c r="AF861" i="1"/>
  <c r="AG861" i="1"/>
  <c r="CU861" i="1" s="1"/>
  <c r="T861" i="1" s="1"/>
  <c r="AH861" i="1"/>
  <c r="AI861" i="1"/>
  <c r="CW861" i="1" s="1"/>
  <c r="V861" i="1" s="1"/>
  <c r="AJ861" i="1"/>
  <c r="CX861" i="1" s="1"/>
  <c r="W861" i="1" s="1"/>
  <c r="CV861" i="1"/>
  <c r="U861" i="1" s="1"/>
  <c r="I753" i="5" s="1"/>
  <c r="FR861" i="1"/>
  <c r="GL861" i="1"/>
  <c r="GO861" i="1"/>
  <c r="GP861" i="1"/>
  <c r="GV861" i="1"/>
  <c r="HC861" i="1" s="1"/>
  <c r="GX861" i="1" s="1"/>
  <c r="AC862" i="1"/>
  <c r="AD862" i="1"/>
  <c r="AE862" i="1"/>
  <c r="AF862" i="1"/>
  <c r="AG862" i="1"/>
  <c r="CU862" i="1" s="1"/>
  <c r="AH862" i="1"/>
  <c r="CV862" i="1" s="1"/>
  <c r="AI862" i="1"/>
  <c r="CW862" i="1" s="1"/>
  <c r="AJ862" i="1"/>
  <c r="CQ862" i="1"/>
  <c r="CR862" i="1"/>
  <c r="CX862" i="1"/>
  <c r="FR862" i="1"/>
  <c r="GL862" i="1"/>
  <c r="GO862" i="1"/>
  <c r="GP862" i="1"/>
  <c r="CD864" i="1" s="1"/>
  <c r="GV862" i="1"/>
  <c r="HC862" i="1" s="1"/>
  <c r="B864" i="1"/>
  <c r="B859" i="1" s="1"/>
  <c r="C864" i="1"/>
  <c r="C859" i="1" s="1"/>
  <c r="D864" i="1"/>
  <c r="D859" i="1" s="1"/>
  <c r="F864" i="1"/>
  <c r="G864" i="1"/>
  <c r="BX864" i="1"/>
  <c r="BX859" i="1" s="1"/>
  <c r="BY864" i="1"/>
  <c r="BY859" i="1" s="1"/>
  <c r="CK864" i="1"/>
  <c r="CK859" i="1" s="1"/>
  <c r="CL864" i="1"/>
  <c r="CL859" i="1" s="1"/>
  <c r="CM864" i="1"/>
  <c r="CM859" i="1" s="1"/>
  <c r="D895" i="1"/>
  <c r="E897" i="1"/>
  <c r="F897" i="1"/>
  <c r="U897" i="1"/>
  <c r="Z897" i="1"/>
  <c r="AA897" i="1"/>
  <c r="AB897" i="1"/>
  <c r="AC897" i="1"/>
  <c r="AD897" i="1"/>
  <c r="AE897" i="1"/>
  <c r="AF897" i="1"/>
  <c r="AG897" i="1"/>
  <c r="AH897" i="1"/>
  <c r="AI897" i="1"/>
  <c r="AJ897" i="1"/>
  <c r="AK897" i="1"/>
  <c r="AL897" i="1"/>
  <c r="AM897" i="1"/>
  <c r="AN897" i="1"/>
  <c r="BE897" i="1"/>
  <c r="BF897" i="1"/>
  <c r="BG897" i="1"/>
  <c r="BH897" i="1"/>
  <c r="BI897" i="1"/>
  <c r="BJ897" i="1"/>
  <c r="BK897" i="1"/>
  <c r="BL897" i="1"/>
  <c r="BM897" i="1"/>
  <c r="BN897" i="1"/>
  <c r="BO897" i="1"/>
  <c r="BP897" i="1"/>
  <c r="BQ897" i="1"/>
  <c r="BR897" i="1"/>
  <c r="BS897" i="1"/>
  <c r="BT897" i="1"/>
  <c r="BU897" i="1"/>
  <c r="BV897" i="1"/>
  <c r="BW897" i="1"/>
  <c r="BX897" i="1"/>
  <c r="BY897" i="1"/>
  <c r="BZ897" i="1"/>
  <c r="CA897" i="1"/>
  <c r="CB897" i="1"/>
  <c r="CC897" i="1"/>
  <c r="CD897" i="1"/>
  <c r="CE897" i="1"/>
  <c r="CF897" i="1"/>
  <c r="CG897" i="1"/>
  <c r="CH897" i="1"/>
  <c r="CI897" i="1"/>
  <c r="CJ897" i="1"/>
  <c r="CK897" i="1"/>
  <c r="CL897" i="1"/>
  <c r="CM897" i="1"/>
  <c r="CN897" i="1"/>
  <c r="CO897" i="1"/>
  <c r="CP897" i="1"/>
  <c r="CQ897" i="1"/>
  <c r="CR897" i="1"/>
  <c r="CS897" i="1"/>
  <c r="CT897" i="1"/>
  <c r="CU897" i="1"/>
  <c r="CV897" i="1"/>
  <c r="CW897" i="1"/>
  <c r="CX897" i="1"/>
  <c r="CY897" i="1"/>
  <c r="CZ897" i="1"/>
  <c r="DA897" i="1"/>
  <c r="DB897" i="1"/>
  <c r="DC897" i="1"/>
  <c r="DD897" i="1"/>
  <c r="DE897" i="1"/>
  <c r="DF897" i="1"/>
  <c r="DG897" i="1"/>
  <c r="DH897" i="1"/>
  <c r="DI897" i="1"/>
  <c r="DJ897" i="1"/>
  <c r="DK897" i="1"/>
  <c r="DL897" i="1"/>
  <c r="DM897" i="1"/>
  <c r="DN897" i="1"/>
  <c r="DO897" i="1"/>
  <c r="DP897" i="1"/>
  <c r="DQ897" i="1"/>
  <c r="DR897" i="1"/>
  <c r="DS897" i="1"/>
  <c r="DT897" i="1"/>
  <c r="DU897" i="1"/>
  <c r="DV897" i="1"/>
  <c r="DW897" i="1"/>
  <c r="DX897" i="1"/>
  <c r="DY897" i="1"/>
  <c r="DZ897" i="1"/>
  <c r="EA897" i="1"/>
  <c r="EB897" i="1"/>
  <c r="EC897" i="1"/>
  <c r="ED897" i="1"/>
  <c r="EE897" i="1"/>
  <c r="EF897" i="1"/>
  <c r="EG897" i="1"/>
  <c r="EH897" i="1"/>
  <c r="EI897" i="1"/>
  <c r="EJ897" i="1"/>
  <c r="EK897" i="1"/>
  <c r="EL897" i="1"/>
  <c r="EM897" i="1"/>
  <c r="EN897" i="1"/>
  <c r="EO897" i="1"/>
  <c r="EP897" i="1"/>
  <c r="EQ897" i="1"/>
  <c r="ER897" i="1"/>
  <c r="ES897" i="1"/>
  <c r="ET897" i="1"/>
  <c r="EU897" i="1"/>
  <c r="EV897" i="1"/>
  <c r="EW897" i="1"/>
  <c r="EX897" i="1"/>
  <c r="EY897" i="1"/>
  <c r="EZ897" i="1"/>
  <c r="FA897" i="1"/>
  <c r="FB897" i="1"/>
  <c r="FC897" i="1"/>
  <c r="FD897" i="1"/>
  <c r="FE897" i="1"/>
  <c r="FF897" i="1"/>
  <c r="FG897" i="1"/>
  <c r="FH897" i="1"/>
  <c r="FI897" i="1"/>
  <c r="FJ897" i="1"/>
  <c r="FK897" i="1"/>
  <c r="FL897" i="1"/>
  <c r="FM897" i="1"/>
  <c r="FN897" i="1"/>
  <c r="FO897" i="1"/>
  <c r="FP897" i="1"/>
  <c r="FQ897" i="1"/>
  <c r="FR897" i="1"/>
  <c r="FS897" i="1"/>
  <c r="FT897" i="1"/>
  <c r="FU897" i="1"/>
  <c r="FV897" i="1"/>
  <c r="FW897" i="1"/>
  <c r="FX897" i="1"/>
  <c r="FY897" i="1"/>
  <c r="FZ897" i="1"/>
  <c r="GA897" i="1"/>
  <c r="GB897" i="1"/>
  <c r="GC897" i="1"/>
  <c r="GD897" i="1"/>
  <c r="GE897" i="1"/>
  <c r="GF897" i="1"/>
  <c r="GG897" i="1"/>
  <c r="GH897" i="1"/>
  <c r="GI897" i="1"/>
  <c r="GJ897" i="1"/>
  <c r="GK897" i="1"/>
  <c r="GL897" i="1"/>
  <c r="GM897" i="1"/>
  <c r="GN897" i="1"/>
  <c r="GO897" i="1"/>
  <c r="GP897" i="1"/>
  <c r="GQ897" i="1"/>
  <c r="GR897" i="1"/>
  <c r="GS897" i="1"/>
  <c r="GT897" i="1"/>
  <c r="GU897" i="1"/>
  <c r="GV897" i="1"/>
  <c r="GW897" i="1"/>
  <c r="GX897" i="1"/>
  <c r="B899" i="1"/>
  <c r="B897" i="1" s="1"/>
  <c r="C899" i="1"/>
  <c r="C897" i="1" s="1"/>
  <c r="D899" i="1"/>
  <c r="D897" i="1" s="1"/>
  <c r="F899" i="1"/>
  <c r="G899" i="1"/>
  <c r="G897" i="1" s="1"/>
  <c r="O899" i="1"/>
  <c r="O897" i="1" s="1"/>
  <c r="P899" i="1"/>
  <c r="P897" i="1" s="1"/>
  <c r="Q899" i="1"/>
  <c r="Q897" i="1" s="1"/>
  <c r="R899" i="1"/>
  <c r="R897" i="1" s="1"/>
  <c r="S899" i="1"/>
  <c r="S897" i="1" s="1"/>
  <c r="T899" i="1"/>
  <c r="F920" i="1" s="1"/>
  <c r="U899" i="1"/>
  <c r="F921" i="1" s="1"/>
  <c r="V899" i="1"/>
  <c r="V897" i="1" s="1"/>
  <c r="W899" i="1"/>
  <c r="W897" i="1" s="1"/>
  <c r="X899" i="1"/>
  <c r="X897" i="1" s="1"/>
  <c r="Y899" i="1"/>
  <c r="Y897" i="1" s="1"/>
  <c r="AO899" i="1"/>
  <c r="AO897" i="1" s="1"/>
  <c r="AP899" i="1"/>
  <c r="AP897" i="1" s="1"/>
  <c r="AQ899" i="1"/>
  <c r="AQ897" i="1" s="1"/>
  <c r="AR899" i="1"/>
  <c r="AR897" i="1" s="1"/>
  <c r="AS899" i="1"/>
  <c r="F916" i="1" s="1"/>
  <c r="AT899" i="1"/>
  <c r="AT897" i="1" s="1"/>
  <c r="AU899" i="1"/>
  <c r="F918" i="1" s="1"/>
  <c r="AV899" i="1"/>
  <c r="AV897" i="1" s="1"/>
  <c r="AW899" i="1"/>
  <c r="F905" i="1" s="1"/>
  <c r="AX899" i="1"/>
  <c r="AX897" i="1" s="1"/>
  <c r="AY899" i="1"/>
  <c r="AY897" i="1" s="1"/>
  <c r="AZ899" i="1"/>
  <c r="AZ897" i="1" s="1"/>
  <c r="BA899" i="1"/>
  <c r="BA897" i="1" s="1"/>
  <c r="BB899" i="1"/>
  <c r="BB897" i="1" s="1"/>
  <c r="BC899" i="1"/>
  <c r="BC897" i="1" s="1"/>
  <c r="BD899" i="1"/>
  <c r="BD897" i="1" s="1"/>
  <c r="F903" i="1"/>
  <c r="F906" i="1"/>
  <c r="F907" i="1"/>
  <c r="F922" i="1"/>
  <c r="F923" i="1"/>
  <c r="F926" i="1"/>
  <c r="F927" i="1"/>
  <c r="D929" i="1"/>
  <c r="D931" i="1"/>
  <c r="E931" i="1"/>
  <c r="Z931" i="1"/>
  <c r="AA931" i="1"/>
  <c r="AB931" i="1"/>
  <c r="AC931" i="1"/>
  <c r="AD931" i="1"/>
  <c r="AE931" i="1"/>
  <c r="AF931" i="1"/>
  <c r="AG931" i="1"/>
  <c r="AH931" i="1"/>
  <c r="AI931" i="1"/>
  <c r="AJ931" i="1"/>
  <c r="AK931" i="1"/>
  <c r="AL931" i="1"/>
  <c r="AM931" i="1"/>
  <c r="AN931" i="1"/>
  <c r="BC931" i="1"/>
  <c r="BE931" i="1"/>
  <c r="BF931" i="1"/>
  <c r="BG931" i="1"/>
  <c r="BH931" i="1"/>
  <c r="BI931" i="1"/>
  <c r="BJ931" i="1"/>
  <c r="BK931" i="1"/>
  <c r="BL931" i="1"/>
  <c r="BM931" i="1"/>
  <c r="BN931" i="1"/>
  <c r="BO931" i="1"/>
  <c r="BP931" i="1"/>
  <c r="BQ931" i="1"/>
  <c r="BR931" i="1"/>
  <c r="BS931" i="1"/>
  <c r="BT931" i="1"/>
  <c r="BU931" i="1"/>
  <c r="BV931" i="1"/>
  <c r="BW931" i="1"/>
  <c r="BX931" i="1"/>
  <c r="BY931" i="1"/>
  <c r="BZ931" i="1"/>
  <c r="CA931" i="1"/>
  <c r="CB931" i="1"/>
  <c r="CC931" i="1"/>
  <c r="CD931" i="1"/>
  <c r="CE931" i="1"/>
  <c r="CF931" i="1"/>
  <c r="CG931" i="1"/>
  <c r="CH931" i="1"/>
  <c r="CI931" i="1"/>
  <c r="CJ931" i="1"/>
  <c r="CK931" i="1"/>
  <c r="CL931" i="1"/>
  <c r="CM931" i="1"/>
  <c r="CN931" i="1"/>
  <c r="CO931" i="1"/>
  <c r="CP931" i="1"/>
  <c r="CQ931" i="1"/>
  <c r="CR931" i="1"/>
  <c r="CS931" i="1"/>
  <c r="CT931" i="1"/>
  <c r="CU931" i="1"/>
  <c r="CV931" i="1"/>
  <c r="CW931" i="1"/>
  <c r="CX931" i="1"/>
  <c r="CY931" i="1"/>
  <c r="CZ931" i="1"/>
  <c r="DA931" i="1"/>
  <c r="DB931" i="1"/>
  <c r="DC931" i="1"/>
  <c r="DD931" i="1"/>
  <c r="DE931" i="1"/>
  <c r="DF931" i="1"/>
  <c r="DG931" i="1"/>
  <c r="DH931" i="1"/>
  <c r="DI931" i="1"/>
  <c r="DJ931" i="1"/>
  <c r="DK931" i="1"/>
  <c r="DL931" i="1"/>
  <c r="DM931" i="1"/>
  <c r="DN931" i="1"/>
  <c r="DO931" i="1"/>
  <c r="DP931" i="1"/>
  <c r="DQ931" i="1"/>
  <c r="DR931" i="1"/>
  <c r="DS931" i="1"/>
  <c r="DT931" i="1"/>
  <c r="DU931" i="1"/>
  <c r="DV931" i="1"/>
  <c r="DW931" i="1"/>
  <c r="DX931" i="1"/>
  <c r="DY931" i="1"/>
  <c r="DZ931" i="1"/>
  <c r="EA931" i="1"/>
  <c r="EB931" i="1"/>
  <c r="EC931" i="1"/>
  <c r="ED931" i="1"/>
  <c r="EE931" i="1"/>
  <c r="EF931" i="1"/>
  <c r="EG931" i="1"/>
  <c r="EH931" i="1"/>
  <c r="EI931" i="1"/>
  <c r="EJ931" i="1"/>
  <c r="EK931" i="1"/>
  <c r="EL931" i="1"/>
  <c r="EM931" i="1"/>
  <c r="EN931" i="1"/>
  <c r="EO931" i="1"/>
  <c r="EP931" i="1"/>
  <c r="EQ931" i="1"/>
  <c r="ER931" i="1"/>
  <c r="ES931" i="1"/>
  <c r="ET931" i="1"/>
  <c r="EU931" i="1"/>
  <c r="EV931" i="1"/>
  <c r="EW931" i="1"/>
  <c r="EX931" i="1"/>
  <c r="EY931" i="1"/>
  <c r="EZ931" i="1"/>
  <c r="FA931" i="1"/>
  <c r="FB931" i="1"/>
  <c r="FC931" i="1"/>
  <c r="FD931" i="1"/>
  <c r="FE931" i="1"/>
  <c r="FF931" i="1"/>
  <c r="FG931" i="1"/>
  <c r="FH931" i="1"/>
  <c r="FI931" i="1"/>
  <c r="FJ931" i="1"/>
  <c r="FK931" i="1"/>
  <c r="FL931" i="1"/>
  <c r="FM931" i="1"/>
  <c r="FN931" i="1"/>
  <c r="FO931" i="1"/>
  <c r="FP931" i="1"/>
  <c r="FQ931" i="1"/>
  <c r="FR931" i="1"/>
  <c r="FS931" i="1"/>
  <c r="FT931" i="1"/>
  <c r="FU931" i="1"/>
  <c r="FV931" i="1"/>
  <c r="FW931" i="1"/>
  <c r="FX931" i="1"/>
  <c r="FY931" i="1"/>
  <c r="FZ931" i="1"/>
  <c r="GA931" i="1"/>
  <c r="GB931" i="1"/>
  <c r="GC931" i="1"/>
  <c r="GD931" i="1"/>
  <c r="GE931" i="1"/>
  <c r="GF931" i="1"/>
  <c r="GG931" i="1"/>
  <c r="GH931" i="1"/>
  <c r="GI931" i="1"/>
  <c r="GJ931" i="1"/>
  <c r="GK931" i="1"/>
  <c r="GL931" i="1"/>
  <c r="GM931" i="1"/>
  <c r="GN931" i="1"/>
  <c r="GO931" i="1"/>
  <c r="GP931" i="1"/>
  <c r="GQ931" i="1"/>
  <c r="GR931" i="1"/>
  <c r="GS931" i="1"/>
  <c r="GT931" i="1"/>
  <c r="GU931" i="1"/>
  <c r="GV931" i="1"/>
  <c r="GW931" i="1"/>
  <c r="GX931" i="1"/>
  <c r="B933" i="1"/>
  <c r="B931" i="1" s="1"/>
  <c r="C933" i="1"/>
  <c r="C931" i="1" s="1"/>
  <c r="D933" i="1"/>
  <c r="F933" i="1"/>
  <c r="F931" i="1" s="1"/>
  <c r="G933" i="1"/>
  <c r="G931" i="1" s="1"/>
  <c r="O933" i="1"/>
  <c r="F935" i="1" s="1"/>
  <c r="P933" i="1"/>
  <c r="P931" i="1" s="1"/>
  <c r="Q933" i="1"/>
  <c r="Q931" i="1" s="1"/>
  <c r="R933" i="1"/>
  <c r="R931" i="1" s="1"/>
  <c r="S933" i="1"/>
  <c r="F948" i="1" s="1"/>
  <c r="T933" i="1"/>
  <c r="T931" i="1" s="1"/>
  <c r="U933" i="1"/>
  <c r="U931" i="1" s="1"/>
  <c r="V933" i="1"/>
  <c r="F956" i="1" s="1"/>
  <c r="W933" i="1"/>
  <c r="F957" i="1" s="1"/>
  <c r="X933" i="1"/>
  <c r="X931" i="1" s="1"/>
  <c r="Y933" i="1"/>
  <c r="F960" i="1" s="1"/>
  <c r="AO933" i="1"/>
  <c r="AO931" i="1" s="1"/>
  <c r="AP933" i="1"/>
  <c r="AP931" i="1" s="1"/>
  <c r="AQ933" i="1"/>
  <c r="AQ931" i="1" s="1"/>
  <c r="AR933" i="1"/>
  <c r="AR931" i="1" s="1"/>
  <c r="AS933" i="1"/>
  <c r="F950" i="1" s="1"/>
  <c r="AT933" i="1"/>
  <c r="AT931" i="1" s="1"/>
  <c r="AU933" i="1"/>
  <c r="AU931" i="1" s="1"/>
  <c r="AV933" i="1"/>
  <c r="AV931" i="1" s="1"/>
  <c r="AW933" i="1"/>
  <c r="AW931" i="1" s="1"/>
  <c r="AX933" i="1"/>
  <c r="AX931" i="1" s="1"/>
  <c r="AY933" i="1"/>
  <c r="AY931" i="1" s="1"/>
  <c r="AZ933" i="1"/>
  <c r="AZ931" i="1" s="1"/>
  <c r="BA933" i="1"/>
  <c r="BA931" i="1" s="1"/>
  <c r="BB933" i="1"/>
  <c r="BB931" i="1" s="1"/>
  <c r="BC933" i="1"/>
  <c r="F949" i="1" s="1"/>
  <c r="BD933" i="1"/>
  <c r="BD931" i="1" s="1"/>
  <c r="F941" i="1"/>
  <c r="F943" i="1"/>
  <c r="F947" i="1"/>
  <c r="F952" i="1"/>
  <c r="F954" i="1"/>
  <c r="F955" i="1"/>
  <c r="F958" i="1"/>
  <c r="F959" i="1"/>
  <c r="D963" i="1"/>
  <c r="E965" i="1"/>
  <c r="U965" i="1"/>
  <c r="Z965" i="1"/>
  <c r="AA965" i="1"/>
  <c r="AB965" i="1"/>
  <c r="AC965" i="1"/>
  <c r="AD965" i="1"/>
  <c r="AE965" i="1"/>
  <c r="AF965" i="1"/>
  <c r="AG965" i="1"/>
  <c r="AH965" i="1"/>
  <c r="AI965" i="1"/>
  <c r="AJ965" i="1"/>
  <c r="AK965" i="1"/>
  <c r="AL965" i="1"/>
  <c r="AM965" i="1"/>
  <c r="AN965" i="1"/>
  <c r="BE965" i="1"/>
  <c r="BF965" i="1"/>
  <c r="BG965" i="1"/>
  <c r="BH965" i="1"/>
  <c r="BI965" i="1"/>
  <c r="BJ965" i="1"/>
  <c r="BK965" i="1"/>
  <c r="BL965" i="1"/>
  <c r="BM965" i="1"/>
  <c r="BN965" i="1"/>
  <c r="BO965" i="1"/>
  <c r="BP965" i="1"/>
  <c r="BQ965" i="1"/>
  <c r="BR965" i="1"/>
  <c r="BS965" i="1"/>
  <c r="BT965" i="1"/>
  <c r="BU965" i="1"/>
  <c r="BV965" i="1"/>
  <c r="BW965" i="1"/>
  <c r="BX965" i="1"/>
  <c r="BY965" i="1"/>
  <c r="BZ965" i="1"/>
  <c r="CA965" i="1"/>
  <c r="CB965" i="1"/>
  <c r="CC965" i="1"/>
  <c r="CD965" i="1"/>
  <c r="CE965" i="1"/>
  <c r="CF965" i="1"/>
  <c r="CG965" i="1"/>
  <c r="CH965" i="1"/>
  <c r="CI965" i="1"/>
  <c r="CJ965" i="1"/>
  <c r="CK965" i="1"/>
  <c r="CL965" i="1"/>
  <c r="CM965" i="1"/>
  <c r="CN965" i="1"/>
  <c r="CO965" i="1"/>
  <c r="CP965" i="1"/>
  <c r="CQ965" i="1"/>
  <c r="CR965" i="1"/>
  <c r="CS965" i="1"/>
  <c r="CT965" i="1"/>
  <c r="CU965" i="1"/>
  <c r="CV965" i="1"/>
  <c r="CW965" i="1"/>
  <c r="CX965" i="1"/>
  <c r="CY965" i="1"/>
  <c r="CZ965" i="1"/>
  <c r="DA965" i="1"/>
  <c r="DB965" i="1"/>
  <c r="DC965" i="1"/>
  <c r="DD965" i="1"/>
  <c r="DE965" i="1"/>
  <c r="DF965" i="1"/>
  <c r="DG965" i="1"/>
  <c r="DH965" i="1"/>
  <c r="DI965" i="1"/>
  <c r="DJ965" i="1"/>
  <c r="DK965" i="1"/>
  <c r="DL965" i="1"/>
  <c r="DM965" i="1"/>
  <c r="DN965" i="1"/>
  <c r="DO965" i="1"/>
  <c r="DP965" i="1"/>
  <c r="DQ965" i="1"/>
  <c r="DR965" i="1"/>
  <c r="DS965" i="1"/>
  <c r="DT965" i="1"/>
  <c r="DU965" i="1"/>
  <c r="DV965" i="1"/>
  <c r="DW965" i="1"/>
  <c r="DX965" i="1"/>
  <c r="DY965" i="1"/>
  <c r="DZ965" i="1"/>
  <c r="EA965" i="1"/>
  <c r="EB965" i="1"/>
  <c r="EC965" i="1"/>
  <c r="ED965" i="1"/>
  <c r="EE965" i="1"/>
  <c r="EF965" i="1"/>
  <c r="EG965" i="1"/>
  <c r="EH965" i="1"/>
  <c r="EI965" i="1"/>
  <c r="EJ965" i="1"/>
  <c r="EK965" i="1"/>
  <c r="EL965" i="1"/>
  <c r="EM965" i="1"/>
  <c r="EN965" i="1"/>
  <c r="EO965" i="1"/>
  <c r="EP965" i="1"/>
  <c r="EQ965" i="1"/>
  <c r="ER965" i="1"/>
  <c r="ES965" i="1"/>
  <c r="ET965" i="1"/>
  <c r="EU965" i="1"/>
  <c r="EV965" i="1"/>
  <c r="EW965" i="1"/>
  <c r="EX965" i="1"/>
  <c r="EY965" i="1"/>
  <c r="EZ965" i="1"/>
  <c r="FA965" i="1"/>
  <c r="FB965" i="1"/>
  <c r="FC965" i="1"/>
  <c r="FD965" i="1"/>
  <c r="FE965" i="1"/>
  <c r="FF965" i="1"/>
  <c r="FG965" i="1"/>
  <c r="FH965" i="1"/>
  <c r="FI965" i="1"/>
  <c r="FJ965" i="1"/>
  <c r="FK965" i="1"/>
  <c r="FL965" i="1"/>
  <c r="FM965" i="1"/>
  <c r="FN965" i="1"/>
  <c r="FO965" i="1"/>
  <c r="FP965" i="1"/>
  <c r="FQ965" i="1"/>
  <c r="FR965" i="1"/>
  <c r="FS965" i="1"/>
  <c r="FT965" i="1"/>
  <c r="FU965" i="1"/>
  <c r="FV965" i="1"/>
  <c r="FW965" i="1"/>
  <c r="FX965" i="1"/>
  <c r="FY965" i="1"/>
  <c r="FZ965" i="1"/>
  <c r="GA965" i="1"/>
  <c r="GB965" i="1"/>
  <c r="GC965" i="1"/>
  <c r="GD965" i="1"/>
  <c r="GE965" i="1"/>
  <c r="GF965" i="1"/>
  <c r="GG965" i="1"/>
  <c r="GH965" i="1"/>
  <c r="GI965" i="1"/>
  <c r="GJ965" i="1"/>
  <c r="GK965" i="1"/>
  <c r="GL965" i="1"/>
  <c r="GM965" i="1"/>
  <c r="GN965" i="1"/>
  <c r="GO965" i="1"/>
  <c r="GP965" i="1"/>
  <c r="GQ965" i="1"/>
  <c r="GR965" i="1"/>
  <c r="GS965" i="1"/>
  <c r="GT965" i="1"/>
  <c r="GU965" i="1"/>
  <c r="GV965" i="1"/>
  <c r="GW965" i="1"/>
  <c r="GX965" i="1"/>
  <c r="B967" i="1"/>
  <c r="B965" i="1" s="1"/>
  <c r="C967" i="1"/>
  <c r="C965" i="1" s="1"/>
  <c r="D967" i="1"/>
  <c r="D965" i="1" s="1"/>
  <c r="F967" i="1"/>
  <c r="F965" i="1" s="1"/>
  <c r="G967" i="1"/>
  <c r="G965" i="1" s="1"/>
  <c r="O967" i="1"/>
  <c r="O965" i="1" s="1"/>
  <c r="P967" i="1"/>
  <c r="P965" i="1" s="1"/>
  <c r="Q967" i="1"/>
  <c r="Q965" i="1" s="1"/>
  <c r="R967" i="1"/>
  <c r="R965" i="1" s="1"/>
  <c r="S967" i="1"/>
  <c r="S965" i="1" s="1"/>
  <c r="T967" i="1"/>
  <c r="F988" i="1" s="1"/>
  <c r="U967" i="1"/>
  <c r="F989" i="1" s="1"/>
  <c r="V967" i="1"/>
  <c r="V965" i="1" s="1"/>
  <c r="W967" i="1"/>
  <c r="W965" i="1" s="1"/>
  <c r="X967" i="1"/>
  <c r="X965" i="1" s="1"/>
  <c r="Y967" i="1"/>
  <c r="Y965" i="1" s="1"/>
  <c r="AO967" i="1"/>
  <c r="AO965" i="1" s="1"/>
  <c r="AP967" i="1"/>
  <c r="AP965" i="1" s="1"/>
  <c r="AQ967" i="1"/>
  <c r="AQ965" i="1" s="1"/>
  <c r="AR967" i="1"/>
  <c r="AR965" i="1" s="1"/>
  <c r="AS967" i="1"/>
  <c r="F984" i="1" s="1"/>
  <c r="AT967" i="1"/>
  <c r="AT965" i="1" s="1"/>
  <c r="AU967" i="1"/>
  <c r="F986" i="1" s="1"/>
  <c r="AV967" i="1"/>
  <c r="AV965" i="1" s="1"/>
  <c r="AW967" i="1"/>
  <c r="F973" i="1" s="1"/>
  <c r="AX967" i="1"/>
  <c r="AX965" i="1" s="1"/>
  <c r="AY967" i="1"/>
  <c r="AY965" i="1" s="1"/>
  <c r="AZ967" i="1"/>
  <c r="AZ965" i="1" s="1"/>
  <c r="BA967" i="1"/>
  <c r="BA965" i="1" s="1"/>
  <c r="BB967" i="1"/>
  <c r="BB965" i="1" s="1"/>
  <c r="BC967" i="1"/>
  <c r="BC965" i="1" s="1"/>
  <c r="BD967" i="1"/>
  <c r="BD965" i="1" s="1"/>
  <c r="F971" i="1"/>
  <c r="F974" i="1"/>
  <c r="F975" i="1"/>
  <c r="F982" i="1"/>
  <c r="F990" i="1"/>
  <c r="F991" i="1"/>
  <c r="F994" i="1"/>
  <c r="F995" i="1"/>
  <c r="D997" i="1"/>
  <c r="E999" i="1"/>
  <c r="Z999" i="1"/>
  <c r="AA999" i="1"/>
  <c r="AM999" i="1"/>
  <c r="AN999" i="1"/>
  <c r="BE999" i="1"/>
  <c r="BF999" i="1"/>
  <c r="BG999" i="1"/>
  <c r="BH999" i="1"/>
  <c r="BI999" i="1"/>
  <c r="BJ999" i="1"/>
  <c r="BK999" i="1"/>
  <c r="BL999" i="1"/>
  <c r="BM999" i="1"/>
  <c r="BN999" i="1"/>
  <c r="BO999" i="1"/>
  <c r="BP999" i="1"/>
  <c r="BQ999" i="1"/>
  <c r="BR999" i="1"/>
  <c r="BS999" i="1"/>
  <c r="BT999" i="1"/>
  <c r="BU999" i="1"/>
  <c r="BV999" i="1"/>
  <c r="BW999" i="1"/>
  <c r="CN999" i="1"/>
  <c r="CO999" i="1"/>
  <c r="CP999" i="1"/>
  <c r="CQ999" i="1"/>
  <c r="CR999" i="1"/>
  <c r="CS999" i="1"/>
  <c r="CT999" i="1"/>
  <c r="CU999" i="1"/>
  <c r="CV999" i="1"/>
  <c r="CW999" i="1"/>
  <c r="CX999" i="1"/>
  <c r="CY999" i="1"/>
  <c r="CZ999" i="1"/>
  <c r="DA999" i="1"/>
  <c r="DB999" i="1"/>
  <c r="DC999" i="1"/>
  <c r="DD999" i="1"/>
  <c r="DE999" i="1"/>
  <c r="DF999" i="1"/>
  <c r="DG999" i="1"/>
  <c r="DH999" i="1"/>
  <c r="DI999" i="1"/>
  <c r="DJ999" i="1"/>
  <c r="DK999" i="1"/>
  <c r="DL999" i="1"/>
  <c r="DM999" i="1"/>
  <c r="DN999" i="1"/>
  <c r="DO999" i="1"/>
  <c r="DP999" i="1"/>
  <c r="DQ999" i="1"/>
  <c r="DR999" i="1"/>
  <c r="DS999" i="1"/>
  <c r="DT999" i="1"/>
  <c r="DU999" i="1"/>
  <c r="DV999" i="1"/>
  <c r="DW999" i="1"/>
  <c r="DX999" i="1"/>
  <c r="DY999" i="1"/>
  <c r="DZ999" i="1"/>
  <c r="EA999" i="1"/>
  <c r="EB999" i="1"/>
  <c r="EC999" i="1"/>
  <c r="ED999" i="1"/>
  <c r="EE999" i="1"/>
  <c r="EF999" i="1"/>
  <c r="EG999" i="1"/>
  <c r="EH999" i="1"/>
  <c r="EI999" i="1"/>
  <c r="EJ999" i="1"/>
  <c r="EK999" i="1"/>
  <c r="EL999" i="1"/>
  <c r="EM999" i="1"/>
  <c r="EN999" i="1"/>
  <c r="EO999" i="1"/>
  <c r="EP999" i="1"/>
  <c r="EQ999" i="1"/>
  <c r="ER999" i="1"/>
  <c r="ES999" i="1"/>
  <c r="ET999" i="1"/>
  <c r="EU999" i="1"/>
  <c r="EV999" i="1"/>
  <c r="EW999" i="1"/>
  <c r="EX999" i="1"/>
  <c r="EY999" i="1"/>
  <c r="EZ999" i="1"/>
  <c r="FA999" i="1"/>
  <c r="FB999" i="1"/>
  <c r="FC999" i="1"/>
  <c r="FD999" i="1"/>
  <c r="FE999" i="1"/>
  <c r="FF999" i="1"/>
  <c r="FG999" i="1"/>
  <c r="FH999" i="1"/>
  <c r="FI999" i="1"/>
  <c r="FJ999" i="1"/>
  <c r="FK999" i="1"/>
  <c r="FL999" i="1"/>
  <c r="FM999" i="1"/>
  <c r="FN999" i="1"/>
  <c r="FO999" i="1"/>
  <c r="FP999" i="1"/>
  <c r="FQ999" i="1"/>
  <c r="FR999" i="1"/>
  <c r="FS999" i="1"/>
  <c r="FT999" i="1"/>
  <c r="FU999" i="1"/>
  <c r="FV999" i="1"/>
  <c r="FW999" i="1"/>
  <c r="FX999" i="1"/>
  <c r="FY999" i="1"/>
  <c r="FZ999" i="1"/>
  <c r="GA999" i="1"/>
  <c r="GB999" i="1"/>
  <c r="GC999" i="1"/>
  <c r="GD999" i="1"/>
  <c r="GE999" i="1"/>
  <c r="GF999" i="1"/>
  <c r="GG999" i="1"/>
  <c r="GH999" i="1"/>
  <c r="GI999" i="1"/>
  <c r="GJ999" i="1"/>
  <c r="GK999" i="1"/>
  <c r="GL999" i="1"/>
  <c r="GM999" i="1"/>
  <c r="GN999" i="1"/>
  <c r="GO999" i="1"/>
  <c r="GP999" i="1"/>
  <c r="GQ999" i="1"/>
  <c r="GR999" i="1"/>
  <c r="GS999" i="1"/>
  <c r="GT999" i="1"/>
  <c r="GU999" i="1"/>
  <c r="GV999" i="1"/>
  <c r="GW999" i="1"/>
  <c r="GX999" i="1"/>
  <c r="C1001" i="1"/>
  <c r="D1001" i="1"/>
  <c r="I1001" i="1"/>
  <c r="P1001" i="1" s="1"/>
  <c r="K767" i="5" s="1"/>
  <c r="AC1001" i="1"/>
  <c r="AE1001" i="1"/>
  <c r="AF1001" i="1"/>
  <c r="CT1001" i="1" s="1"/>
  <c r="AG1001" i="1"/>
  <c r="CU1001" i="1" s="1"/>
  <c r="AH1001" i="1"/>
  <c r="CV1001" i="1" s="1"/>
  <c r="AI1001" i="1"/>
  <c r="CW1001" i="1" s="1"/>
  <c r="AJ1001" i="1"/>
  <c r="CX1001" i="1" s="1"/>
  <c r="CQ1001" i="1"/>
  <c r="FR1001" i="1"/>
  <c r="GL1001" i="1"/>
  <c r="GO1001" i="1"/>
  <c r="GP1001" i="1"/>
  <c r="GV1001" i="1"/>
  <c r="HC1001" i="1" s="1"/>
  <c r="GX1001" i="1" s="1"/>
  <c r="AC1002" i="1"/>
  <c r="AE1002" i="1"/>
  <c r="AF1002" i="1"/>
  <c r="AG1002" i="1"/>
  <c r="CU1002" i="1" s="1"/>
  <c r="AH1002" i="1"/>
  <c r="CV1002" i="1" s="1"/>
  <c r="AI1002" i="1"/>
  <c r="AJ1002" i="1"/>
  <c r="CX1002" i="1" s="1"/>
  <c r="CR1002" i="1"/>
  <c r="CS1002" i="1"/>
  <c r="CW1002" i="1"/>
  <c r="FR1002" i="1"/>
  <c r="GL1002" i="1"/>
  <c r="GO1002" i="1"/>
  <c r="GP1002" i="1"/>
  <c r="GV1002" i="1"/>
  <c r="HC1002" i="1" s="1"/>
  <c r="C1003" i="1"/>
  <c r="D1003" i="1"/>
  <c r="I1003" i="1"/>
  <c r="AC1003" i="1"/>
  <c r="AE1003" i="1"/>
  <c r="R1003" i="1" s="1"/>
  <c r="AF1003" i="1"/>
  <c r="AG1003" i="1"/>
  <c r="CU1003" i="1" s="1"/>
  <c r="AH1003" i="1"/>
  <c r="CV1003" i="1" s="1"/>
  <c r="U1003" i="1" s="1"/>
  <c r="I783" i="5" s="1"/>
  <c r="AI1003" i="1"/>
  <c r="AJ1003" i="1"/>
  <c r="CX1003" i="1" s="1"/>
  <c r="W1003" i="1" s="1"/>
  <c r="CS1003" i="1"/>
  <c r="CW1003" i="1"/>
  <c r="V1003" i="1" s="1"/>
  <c r="FR1003" i="1"/>
  <c r="GL1003" i="1"/>
  <c r="GO1003" i="1"/>
  <c r="GP1003" i="1"/>
  <c r="GV1003" i="1"/>
  <c r="HC1003" i="1" s="1"/>
  <c r="GX1003" i="1" s="1"/>
  <c r="C1004" i="1"/>
  <c r="D1004" i="1"/>
  <c r="I1004" i="1"/>
  <c r="AC1004" i="1"/>
  <c r="AE1004" i="1"/>
  <c r="AF1004" i="1"/>
  <c r="AG1004" i="1"/>
  <c r="CU1004" i="1" s="1"/>
  <c r="AH1004" i="1"/>
  <c r="CV1004" i="1" s="1"/>
  <c r="AI1004" i="1"/>
  <c r="AJ1004" i="1"/>
  <c r="CX1004" i="1" s="1"/>
  <c r="W1004" i="1" s="1"/>
  <c r="CW1004" i="1"/>
  <c r="V1004" i="1" s="1"/>
  <c r="FR1004" i="1"/>
  <c r="GL1004" i="1"/>
  <c r="GO1004" i="1"/>
  <c r="GP1004" i="1"/>
  <c r="GV1004" i="1"/>
  <c r="HC1004" i="1" s="1"/>
  <c r="GX1004" i="1" s="1"/>
  <c r="AC1005" i="1"/>
  <c r="AE1005" i="1"/>
  <c r="AF1005" i="1"/>
  <c r="AG1005" i="1"/>
  <c r="CU1005" i="1" s="1"/>
  <c r="AH1005" i="1"/>
  <c r="CV1005" i="1" s="1"/>
  <c r="AI1005" i="1"/>
  <c r="CW1005" i="1" s="1"/>
  <c r="AJ1005" i="1"/>
  <c r="CX1005" i="1" s="1"/>
  <c r="CQ1005" i="1"/>
  <c r="FR1005" i="1"/>
  <c r="GL1005" i="1"/>
  <c r="GO1005" i="1"/>
  <c r="GP1005" i="1"/>
  <c r="GV1005" i="1"/>
  <c r="HC1005" i="1"/>
  <c r="I1006" i="1"/>
  <c r="AC1006" i="1"/>
  <c r="AE1006" i="1"/>
  <c r="AF1006" i="1"/>
  <c r="AG1006" i="1"/>
  <c r="CU1006" i="1" s="1"/>
  <c r="AH1006" i="1"/>
  <c r="AI1006" i="1"/>
  <c r="AJ1006" i="1"/>
  <c r="CX1006" i="1" s="1"/>
  <c r="W1006" i="1" s="1"/>
  <c r="CV1006" i="1"/>
  <c r="CW1006" i="1"/>
  <c r="V1006" i="1" s="1"/>
  <c r="FR1006" i="1"/>
  <c r="GL1006" i="1"/>
  <c r="GO1006" i="1"/>
  <c r="GP1006" i="1"/>
  <c r="GV1006" i="1"/>
  <c r="HC1006" i="1" s="1"/>
  <c r="GX1006" i="1" s="1"/>
  <c r="C1007" i="1"/>
  <c r="D1007" i="1"/>
  <c r="I1007" i="1"/>
  <c r="R1007" i="1" s="1"/>
  <c r="AC1007" i="1"/>
  <c r="AE1007" i="1"/>
  <c r="AF1007" i="1"/>
  <c r="AG1007" i="1"/>
  <c r="CU1007" i="1" s="1"/>
  <c r="AH1007" i="1"/>
  <c r="AI1007" i="1"/>
  <c r="AJ1007" i="1"/>
  <c r="CX1007" i="1" s="1"/>
  <c r="W1007" i="1" s="1"/>
  <c r="CR1007" i="1"/>
  <c r="CV1007" i="1"/>
  <c r="CW1007" i="1"/>
  <c r="FR1007" i="1"/>
  <c r="GL1007" i="1"/>
  <c r="GO1007" i="1"/>
  <c r="GP1007" i="1"/>
  <c r="GV1007" i="1"/>
  <c r="HC1007" i="1" s="1"/>
  <c r="GX1007" i="1" s="1"/>
  <c r="C1008" i="1"/>
  <c r="D1008" i="1"/>
  <c r="AC1008" i="1"/>
  <c r="AE1008" i="1"/>
  <c r="AF1008" i="1"/>
  <c r="AG1008" i="1"/>
  <c r="CU1008" i="1" s="1"/>
  <c r="AH1008" i="1"/>
  <c r="AI1008" i="1"/>
  <c r="CW1008" i="1" s="1"/>
  <c r="AJ1008" i="1"/>
  <c r="CX1008" i="1" s="1"/>
  <c r="CV1008" i="1"/>
  <c r="FR1008" i="1"/>
  <c r="GL1008" i="1"/>
  <c r="GO1008" i="1"/>
  <c r="GP1008" i="1"/>
  <c r="GV1008" i="1"/>
  <c r="HC1008" i="1" s="1"/>
  <c r="AC1009" i="1"/>
  <c r="AD1009" i="1"/>
  <c r="AE1009" i="1"/>
  <c r="AF1009" i="1"/>
  <c r="AG1009" i="1"/>
  <c r="CU1009" i="1" s="1"/>
  <c r="AH1009" i="1"/>
  <c r="CV1009" i="1" s="1"/>
  <c r="AI1009" i="1"/>
  <c r="CW1009" i="1" s="1"/>
  <c r="AJ1009" i="1"/>
  <c r="CQ1009" i="1"/>
  <c r="CR1009" i="1"/>
  <c r="CX1009" i="1"/>
  <c r="FR1009" i="1"/>
  <c r="GL1009" i="1"/>
  <c r="GO1009" i="1"/>
  <c r="GP1009" i="1"/>
  <c r="GV1009" i="1"/>
  <c r="HC1009" i="1" s="1"/>
  <c r="C1010" i="1"/>
  <c r="D1010" i="1"/>
  <c r="AC1010" i="1"/>
  <c r="AE1010" i="1"/>
  <c r="AF1010" i="1"/>
  <c r="AG1010" i="1"/>
  <c r="CU1010" i="1" s="1"/>
  <c r="AH1010" i="1"/>
  <c r="CV1010" i="1" s="1"/>
  <c r="AI1010" i="1"/>
  <c r="CW1010" i="1" s="1"/>
  <c r="AJ1010" i="1"/>
  <c r="CX1010" i="1" s="1"/>
  <c r="CQ1010" i="1"/>
  <c r="FR1010" i="1"/>
  <c r="GL1010" i="1"/>
  <c r="GO1010" i="1"/>
  <c r="GP1010" i="1"/>
  <c r="GV1010" i="1"/>
  <c r="HC1010" i="1"/>
  <c r="B1012" i="1"/>
  <c r="B999" i="1" s="1"/>
  <c r="C1012" i="1"/>
  <c r="C999" i="1" s="1"/>
  <c r="D1012" i="1"/>
  <c r="D999" i="1" s="1"/>
  <c r="F1012" i="1"/>
  <c r="F999" i="1" s="1"/>
  <c r="G1012" i="1"/>
  <c r="BX1012" i="1"/>
  <c r="BX999" i="1" s="1"/>
  <c r="CK1012" i="1"/>
  <c r="CL1012" i="1"/>
  <c r="BC1012" i="1" s="1"/>
  <c r="CM1012" i="1"/>
  <c r="CM999" i="1" s="1"/>
  <c r="D1043" i="1"/>
  <c r="E1045" i="1"/>
  <c r="G1045" i="1"/>
  <c r="Z1045" i="1"/>
  <c r="AA1045" i="1"/>
  <c r="AB1045" i="1"/>
  <c r="AC1045" i="1"/>
  <c r="AD1045" i="1"/>
  <c r="AE1045" i="1"/>
  <c r="AF1045" i="1"/>
  <c r="AG1045" i="1"/>
  <c r="AH1045" i="1"/>
  <c r="AI1045" i="1"/>
  <c r="AJ1045" i="1"/>
  <c r="AK1045" i="1"/>
  <c r="AL1045" i="1"/>
  <c r="AM1045" i="1"/>
  <c r="AN1045" i="1"/>
  <c r="AW1045" i="1"/>
  <c r="BE1045" i="1"/>
  <c r="BF1045" i="1"/>
  <c r="BG1045" i="1"/>
  <c r="BH1045" i="1"/>
  <c r="BI1045" i="1"/>
  <c r="BJ1045" i="1"/>
  <c r="BK1045" i="1"/>
  <c r="BL1045" i="1"/>
  <c r="BM1045" i="1"/>
  <c r="BN1045" i="1"/>
  <c r="BO1045" i="1"/>
  <c r="BP1045" i="1"/>
  <c r="BQ1045" i="1"/>
  <c r="BR1045" i="1"/>
  <c r="BS1045" i="1"/>
  <c r="BT1045" i="1"/>
  <c r="BU1045" i="1"/>
  <c r="BV1045" i="1"/>
  <c r="BW1045" i="1"/>
  <c r="BX1045" i="1"/>
  <c r="BY1045" i="1"/>
  <c r="BZ1045" i="1"/>
  <c r="CA1045" i="1"/>
  <c r="CB1045" i="1"/>
  <c r="CC1045" i="1"/>
  <c r="CD1045" i="1"/>
  <c r="CE1045" i="1"/>
  <c r="CF1045" i="1"/>
  <c r="CG1045" i="1"/>
  <c r="CH1045" i="1"/>
  <c r="CI1045" i="1"/>
  <c r="CJ1045" i="1"/>
  <c r="CK1045" i="1"/>
  <c r="CL1045" i="1"/>
  <c r="CM1045" i="1"/>
  <c r="CN1045" i="1"/>
  <c r="CO1045" i="1"/>
  <c r="CP1045" i="1"/>
  <c r="CQ1045" i="1"/>
  <c r="CR1045" i="1"/>
  <c r="CS1045" i="1"/>
  <c r="CT1045" i="1"/>
  <c r="CU1045" i="1"/>
  <c r="CV1045" i="1"/>
  <c r="CW1045" i="1"/>
  <c r="CX1045" i="1"/>
  <c r="CY1045" i="1"/>
  <c r="CZ1045" i="1"/>
  <c r="DA1045" i="1"/>
  <c r="DB1045" i="1"/>
  <c r="DC1045" i="1"/>
  <c r="DD1045" i="1"/>
  <c r="DE1045" i="1"/>
  <c r="DF1045" i="1"/>
  <c r="DG1045" i="1"/>
  <c r="DH1045" i="1"/>
  <c r="DI1045" i="1"/>
  <c r="DJ1045" i="1"/>
  <c r="DK1045" i="1"/>
  <c r="DL1045" i="1"/>
  <c r="DM1045" i="1"/>
  <c r="DN1045" i="1"/>
  <c r="DO1045" i="1"/>
  <c r="DP1045" i="1"/>
  <c r="DQ1045" i="1"/>
  <c r="DR1045" i="1"/>
  <c r="DS1045" i="1"/>
  <c r="DT1045" i="1"/>
  <c r="DU1045" i="1"/>
  <c r="DV1045" i="1"/>
  <c r="DW1045" i="1"/>
  <c r="DX1045" i="1"/>
  <c r="DY1045" i="1"/>
  <c r="DZ1045" i="1"/>
  <c r="EA1045" i="1"/>
  <c r="EB1045" i="1"/>
  <c r="EC1045" i="1"/>
  <c r="ED1045" i="1"/>
  <c r="EE1045" i="1"/>
  <c r="EF1045" i="1"/>
  <c r="EG1045" i="1"/>
  <c r="EH1045" i="1"/>
  <c r="EI1045" i="1"/>
  <c r="EJ1045" i="1"/>
  <c r="EK1045" i="1"/>
  <c r="EL1045" i="1"/>
  <c r="EM1045" i="1"/>
  <c r="EN1045" i="1"/>
  <c r="EO1045" i="1"/>
  <c r="EP1045" i="1"/>
  <c r="EQ1045" i="1"/>
  <c r="ER1045" i="1"/>
  <c r="ES1045" i="1"/>
  <c r="ET1045" i="1"/>
  <c r="EU1045" i="1"/>
  <c r="EV1045" i="1"/>
  <c r="EW1045" i="1"/>
  <c r="EX1045" i="1"/>
  <c r="EY1045" i="1"/>
  <c r="EZ1045" i="1"/>
  <c r="FA1045" i="1"/>
  <c r="FB1045" i="1"/>
  <c r="FC1045" i="1"/>
  <c r="FD1045" i="1"/>
  <c r="FE1045" i="1"/>
  <c r="FF1045" i="1"/>
  <c r="FG1045" i="1"/>
  <c r="FH1045" i="1"/>
  <c r="FI1045" i="1"/>
  <c r="FJ1045" i="1"/>
  <c r="FK1045" i="1"/>
  <c r="FL1045" i="1"/>
  <c r="FM1045" i="1"/>
  <c r="FN1045" i="1"/>
  <c r="FO1045" i="1"/>
  <c r="FP1045" i="1"/>
  <c r="FQ1045" i="1"/>
  <c r="FR1045" i="1"/>
  <c r="FS1045" i="1"/>
  <c r="FT1045" i="1"/>
  <c r="FU1045" i="1"/>
  <c r="FV1045" i="1"/>
  <c r="FW1045" i="1"/>
  <c r="FX1045" i="1"/>
  <c r="FY1045" i="1"/>
  <c r="FZ1045" i="1"/>
  <c r="GA1045" i="1"/>
  <c r="GB1045" i="1"/>
  <c r="GC1045" i="1"/>
  <c r="GD1045" i="1"/>
  <c r="GE1045" i="1"/>
  <c r="GF1045" i="1"/>
  <c r="GG1045" i="1"/>
  <c r="GH1045" i="1"/>
  <c r="GI1045" i="1"/>
  <c r="GJ1045" i="1"/>
  <c r="GK1045" i="1"/>
  <c r="GL1045" i="1"/>
  <c r="GM1045" i="1"/>
  <c r="GN1045" i="1"/>
  <c r="GO1045" i="1"/>
  <c r="GP1045" i="1"/>
  <c r="GQ1045" i="1"/>
  <c r="GR1045" i="1"/>
  <c r="GS1045" i="1"/>
  <c r="GT1045" i="1"/>
  <c r="GU1045" i="1"/>
  <c r="GV1045" i="1"/>
  <c r="GW1045" i="1"/>
  <c r="GX1045" i="1"/>
  <c r="B1047" i="1"/>
  <c r="B1045" i="1" s="1"/>
  <c r="C1047" i="1"/>
  <c r="C1045" i="1" s="1"/>
  <c r="D1047" i="1"/>
  <c r="D1045" i="1" s="1"/>
  <c r="F1047" i="1"/>
  <c r="F1045" i="1" s="1"/>
  <c r="G1047" i="1"/>
  <c r="O1047" i="1"/>
  <c r="O1045" i="1" s="1"/>
  <c r="P1047" i="1"/>
  <c r="Q1047" i="1"/>
  <c r="Q1045" i="1" s="1"/>
  <c r="R1047" i="1"/>
  <c r="R1045" i="1" s="1"/>
  <c r="S1047" i="1"/>
  <c r="S1045" i="1" s="1"/>
  <c r="T1047" i="1"/>
  <c r="U1047" i="1"/>
  <c r="F1069" i="1" s="1"/>
  <c r="V1047" i="1"/>
  <c r="V1045" i="1" s="1"/>
  <c r="W1047" i="1"/>
  <c r="X1047" i="1"/>
  <c r="Y1047" i="1"/>
  <c r="Y1045" i="1" s="1"/>
  <c r="AO1047" i="1"/>
  <c r="AO1045" i="1" s="1"/>
  <c r="AP1047" i="1"/>
  <c r="AP1045" i="1" s="1"/>
  <c r="AQ1047" i="1"/>
  <c r="AR1047" i="1"/>
  <c r="F1075" i="1" s="1"/>
  <c r="AS1047" i="1"/>
  <c r="AS1045" i="1" s="1"/>
  <c r="AT1047" i="1"/>
  <c r="AT1045" i="1" s="1"/>
  <c r="AU1047" i="1"/>
  <c r="AV1047" i="1"/>
  <c r="AV1045" i="1" s="1"/>
  <c r="AW1047" i="1"/>
  <c r="AX1047" i="1"/>
  <c r="AY1047" i="1"/>
  <c r="AY1045" i="1" s="1"/>
  <c r="AZ1047" i="1"/>
  <c r="F1058" i="1" s="1"/>
  <c r="BA1047" i="1"/>
  <c r="BA1045" i="1" s="1"/>
  <c r="BB1047" i="1"/>
  <c r="BB1045" i="1" s="1"/>
  <c r="BC1047" i="1"/>
  <c r="BC1045" i="1" s="1"/>
  <c r="BD1047" i="1"/>
  <c r="BD1045" i="1" s="1"/>
  <c r="F1051" i="1"/>
  <c r="F1053" i="1"/>
  <c r="F1061" i="1"/>
  <c r="F1064" i="1"/>
  <c r="F1067" i="1"/>
  <c r="F1070" i="1"/>
  <c r="F1074" i="1"/>
  <c r="D1077" i="1"/>
  <c r="C1079" i="1"/>
  <c r="E1079" i="1"/>
  <c r="S1079" i="1"/>
  <c r="Z1079" i="1"/>
  <c r="AA1079" i="1"/>
  <c r="AB1079" i="1"/>
  <c r="AC1079" i="1"/>
  <c r="AD1079" i="1"/>
  <c r="AE1079" i="1"/>
  <c r="AF1079" i="1"/>
  <c r="AG1079" i="1"/>
  <c r="AH1079" i="1"/>
  <c r="AI1079" i="1"/>
  <c r="AJ1079" i="1"/>
  <c r="AK1079" i="1"/>
  <c r="AL1079" i="1"/>
  <c r="AM1079" i="1"/>
  <c r="AN1079" i="1"/>
  <c r="AP1079" i="1"/>
  <c r="BE1079" i="1"/>
  <c r="BF1079" i="1"/>
  <c r="BG1079" i="1"/>
  <c r="BH1079" i="1"/>
  <c r="BI1079" i="1"/>
  <c r="BJ1079" i="1"/>
  <c r="BK1079" i="1"/>
  <c r="BL1079" i="1"/>
  <c r="BM1079" i="1"/>
  <c r="BN1079" i="1"/>
  <c r="BO1079" i="1"/>
  <c r="BP1079" i="1"/>
  <c r="BQ1079" i="1"/>
  <c r="BR1079" i="1"/>
  <c r="BS1079" i="1"/>
  <c r="BT1079" i="1"/>
  <c r="BU1079" i="1"/>
  <c r="BV1079" i="1"/>
  <c r="BW1079" i="1"/>
  <c r="BX1079" i="1"/>
  <c r="BY1079" i="1"/>
  <c r="BZ1079" i="1"/>
  <c r="CA1079" i="1"/>
  <c r="CB1079" i="1"/>
  <c r="CC1079" i="1"/>
  <c r="CD1079" i="1"/>
  <c r="CE1079" i="1"/>
  <c r="CF1079" i="1"/>
  <c r="CG1079" i="1"/>
  <c r="CH1079" i="1"/>
  <c r="CI1079" i="1"/>
  <c r="CJ1079" i="1"/>
  <c r="CK1079" i="1"/>
  <c r="CL1079" i="1"/>
  <c r="CM1079" i="1"/>
  <c r="CN1079" i="1"/>
  <c r="CO1079" i="1"/>
  <c r="CP1079" i="1"/>
  <c r="CQ1079" i="1"/>
  <c r="CR1079" i="1"/>
  <c r="CS1079" i="1"/>
  <c r="CT1079" i="1"/>
  <c r="CU1079" i="1"/>
  <c r="CV1079" i="1"/>
  <c r="CW1079" i="1"/>
  <c r="CX1079" i="1"/>
  <c r="CY1079" i="1"/>
  <c r="CZ1079" i="1"/>
  <c r="DA1079" i="1"/>
  <c r="DB1079" i="1"/>
  <c r="DC1079" i="1"/>
  <c r="DD1079" i="1"/>
  <c r="DE1079" i="1"/>
  <c r="DF1079" i="1"/>
  <c r="DG1079" i="1"/>
  <c r="DH1079" i="1"/>
  <c r="DI1079" i="1"/>
  <c r="DJ1079" i="1"/>
  <c r="DK1079" i="1"/>
  <c r="DL1079" i="1"/>
  <c r="DM1079" i="1"/>
  <c r="DN1079" i="1"/>
  <c r="DO1079" i="1"/>
  <c r="DP1079" i="1"/>
  <c r="DQ1079" i="1"/>
  <c r="DR1079" i="1"/>
  <c r="DS1079" i="1"/>
  <c r="DT1079" i="1"/>
  <c r="DU1079" i="1"/>
  <c r="DV1079" i="1"/>
  <c r="DW1079" i="1"/>
  <c r="DX1079" i="1"/>
  <c r="DY1079" i="1"/>
  <c r="DZ1079" i="1"/>
  <c r="EA1079" i="1"/>
  <c r="EB1079" i="1"/>
  <c r="EC1079" i="1"/>
  <c r="ED1079" i="1"/>
  <c r="EE1079" i="1"/>
  <c r="EF1079" i="1"/>
  <c r="EG1079" i="1"/>
  <c r="EH1079" i="1"/>
  <c r="EI1079" i="1"/>
  <c r="EJ1079" i="1"/>
  <c r="EK1079" i="1"/>
  <c r="EL1079" i="1"/>
  <c r="EM1079" i="1"/>
  <c r="EN1079" i="1"/>
  <c r="EO1079" i="1"/>
  <c r="EP1079" i="1"/>
  <c r="EQ1079" i="1"/>
  <c r="ER1079" i="1"/>
  <c r="ES1079" i="1"/>
  <c r="ET1079" i="1"/>
  <c r="EU1079" i="1"/>
  <c r="EV1079" i="1"/>
  <c r="EW1079" i="1"/>
  <c r="EX1079" i="1"/>
  <c r="EY1079" i="1"/>
  <c r="EZ1079" i="1"/>
  <c r="FA1079" i="1"/>
  <c r="FB1079" i="1"/>
  <c r="FC1079" i="1"/>
  <c r="FD1079" i="1"/>
  <c r="FE1079" i="1"/>
  <c r="FF1079" i="1"/>
  <c r="FG1079" i="1"/>
  <c r="FH1079" i="1"/>
  <c r="FI1079" i="1"/>
  <c r="FJ1079" i="1"/>
  <c r="FK1079" i="1"/>
  <c r="FL1079" i="1"/>
  <c r="FM1079" i="1"/>
  <c r="FN1079" i="1"/>
  <c r="FO1079" i="1"/>
  <c r="FP1079" i="1"/>
  <c r="FQ1079" i="1"/>
  <c r="FR1079" i="1"/>
  <c r="FS1079" i="1"/>
  <c r="FT1079" i="1"/>
  <c r="FU1079" i="1"/>
  <c r="FV1079" i="1"/>
  <c r="FW1079" i="1"/>
  <c r="FX1079" i="1"/>
  <c r="FY1079" i="1"/>
  <c r="FZ1079" i="1"/>
  <c r="GA1079" i="1"/>
  <c r="GB1079" i="1"/>
  <c r="GC1079" i="1"/>
  <c r="GD1079" i="1"/>
  <c r="GE1079" i="1"/>
  <c r="GF1079" i="1"/>
  <c r="GG1079" i="1"/>
  <c r="GH1079" i="1"/>
  <c r="GI1079" i="1"/>
  <c r="GJ1079" i="1"/>
  <c r="GK1079" i="1"/>
  <c r="GL1079" i="1"/>
  <c r="GM1079" i="1"/>
  <c r="GN1079" i="1"/>
  <c r="GO1079" i="1"/>
  <c r="GP1079" i="1"/>
  <c r="GQ1079" i="1"/>
  <c r="GR1079" i="1"/>
  <c r="GS1079" i="1"/>
  <c r="GT1079" i="1"/>
  <c r="GU1079" i="1"/>
  <c r="GV1079" i="1"/>
  <c r="GW1079" i="1"/>
  <c r="GX1079" i="1"/>
  <c r="B1081" i="1"/>
  <c r="B1079" i="1" s="1"/>
  <c r="C1081" i="1"/>
  <c r="D1081" i="1"/>
  <c r="D1079" i="1" s="1"/>
  <c r="F1081" i="1"/>
  <c r="F1079" i="1" s="1"/>
  <c r="G1081" i="1"/>
  <c r="G1079" i="1" s="1"/>
  <c r="O1081" i="1"/>
  <c r="F1083" i="1" s="1"/>
  <c r="P1081" i="1"/>
  <c r="P1079" i="1" s="1"/>
  <c r="Q1081" i="1"/>
  <c r="Q1079" i="1" s="1"/>
  <c r="R1081" i="1"/>
  <c r="R1079" i="1" s="1"/>
  <c r="S1081" i="1"/>
  <c r="F1096" i="1" s="1"/>
  <c r="T1081" i="1"/>
  <c r="T1079" i="1" s="1"/>
  <c r="U1081" i="1"/>
  <c r="U1079" i="1" s="1"/>
  <c r="V1081" i="1"/>
  <c r="W1081" i="1"/>
  <c r="F1105" i="1" s="1"/>
  <c r="X1081" i="1"/>
  <c r="X1079" i="1" s="1"/>
  <c r="Y1081" i="1"/>
  <c r="F1108" i="1" s="1"/>
  <c r="AO1081" i="1"/>
  <c r="AP1081" i="1"/>
  <c r="AQ1081" i="1"/>
  <c r="AQ1079" i="1" s="1"/>
  <c r="AR1081" i="1"/>
  <c r="AR1079" i="1" s="1"/>
  <c r="AS1081" i="1"/>
  <c r="AT1081" i="1"/>
  <c r="AT1079" i="1" s="1"/>
  <c r="AU1081" i="1"/>
  <c r="AV1081" i="1"/>
  <c r="AV1079" i="1" s="1"/>
  <c r="AW1081" i="1"/>
  <c r="AW1079" i="1" s="1"/>
  <c r="AX1081" i="1"/>
  <c r="AX1079" i="1" s="1"/>
  <c r="AY1081" i="1"/>
  <c r="AZ1081" i="1"/>
  <c r="AZ1079" i="1" s="1"/>
  <c r="BA1081" i="1"/>
  <c r="BB1081" i="1"/>
  <c r="BB1079" i="1" s="1"/>
  <c r="BC1081" i="1"/>
  <c r="BC1079" i="1" s="1"/>
  <c r="BD1081" i="1"/>
  <c r="BD1079" i="1" s="1"/>
  <c r="F1088" i="1"/>
  <c r="F1090" i="1"/>
  <c r="F1091" i="1"/>
  <c r="F1094" i="1"/>
  <c r="F1099" i="1"/>
  <c r="F1107" i="1"/>
  <c r="D1111" i="1"/>
  <c r="E1113" i="1"/>
  <c r="U1113" i="1"/>
  <c r="Z1113" i="1"/>
  <c r="AA1113" i="1"/>
  <c r="AB1113" i="1"/>
  <c r="AC1113" i="1"/>
  <c r="AD1113" i="1"/>
  <c r="AE1113" i="1"/>
  <c r="AF1113" i="1"/>
  <c r="AG1113" i="1"/>
  <c r="AH1113" i="1"/>
  <c r="AI1113" i="1"/>
  <c r="AJ1113" i="1"/>
  <c r="AK1113" i="1"/>
  <c r="AL1113" i="1"/>
  <c r="AM1113" i="1"/>
  <c r="AN1113" i="1"/>
  <c r="BE1113" i="1"/>
  <c r="BF1113" i="1"/>
  <c r="BG1113" i="1"/>
  <c r="BH1113" i="1"/>
  <c r="BI1113" i="1"/>
  <c r="BJ1113" i="1"/>
  <c r="BK1113" i="1"/>
  <c r="BL1113" i="1"/>
  <c r="BM1113" i="1"/>
  <c r="BN1113" i="1"/>
  <c r="BO1113" i="1"/>
  <c r="BP1113" i="1"/>
  <c r="BQ1113" i="1"/>
  <c r="BR1113" i="1"/>
  <c r="BS1113" i="1"/>
  <c r="BT1113" i="1"/>
  <c r="BU1113" i="1"/>
  <c r="BV1113" i="1"/>
  <c r="BW1113" i="1"/>
  <c r="BX1113" i="1"/>
  <c r="BY1113" i="1"/>
  <c r="BZ1113" i="1"/>
  <c r="CA1113" i="1"/>
  <c r="CB1113" i="1"/>
  <c r="CC1113" i="1"/>
  <c r="CD1113" i="1"/>
  <c r="CE1113" i="1"/>
  <c r="CF1113" i="1"/>
  <c r="CG1113" i="1"/>
  <c r="CH1113" i="1"/>
  <c r="CI1113" i="1"/>
  <c r="CJ1113" i="1"/>
  <c r="CK1113" i="1"/>
  <c r="CL1113" i="1"/>
  <c r="CM1113" i="1"/>
  <c r="CN1113" i="1"/>
  <c r="CO1113" i="1"/>
  <c r="CP1113" i="1"/>
  <c r="CQ1113" i="1"/>
  <c r="CR1113" i="1"/>
  <c r="CS1113" i="1"/>
  <c r="CT1113" i="1"/>
  <c r="CU1113" i="1"/>
  <c r="CV1113" i="1"/>
  <c r="CW1113" i="1"/>
  <c r="CX1113" i="1"/>
  <c r="CY1113" i="1"/>
  <c r="CZ1113" i="1"/>
  <c r="DA1113" i="1"/>
  <c r="DB1113" i="1"/>
  <c r="DC1113" i="1"/>
  <c r="DD1113" i="1"/>
  <c r="DE1113" i="1"/>
  <c r="DF1113" i="1"/>
  <c r="DG1113" i="1"/>
  <c r="DH1113" i="1"/>
  <c r="DI1113" i="1"/>
  <c r="DJ1113" i="1"/>
  <c r="DK1113" i="1"/>
  <c r="DL1113" i="1"/>
  <c r="DM1113" i="1"/>
  <c r="DN1113" i="1"/>
  <c r="DO1113" i="1"/>
  <c r="DP1113" i="1"/>
  <c r="DQ1113" i="1"/>
  <c r="DR1113" i="1"/>
  <c r="DS1113" i="1"/>
  <c r="DT1113" i="1"/>
  <c r="DU1113" i="1"/>
  <c r="DV1113" i="1"/>
  <c r="DW1113" i="1"/>
  <c r="DX1113" i="1"/>
  <c r="DY1113" i="1"/>
  <c r="DZ1113" i="1"/>
  <c r="EA1113" i="1"/>
  <c r="EB1113" i="1"/>
  <c r="EC1113" i="1"/>
  <c r="ED1113" i="1"/>
  <c r="EE1113" i="1"/>
  <c r="EF1113" i="1"/>
  <c r="EG1113" i="1"/>
  <c r="EH1113" i="1"/>
  <c r="EI1113" i="1"/>
  <c r="EJ1113" i="1"/>
  <c r="EK1113" i="1"/>
  <c r="EL1113" i="1"/>
  <c r="EM1113" i="1"/>
  <c r="EN1113" i="1"/>
  <c r="EO1113" i="1"/>
  <c r="EP1113" i="1"/>
  <c r="EQ1113" i="1"/>
  <c r="ER1113" i="1"/>
  <c r="ES1113" i="1"/>
  <c r="ET1113" i="1"/>
  <c r="EU1113" i="1"/>
  <c r="EV1113" i="1"/>
  <c r="EW1113" i="1"/>
  <c r="EX1113" i="1"/>
  <c r="EY1113" i="1"/>
  <c r="EZ1113" i="1"/>
  <c r="FA1113" i="1"/>
  <c r="FB1113" i="1"/>
  <c r="FC1113" i="1"/>
  <c r="FD1113" i="1"/>
  <c r="FE1113" i="1"/>
  <c r="FF1113" i="1"/>
  <c r="FG1113" i="1"/>
  <c r="FH1113" i="1"/>
  <c r="FI1113" i="1"/>
  <c r="FJ1113" i="1"/>
  <c r="FK1113" i="1"/>
  <c r="FL1113" i="1"/>
  <c r="FM1113" i="1"/>
  <c r="FN1113" i="1"/>
  <c r="FO1113" i="1"/>
  <c r="FP1113" i="1"/>
  <c r="FQ1113" i="1"/>
  <c r="FR1113" i="1"/>
  <c r="FS1113" i="1"/>
  <c r="FT1113" i="1"/>
  <c r="FU1113" i="1"/>
  <c r="FV1113" i="1"/>
  <c r="FW1113" i="1"/>
  <c r="FX1113" i="1"/>
  <c r="FY1113" i="1"/>
  <c r="FZ1113" i="1"/>
  <c r="GA1113" i="1"/>
  <c r="GB1113" i="1"/>
  <c r="GC1113" i="1"/>
  <c r="GD1113" i="1"/>
  <c r="GE1113" i="1"/>
  <c r="GF1113" i="1"/>
  <c r="GG1113" i="1"/>
  <c r="GH1113" i="1"/>
  <c r="GI1113" i="1"/>
  <c r="GJ1113" i="1"/>
  <c r="GK1113" i="1"/>
  <c r="GL1113" i="1"/>
  <c r="GM1113" i="1"/>
  <c r="GN1113" i="1"/>
  <c r="GO1113" i="1"/>
  <c r="GP1113" i="1"/>
  <c r="GQ1113" i="1"/>
  <c r="GR1113" i="1"/>
  <c r="GS1113" i="1"/>
  <c r="GT1113" i="1"/>
  <c r="GU1113" i="1"/>
  <c r="GV1113" i="1"/>
  <c r="GW1113" i="1"/>
  <c r="GX1113" i="1"/>
  <c r="B1115" i="1"/>
  <c r="B1113" i="1" s="1"/>
  <c r="C1115" i="1"/>
  <c r="C1113" i="1" s="1"/>
  <c r="D1115" i="1"/>
  <c r="D1113" i="1" s="1"/>
  <c r="F1115" i="1"/>
  <c r="F1113" i="1" s="1"/>
  <c r="G1115" i="1"/>
  <c r="G1113" i="1" s="1"/>
  <c r="O1115" i="1"/>
  <c r="P1115" i="1"/>
  <c r="Q1115" i="1"/>
  <c r="Q1113" i="1" s="1"/>
  <c r="R1115" i="1"/>
  <c r="R1113" i="1" s="1"/>
  <c r="S1115" i="1"/>
  <c r="S1113" i="1" s="1"/>
  <c r="T1115" i="1"/>
  <c r="U1115" i="1"/>
  <c r="F1137" i="1" s="1"/>
  <c r="V1115" i="1"/>
  <c r="V1113" i="1" s="1"/>
  <c r="W1115" i="1"/>
  <c r="W1113" i="1" s="1"/>
  <c r="X1115" i="1"/>
  <c r="Y1115" i="1"/>
  <c r="Y1113" i="1" s="1"/>
  <c r="AO1115" i="1"/>
  <c r="F1119" i="1" s="1"/>
  <c r="AP1115" i="1"/>
  <c r="AQ1115" i="1"/>
  <c r="AR1115" i="1"/>
  <c r="F1143" i="1" s="1"/>
  <c r="AS1115" i="1"/>
  <c r="F1132" i="1" s="1"/>
  <c r="AT1115" i="1"/>
  <c r="AU1115" i="1"/>
  <c r="AV1115" i="1"/>
  <c r="AV1113" i="1" s="1"/>
  <c r="AW1115" i="1"/>
  <c r="AW1113" i="1" s="1"/>
  <c r="AX1115" i="1"/>
  <c r="AX1113" i="1" s="1"/>
  <c r="AY1115" i="1"/>
  <c r="AY1113" i="1" s="1"/>
  <c r="AZ1115" i="1"/>
  <c r="F1126" i="1" s="1"/>
  <c r="BA1115" i="1"/>
  <c r="BA1113" i="1" s="1"/>
  <c r="BB1115" i="1"/>
  <c r="BC1115" i="1"/>
  <c r="BC1113" i="1" s="1"/>
  <c r="BD1115" i="1"/>
  <c r="BD1113" i="1" s="1"/>
  <c r="F1122" i="1"/>
  <c r="F1130" i="1"/>
  <c r="F1135" i="1"/>
  <c r="F1139" i="1"/>
  <c r="F1140" i="1"/>
  <c r="F1142" i="1"/>
  <c r="D1145" i="1"/>
  <c r="E1147" i="1"/>
  <c r="Z1147" i="1"/>
  <c r="AA1147" i="1"/>
  <c r="AM1147" i="1"/>
  <c r="AN1147" i="1"/>
  <c r="BE1147" i="1"/>
  <c r="BF1147" i="1"/>
  <c r="BG1147" i="1"/>
  <c r="BH1147" i="1"/>
  <c r="BI1147" i="1"/>
  <c r="BJ1147" i="1"/>
  <c r="BK1147" i="1"/>
  <c r="BL1147" i="1"/>
  <c r="BM1147" i="1"/>
  <c r="BN1147" i="1"/>
  <c r="BO1147" i="1"/>
  <c r="BP1147" i="1"/>
  <c r="BQ1147" i="1"/>
  <c r="BR1147" i="1"/>
  <c r="BS1147" i="1"/>
  <c r="BT1147" i="1"/>
  <c r="BU1147" i="1"/>
  <c r="BV1147" i="1"/>
  <c r="BW1147" i="1"/>
  <c r="CN1147" i="1"/>
  <c r="CO1147" i="1"/>
  <c r="CP1147" i="1"/>
  <c r="CQ1147" i="1"/>
  <c r="CR1147" i="1"/>
  <c r="CS1147" i="1"/>
  <c r="CT1147" i="1"/>
  <c r="CU1147" i="1"/>
  <c r="CV1147" i="1"/>
  <c r="CW1147" i="1"/>
  <c r="CX1147" i="1"/>
  <c r="CY1147" i="1"/>
  <c r="CZ1147" i="1"/>
  <c r="DA1147" i="1"/>
  <c r="DB1147" i="1"/>
  <c r="DC1147" i="1"/>
  <c r="DD1147" i="1"/>
  <c r="DE1147" i="1"/>
  <c r="DF1147" i="1"/>
  <c r="DG1147" i="1"/>
  <c r="DH1147" i="1"/>
  <c r="DI1147" i="1"/>
  <c r="DJ1147" i="1"/>
  <c r="DK1147" i="1"/>
  <c r="DL1147" i="1"/>
  <c r="DM1147" i="1"/>
  <c r="DN1147" i="1"/>
  <c r="DO1147" i="1"/>
  <c r="DP1147" i="1"/>
  <c r="DQ1147" i="1"/>
  <c r="DR1147" i="1"/>
  <c r="DS1147" i="1"/>
  <c r="DT1147" i="1"/>
  <c r="DU1147" i="1"/>
  <c r="DV1147" i="1"/>
  <c r="DW1147" i="1"/>
  <c r="DX1147" i="1"/>
  <c r="DY1147" i="1"/>
  <c r="DZ1147" i="1"/>
  <c r="EA1147" i="1"/>
  <c r="EB1147" i="1"/>
  <c r="EC1147" i="1"/>
  <c r="ED1147" i="1"/>
  <c r="EE1147" i="1"/>
  <c r="EF1147" i="1"/>
  <c r="EG1147" i="1"/>
  <c r="EH1147" i="1"/>
  <c r="EI1147" i="1"/>
  <c r="EJ1147" i="1"/>
  <c r="EK1147" i="1"/>
  <c r="EL1147" i="1"/>
  <c r="EM1147" i="1"/>
  <c r="EN1147" i="1"/>
  <c r="EO1147" i="1"/>
  <c r="EP1147" i="1"/>
  <c r="EQ1147" i="1"/>
  <c r="ER1147" i="1"/>
  <c r="ES1147" i="1"/>
  <c r="ET1147" i="1"/>
  <c r="EU1147" i="1"/>
  <c r="EV1147" i="1"/>
  <c r="EW1147" i="1"/>
  <c r="EX1147" i="1"/>
  <c r="EY1147" i="1"/>
  <c r="EZ1147" i="1"/>
  <c r="FA1147" i="1"/>
  <c r="FB1147" i="1"/>
  <c r="FC1147" i="1"/>
  <c r="FD1147" i="1"/>
  <c r="FE1147" i="1"/>
  <c r="FF1147" i="1"/>
  <c r="FG1147" i="1"/>
  <c r="FH1147" i="1"/>
  <c r="FI1147" i="1"/>
  <c r="FJ1147" i="1"/>
  <c r="FK1147" i="1"/>
  <c r="FL1147" i="1"/>
  <c r="FM1147" i="1"/>
  <c r="FN1147" i="1"/>
  <c r="FO1147" i="1"/>
  <c r="FP1147" i="1"/>
  <c r="FQ1147" i="1"/>
  <c r="FR1147" i="1"/>
  <c r="FS1147" i="1"/>
  <c r="FT1147" i="1"/>
  <c r="FU1147" i="1"/>
  <c r="FV1147" i="1"/>
  <c r="FW1147" i="1"/>
  <c r="FX1147" i="1"/>
  <c r="FY1147" i="1"/>
  <c r="FZ1147" i="1"/>
  <c r="GA1147" i="1"/>
  <c r="GB1147" i="1"/>
  <c r="GC1147" i="1"/>
  <c r="GD1147" i="1"/>
  <c r="GE1147" i="1"/>
  <c r="GF1147" i="1"/>
  <c r="GG1147" i="1"/>
  <c r="GH1147" i="1"/>
  <c r="GI1147" i="1"/>
  <c r="GJ1147" i="1"/>
  <c r="GK1147" i="1"/>
  <c r="GL1147" i="1"/>
  <c r="GM1147" i="1"/>
  <c r="GN1147" i="1"/>
  <c r="GO1147" i="1"/>
  <c r="GP1147" i="1"/>
  <c r="GQ1147" i="1"/>
  <c r="GR1147" i="1"/>
  <c r="GS1147" i="1"/>
  <c r="GT1147" i="1"/>
  <c r="GU1147" i="1"/>
  <c r="GV1147" i="1"/>
  <c r="GW1147" i="1"/>
  <c r="GX1147" i="1"/>
  <c r="C1149" i="1"/>
  <c r="D1149" i="1"/>
  <c r="I1149" i="1"/>
  <c r="AC1149" i="1"/>
  <c r="AE1149" i="1"/>
  <c r="AF1149" i="1"/>
  <c r="AG1149" i="1"/>
  <c r="CU1149" i="1" s="1"/>
  <c r="T1149" i="1" s="1"/>
  <c r="AH1149" i="1"/>
  <c r="AI1149" i="1"/>
  <c r="CW1149" i="1" s="1"/>
  <c r="AJ1149" i="1"/>
  <c r="CR1149" i="1"/>
  <c r="CV1149" i="1"/>
  <c r="CX1149" i="1"/>
  <c r="FR1149" i="1"/>
  <c r="GL1149" i="1"/>
  <c r="GO1149" i="1"/>
  <c r="GP1149" i="1"/>
  <c r="GV1149" i="1"/>
  <c r="HC1149" i="1" s="1"/>
  <c r="I1150" i="1"/>
  <c r="AC1150" i="1"/>
  <c r="AD1150" i="1"/>
  <c r="AE1150" i="1"/>
  <c r="AF1150" i="1"/>
  <c r="AG1150" i="1"/>
  <c r="CU1150" i="1" s="1"/>
  <c r="AH1150" i="1"/>
  <c r="CV1150" i="1" s="1"/>
  <c r="AI1150" i="1"/>
  <c r="CW1150" i="1" s="1"/>
  <c r="AJ1150" i="1"/>
  <c r="CX1150" i="1" s="1"/>
  <c r="CR1150" i="1"/>
  <c r="FR1150" i="1"/>
  <c r="GL1150" i="1"/>
  <c r="GO1150" i="1"/>
  <c r="GP1150" i="1"/>
  <c r="GV1150" i="1"/>
  <c r="HC1150" i="1" s="1"/>
  <c r="AC1151" i="1"/>
  <c r="AE1151" i="1"/>
  <c r="CR1151" i="1" s="1"/>
  <c r="AF1151" i="1"/>
  <c r="AG1151" i="1"/>
  <c r="CU1151" i="1" s="1"/>
  <c r="AH1151" i="1"/>
  <c r="CV1151" i="1" s="1"/>
  <c r="AI1151" i="1"/>
  <c r="AJ1151" i="1"/>
  <c r="CX1151" i="1" s="1"/>
  <c r="CW1151" i="1"/>
  <c r="FR1151" i="1"/>
  <c r="GL1151" i="1"/>
  <c r="GO1151" i="1"/>
  <c r="GP1151" i="1"/>
  <c r="GV1151" i="1"/>
  <c r="HC1151" i="1" s="1"/>
  <c r="AC1152" i="1"/>
  <c r="AE1152" i="1"/>
  <c r="AF1152" i="1"/>
  <c r="CT1152" i="1" s="1"/>
  <c r="AG1152" i="1"/>
  <c r="CU1152" i="1" s="1"/>
  <c r="AH1152" i="1"/>
  <c r="CV1152" i="1" s="1"/>
  <c r="AI1152" i="1"/>
  <c r="CW1152" i="1" s="1"/>
  <c r="AJ1152" i="1"/>
  <c r="CQ1152" i="1"/>
  <c r="CX1152" i="1"/>
  <c r="FR1152" i="1"/>
  <c r="GL1152" i="1"/>
  <c r="GO1152" i="1"/>
  <c r="GP1152" i="1"/>
  <c r="GV1152" i="1"/>
  <c r="HC1152" i="1" s="1"/>
  <c r="C1153" i="1"/>
  <c r="D1153" i="1"/>
  <c r="I1153" i="1"/>
  <c r="I1154" i="1" s="1"/>
  <c r="AC1153" i="1"/>
  <c r="AD1153" i="1"/>
  <c r="AE1153" i="1"/>
  <c r="AF1153" i="1"/>
  <c r="AG1153" i="1"/>
  <c r="CU1153" i="1" s="1"/>
  <c r="AH1153" i="1"/>
  <c r="CV1153" i="1" s="1"/>
  <c r="AI1153" i="1"/>
  <c r="CW1153" i="1" s="1"/>
  <c r="AJ1153" i="1"/>
  <c r="CX1153" i="1" s="1"/>
  <c r="CQ1153" i="1"/>
  <c r="CR1153" i="1"/>
  <c r="FR1153" i="1"/>
  <c r="BY1157" i="1" s="1"/>
  <c r="BY1147" i="1" s="1"/>
  <c r="GL1153" i="1"/>
  <c r="GO1153" i="1"/>
  <c r="GP1153" i="1"/>
  <c r="GV1153" i="1"/>
  <c r="HC1153" i="1" s="1"/>
  <c r="AC1154" i="1"/>
  <c r="AE1154" i="1"/>
  <c r="AF1154" i="1"/>
  <c r="AG1154" i="1"/>
  <c r="CU1154" i="1" s="1"/>
  <c r="AH1154" i="1"/>
  <c r="AI1154" i="1"/>
  <c r="CW1154" i="1" s="1"/>
  <c r="V1154" i="1" s="1"/>
  <c r="AJ1154" i="1"/>
  <c r="CX1154" i="1" s="1"/>
  <c r="CV1154" i="1"/>
  <c r="FR1154" i="1"/>
  <c r="GL1154" i="1"/>
  <c r="GO1154" i="1"/>
  <c r="GP1154" i="1"/>
  <c r="GV1154" i="1"/>
  <c r="HC1154" i="1" s="1"/>
  <c r="AC1155" i="1"/>
  <c r="AE1155" i="1"/>
  <c r="AF1155" i="1"/>
  <c r="AG1155" i="1"/>
  <c r="CU1155" i="1" s="1"/>
  <c r="AH1155" i="1"/>
  <c r="CV1155" i="1" s="1"/>
  <c r="AI1155" i="1"/>
  <c r="CW1155" i="1" s="1"/>
  <c r="AJ1155" i="1"/>
  <c r="CX1155" i="1" s="1"/>
  <c r="CQ1155" i="1"/>
  <c r="FR1155" i="1"/>
  <c r="GL1155" i="1"/>
  <c r="GO1155" i="1"/>
  <c r="GP1155" i="1"/>
  <c r="GV1155" i="1"/>
  <c r="HC1155" i="1" s="1"/>
  <c r="B1157" i="1"/>
  <c r="B1147" i="1" s="1"/>
  <c r="C1157" i="1"/>
  <c r="C1147" i="1" s="1"/>
  <c r="D1157" i="1"/>
  <c r="D1147" i="1" s="1"/>
  <c r="F1157" i="1"/>
  <c r="F1147" i="1" s="1"/>
  <c r="G1157" i="1"/>
  <c r="BX1157" i="1"/>
  <c r="BX1147" i="1" s="1"/>
  <c r="CK1157" i="1"/>
  <c r="CK1147" i="1" s="1"/>
  <c r="CL1157" i="1"/>
  <c r="CL1147" i="1" s="1"/>
  <c r="CM1157" i="1"/>
  <c r="BD1157" i="1" s="1"/>
  <c r="D1188" i="1"/>
  <c r="E1190" i="1"/>
  <c r="Z1190" i="1"/>
  <c r="AA1190" i="1"/>
  <c r="AM1190" i="1"/>
  <c r="AN1190" i="1"/>
  <c r="BE1190" i="1"/>
  <c r="BF1190" i="1"/>
  <c r="BG1190" i="1"/>
  <c r="BH1190" i="1"/>
  <c r="BI1190" i="1"/>
  <c r="BJ1190" i="1"/>
  <c r="BK1190" i="1"/>
  <c r="BL1190" i="1"/>
  <c r="BM1190" i="1"/>
  <c r="BN1190" i="1"/>
  <c r="BO1190" i="1"/>
  <c r="BP1190" i="1"/>
  <c r="BQ1190" i="1"/>
  <c r="BR1190" i="1"/>
  <c r="BS1190" i="1"/>
  <c r="BT1190" i="1"/>
  <c r="BU1190" i="1"/>
  <c r="BV1190" i="1"/>
  <c r="BW1190" i="1"/>
  <c r="CN1190" i="1"/>
  <c r="CO1190" i="1"/>
  <c r="CP1190" i="1"/>
  <c r="CQ1190" i="1"/>
  <c r="CR1190" i="1"/>
  <c r="CS1190" i="1"/>
  <c r="CT1190" i="1"/>
  <c r="CU1190" i="1"/>
  <c r="CV1190" i="1"/>
  <c r="CW1190" i="1"/>
  <c r="CX1190" i="1"/>
  <c r="CY1190" i="1"/>
  <c r="CZ1190" i="1"/>
  <c r="DA1190" i="1"/>
  <c r="DB1190" i="1"/>
  <c r="DC1190" i="1"/>
  <c r="DD1190" i="1"/>
  <c r="DE1190" i="1"/>
  <c r="DF1190" i="1"/>
  <c r="DG1190" i="1"/>
  <c r="DH1190" i="1"/>
  <c r="DI1190" i="1"/>
  <c r="DJ1190" i="1"/>
  <c r="DK1190" i="1"/>
  <c r="DL1190" i="1"/>
  <c r="DM1190" i="1"/>
  <c r="DN1190" i="1"/>
  <c r="DO1190" i="1"/>
  <c r="DP1190" i="1"/>
  <c r="DQ1190" i="1"/>
  <c r="DR1190" i="1"/>
  <c r="DS1190" i="1"/>
  <c r="DT1190" i="1"/>
  <c r="DU1190" i="1"/>
  <c r="DV1190" i="1"/>
  <c r="DW1190" i="1"/>
  <c r="DX1190" i="1"/>
  <c r="DY1190" i="1"/>
  <c r="DZ1190" i="1"/>
  <c r="EA1190" i="1"/>
  <c r="EB1190" i="1"/>
  <c r="EC1190" i="1"/>
  <c r="ED1190" i="1"/>
  <c r="EE1190" i="1"/>
  <c r="EF1190" i="1"/>
  <c r="EG1190" i="1"/>
  <c r="EH1190" i="1"/>
  <c r="EI1190" i="1"/>
  <c r="EJ1190" i="1"/>
  <c r="EK1190" i="1"/>
  <c r="EL1190" i="1"/>
  <c r="EM1190" i="1"/>
  <c r="EN1190" i="1"/>
  <c r="EO1190" i="1"/>
  <c r="EP1190" i="1"/>
  <c r="EQ1190" i="1"/>
  <c r="ER1190" i="1"/>
  <c r="ES1190" i="1"/>
  <c r="ET1190" i="1"/>
  <c r="EU1190" i="1"/>
  <c r="EV1190" i="1"/>
  <c r="EW1190" i="1"/>
  <c r="EX1190" i="1"/>
  <c r="EY1190" i="1"/>
  <c r="EZ1190" i="1"/>
  <c r="FA1190" i="1"/>
  <c r="FB1190" i="1"/>
  <c r="FC1190" i="1"/>
  <c r="FD1190" i="1"/>
  <c r="FE1190" i="1"/>
  <c r="FF1190" i="1"/>
  <c r="FG1190" i="1"/>
  <c r="FH1190" i="1"/>
  <c r="FI1190" i="1"/>
  <c r="FJ1190" i="1"/>
  <c r="FK1190" i="1"/>
  <c r="FL1190" i="1"/>
  <c r="FM1190" i="1"/>
  <c r="FN1190" i="1"/>
  <c r="FO1190" i="1"/>
  <c r="FP1190" i="1"/>
  <c r="FQ1190" i="1"/>
  <c r="FR1190" i="1"/>
  <c r="FS1190" i="1"/>
  <c r="FT1190" i="1"/>
  <c r="FU1190" i="1"/>
  <c r="FV1190" i="1"/>
  <c r="FW1190" i="1"/>
  <c r="FX1190" i="1"/>
  <c r="FY1190" i="1"/>
  <c r="FZ1190" i="1"/>
  <c r="GA1190" i="1"/>
  <c r="GB1190" i="1"/>
  <c r="GC1190" i="1"/>
  <c r="GD1190" i="1"/>
  <c r="GE1190" i="1"/>
  <c r="GF1190" i="1"/>
  <c r="GG1190" i="1"/>
  <c r="GH1190" i="1"/>
  <c r="GI1190" i="1"/>
  <c r="GJ1190" i="1"/>
  <c r="GK1190" i="1"/>
  <c r="GL1190" i="1"/>
  <c r="GM1190" i="1"/>
  <c r="GN1190" i="1"/>
  <c r="GO1190" i="1"/>
  <c r="GP1190" i="1"/>
  <c r="GQ1190" i="1"/>
  <c r="GR1190" i="1"/>
  <c r="GS1190" i="1"/>
  <c r="GT1190" i="1"/>
  <c r="GU1190" i="1"/>
  <c r="GV1190" i="1"/>
  <c r="GW1190" i="1"/>
  <c r="GX1190" i="1"/>
  <c r="C1192" i="1"/>
  <c r="D1192" i="1"/>
  <c r="I1192" i="1"/>
  <c r="R1192" i="1" s="1"/>
  <c r="AC1192" i="1"/>
  <c r="AE1192" i="1"/>
  <c r="AF1192" i="1"/>
  <c r="AG1192" i="1"/>
  <c r="CU1192" i="1" s="1"/>
  <c r="AH1192" i="1"/>
  <c r="CV1192" i="1" s="1"/>
  <c r="AI1192" i="1"/>
  <c r="AJ1192" i="1"/>
  <c r="CX1192" i="1" s="1"/>
  <c r="CR1192" i="1"/>
  <c r="CS1192" i="1"/>
  <c r="CW1192" i="1"/>
  <c r="FR1192" i="1"/>
  <c r="GL1192" i="1"/>
  <c r="GO1192" i="1"/>
  <c r="GP1192" i="1"/>
  <c r="GV1192" i="1"/>
  <c r="HC1192" i="1" s="1"/>
  <c r="AC1193" i="1"/>
  <c r="AE1193" i="1"/>
  <c r="AF1193" i="1"/>
  <c r="CT1193" i="1" s="1"/>
  <c r="AG1193" i="1"/>
  <c r="CU1193" i="1" s="1"/>
  <c r="AH1193" i="1"/>
  <c r="CV1193" i="1" s="1"/>
  <c r="AI1193" i="1"/>
  <c r="CW1193" i="1" s="1"/>
  <c r="AJ1193" i="1"/>
  <c r="CQ1193" i="1"/>
  <c r="CX1193" i="1"/>
  <c r="FR1193" i="1"/>
  <c r="GL1193" i="1"/>
  <c r="GO1193" i="1"/>
  <c r="GP1193" i="1"/>
  <c r="GV1193" i="1"/>
  <c r="HC1193" i="1" s="1"/>
  <c r="C1194" i="1"/>
  <c r="D1194" i="1"/>
  <c r="I1194" i="1"/>
  <c r="AC1194" i="1"/>
  <c r="AE1194" i="1"/>
  <c r="AF1194" i="1"/>
  <c r="CT1194" i="1" s="1"/>
  <c r="AG1194" i="1"/>
  <c r="CU1194" i="1" s="1"/>
  <c r="T1194" i="1" s="1"/>
  <c r="AH1194" i="1"/>
  <c r="CV1194" i="1" s="1"/>
  <c r="AI1194" i="1"/>
  <c r="CW1194" i="1" s="1"/>
  <c r="V1194" i="1" s="1"/>
  <c r="AJ1194" i="1"/>
  <c r="CX1194" i="1" s="1"/>
  <c r="W1194" i="1" s="1"/>
  <c r="CQ1194" i="1"/>
  <c r="FR1194" i="1"/>
  <c r="GL1194" i="1"/>
  <c r="GO1194" i="1"/>
  <c r="GP1194" i="1"/>
  <c r="GV1194" i="1"/>
  <c r="HC1194" i="1" s="1"/>
  <c r="GX1194" i="1" s="1"/>
  <c r="I1195" i="1"/>
  <c r="AC1195" i="1"/>
  <c r="AE1195" i="1"/>
  <c r="AF1195" i="1"/>
  <c r="AG1195" i="1"/>
  <c r="CU1195" i="1" s="1"/>
  <c r="AH1195" i="1"/>
  <c r="AI1195" i="1"/>
  <c r="CW1195" i="1" s="1"/>
  <c r="V1195" i="1" s="1"/>
  <c r="AJ1195" i="1"/>
  <c r="CX1195" i="1" s="1"/>
  <c r="W1195" i="1" s="1"/>
  <c r="CV1195" i="1"/>
  <c r="FR1195" i="1"/>
  <c r="GL1195" i="1"/>
  <c r="GO1195" i="1"/>
  <c r="GP1195" i="1"/>
  <c r="GV1195" i="1"/>
  <c r="HC1195" i="1" s="1"/>
  <c r="B1197" i="1"/>
  <c r="B1190" i="1" s="1"/>
  <c r="C1197" i="1"/>
  <c r="C1190" i="1" s="1"/>
  <c r="D1197" i="1"/>
  <c r="D1190" i="1" s="1"/>
  <c r="F1197" i="1"/>
  <c r="F1190" i="1" s="1"/>
  <c r="G1197" i="1"/>
  <c r="BX1197" i="1"/>
  <c r="BX1190" i="1" s="1"/>
  <c r="CK1197" i="1"/>
  <c r="BB1197" i="1" s="1"/>
  <c r="CL1197" i="1"/>
  <c r="BC1197" i="1" s="1"/>
  <c r="CM1197" i="1"/>
  <c r="BD1197" i="1" s="1"/>
  <c r="D1228" i="1"/>
  <c r="E1230" i="1"/>
  <c r="Z1230" i="1"/>
  <c r="AA1230" i="1"/>
  <c r="AB1230" i="1"/>
  <c r="AC1230" i="1"/>
  <c r="AD1230" i="1"/>
  <c r="AE1230" i="1"/>
  <c r="AF1230" i="1"/>
  <c r="AG1230" i="1"/>
  <c r="AH1230" i="1"/>
  <c r="AI1230" i="1"/>
  <c r="AJ1230" i="1"/>
  <c r="AK1230" i="1"/>
  <c r="AL1230" i="1"/>
  <c r="AM1230" i="1"/>
  <c r="AN1230" i="1"/>
  <c r="AU1230" i="1"/>
  <c r="BE1230" i="1"/>
  <c r="BF1230" i="1"/>
  <c r="BG1230" i="1"/>
  <c r="BH1230" i="1"/>
  <c r="BI1230" i="1"/>
  <c r="BJ1230" i="1"/>
  <c r="BK1230" i="1"/>
  <c r="BL1230" i="1"/>
  <c r="BM1230" i="1"/>
  <c r="BN1230" i="1"/>
  <c r="BO1230" i="1"/>
  <c r="BP1230" i="1"/>
  <c r="BQ1230" i="1"/>
  <c r="BR1230" i="1"/>
  <c r="BS1230" i="1"/>
  <c r="BT1230" i="1"/>
  <c r="BU1230" i="1"/>
  <c r="BV1230" i="1"/>
  <c r="BW1230" i="1"/>
  <c r="BX1230" i="1"/>
  <c r="BY1230" i="1"/>
  <c r="BZ1230" i="1"/>
  <c r="CA1230" i="1"/>
  <c r="CB1230" i="1"/>
  <c r="CC1230" i="1"/>
  <c r="CD1230" i="1"/>
  <c r="CE1230" i="1"/>
  <c r="CF1230" i="1"/>
  <c r="CG1230" i="1"/>
  <c r="CH1230" i="1"/>
  <c r="CI1230" i="1"/>
  <c r="CJ1230" i="1"/>
  <c r="CK1230" i="1"/>
  <c r="CL1230" i="1"/>
  <c r="CM1230" i="1"/>
  <c r="CN1230" i="1"/>
  <c r="CO1230" i="1"/>
  <c r="CP1230" i="1"/>
  <c r="CQ1230" i="1"/>
  <c r="CR1230" i="1"/>
  <c r="CS1230" i="1"/>
  <c r="CT1230" i="1"/>
  <c r="CU1230" i="1"/>
  <c r="CV1230" i="1"/>
  <c r="CW1230" i="1"/>
  <c r="CX1230" i="1"/>
  <c r="CY1230" i="1"/>
  <c r="CZ1230" i="1"/>
  <c r="DA1230" i="1"/>
  <c r="DB1230" i="1"/>
  <c r="DC1230" i="1"/>
  <c r="DD1230" i="1"/>
  <c r="DE1230" i="1"/>
  <c r="DF1230" i="1"/>
  <c r="DG1230" i="1"/>
  <c r="DH1230" i="1"/>
  <c r="DI1230" i="1"/>
  <c r="DJ1230" i="1"/>
  <c r="DK1230" i="1"/>
  <c r="DL1230" i="1"/>
  <c r="DM1230" i="1"/>
  <c r="DN1230" i="1"/>
  <c r="DO1230" i="1"/>
  <c r="DP1230" i="1"/>
  <c r="DQ1230" i="1"/>
  <c r="DR1230" i="1"/>
  <c r="DS1230" i="1"/>
  <c r="DT1230" i="1"/>
  <c r="DU1230" i="1"/>
  <c r="DV1230" i="1"/>
  <c r="DW1230" i="1"/>
  <c r="DX1230" i="1"/>
  <c r="DY1230" i="1"/>
  <c r="DZ1230" i="1"/>
  <c r="EA1230" i="1"/>
  <c r="EB1230" i="1"/>
  <c r="EC1230" i="1"/>
  <c r="ED1230" i="1"/>
  <c r="EE1230" i="1"/>
  <c r="EF1230" i="1"/>
  <c r="EG1230" i="1"/>
  <c r="EH1230" i="1"/>
  <c r="EI1230" i="1"/>
  <c r="EJ1230" i="1"/>
  <c r="EK1230" i="1"/>
  <c r="EL1230" i="1"/>
  <c r="EM1230" i="1"/>
  <c r="EN1230" i="1"/>
  <c r="EO1230" i="1"/>
  <c r="EP1230" i="1"/>
  <c r="EQ1230" i="1"/>
  <c r="ER1230" i="1"/>
  <c r="ES1230" i="1"/>
  <c r="ET1230" i="1"/>
  <c r="EU1230" i="1"/>
  <c r="EV1230" i="1"/>
  <c r="EW1230" i="1"/>
  <c r="EX1230" i="1"/>
  <c r="EY1230" i="1"/>
  <c r="EZ1230" i="1"/>
  <c r="FA1230" i="1"/>
  <c r="FB1230" i="1"/>
  <c r="FC1230" i="1"/>
  <c r="FD1230" i="1"/>
  <c r="FE1230" i="1"/>
  <c r="FF1230" i="1"/>
  <c r="FG1230" i="1"/>
  <c r="FH1230" i="1"/>
  <c r="FI1230" i="1"/>
  <c r="FJ1230" i="1"/>
  <c r="FK1230" i="1"/>
  <c r="FL1230" i="1"/>
  <c r="FM1230" i="1"/>
  <c r="FN1230" i="1"/>
  <c r="FO1230" i="1"/>
  <c r="FP1230" i="1"/>
  <c r="FQ1230" i="1"/>
  <c r="FR1230" i="1"/>
  <c r="FS1230" i="1"/>
  <c r="FT1230" i="1"/>
  <c r="FU1230" i="1"/>
  <c r="FV1230" i="1"/>
  <c r="FW1230" i="1"/>
  <c r="FX1230" i="1"/>
  <c r="FY1230" i="1"/>
  <c r="FZ1230" i="1"/>
  <c r="GA1230" i="1"/>
  <c r="GB1230" i="1"/>
  <c r="GC1230" i="1"/>
  <c r="GD1230" i="1"/>
  <c r="GE1230" i="1"/>
  <c r="GF1230" i="1"/>
  <c r="GG1230" i="1"/>
  <c r="GH1230" i="1"/>
  <c r="GI1230" i="1"/>
  <c r="GJ1230" i="1"/>
  <c r="GK1230" i="1"/>
  <c r="GL1230" i="1"/>
  <c r="GM1230" i="1"/>
  <c r="GN1230" i="1"/>
  <c r="GO1230" i="1"/>
  <c r="GP1230" i="1"/>
  <c r="GQ1230" i="1"/>
  <c r="GR1230" i="1"/>
  <c r="GS1230" i="1"/>
  <c r="GT1230" i="1"/>
  <c r="GU1230" i="1"/>
  <c r="GV1230" i="1"/>
  <c r="GW1230" i="1"/>
  <c r="GX1230" i="1"/>
  <c r="B1232" i="1"/>
  <c r="B1230" i="1" s="1"/>
  <c r="C1232" i="1"/>
  <c r="C1230" i="1" s="1"/>
  <c r="D1232" i="1"/>
  <c r="D1230" i="1" s="1"/>
  <c r="F1232" i="1"/>
  <c r="F1230" i="1" s="1"/>
  <c r="G1232" i="1"/>
  <c r="G1230" i="1" s="1"/>
  <c r="O1232" i="1"/>
  <c r="F1234" i="1" s="1"/>
  <c r="P1232" i="1"/>
  <c r="P1230" i="1" s="1"/>
  <c r="Q1232" i="1"/>
  <c r="Q1230" i="1" s="1"/>
  <c r="R1232" i="1"/>
  <c r="S1232" i="1"/>
  <c r="S1230" i="1" s="1"/>
  <c r="T1232" i="1"/>
  <c r="T1230" i="1" s="1"/>
  <c r="U1232" i="1"/>
  <c r="U1230" i="1" s="1"/>
  <c r="V1232" i="1"/>
  <c r="V1230" i="1" s="1"/>
  <c r="W1232" i="1"/>
  <c r="F1256" i="1" s="1"/>
  <c r="X1232" i="1"/>
  <c r="X1230" i="1" s="1"/>
  <c r="Y1232" i="1"/>
  <c r="Y1230" i="1" s="1"/>
  <c r="AO1232" i="1"/>
  <c r="AO1230" i="1" s="1"/>
  <c r="AP1232" i="1"/>
  <c r="AP1230" i="1" s="1"/>
  <c r="AQ1232" i="1"/>
  <c r="AQ1230" i="1" s="1"/>
  <c r="AR1232" i="1"/>
  <c r="F1260" i="1" s="1"/>
  <c r="AS1232" i="1"/>
  <c r="F1249" i="1" s="1"/>
  <c r="AT1232" i="1"/>
  <c r="AT1230" i="1" s="1"/>
  <c r="AU1232" i="1"/>
  <c r="F1251" i="1" s="1"/>
  <c r="AV1232" i="1"/>
  <c r="AV1230" i="1" s="1"/>
  <c r="AW1232" i="1"/>
  <c r="AW1230" i="1" s="1"/>
  <c r="AX1232" i="1"/>
  <c r="AX1230" i="1" s="1"/>
  <c r="AY1232" i="1"/>
  <c r="AY1230" i="1" s="1"/>
  <c r="AZ1232" i="1"/>
  <c r="AZ1230" i="1" s="1"/>
  <c r="BA1232" i="1"/>
  <c r="BA1230" i="1" s="1"/>
  <c r="BB1232" i="1"/>
  <c r="BB1230" i="1" s="1"/>
  <c r="BC1232" i="1"/>
  <c r="BC1230" i="1" s="1"/>
  <c r="BD1232" i="1"/>
  <c r="BD1230" i="1" s="1"/>
  <c r="F1238" i="1"/>
  <c r="F1241" i="1"/>
  <c r="F1242" i="1"/>
  <c r="F1247" i="1"/>
  <c r="F1248" i="1"/>
  <c r="F1253" i="1"/>
  <c r="F1254" i="1"/>
  <c r="D1262" i="1"/>
  <c r="E1264" i="1"/>
  <c r="G1264" i="1"/>
  <c r="Q1264" i="1"/>
  <c r="Y1264" i="1"/>
  <c r="Z1264" i="1"/>
  <c r="AA1264" i="1"/>
  <c r="AB1264" i="1"/>
  <c r="AC1264" i="1"/>
  <c r="AD1264" i="1"/>
  <c r="AE1264" i="1"/>
  <c r="AF1264" i="1"/>
  <c r="AG1264" i="1"/>
  <c r="AH1264" i="1"/>
  <c r="AI1264" i="1"/>
  <c r="AJ1264" i="1"/>
  <c r="AK1264" i="1"/>
  <c r="AL1264" i="1"/>
  <c r="AM1264" i="1"/>
  <c r="AN1264" i="1"/>
  <c r="AO1264" i="1"/>
  <c r="BE1264" i="1"/>
  <c r="BF1264" i="1"/>
  <c r="BG1264" i="1"/>
  <c r="BH1264" i="1"/>
  <c r="BI1264" i="1"/>
  <c r="BJ1264" i="1"/>
  <c r="BK1264" i="1"/>
  <c r="BL1264" i="1"/>
  <c r="BM1264" i="1"/>
  <c r="BN1264" i="1"/>
  <c r="BO1264" i="1"/>
  <c r="BP1264" i="1"/>
  <c r="BQ1264" i="1"/>
  <c r="BR1264" i="1"/>
  <c r="BS1264" i="1"/>
  <c r="BT1264" i="1"/>
  <c r="BU1264" i="1"/>
  <c r="BV1264" i="1"/>
  <c r="BW1264" i="1"/>
  <c r="BX1264" i="1"/>
  <c r="BY1264" i="1"/>
  <c r="BZ1264" i="1"/>
  <c r="CA1264" i="1"/>
  <c r="CB1264" i="1"/>
  <c r="CC1264" i="1"/>
  <c r="CD1264" i="1"/>
  <c r="CE1264" i="1"/>
  <c r="CF1264" i="1"/>
  <c r="CG1264" i="1"/>
  <c r="CH1264" i="1"/>
  <c r="CI1264" i="1"/>
  <c r="CJ1264" i="1"/>
  <c r="CK1264" i="1"/>
  <c r="CL1264" i="1"/>
  <c r="CM1264" i="1"/>
  <c r="CN1264" i="1"/>
  <c r="CO1264" i="1"/>
  <c r="CP1264" i="1"/>
  <c r="CQ1264" i="1"/>
  <c r="CR1264" i="1"/>
  <c r="CS1264" i="1"/>
  <c r="CT1264" i="1"/>
  <c r="CU1264" i="1"/>
  <c r="CV1264" i="1"/>
  <c r="CW1264" i="1"/>
  <c r="CX1264" i="1"/>
  <c r="CY1264" i="1"/>
  <c r="CZ1264" i="1"/>
  <c r="DA1264" i="1"/>
  <c r="DB1264" i="1"/>
  <c r="DC1264" i="1"/>
  <c r="DD1264" i="1"/>
  <c r="DE1264" i="1"/>
  <c r="DF1264" i="1"/>
  <c r="DG1264" i="1"/>
  <c r="DH1264" i="1"/>
  <c r="DI1264" i="1"/>
  <c r="DJ1264" i="1"/>
  <c r="DK1264" i="1"/>
  <c r="DL1264" i="1"/>
  <c r="DM1264" i="1"/>
  <c r="DN1264" i="1"/>
  <c r="DO1264" i="1"/>
  <c r="DP1264" i="1"/>
  <c r="DQ1264" i="1"/>
  <c r="DR1264" i="1"/>
  <c r="DS1264" i="1"/>
  <c r="DT1264" i="1"/>
  <c r="DU1264" i="1"/>
  <c r="DV1264" i="1"/>
  <c r="DW1264" i="1"/>
  <c r="DX1264" i="1"/>
  <c r="DY1264" i="1"/>
  <c r="DZ1264" i="1"/>
  <c r="EA1264" i="1"/>
  <c r="EB1264" i="1"/>
  <c r="EC1264" i="1"/>
  <c r="ED1264" i="1"/>
  <c r="EE1264" i="1"/>
  <c r="EF1264" i="1"/>
  <c r="EG1264" i="1"/>
  <c r="EH1264" i="1"/>
  <c r="EI1264" i="1"/>
  <c r="EJ1264" i="1"/>
  <c r="EK1264" i="1"/>
  <c r="EL1264" i="1"/>
  <c r="EM1264" i="1"/>
  <c r="EN1264" i="1"/>
  <c r="EO1264" i="1"/>
  <c r="EP1264" i="1"/>
  <c r="EQ1264" i="1"/>
  <c r="ER1264" i="1"/>
  <c r="ES1264" i="1"/>
  <c r="ET1264" i="1"/>
  <c r="EU1264" i="1"/>
  <c r="EV1264" i="1"/>
  <c r="EW1264" i="1"/>
  <c r="EX1264" i="1"/>
  <c r="EY1264" i="1"/>
  <c r="EZ1264" i="1"/>
  <c r="FA1264" i="1"/>
  <c r="FB1264" i="1"/>
  <c r="FC1264" i="1"/>
  <c r="FD1264" i="1"/>
  <c r="FE1264" i="1"/>
  <c r="FF1264" i="1"/>
  <c r="FG1264" i="1"/>
  <c r="FH1264" i="1"/>
  <c r="FI1264" i="1"/>
  <c r="FJ1264" i="1"/>
  <c r="FK1264" i="1"/>
  <c r="FL1264" i="1"/>
  <c r="FM1264" i="1"/>
  <c r="FN1264" i="1"/>
  <c r="FO1264" i="1"/>
  <c r="FP1264" i="1"/>
  <c r="FQ1264" i="1"/>
  <c r="FR1264" i="1"/>
  <c r="FS1264" i="1"/>
  <c r="FT1264" i="1"/>
  <c r="FU1264" i="1"/>
  <c r="FV1264" i="1"/>
  <c r="FW1264" i="1"/>
  <c r="FX1264" i="1"/>
  <c r="FY1264" i="1"/>
  <c r="FZ1264" i="1"/>
  <c r="GA1264" i="1"/>
  <c r="GB1264" i="1"/>
  <c r="GC1264" i="1"/>
  <c r="GD1264" i="1"/>
  <c r="GE1264" i="1"/>
  <c r="GF1264" i="1"/>
  <c r="GG1264" i="1"/>
  <c r="GH1264" i="1"/>
  <c r="GI1264" i="1"/>
  <c r="GJ1264" i="1"/>
  <c r="GK1264" i="1"/>
  <c r="GL1264" i="1"/>
  <c r="GM1264" i="1"/>
  <c r="GN1264" i="1"/>
  <c r="GO1264" i="1"/>
  <c r="GP1264" i="1"/>
  <c r="GQ1264" i="1"/>
  <c r="GR1264" i="1"/>
  <c r="GS1264" i="1"/>
  <c r="GT1264" i="1"/>
  <c r="GU1264" i="1"/>
  <c r="GV1264" i="1"/>
  <c r="GW1264" i="1"/>
  <c r="GX1264" i="1"/>
  <c r="B1266" i="1"/>
  <c r="B1264" i="1" s="1"/>
  <c r="C1266" i="1"/>
  <c r="C1264" i="1" s="1"/>
  <c r="D1266" i="1"/>
  <c r="D1264" i="1" s="1"/>
  <c r="F1266" i="1"/>
  <c r="F1264" i="1" s="1"/>
  <c r="G1266" i="1"/>
  <c r="O1266" i="1"/>
  <c r="O1264" i="1" s="1"/>
  <c r="P1266" i="1"/>
  <c r="P1264" i="1" s="1"/>
  <c r="Q1266" i="1"/>
  <c r="R1266" i="1"/>
  <c r="R1264" i="1" s="1"/>
  <c r="S1266" i="1"/>
  <c r="S1264" i="1" s="1"/>
  <c r="T1266" i="1"/>
  <c r="T1264" i="1" s="1"/>
  <c r="U1266" i="1"/>
  <c r="F1288" i="1" s="1"/>
  <c r="V1266" i="1"/>
  <c r="W1266" i="1"/>
  <c r="W1264" i="1" s="1"/>
  <c r="X1266" i="1"/>
  <c r="X1264" i="1" s="1"/>
  <c r="Y1266" i="1"/>
  <c r="AO1266" i="1"/>
  <c r="AP1266" i="1"/>
  <c r="AP1264" i="1" s="1"/>
  <c r="AQ1266" i="1"/>
  <c r="AQ1264" i="1" s="1"/>
  <c r="AR1266" i="1"/>
  <c r="AR1264" i="1" s="1"/>
  <c r="AS1266" i="1"/>
  <c r="AT1266" i="1"/>
  <c r="F1284" i="1" s="1"/>
  <c r="AU1266" i="1"/>
  <c r="F1285" i="1" s="1"/>
  <c r="AV1266" i="1"/>
  <c r="AV1264" i="1" s="1"/>
  <c r="AW1266" i="1"/>
  <c r="AX1266" i="1"/>
  <c r="AX1264" i="1" s="1"/>
  <c r="AY1266" i="1"/>
  <c r="AY1264" i="1" s="1"/>
  <c r="AZ1266" i="1"/>
  <c r="AZ1264" i="1" s="1"/>
  <c r="BA1266" i="1"/>
  <c r="BB1266" i="1"/>
  <c r="BB1264" i="1" s="1"/>
  <c r="BC1266" i="1"/>
  <c r="BC1264" i="1" s="1"/>
  <c r="BD1266" i="1"/>
  <c r="BD1264" i="1" s="1"/>
  <c r="F1270" i="1"/>
  <c r="F1271" i="1"/>
  <c r="F1277" i="1"/>
  <c r="F1278" i="1"/>
  <c r="F1291" i="1"/>
  <c r="F1293" i="1"/>
  <c r="F1294" i="1"/>
  <c r="D1296" i="1"/>
  <c r="E1298" i="1"/>
  <c r="Z1298" i="1"/>
  <c r="AA1298" i="1"/>
  <c r="AM1298" i="1"/>
  <c r="AN1298" i="1"/>
  <c r="BE1298" i="1"/>
  <c r="BF1298" i="1"/>
  <c r="BG1298" i="1"/>
  <c r="BH1298" i="1"/>
  <c r="BI1298" i="1"/>
  <c r="BJ1298" i="1"/>
  <c r="BK1298" i="1"/>
  <c r="BL1298" i="1"/>
  <c r="BM1298" i="1"/>
  <c r="BN1298" i="1"/>
  <c r="BO1298" i="1"/>
  <c r="BP1298" i="1"/>
  <c r="BQ1298" i="1"/>
  <c r="BR1298" i="1"/>
  <c r="BS1298" i="1"/>
  <c r="BT1298" i="1"/>
  <c r="BU1298" i="1"/>
  <c r="BV1298" i="1"/>
  <c r="BW1298" i="1"/>
  <c r="CN1298" i="1"/>
  <c r="CO1298" i="1"/>
  <c r="CP1298" i="1"/>
  <c r="CQ1298" i="1"/>
  <c r="CR1298" i="1"/>
  <c r="CS1298" i="1"/>
  <c r="CT1298" i="1"/>
  <c r="CU1298" i="1"/>
  <c r="CV1298" i="1"/>
  <c r="CW1298" i="1"/>
  <c r="CX1298" i="1"/>
  <c r="CY1298" i="1"/>
  <c r="CZ1298" i="1"/>
  <c r="DA1298" i="1"/>
  <c r="DB1298" i="1"/>
  <c r="DC1298" i="1"/>
  <c r="DD1298" i="1"/>
  <c r="DE1298" i="1"/>
  <c r="DF1298" i="1"/>
  <c r="DG1298" i="1"/>
  <c r="DH1298" i="1"/>
  <c r="DI1298" i="1"/>
  <c r="DJ1298" i="1"/>
  <c r="DK1298" i="1"/>
  <c r="DL1298" i="1"/>
  <c r="DM1298" i="1"/>
  <c r="DN1298" i="1"/>
  <c r="DO1298" i="1"/>
  <c r="DP1298" i="1"/>
  <c r="DQ1298" i="1"/>
  <c r="DR1298" i="1"/>
  <c r="DS1298" i="1"/>
  <c r="DT1298" i="1"/>
  <c r="DU1298" i="1"/>
  <c r="DV1298" i="1"/>
  <c r="DW1298" i="1"/>
  <c r="DX1298" i="1"/>
  <c r="DY1298" i="1"/>
  <c r="DZ1298" i="1"/>
  <c r="EA1298" i="1"/>
  <c r="EB1298" i="1"/>
  <c r="EC1298" i="1"/>
  <c r="ED1298" i="1"/>
  <c r="EE1298" i="1"/>
  <c r="EF1298" i="1"/>
  <c r="EG1298" i="1"/>
  <c r="EH1298" i="1"/>
  <c r="EI1298" i="1"/>
  <c r="EJ1298" i="1"/>
  <c r="EK1298" i="1"/>
  <c r="EL1298" i="1"/>
  <c r="EM1298" i="1"/>
  <c r="EN1298" i="1"/>
  <c r="EO1298" i="1"/>
  <c r="EP1298" i="1"/>
  <c r="EQ1298" i="1"/>
  <c r="ER1298" i="1"/>
  <c r="ES1298" i="1"/>
  <c r="ET1298" i="1"/>
  <c r="EU1298" i="1"/>
  <c r="EV1298" i="1"/>
  <c r="EW1298" i="1"/>
  <c r="EX1298" i="1"/>
  <c r="EY1298" i="1"/>
  <c r="EZ1298" i="1"/>
  <c r="FA1298" i="1"/>
  <c r="FB1298" i="1"/>
  <c r="FC1298" i="1"/>
  <c r="FD1298" i="1"/>
  <c r="FE1298" i="1"/>
  <c r="FF1298" i="1"/>
  <c r="FG1298" i="1"/>
  <c r="FH1298" i="1"/>
  <c r="FI1298" i="1"/>
  <c r="FJ1298" i="1"/>
  <c r="FK1298" i="1"/>
  <c r="FL1298" i="1"/>
  <c r="FM1298" i="1"/>
  <c r="FN1298" i="1"/>
  <c r="FO1298" i="1"/>
  <c r="FP1298" i="1"/>
  <c r="FQ1298" i="1"/>
  <c r="FR1298" i="1"/>
  <c r="FS1298" i="1"/>
  <c r="FT1298" i="1"/>
  <c r="FU1298" i="1"/>
  <c r="FV1298" i="1"/>
  <c r="FW1298" i="1"/>
  <c r="FX1298" i="1"/>
  <c r="FY1298" i="1"/>
  <c r="FZ1298" i="1"/>
  <c r="GA1298" i="1"/>
  <c r="GB1298" i="1"/>
  <c r="GC1298" i="1"/>
  <c r="GD1298" i="1"/>
  <c r="GE1298" i="1"/>
  <c r="GF1298" i="1"/>
  <c r="GG1298" i="1"/>
  <c r="GH1298" i="1"/>
  <c r="GI1298" i="1"/>
  <c r="GJ1298" i="1"/>
  <c r="GK1298" i="1"/>
  <c r="GL1298" i="1"/>
  <c r="GM1298" i="1"/>
  <c r="GN1298" i="1"/>
  <c r="GO1298" i="1"/>
  <c r="GP1298" i="1"/>
  <c r="GQ1298" i="1"/>
  <c r="GR1298" i="1"/>
  <c r="GS1298" i="1"/>
  <c r="GT1298" i="1"/>
  <c r="GU1298" i="1"/>
  <c r="GV1298" i="1"/>
  <c r="GW1298" i="1"/>
  <c r="GX1298" i="1"/>
  <c r="C1300" i="1"/>
  <c r="D1300" i="1"/>
  <c r="I1300" i="1"/>
  <c r="P1300" i="1" s="1"/>
  <c r="K905" i="5" s="1"/>
  <c r="AC1300" i="1"/>
  <c r="AE1300" i="1"/>
  <c r="AD1300" i="1" s="1"/>
  <c r="AF1300" i="1"/>
  <c r="AG1300" i="1"/>
  <c r="CU1300" i="1" s="1"/>
  <c r="T1300" i="1" s="1"/>
  <c r="AH1300" i="1"/>
  <c r="CV1300" i="1" s="1"/>
  <c r="AI1300" i="1"/>
  <c r="CW1300" i="1" s="1"/>
  <c r="V1300" i="1" s="1"/>
  <c r="AJ1300" i="1"/>
  <c r="CX1300" i="1" s="1"/>
  <c r="W1300" i="1" s="1"/>
  <c r="CQ1300" i="1"/>
  <c r="FR1300" i="1"/>
  <c r="GL1300" i="1"/>
  <c r="BZ1307" i="1" s="1"/>
  <c r="GO1300" i="1"/>
  <c r="GP1300" i="1"/>
  <c r="GV1300" i="1"/>
  <c r="HC1300" i="1" s="1"/>
  <c r="GX1300" i="1" s="1"/>
  <c r="AC1301" i="1"/>
  <c r="AE1301" i="1"/>
  <c r="AF1301" i="1"/>
  <c r="AG1301" i="1"/>
  <c r="CU1301" i="1" s="1"/>
  <c r="AH1301" i="1"/>
  <c r="AI1301" i="1"/>
  <c r="CW1301" i="1" s="1"/>
  <c r="AJ1301" i="1"/>
  <c r="CX1301" i="1" s="1"/>
  <c r="CV1301" i="1"/>
  <c r="FR1301" i="1"/>
  <c r="GL1301" i="1"/>
  <c r="GO1301" i="1"/>
  <c r="GP1301" i="1"/>
  <c r="GV1301" i="1"/>
  <c r="HC1301" i="1" s="1"/>
  <c r="C1302" i="1"/>
  <c r="D1302" i="1"/>
  <c r="I1302" i="1"/>
  <c r="AC1302" i="1"/>
  <c r="AE1302" i="1"/>
  <c r="AF1302" i="1"/>
  <c r="AG1302" i="1"/>
  <c r="CU1302" i="1" s="1"/>
  <c r="T1302" i="1" s="1"/>
  <c r="AH1302" i="1"/>
  <c r="AI1302" i="1"/>
  <c r="CW1302" i="1" s="1"/>
  <c r="AJ1302" i="1"/>
  <c r="CX1302" i="1" s="1"/>
  <c r="W1302" i="1" s="1"/>
  <c r="CV1302" i="1"/>
  <c r="U1302" i="1" s="1"/>
  <c r="I922" i="5" s="1"/>
  <c r="FR1302" i="1"/>
  <c r="GL1302" i="1"/>
  <c r="GO1302" i="1"/>
  <c r="GP1302" i="1"/>
  <c r="GV1302" i="1"/>
  <c r="HC1302" i="1" s="1"/>
  <c r="AC1303" i="1"/>
  <c r="AD1303" i="1"/>
  <c r="AE1303" i="1"/>
  <c r="AF1303" i="1"/>
  <c r="AG1303" i="1"/>
  <c r="CU1303" i="1" s="1"/>
  <c r="AH1303" i="1"/>
  <c r="CV1303" i="1" s="1"/>
  <c r="AI1303" i="1"/>
  <c r="CW1303" i="1" s="1"/>
  <c r="AJ1303" i="1"/>
  <c r="CQ1303" i="1"/>
  <c r="CR1303" i="1"/>
  <c r="CX1303" i="1"/>
  <c r="FR1303" i="1"/>
  <c r="GL1303" i="1"/>
  <c r="GO1303" i="1"/>
  <c r="GP1303" i="1"/>
  <c r="GV1303" i="1"/>
  <c r="HC1303" i="1" s="1"/>
  <c r="C1304" i="1"/>
  <c r="D1304" i="1"/>
  <c r="I1304" i="1"/>
  <c r="AC1304" i="1"/>
  <c r="AE1304" i="1"/>
  <c r="AF1304" i="1"/>
  <c r="AG1304" i="1"/>
  <c r="CU1304" i="1" s="1"/>
  <c r="AH1304" i="1"/>
  <c r="CV1304" i="1" s="1"/>
  <c r="AI1304" i="1"/>
  <c r="CW1304" i="1" s="1"/>
  <c r="AJ1304" i="1"/>
  <c r="CQ1304" i="1"/>
  <c r="CX1304" i="1"/>
  <c r="FR1304" i="1"/>
  <c r="GL1304" i="1"/>
  <c r="GO1304" i="1"/>
  <c r="GP1304" i="1"/>
  <c r="GV1304" i="1"/>
  <c r="HC1304" i="1" s="1"/>
  <c r="AC1305" i="1"/>
  <c r="AE1305" i="1"/>
  <c r="CR1305" i="1" s="1"/>
  <c r="AF1305" i="1"/>
  <c r="AG1305" i="1"/>
  <c r="CU1305" i="1" s="1"/>
  <c r="AH1305" i="1"/>
  <c r="AI1305" i="1"/>
  <c r="CW1305" i="1" s="1"/>
  <c r="AJ1305" i="1"/>
  <c r="CX1305" i="1" s="1"/>
  <c r="CV1305" i="1"/>
  <c r="FR1305" i="1"/>
  <c r="GL1305" i="1"/>
  <c r="GO1305" i="1"/>
  <c r="GP1305" i="1"/>
  <c r="GV1305" i="1"/>
  <c r="HC1305" i="1" s="1"/>
  <c r="B1307" i="1"/>
  <c r="B1298" i="1" s="1"/>
  <c r="C1307" i="1"/>
  <c r="C1298" i="1" s="1"/>
  <c r="D1307" i="1"/>
  <c r="D1298" i="1" s="1"/>
  <c r="F1307" i="1"/>
  <c r="F1298" i="1" s="1"/>
  <c r="G1307" i="1"/>
  <c r="BX1307" i="1"/>
  <c r="CK1307" i="1"/>
  <c r="CK1298" i="1" s="1"/>
  <c r="CL1307" i="1"/>
  <c r="CL1298" i="1" s="1"/>
  <c r="CM1307" i="1"/>
  <c r="CM1298" i="1" s="1"/>
  <c r="D1338" i="1"/>
  <c r="E1340" i="1"/>
  <c r="Z1340" i="1"/>
  <c r="AA1340" i="1"/>
  <c r="AM1340" i="1"/>
  <c r="AN1340" i="1"/>
  <c r="BE1340" i="1"/>
  <c r="BF1340" i="1"/>
  <c r="BG1340" i="1"/>
  <c r="BH1340" i="1"/>
  <c r="BI1340" i="1"/>
  <c r="BJ1340" i="1"/>
  <c r="BK1340" i="1"/>
  <c r="BL1340" i="1"/>
  <c r="BM1340" i="1"/>
  <c r="BN1340" i="1"/>
  <c r="BO1340" i="1"/>
  <c r="BP1340" i="1"/>
  <c r="BQ1340" i="1"/>
  <c r="BR1340" i="1"/>
  <c r="BS1340" i="1"/>
  <c r="BT1340" i="1"/>
  <c r="BU1340" i="1"/>
  <c r="BV1340" i="1"/>
  <c r="BW1340" i="1"/>
  <c r="CN1340" i="1"/>
  <c r="CO1340" i="1"/>
  <c r="CP1340" i="1"/>
  <c r="CQ1340" i="1"/>
  <c r="CR1340" i="1"/>
  <c r="CS1340" i="1"/>
  <c r="CT1340" i="1"/>
  <c r="CU1340" i="1"/>
  <c r="CV1340" i="1"/>
  <c r="CW1340" i="1"/>
  <c r="CX1340" i="1"/>
  <c r="CY1340" i="1"/>
  <c r="CZ1340" i="1"/>
  <c r="DA1340" i="1"/>
  <c r="DB1340" i="1"/>
  <c r="DC1340" i="1"/>
  <c r="DD1340" i="1"/>
  <c r="DE1340" i="1"/>
  <c r="DF1340" i="1"/>
  <c r="DG1340" i="1"/>
  <c r="DH1340" i="1"/>
  <c r="DI1340" i="1"/>
  <c r="DJ1340" i="1"/>
  <c r="DK1340" i="1"/>
  <c r="DL1340" i="1"/>
  <c r="DM1340" i="1"/>
  <c r="DN1340" i="1"/>
  <c r="DO1340" i="1"/>
  <c r="DP1340" i="1"/>
  <c r="DQ1340" i="1"/>
  <c r="DR1340" i="1"/>
  <c r="DS1340" i="1"/>
  <c r="DT1340" i="1"/>
  <c r="DU1340" i="1"/>
  <c r="DV1340" i="1"/>
  <c r="DW1340" i="1"/>
  <c r="DX1340" i="1"/>
  <c r="DY1340" i="1"/>
  <c r="DZ1340" i="1"/>
  <c r="EA1340" i="1"/>
  <c r="EB1340" i="1"/>
  <c r="EC1340" i="1"/>
  <c r="ED1340" i="1"/>
  <c r="EE1340" i="1"/>
  <c r="EF1340" i="1"/>
  <c r="EG1340" i="1"/>
  <c r="EH1340" i="1"/>
  <c r="EI1340" i="1"/>
  <c r="EJ1340" i="1"/>
  <c r="EK1340" i="1"/>
  <c r="EL1340" i="1"/>
  <c r="EM1340" i="1"/>
  <c r="EN1340" i="1"/>
  <c r="EO1340" i="1"/>
  <c r="EP1340" i="1"/>
  <c r="EQ1340" i="1"/>
  <c r="ER1340" i="1"/>
  <c r="ES1340" i="1"/>
  <c r="ET1340" i="1"/>
  <c r="EU1340" i="1"/>
  <c r="EV1340" i="1"/>
  <c r="EW1340" i="1"/>
  <c r="EX1340" i="1"/>
  <c r="EY1340" i="1"/>
  <c r="EZ1340" i="1"/>
  <c r="FA1340" i="1"/>
  <c r="FB1340" i="1"/>
  <c r="FC1340" i="1"/>
  <c r="FD1340" i="1"/>
  <c r="FE1340" i="1"/>
  <c r="FF1340" i="1"/>
  <c r="FG1340" i="1"/>
  <c r="FH1340" i="1"/>
  <c r="FI1340" i="1"/>
  <c r="FJ1340" i="1"/>
  <c r="FK1340" i="1"/>
  <c r="FL1340" i="1"/>
  <c r="FM1340" i="1"/>
  <c r="FN1340" i="1"/>
  <c r="FO1340" i="1"/>
  <c r="FP1340" i="1"/>
  <c r="FQ1340" i="1"/>
  <c r="FR1340" i="1"/>
  <c r="FS1340" i="1"/>
  <c r="FT1340" i="1"/>
  <c r="FU1340" i="1"/>
  <c r="FV1340" i="1"/>
  <c r="FW1340" i="1"/>
  <c r="FX1340" i="1"/>
  <c r="FY1340" i="1"/>
  <c r="FZ1340" i="1"/>
  <c r="GA1340" i="1"/>
  <c r="GB1340" i="1"/>
  <c r="GC1340" i="1"/>
  <c r="GD1340" i="1"/>
  <c r="GE1340" i="1"/>
  <c r="GF1340" i="1"/>
  <c r="GG1340" i="1"/>
  <c r="GH1340" i="1"/>
  <c r="GI1340" i="1"/>
  <c r="GJ1340" i="1"/>
  <c r="GK1340" i="1"/>
  <c r="GL1340" i="1"/>
  <c r="GM1340" i="1"/>
  <c r="GN1340" i="1"/>
  <c r="GO1340" i="1"/>
  <c r="GP1340" i="1"/>
  <c r="GQ1340" i="1"/>
  <c r="GR1340" i="1"/>
  <c r="GS1340" i="1"/>
  <c r="GT1340" i="1"/>
  <c r="GU1340" i="1"/>
  <c r="GV1340" i="1"/>
  <c r="GW1340" i="1"/>
  <c r="GX1340" i="1"/>
  <c r="C1342" i="1"/>
  <c r="D1342" i="1"/>
  <c r="I1342" i="1"/>
  <c r="AC1342" i="1"/>
  <c r="AE1342" i="1"/>
  <c r="AF1342" i="1"/>
  <c r="CT1342" i="1" s="1"/>
  <c r="AG1342" i="1"/>
  <c r="CU1342" i="1" s="1"/>
  <c r="T1342" i="1" s="1"/>
  <c r="AH1342" i="1"/>
  <c r="CV1342" i="1" s="1"/>
  <c r="AI1342" i="1"/>
  <c r="CW1342" i="1" s="1"/>
  <c r="V1342" i="1" s="1"/>
  <c r="AJ1342" i="1"/>
  <c r="CX1342" i="1" s="1"/>
  <c r="W1342" i="1" s="1"/>
  <c r="CQ1342" i="1"/>
  <c r="FR1342" i="1"/>
  <c r="GL1342" i="1"/>
  <c r="GO1342" i="1"/>
  <c r="GP1342" i="1"/>
  <c r="GV1342" i="1"/>
  <c r="HC1342" i="1" s="1"/>
  <c r="GX1342" i="1" s="1"/>
  <c r="I1343" i="1"/>
  <c r="AC1343" i="1"/>
  <c r="AE1343" i="1"/>
  <c r="CS1343" i="1" s="1"/>
  <c r="AF1343" i="1"/>
  <c r="AG1343" i="1"/>
  <c r="CU1343" i="1" s="1"/>
  <c r="AH1343" i="1"/>
  <c r="AI1343" i="1"/>
  <c r="CW1343" i="1" s="1"/>
  <c r="V1343" i="1" s="1"/>
  <c r="AJ1343" i="1"/>
  <c r="CX1343" i="1" s="1"/>
  <c r="W1343" i="1" s="1"/>
  <c r="CV1343" i="1"/>
  <c r="FR1343" i="1"/>
  <c r="GL1343" i="1"/>
  <c r="GO1343" i="1"/>
  <c r="GP1343" i="1"/>
  <c r="GV1343" i="1"/>
  <c r="HC1343" i="1" s="1"/>
  <c r="I1344" i="1"/>
  <c r="P1344" i="1" s="1"/>
  <c r="AC1344" i="1"/>
  <c r="AE1344" i="1"/>
  <c r="AF1344" i="1"/>
  <c r="AG1344" i="1"/>
  <c r="CU1344" i="1" s="1"/>
  <c r="T1344" i="1" s="1"/>
  <c r="AH1344" i="1"/>
  <c r="CV1344" i="1" s="1"/>
  <c r="AI1344" i="1"/>
  <c r="CW1344" i="1" s="1"/>
  <c r="V1344" i="1" s="1"/>
  <c r="AJ1344" i="1"/>
  <c r="CX1344" i="1" s="1"/>
  <c r="W1344" i="1" s="1"/>
  <c r="CQ1344" i="1"/>
  <c r="FR1344" i="1"/>
  <c r="GL1344" i="1"/>
  <c r="GO1344" i="1"/>
  <c r="GP1344" i="1"/>
  <c r="GV1344" i="1"/>
  <c r="HC1344" i="1" s="1"/>
  <c r="GX1344" i="1" s="1"/>
  <c r="I1345" i="1"/>
  <c r="AC1345" i="1"/>
  <c r="AE1345" i="1"/>
  <c r="AF1345" i="1"/>
  <c r="AG1345" i="1"/>
  <c r="CU1345" i="1" s="1"/>
  <c r="T1345" i="1" s="1"/>
  <c r="AH1345" i="1"/>
  <c r="AI1345" i="1"/>
  <c r="CW1345" i="1" s="1"/>
  <c r="V1345" i="1" s="1"/>
  <c r="AJ1345" i="1"/>
  <c r="CX1345" i="1" s="1"/>
  <c r="W1345" i="1" s="1"/>
  <c r="CV1345" i="1"/>
  <c r="U1345" i="1" s="1"/>
  <c r="FR1345" i="1"/>
  <c r="GL1345" i="1"/>
  <c r="GO1345" i="1"/>
  <c r="GP1345" i="1"/>
  <c r="GV1345" i="1"/>
  <c r="HC1345" i="1" s="1"/>
  <c r="B1347" i="1"/>
  <c r="B1340" i="1" s="1"/>
  <c r="C1347" i="1"/>
  <c r="C1340" i="1" s="1"/>
  <c r="D1347" i="1"/>
  <c r="D1340" i="1" s="1"/>
  <c r="F1347" i="1"/>
  <c r="F1340" i="1" s="1"/>
  <c r="G1347" i="1"/>
  <c r="G1340" i="1" s="1"/>
  <c r="A307" i="9" s="1"/>
  <c r="BX1347" i="1"/>
  <c r="CK1347" i="1"/>
  <c r="CK1340" i="1" s="1"/>
  <c r="CL1347" i="1"/>
  <c r="CL1340" i="1" s="1"/>
  <c r="CM1347" i="1"/>
  <c r="CM1340" i="1" s="1"/>
  <c r="D1378" i="1"/>
  <c r="E1380" i="1"/>
  <c r="Z1380" i="1"/>
  <c r="AA1380" i="1"/>
  <c r="AB1380" i="1"/>
  <c r="AC1380" i="1"/>
  <c r="AD1380" i="1"/>
  <c r="AE1380" i="1"/>
  <c r="AF1380" i="1"/>
  <c r="AG1380" i="1"/>
  <c r="AH1380" i="1"/>
  <c r="AI1380" i="1"/>
  <c r="AJ1380" i="1"/>
  <c r="AK1380" i="1"/>
  <c r="AL1380" i="1"/>
  <c r="AM1380" i="1"/>
  <c r="AN1380" i="1"/>
  <c r="BE1380" i="1"/>
  <c r="BF1380" i="1"/>
  <c r="BG1380" i="1"/>
  <c r="BH1380" i="1"/>
  <c r="BI1380" i="1"/>
  <c r="BJ1380" i="1"/>
  <c r="BK1380" i="1"/>
  <c r="BL1380" i="1"/>
  <c r="BM1380" i="1"/>
  <c r="BN1380" i="1"/>
  <c r="BO1380" i="1"/>
  <c r="BP1380" i="1"/>
  <c r="BQ1380" i="1"/>
  <c r="BR1380" i="1"/>
  <c r="BS1380" i="1"/>
  <c r="BT1380" i="1"/>
  <c r="BU1380" i="1"/>
  <c r="BV1380" i="1"/>
  <c r="BW1380" i="1"/>
  <c r="BX1380" i="1"/>
  <c r="BY1380" i="1"/>
  <c r="BZ1380" i="1"/>
  <c r="CA1380" i="1"/>
  <c r="CB1380" i="1"/>
  <c r="CC1380" i="1"/>
  <c r="CD1380" i="1"/>
  <c r="CE1380" i="1"/>
  <c r="CF1380" i="1"/>
  <c r="CG1380" i="1"/>
  <c r="CH1380" i="1"/>
  <c r="CI1380" i="1"/>
  <c r="CJ1380" i="1"/>
  <c r="CK1380" i="1"/>
  <c r="CL1380" i="1"/>
  <c r="CM1380" i="1"/>
  <c r="CN1380" i="1"/>
  <c r="CO1380" i="1"/>
  <c r="CP1380" i="1"/>
  <c r="CQ1380" i="1"/>
  <c r="CR1380" i="1"/>
  <c r="CS1380" i="1"/>
  <c r="CT1380" i="1"/>
  <c r="CU1380" i="1"/>
  <c r="CV1380" i="1"/>
  <c r="CW1380" i="1"/>
  <c r="CX1380" i="1"/>
  <c r="CY1380" i="1"/>
  <c r="CZ1380" i="1"/>
  <c r="DA1380" i="1"/>
  <c r="DB1380" i="1"/>
  <c r="DC1380" i="1"/>
  <c r="DD1380" i="1"/>
  <c r="DE1380" i="1"/>
  <c r="DF1380" i="1"/>
  <c r="DG1380" i="1"/>
  <c r="DH1380" i="1"/>
  <c r="DI1380" i="1"/>
  <c r="DJ1380" i="1"/>
  <c r="DK1380" i="1"/>
  <c r="DL1380" i="1"/>
  <c r="DM1380" i="1"/>
  <c r="DN1380" i="1"/>
  <c r="DO1380" i="1"/>
  <c r="DP1380" i="1"/>
  <c r="DQ1380" i="1"/>
  <c r="DR1380" i="1"/>
  <c r="DS1380" i="1"/>
  <c r="DT1380" i="1"/>
  <c r="DU1380" i="1"/>
  <c r="DV1380" i="1"/>
  <c r="DW1380" i="1"/>
  <c r="DX1380" i="1"/>
  <c r="DY1380" i="1"/>
  <c r="DZ1380" i="1"/>
  <c r="EA1380" i="1"/>
  <c r="EB1380" i="1"/>
  <c r="EC1380" i="1"/>
  <c r="ED1380" i="1"/>
  <c r="EE1380" i="1"/>
  <c r="EF1380" i="1"/>
  <c r="EG1380" i="1"/>
  <c r="EH1380" i="1"/>
  <c r="EI1380" i="1"/>
  <c r="EJ1380" i="1"/>
  <c r="EK1380" i="1"/>
  <c r="EL1380" i="1"/>
  <c r="EM1380" i="1"/>
  <c r="EN1380" i="1"/>
  <c r="EO1380" i="1"/>
  <c r="EP1380" i="1"/>
  <c r="EQ1380" i="1"/>
  <c r="ER1380" i="1"/>
  <c r="ES1380" i="1"/>
  <c r="ET1380" i="1"/>
  <c r="EU1380" i="1"/>
  <c r="EV1380" i="1"/>
  <c r="EW1380" i="1"/>
  <c r="EX1380" i="1"/>
  <c r="EY1380" i="1"/>
  <c r="EZ1380" i="1"/>
  <c r="FA1380" i="1"/>
  <c r="FB1380" i="1"/>
  <c r="FC1380" i="1"/>
  <c r="FD1380" i="1"/>
  <c r="FE1380" i="1"/>
  <c r="FF1380" i="1"/>
  <c r="FG1380" i="1"/>
  <c r="FH1380" i="1"/>
  <c r="FI1380" i="1"/>
  <c r="FJ1380" i="1"/>
  <c r="FK1380" i="1"/>
  <c r="FL1380" i="1"/>
  <c r="FM1380" i="1"/>
  <c r="FN1380" i="1"/>
  <c r="FO1380" i="1"/>
  <c r="FP1380" i="1"/>
  <c r="FQ1380" i="1"/>
  <c r="FR1380" i="1"/>
  <c r="FS1380" i="1"/>
  <c r="FT1380" i="1"/>
  <c r="FU1380" i="1"/>
  <c r="FV1380" i="1"/>
  <c r="FW1380" i="1"/>
  <c r="FX1380" i="1"/>
  <c r="FY1380" i="1"/>
  <c r="FZ1380" i="1"/>
  <c r="GA1380" i="1"/>
  <c r="GB1380" i="1"/>
  <c r="GC1380" i="1"/>
  <c r="GD1380" i="1"/>
  <c r="GE1380" i="1"/>
  <c r="GF1380" i="1"/>
  <c r="GG1380" i="1"/>
  <c r="GH1380" i="1"/>
  <c r="GI1380" i="1"/>
  <c r="GJ1380" i="1"/>
  <c r="GK1380" i="1"/>
  <c r="GL1380" i="1"/>
  <c r="GM1380" i="1"/>
  <c r="GN1380" i="1"/>
  <c r="GO1380" i="1"/>
  <c r="GP1380" i="1"/>
  <c r="GQ1380" i="1"/>
  <c r="GR1380" i="1"/>
  <c r="GS1380" i="1"/>
  <c r="GT1380" i="1"/>
  <c r="GU1380" i="1"/>
  <c r="GV1380" i="1"/>
  <c r="GW1380" i="1"/>
  <c r="GX1380" i="1"/>
  <c r="B1382" i="1"/>
  <c r="B1380" i="1" s="1"/>
  <c r="C1382" i="1"/>
  <c r="C1380" i="1" s="1"/>
  <c r="D1382" i="1"/>
  <c r="D1380" i="1" s="1"/>
  <c r="F1382" i="1"/>
  <c r="F1380" i="1" s="1"/>
  <c r="G1382" i="1"/>
  <c r="G1380" i="1" s="1"/>
  <c r="O1382" i="1"/>
  <c r="F1384" i="1" s="1"/>
  <c r="P1382" i="1"/>
  <c r="Q1382" i="1"/>
  <c r="Q1380" i="1" s="1"/>
  <c r="R1382" i="1"/>
  <c r="R1380" i="1" s="1"/>
  <c r="S1382" i="1"/>
  <c r="F1397" i="1" s="1"/>
  <c r="T1382" i="1"/>
  <c r="T1380" i="1" s="1"/>
  <c r="U1382" i="1"/>
  <c r="U1380" i="1" s="1"/>
  <c r="V1382" i="1"/>
  <c r="V1380" i="1" s="1"/>
  <c r="W1382" i="1"/>
  <c r="F1406" i="1" s="1"/>
  <c r="X1382" i="1"/>
  <c r="Y1382" i="1"/>
  <c r="Y1380" i="1" s="1"/>
  <c r="AO1382" i="1"/>
  <c r="AO1380" i="1" s="1"/>
  <c r="AP1382" i="1"/>
  <c r="AP1380" i="1" s="1"/>
  <c r="AQ1382" i="1"/>
  <c r="F1392" i="1" s="1"/>
  <c r="AR1382" i="1"/>
  <c r="F1410" i="1" s="1"/>
  <c r="AS1382" i="1"/>
  <c r="F1399" i="1" s="1"/>
  <c r="AT1382" i="1"/>
  <c r="AT1380" i="1" s="1"/>
  <c r="AU1382" i="1"/>
  <c r="AV1382" i="1"/>
  <c r="AV1380" i="1" s="1"/>
  <c r="AW1382" i="1"/>
  <c r="AW1380" i="1" s="1"/>
  <c r="AX1382" i="1"/>
  <c r="AX1380" i="1" s="1"/>
  <c r="AY1382" i="1"/>
  <c r="AZ1382" i="1"/>
  <c r="AZ1380" i="1" s="1"/>
  <c r="BA1382" i="1"/>
  <c r="BA1380" i="1" s="1"/>
  <c r="BB1382" i="1"/>
  <c r="F1395" i="1" s="1"/>
  <c r="BC1382" i="1"/>
  <c r="BD1382" i="1"/>
  <c r="BD1380" i="1" s="1"/>
  <c r="F1396" i="1"/>
  <c r="F1403" i="1"/>
  <c r="F1404" i="1"/>
  <c r="D1412" i="1"/>
  <c r="E1414" i="1"/>
  <c r="Z1414" i="1"/>
  <c r="AA1414" i="1"/>
  <c r="AB1414" i="1"/>
  <c r="AC1414" i="1"/>
  <c r="AD1414" i="1"/>
  <c r="AE1414" i="1"/>
  <c r="AF1414" i="1"/>
  <c r="AG1414" i="1"/>
  <c r="AH1414" i="1"/>
  <c r="AI1414" i="1"/>
  <c r="AJ1414" i="1"/>
  <c r="AK1414" i="1"/>
  <c r="AL1414" i="1"/>
  <c r="AM1414" i="1"/>
  <c r="AN1414" i="1"/>
  <c r="BE1414" i="1"/>
  <c r="BF1414" i="1"/>
  <c r="BG1414" i="1"/>
  <c r="BH1414" i="1"/>
  <c r="BI1414" i="1"/>
  <c r="BJ1414" i="1"/>
  <c r="BK1414" i="1"/>
  <c r="BL1414" i="1"/>
  <c r="BM1414" i="1"/>
  <c r="BN1414" i="1"/>
  <c r="BO1414" i="1"/>
  <c r="BP1414" i="1"/>
  <c r="BQ1414" i="1"/>
  <c r="BR1414" i="1"/>
  <c r="BS1414" i="1"/>
  <c r="BT1414" i="1"/>
  <c r="BU1414" i="1"/>
  <c r="BV1414" i="1"/>
  <c r="BW1414" i="1"/>
  <c r="BX1414" i="1"/>
  <c r="BY1414" i="1"/>
  <c r="BZ1414" i="1"/>
  <c r="CA1414" i="1"/>
  <c r="CB1414" i="1"/>
  <c r="CC1414" i="1"/>
  <c r="CD1414" i="1"/>
  <c r="CE1414" i="1"/>
  <c r="CF1414" i="1"/>
  <c r="CG1414" i="1"/>
  <c r="CH1414" i="1"/>
  <c r="CI1414" i="1"/>
  <c r="CJ1414" i="1"/>
  <c r="CK1414" i="1"/>
  <c r="CL1414" i="1"/>
  <c r="CM1414" i="1"/>
  <c r="CN1414" i="1"/>
  <c r="CO1414" i="1"/>
  <c r="CP1414" i="1"/>
  <c r="CQ1414" i="1"/>
  <c r="CR1414" i="1"/>
  <c r="CS1414" i="1"/>
  <c r="CT1414" i="1"/>
  <c r="CU1414" i="1"/>
  <c r="CV1414" i="1"/>
  <c r="CW1414" i="1"/>
  <c r="CX1414" i="1"/>
  <c r="CY1414" i="1"/>
  <c r="CZ1414" i="1"/>
  <c r="DA1414" i="1"/>
  <c r="DB1414" i="1"/>
  <c r="DC1414" i="1"/>
  <c r="DD1414" i="1"/>
  <c r="DE1414" i="1"/>
  <c r="DF1414" i="1"/>
  <c r="DG1414" i="1"/>
  <c r="DH1414" i="1"/>
  <c r="DI1414" i="1"/>
  <c r="DJ1414" i="1"/>
  <c r="DK1414" i="1"/>
  <c r="DL1414" i="1"/>
  <c r="DM1414" i="1"/>
  <c r="DN1414" i="1"/>
  <c r="DO1414" i="1"/>
  <c r="DP1414" i="1"/>
  <c r="DQ1414" i="1"/>
  <c r="DR1414" i="1"/>
  <c r="DS1414" i="1"/>
  <c r="DT1414" i="1"/>
  <c r="DU1414" i="1"/>
  <c r="DV1414" i="1"/>
  <c r="DW1414" i="1"/>
  <c r="DX1414" i="1"/>
  <c r="DY1414" i="1"/>
  <c r="DZ1414" i="1"/>
  <c r="EA1414" i="1"/>
  <c r="EB1414" i="1"/>
  <c r="EC1414" i="1"/>
  <c r="ED1414" i="1"/>
  <c r="EE1414" i="1"/>
  <c r="EF1414" i="1"/>
  <c r="EG1414" i="1"/>
  <c r="EH1414" i="1"/>
  <c r="EI1414" i="1"/>
  <c r="EJ1414" i="1"/>
  <c r="EK1414" i="1"/>
  <c r="EL1414" i="1"/>
  <c r="EM1414" i="1"/>
  <c r="EN1414" i="1"/>
  <c r="EO1414" i="1"/>
  <c r="EP1414" i="1"/>
  <c r="EQ1414" i="1"/>
  <c r="ER1414" i="1"/>
  <c r="ES1414" i="1"/>
  <c r="ET1414" i="1"/>
  <c r="EU1414" i="1"/>
  <c r="EV1414" i="1"/>
  <c r="EW1414" i="1"/>
  <c r="EX1414" i="1"/>
  <c r="EY1414" i="1"/>
  <c r="EZ1414" i="1"/>
  <c r="FA1414" i="1"/>
  <c r="FB1414" i="1"/>
  <c r="FC1414" i="1"/>
  <c r="FD1414" i="1"/>
  <c r="FE1414" i="1"/>
  <c r="FF1414" i="1"/>
  <c r="FG1414" i="1"/>
  <c r="FH1414" i="1"/>
  <c r="FI1414" i="1"/>
  <c r="FJ1414" i="1"/>
  <c r="FK1414" i="1"/>
  <c r="FL1414" i="1"/>
  <c r="FM1414" i="1"/>
  <c r="FN1414" i="1"/>
  <c r="FO1414" i="1"/>
  <c r="FP1414" i="1"/>
  <c r="FQ1414" i="1"/>
  <c r="FR1414" i="1"/>
  <c r="FS1414" i="1"/>
  <c r="FT1414" i="1"/>
  <c r="FU1414" i="1"/>
  <c r="FV1414" i="1"/>
  <c r="FW1414" i="1"/>
  <c r="FX1414" i="1"/>
  <c r="FY1414" i="1"/>
  <c r="FZ1414" i="1"/>
  <c r="GA1414" i="1"/>
  <c r="GB1414" i="1"/>
  <c r="GC1414" i="1"/>
  <c r="GD1414" i="1"/>
  <c r="GE1414" i="1"/>
  <c r="GF1414" i="1"/>
  <c r="GG1414" i="1"/>
  <c r="GH1414" i="1"/>
  <c r="GI1414" i="1"/>
  <c r="GJ1414" i="1"/>
  <c r="GK1414" i="1"/>
  <c r="GL1414" i="1"/>
  <c r="GM1414" i="1"/>
  <c r="GN1414" i="1"/>
  <c r="GO1414" i="1"/>
  <c r="GP1414" i="1"/>
  <c r="GQ1414" i="1"/>
  <c r="GR1414" i="1"/>
  <c r="GS1414" i="1"/>
  <c r="GT1414" i="1"/>
  <c r="GU1414" i="1"/>
  <c r="GV1414" i="1"/>
  <c r="GW1414" i="1"/>
  <c r="GX1414" i="1"/>
  <c r="B1416" i="1"/>
  <c r="B1414" i="1" s="1"/>
  <c r="C1416" i="1"/>
  <c r="C1414" i="1" s="1"/>
  <c r="D1416" i="1"/>
  <c r="D1414" i="1" s="1"/>
  <c r="F1416" i="1"/>
  <c r="F1414" i="1" s="1"/>
  <c r="G1416" i="1"/>
  <c r="G1414" i="1" s="1"/>
  <c r="O1416" i="1"/>
  <c r="O1414" i="1" s="1"/>
  <c r="P1416" i="1"/>
  <c r="P1414" i="1" s="1"/>
  <c r="Q1416" i="1"/>
  <c r="F1428" i="1" s="1"/>
  <c r="R1416" i="1"/>
  <c r="F1430" i="1" s="1"/>
  <c r="S1416" i="1"/>
  <c r="S1414" i="1" s="1"/>
  <c r="T1416" i="1"/>
  <c r="T1414" i="1" s="1"/>
  <c r="U1416" i="1"/>
  <c r="V1416" i="1"/>
  <c r="V1414" i="1" s="1"/>
  <c r="W1416" i="1"/>
  <c r="W1414" i="1" s="1"/>
  <c r="X1416" i="1"/>
  <c r="X1414" i="1" s="1"/>
  <c r="Y1416" i="1"/>
  <c r="AO1416" i="1"/>
  <c r="AO1414" i="1" s="1"/>
  <c r="AP1416" i="1"/>
  <c r="AP1414" i="1" s="1"/>
  <c r="AQ1416" i="1"/>
  <c r="AQ1414" i="1" s="1"/>
  <c r="AR1416" i="1"/>
  <c r="AR1414" i="1" s="1"/>
  <c r="AS1416" i="1"/>
  <c r="F1433" i="1" s="1"/>
  <c r="AT1416" i="1"/>
  <c r="F1434" i="1" s="1"/>
  <c r="AU1416" i="1"/>
  <c r="F1435" i="1" s="1"/>
  <c r="AV1416" i="1"/>
  <c r="AV1414" i="1" s="1"/>
  <c r="AW1416" i="1"/>
  <c r="AW1414" i="1" s="1"/>
  <c r="AX1416" i="1"/>
  <c r="AX1414" i="1" s="1"/>
  <c r="AY1416" i="1"/>
  <c r="AY1414" i="1" s="1"/>
  <c r="AZ1416" i="1"/>
  <c r="F1427" i="1" s="1"/>
  <c r="BA1416" i="1"/>
  <c r="F1436" i="1" s="1"/>
  <c r="BB1416" i="1"/>
  <c r="BB1414" i="1" s="1"/>
  <c r="BC1416" i="1"/>
  <c r="BC1414" i="1" s="1"/>
  <c r="BD1416" i="1"/>
  <c r="BD1414" i="1" s="1"/>
  <c r="F1420" i="1"/>
  <c r="F1423" i="1"/>
  <c r="F1424" i="1"/>
  <c r="F1431" i="1"/>
  <c r="F1439" i="1"/>
  <c r="F1440" i="1"/>
  <c r="D1446" i="1"/>
  <c r="E1448" i="1"/>
  <c r="S1448" i="1"/>
  <c r="Z1448" i="1"/>
  <c r="AA1448" i="1"/>
  <c r="AB1448" i="1"/>
  <c r="AC1448" i="1"/>
  <c r="AD1448" i="1"/>
  <c r="AE1448" i="1"/>
  <c r="AF1448" i="1"/>
  <c r="AG1448" i="1"/>
  <c r="AH1448" i="1"/>
  <c r="AI1448" i="1"/>
  <c r="AJ1448" i="1"/>
  <c r="AK1448" i="1"/>
  <c r="AL1448" i="1"/>
  <c r="AM1448" i="1"/>
  <c r="AN1448" i="1"/>
  <c r="AT1448" i="1"/>
  <c r="AX1448" i="1"/>
  <c r="BE1448" i="1"/>
  <c r="BF1448" i="1"/>
  <c r="BG1448" i="1"/>
  <c r="BH1448" i="1"/>
  <c r="BI1448" i="1"/>
  <c r="BJ1448" i="1"/>
  <c r="BK1448" i="1"/>
  <c r="BL1448" i="1"/>
  <c r="BM1448" i="1"/>
  <c r="BN1448" i="1"/>
  <c r="BO1448" i="1"/>
  <c r="BP1448" i="1"/>
  <c r="BQ1448" i="1"/>
  <c r="BR1448" i="1"/>
  <c r="BS1448" i="1"/>
  <c r="BT1448" i="1"/>
  <c r="BU1448" i="1"/>
  <c r="BV1448" i="1"/>
  <c r="BW1448" i="1"/>
  <c r="BX1448" i="1"/>
  <c r="BY1448" i="1"/>
  <c r="BZ1448" i="1"/>
  <c r="CA1448" i="1"/>
  <c r="CB1448" i="1"/>
  <c r="CC1448" i="1"/>
  <c r="CD1448" i="1"/>
  <c r="CE1448" i="1"/>
  <c r="CF1448" i="1"/>
  <c r="CG1448" i="1"/>
  <c r="CH1448" i="1"/>
  <c r="CI1448" i="1"/>
  <c r="CJ1448" i="1"/>
  <c r="CK1448" i="1"/>
  <c r="CL1448" i="1"/>
  <c r="CM1448" i="1"/>
  <c r="CN1448" i="1"/>
  <c r="CO1448" i="1"/>
  <c r="CP1448" i="1"/>
  <c r="CQ1448" i="1"/>
  <c r="CR1448" i="1"/>
  <c r="CS1448" i="1"/>
  <c r="CT1448" i="1"/>
  <c r="CU1448" i="1"/>
  <c r="CV1448" i="1"/>
  <c r="CW1448" i="1"/>
  <c r="CX1448" i="1"/>
  <c r="CY1448" i="1"/>
  <c r="CZ1448" i="1"/>
  <c r="DA1448" i="1"/>
  <c r="DB1448" i="1"/>
  <c r="DC1448" i="1"/>
  <c r="DD1448" i="1"/>
  <c r="DE1448" i="1"/>
  <c r="DF1448" i="1"/>
  <c r="DG1448" i="1"/>
  <c r="DH1448" i="1"/>
  <c r="DI1448" i="1"/>
  <c r="DJ1448" i="1"/>
  <c r="DK1448" i="1"/>
  <c r="DL1448" i="1"/>
  <c r="DM1448" i="1"/>
  <c r="DN1448" i="1"/>
  <c r="DO1448" i="1"/>
  <c r="DP1448" i="1"/>
  <c r="DQ1448" i="1"/>
  <c r="DR1448" i="1"/>
  <c r="DS1448" i="1"/>
  <c r="DT1448" i="1"/>
  <c r="DU1448" i="1"/>
  <c r="DV1448" i="1"/>
  <c r="DW1448" i="1"/>
  <c r="DX1448" i="1"/>
  <c r="DY1448" i="1"/>
  <c r="DZ1448" i="1"/>
  <c r="EA1448" i="1"/>
  <c r="EB1448" i="1"/>
  <c r="EC1448" i="1"/>
  <c r="ED1448" i="1"/>
  <c r="EE1448" i="1"/>
  <c r="EF1448" i="1"/>
  <c r="EG1448" i="1"/>
  <c r="EH1448" i="1"/>
  <c r="EI1448" i="1"/>
  <c r="EJ1448" i="1"/>
  <c r="EK1448" i="1"/>
  <c r="EL1448" i="1"/>
  <c r="EM1448" i="1"/>
  <c r="EN1448" i="1"/>
  <c r="EO1448" i="1"/>
  <c r="EP1448" i="1"/>
  <c r="EQ1448" i="1"/>
  <c r="ER1448" i="1"/>
  <c r="ES1448" i="1"/>
  <c r="ET1448" i="1"/>
  <c r="EU1448" i="1"/>
  <c r="EV1448" i="1"/>
  <c r="EW1448" i="1"/>
  <c r="EX1448" i="1"/>
  <c r="EY1448" i="1"/>
  <c r="EZ1448" i="1"/>
  <c r="FA1448" i="1"/>
  <c r="FB1448" i="1"/>
  <c r="FC1448" i="1"/>
  <c r="FD1448" i="1"/>
  <c r="FE1448" i="1"/>
  <c r="FF1448" i="1"/>
  <c r="FG1448" i="1"/>
  <c r="FH1448" i="1"/>
  <c r="FI1448" i="1"/>
  <c r="FJ1448" i="1"/>
  <c r="FK1448" i="1"/>
  <c r="FL1448" i="1"/>
  <c r="FM1448" i="1"/>
  <c r="FN1448" i="1"/>
  <c r="FO1448" i="1"/>
  <c r="FP1448" i="1"/>
  <c r="FQ1448" i="1"/>
  <c r="FR1448" i="1"/>
  <c r="FS1448" i="1"/>
  <c r="FT1448" i="1"/>
  <c r="FU1448" i="1"/>
  <c r="FV1448" i="1"/>
  <c r="FW1448" i="1"/>
  <c r="FX1448" i="1"/>
  <c r="FY1448" i="1"/>
  <c r="FZ1448" i="1"/>
  <c r="GA1448" i="1"/>
  <c r="GB1448" i="1"/>
  <c r="GC1448" i="1"/>
  <c r="GD1448" i="1"/>
  <c r="GE1448" i="1"/>
  <c r="GF1448" i="1"/>
  <c r="GG1448" i="1"/>
  <c r="GH1448" i="1"/>
  <c r="GI1448" i="1"/>
  <c r="GJ1448" i="1"/>
  <c r="GK1448" i="1"/>
  <c r="GL1448" i="1"/>
  <c r="GM1448" i="1"/>
  <c r="GN1448" i="1"/>
  <c r="GO1448" i="1"/>
  <c r="GP1448" i="1"/>
  <c r="GQ1448" i="1"/>
  <c r="GR1448" i="1"/>
  <c r="GS1448" i="1"/>
  <c r="GT1448" i="1"/>
  <c r="GU1448" i="1"/>
  <c r="GV1448" i="1"/>
  <c r="GW1448" i="1"/>
  <c r="GX1448" i="1"/>
  <c r="B1450" i="1"/>
  <c r="B1448" i="1" s="1"/>
  <c r="C1450" i="1"/>
  <c r="C1448" i="1" s="1"/>
  <c r="D1450" i="1"/>
  <c r="D1448" i="1" s="1"/>
  <c r="F1450" i="1"/>
  <c r="F1448" i="1" s="1"/>
  <c r="G1450" i="1"/>
  <c r="G1448" i="1" s="1"/>
  <c r="O1450" i="1"/>
  <c r="O1448" i="1" s="1"/>
  <c r="P1450" i="1"/>
  <c r="F1453" i="1" s="1"/>
  <c r="Q1450" i="1"/>
  <c r="Q1448" i="1" s="1"/>
  <c r="R1450" i="1"/>
  <c r="R1448" i="1" s="1"/>
  <c r="S1450" i="1"/>
  <c r="T1450" i="1"/>
  <c r="U1450" i="1"/>
  <c r="U1448" i="1" s="1"/>
  <c r="V1450" i="1"/>
  <c r="V1448" i="1" s="1"/>
  <c r="W1450" i="1"/>
  <c r="F1474" i="1" s="1"/>
  <c r="X1450" i="1"/>
  <c r="F1476" i="1" s="1"/>
  <c r="Y1450" i="1"/>
  <c r="Y1448" i="1" s="1"/>
  <c r="AO1450" i="1"/>
  <c r="AO1448" i="1" s="1"/>
  <c r="AP1450" i="1"/>
  <c r="AP1448" i="1" s="1"/>
  <c r="AQ1450" i="1"/>
  <c r="AR1450" i="1"/>
  <c r="F1478" i="1" s="1"/>
  <c r="AS1450" i="1"/>
  <c r="F1467" i="1" s="1"/>
  <c r="AT1450" i="1"/>
  <c r="AU1450" i="1"/>
  <c r="AU1448" i="1" s="1"/>
  <c r="AV1450" i="1"/>
  <c r="AV1448" i="1" s="1"/>
  <c r="AW1450" i="1"/>
  <c r="AW1448" i="1" s="1"/>
  <c r="AX1450" i="1"/>
  <c r="AY1450" i="1"/>
  <c r="AZ1450" i="1"/>
  <c r="AZ1448" i="1" s="1"/>
  <c r="BA1450" i="1"/>
  <c r="BA1448" i="1" s="1"/>
  <c r="BB1450" i="1"/>
  <c r="BB1448" i="1" s="1"/>
  <c r="BC1450" i="1"/>
  <c r="BC1448" i="1" s="1"/>
  <c r="BD1450" i="1"/>
  <c r="BD1448" i="1" s="1"/>
  <c r="F1452" i="1"/>
  <c r="F1457" i="1"/>
  <c r="F1459" i="1"/>
  <c r="F1463" i="1"/>
  <c r="F1465" i="1"/>
  <c r="F1468" i="1"/>
  <c r="F1475" i="1"/>
  <c r="D1480" i="1"/>
  <c r="E1482" i="1"/>
  <c r="G1482" i="1"/>
  <c r="R1482" i="1"/>
  <c r="Z1482" i="1"/>
  <c r="AA1482" i="1"/>
  <c r="AB1482" i="1"/>
  <c r="AC1482" i="1"/>
  <c r="AD1482" i="1"/>
  <c r="AE1482" i="1"/>
  <c r="AF1482" i="1"/>
  <c r="AG1482" i="1"/>
  <c r="AH1482" i="1"/>
  <c r="AI1482" i="1"/>
  <c r="AJ1482" i="1"/>
  <c r="AK1482" i="1"/>
  <c r="AL1482" i="1"/>
  <c r="AM1482" i="1"/>
  <c r="AN1482" i="1"/>
  <c r="BE1482" i="1"/>
  <c r="BF1482" i="1"/>
  <c r="BG1482" i="1"/>
  <c r="BH1482" i="1"/>
  <c r="BI1482" i="1"/>
  <c r="BJ1482" i="1"/>
  <c r="BK1482" i="1"/>
  <c r="BL1482" i="1"/>
  <c r="BM1482" i="1"/>
  <c r="BN1482" i="1"/>
  <c r="BO1482" i="1"/>
  <c r="BP1482" i="1"/>
  <c r="BQ1482" i="1"/>
  <c r="BR1482" i="1"/>
  <c r="BS1482" i="1"/>
  <c r="BT1482" i="1"/>
  <c r="BU1482" i="1"/>
  <c r="BV1482" i="1"/>
  <c r="BW1482" i="1"/>
  <c r="BX1482" i="1"/>
  <c r="BY1482" i="1"/>
  <c r="BZ1482" i="1"/>
  <c r="CA1482" i="1"/>
  <c r="CB1482" i="1"/>
  <c r="CC1482" i="1"/>
  <c r="CD1482" i="1"/>
  <c r="CE1482" i="1"/>
  <c r="CF1482" i="1"/>
  <c r="CG1482" i="1"/>
  <c r="CH1482" i="1"/>
  <c r="CI1482" i="1"/>
  <c r="CJ1482" i="1"/>
  <c r="CK1482" i="1"/>
  <c r="CL1482" i="1"/>
  <c r="CM1482" i="1"/>
  <c r="CN1482" i="1"/>
  <c r="CO1482" i="1"/>
  <c r="CP1482" i="1"/>
  <c r="CQ1482" i="1"/>
  <c r="CR1482" i="1"/>
  <c r="CS1482" i="1"/>
  <c r="CT1482" i="1"/>
  <c r="CU1482" i="1"/>
  <c r="CV1482" i="1"/>
  <c r="CW1482" i="1"/>
  <c r="CX1482" i="1"/>
  <c r="CY1482" i="1"/>
  <c r="CZ1482" i="1"/>
  <c r="DA1482" i="1"/>
  <c r="DB1482" i="1"/>
  <c r="DC1482" i="1"/>
  <c r="DD1482" i="1"/>
  <c r="DE1482" i="1"/>
  <c r="DF1482" i="1"/>
  <c r="DG1482" i="1"/>
  <c r="DH1482" i="1"/>
  <c r="DI1482" i="1"/>
  <c r="DJ1482" i="1"/>
  <c r="DK1482" i="1"/>
  <c r="DL1482" i="1"/>
  <c r="DM1482" i="1"/>
  <c r="DN1482" i="1"/>
  <c r="DO1482" i="1"/>
  <c r="DP1482" i="1"/>
  <c r="DQ1482" i="1"/>
  <c r="DR1482" i="1"/>
  <c r="DS1482" i="1"/>
  <c r="DT1482" i="1"/>
  <c r="DU1482" i="1"/>
  <c r="DV1482" i="1"/>
  <c r="DW1482" i="1"/>
  <c r="DX1482" i="1"/>
  <c r="DY1482" i="1"/>
  <c r="DZ1482" i="1"/>
  <c r="EA1482" i="1"/>
  <c r="EB1482" i="1"/>
  <c r="EC1482" i="1"/>
  <c r="ED1482" i="1"/>
  <c r="EE1482" i="1"/>
  <c r="EF1482" i="1"/>
  <c r="EG1482" i="1"/>
  <c r="EH1482" i="1"/>
  <c r="EI1482" i="1"/>
  <c r="EJ1482" i="1"/>
  <c r="EK1482" i="1"/>
  <c r="EL1482" i="1"/>
  <c r="EM1482" i="1"/>
  <c r="EN1482" i="1"/>
  <c r="EO1482" i="1"/>
  <c r="EP1482" i="1"/>
  <c r="EQ1482" i="1"/>
  <c r="ER1482" i="1"/>
  <c r="ES1482" i="1"/>
  <c r="ET1482" i="1"/>
  <c r="EU1482" i="1"/>
  <c r="EV1482" i="1"/>
  <c r="EW1482" i="1"/>
  <c r="EX1482" i="1"/>
  <c r="EY1482" i="1"/>
  <c r="EZ1482" i="1"/>
  <c r="FA1482" i="1"/>
  <c r="FB1482" i="1"/>
  <c r="FC1482" i="1"/>
  <c r="FD1482" i="1"/>
  <c r="FE1482" i="1"/>
  <c r="FF1482" i="1"/>
  <c r="FG1482" i="1"/>
  <c r="FH1482" i="1"/>
  <c r="FI1482" i="1"/>
  <c r="FJ1482" i="1"/>
  <c r="FK1482" i="1"/>
  <c r="FL1482" i="1"/>
  <c r="FM1482" i="1"/>
  <c r="FN1482" i="1"/>
  <c r="FO1482" i="1"/>
  <c r="FP1482" i="1"/>
  <c r="FQ1482" i="1"/>
  <c r="FR1482" i="1"/>
  <c r="FS1482" i="1"/>
  <c r="FT1482" i="1"/>
  <c r="FU1482" i="1"/>
  <c r="FV1482" i="1"/>
  <c r="FW1482" i="1"/>
  <c r="FX1482" i="1"/>
  <c r="FY1482" i="1"/>
  <c r="FZ1482" i="1"/>
  <c r="GA1482" i="1"/>
  <c r="GB1482" i="1"/>
  <c r="GC1482" i="1"/>
  <c r="GD1482" i="1"/>
  <c r="GE1482" i="1"/>
  <c r="GF1482" i="1"/>
  <c r="GG1482" i="1"/>
  <c r="GH1482" i="1"/>
  <c r="GI1482" i="1"/>
  <c r="GJ1482" i="1"/>
  <c r="GK1482" i="1"/>
  <c r="GL1482" i="1"/>
  <c r="GM1482" i="1"/>
  <c r="GN1482" i="1"/>
  <c r="GO1482" i="1"/>
  <c r="GP1482" i="1"/>
  <c r="GQ1482" i="1"/>
  <c r="GR1482" i="1"/>
  <c r="GS1482" i="1"/>
  <c r="GT1482" i="1"/>
  <c r="GU1482" i="1"/>
  <c r="GV1482" i="1"/>
  <c r="GW1482" i="1"/>
  <c r="GX1482" i="1"/>
  <c r="B1484" i="1"/>
  <c r="B1482" i="1" s="1"/>
  <c r="C1484" i="1"/>
  <c r="C1482" i="1" s="1"/>
  <c r="D1484" i="1"/>
  <c r="D1482" i="1" s="1"/>
  <c r="F1484" i="1"/>
  <c r="F1482" i="1" s="1"/>
  <c r="G1484" i="1"/>
  <c r="O1484" i="1"/>
  <c r="O1482" i="1" s="1"/>
  <c r="P1484" i="1"/>
  <c r="P1482" i="1" s="1"/>
  <c r="Q1484" i="1"/>
  <c r="Q1482" i="1" s="1"/>
  <c r="R1484" i="1"/>
  <c r="S1484" i="1"/>
  <c r="S1482" i="1" s="1"/>
  <c r="T1484" i="1"/>
  <c r="T1482" i="1" s="1"/>
  <c r="U1484" i="1"/>
  <c r="F1506" i="1" s="1"/>
  <c r="V1484" i="1"/>
  <c r="V1482" i="1" s="1"/>
  <c r="W1484" i="1"/>
  <c r="W1482" i="1" s="1"/>
  <c r="X1484" i="1"/>
  <c r="X1482" i="1" s="1"/>
  <c r="Y1484" i="1"/>
  <c r="Y1482" i="1" s="1"/>
  <c r="AO1484" i="1"/>
  <c r="AO1482" i="1" s="1"/>
  <c r="AP1484" i="1"/>
  <c r="AP1482" i="1" s="1"/>
  <c r="AQ1484" i="1"/>
  <c r="AQ1482" i="1" s="1"/>
  <c r="AR1484" i="1"/>
  <c r="F1512" i="1" s="1"/>
  <c r="AS1484" i="1"/>
  <c r="AS1482" i="1" s="1"/>
  <c r="AT1484" i="1"/>
  <c r="F1502" i="1" s="1"/>
  <c r="AU1484" i="1"/>
  <c r="F1503" i="1" s="1"/>
  <c r="AV1484" i="1"/>
  <c r="AV1482" i="1" s="1"/>
  <c r="AW1484" i="1"/>
  <c r="AW1482" i="1" s="1"/>
  <c r="AX1484" i="1"/>
  <c r="AX1482" i="1" s="1"/>
  <c r="AY1484" i="1"/>
  <c r="AY1482" i="1" s="1"/>
  <c r="AZ1484" i="1"/>
  <c r="F1495" i="1" s="1"/>
  <c r="BA1484" i="1"/>
  <c r="BA1482" i="1" s="1"/>
  <c r="BB1484" i="1"/>
  <c r="BB1482" i="1" s="1"/>
  <c r="BC1484" i="1"/>
  <c r="BC1482" i="1" s="1"/>
  <c r="BD1484" i="1"/>
  <c r="BD1482" i="1" s="1"/>
  <c r="F1488" i="1"/>
  <c r="F1491" i="1"/>
  <c r="F1498" i="1"/>
  <c r="F1501" i="1"/>
  <c r="F1507" i="1"/>
  <c r="F1508" i="1"/>
  <c r="B1514" i="1"/>
  <c r="B22" i="1" s="1"/>
  <c r="C1514" i="1"/>
  <c r="C22" i="1" s="1"/>
  <c r="D1514" i="1"/>
  <c r="D22" i="1" s="1"/>
  <c r="F1514" i="1"/>
  <c r="F22" i="1" s="1"/>
  <c r="G1514" i="1"/>
  <c r="B1544" i="1"/>
  <c r="B18" i="1" s="1"/>
  <c r="C1544" i="1"/>
  <c r="C18" i="1" s="1"/>
  <c r="D1544" i="1"/>
  <c r="D18" i="1" s="1"/>
  <c r="F1544" i="1"/>
  <c r="F18" i="1" s="1"/>
  <c r="G1544" i="1"/>
  <c r="G18" i="1" s="1"/>
  <c r="F1458" i="1" l="1"/>
  <c r="AY1448" i="1"/>
  <c r="F1466" i="1"/>
  <c r="F1444" i="1"/>
  <c r="AQ1380" i="1"/>
  <c r="AU1113" i="1"/>
  <c r="F1134" i="1"/>
  <c r="P1113" i="1"/>
  <c r="F1118" i="1"/>
  <c r="AX1045" i="1"/>
  <c r="F1054" i="1"/>
  <c r="W1045" i="1"/>
  <c r="F1071" i="1"/>
  <c r="Y1414" i="1"/>
  <c r="F1443" i="1"/>
  <c r="F1438" i="1"/>
  <c r="U1414" i="1"/>
  <c r="F1398" i="1"/>
  <c r="BC1380" i="1"/>
  <c r="AU1380" i="1"/>
  <c r="F1401" i="1"/>
  <c r="X1380" i="1"/>
  <c r="F1408" i="1"/>
  <c r="R1230" i="1"/>
  <c r="F1246" i="1"/>
  <c r="AD1304" i="1"/>
  <c r="CR1304" i="1"/>
  <c r="F1286" i="1"/>
  <c r="BA1264" i="1"/>
  <c r="AW1264" i="1"/>
  <c r="F1272" i="1"/>
  <c r="AS1264" i="1"/>
  <c r="F1283" i="1"/>
  <c r="F1289" i="1"/>
  <c r="V1264" i="1"/>
  <c r="GX1192" i="1"/>
  <c r="BY1197" i="1"/>
  <c r="W1192" i="1"/>
  <c r="R1006" i="1"/>
  <c r="GK1006" i="1" s="1"/>
  <c r="CR1006" i="1"/>
  <c r="R1004" i="1"/>
  <c r="CR1004" i="1"/>
  <c r="CS1004" i="1"/>
  <c r="F1460" i="1"/>
  <c r="AQ1448" i="1"/>
  <c r="T1448" i="1"/>
  <c r="F1471" i="1"/>
  <c r="AY1380" i="1"/>
  <c r="F1390" i="1"/>
  <c r="P1380" i="1"/>
  <c r="F1385" i="1"/>
  <c r="F1089" i="1"/>
  <c r="AY1079" i="1"/>
  <c r="AU1079" i="1"/>
  <c r="F1100" i="1"/>
  <c r="CS330" i="1"/>
  <c r="AD80" i="1"/>
  <c r="CR80" i="1"/>
  <c r="F1504" i="1"/>
  <c r="F1490" i="1"/>
  <c r="F1472" i="1"/>
  <c r="GX1345" i="1"/>
  <c r="U1344" i="1"/>
  <c r="U1342" i="1"/>
  <c r="AH1347" i="1" s="1"/>
  <c r="U1304" i="1"/>
  <c r="I934" i="5" s="1"/>
  <c r="V1302" i="1"/>
  <c r="U1300" i="1"/>
  <c r="I910" i="5" s="1"/>
  <c r="F1290" i="1"/>
  <c r="U1194" i="1"/>
  <c r="I891" i="5" s="1"/>
  <c r="V1192" i="1"/>
  <c r="V1007" i="1"/>
  <c r="U1004" i="1"/>
  <c r="I796" i="5" s="1"/>
  <c r="CR1003" i="1"/>
  <c r="T1003" i="1"/>
  <c r="V1001" i="1"/>
  <c r="F936" i="1"/>
  <c r="F840" i="1"/>
  <c r="T789" i="1"/>
  <c r="U789" i="1"/>
  <c r="I734" i="5" s="1"/>
  <c r="V784" i="1"/>
  <c r="V780" i="1"/>
  <c r="F771" i="1"/>
  <c r="F754" i="1"/>
  <c r="W709" i="1"/>
  <c r="U708" i="1"/>
  <c r="I674" i="5" s="1"/>
  <c r="I669" i="5"/>
  <c r="CQ705" i="1"/>
  <c r="T663" i="1"/>
  <c r="U661" i="1"/>
  <c r="I619" i="5" s="1"/>
  <c r="I612" i="5"/>
  <c r="T657" i="1"/>
  <c r="CR656" i="1"/>
  <c r="T656" i="1"/>
  <c r="CT655" i="1"/>
  <c r="CS654" i="1"/>
  <c r="F644" i="1"/>
  <c r="F634" i="1"/>
  <c r="F620" i="1"/>
  <c r="AP616" i="1"/>
  <c r="U616" i="1"/>
  <c r="CQ580" i="1"/>
  <c r="T580" i="1"/>
  <c r="V578" i="1"/>
  <c r="T577" i="1"/>
  <c r="CS576" i="1"/>
  <c r="U576" i="1"/>
  <c r="I532" i="5" s="1"/>
  <c r="I528" i="5"/>
  <c r="F565" i="1"/>
  <c r="F554" i="1"/>
  <c r="F546" i="1"/>
  <c r="BD536" i="1"/>
  <c r="V499" i="1"/>
  <c r="V497" i="1"/>
  <c r="CZ492" i="1"/>
  <c r="Y492" i="1" s="1"/>
  <c r="T452" i="5" s="1"/>
  <c r="F467" i="1"/>
  <c r="AS456" i="1"/>
  <c r="F438" i="1"/>
  <c r="CS386" i="1"/>
  <c r="CQ384" i="1"/>
  <c r="CR383" i="1"/>
  <c r="U383" i="1"/>
  <c r="V381" i="1"/>
  <c r="AB381" i="1"/>
  <c r="CS380" i="1"/>
  <c r="U379" i="1"/>
  <c r="I410" i="5" s="1"/>
  <c r="I356" i="5"/>
  <c r="W356" i="5" s="1"/>
  <c r="CR334" i="1"/>
  <c r="CR330" i="1"/>
  <c r="V329" i="1"/>
  <c r="F321" i="1"/>
  <c r="F302" i="1"/>
  <c r="U254" i="1"/>
  <c r="I297" i="5" s="1"/>
  <c r="I292" i="5"/>
  <c r="CS252" i="1"/>
  <c r="R252" i="1"/>
  <c r="GK252" i="1" s="1"/>
  <c r="U211" i="1"/>
  <c r="I264" i="5" s="1"/>
  <c r="R210" i="1"/>
  <c r="GK210" i="1" s="1"/>
  <c r="CS210" i="1"/>
  <c r="AD207" i="1"/>
  <c r="CS207" i="1"/>
  <c r="GX165" i="1"/>
  <c r="AD165" i="1"/>
  <c r="CR165" i="1"/>
  <c r="R165" i="1"/>
  <c r="GK165" i="1" s="1"/>
  <c r="BY89" i="1"/>
  <c r="AD79" i="1"/>
  <c r="CS79" i="1"/>
  <c r="R79" i="1"/>
  <c r="GK79" i="1" s="1"/>
  <c r="CR79" i="1"/>
  <c r="AU744" i="1"/>
  <c r="T744" i="1"/>
  <c r="U663" i="1"/>
  <c r="BB616" i="1"/>
  <c r="Q163" i="1"/>
  <c r="CS163" i="1"/>
  <c r="F1511" i="1"/>
  <c r="F1407" i="1"/>
  <c r="T1304" i="1"/>
  <c r="GX1302" i="1"/>
  <c r="U1264" i="1"/>
  <c r="U1192" i="1"/>
  <c r="I879" i="5" s="1"/>
  <c r="U1153" i="1"/>
  <c r="I860" i="5" s="1"/>
  <c r="U1150" i="1"/>
  <c r="W1149" i="1"/>
  <c r="T1006" i="1"/>
  <c r="T1004" i="1"/>
  <c r="U1001" i="1"/>
  <c r="I772" i="5" s="1"/>
  <c r="F914" i="1"/>
  <c r="F838" i="1"/>
  <c r="W825" i="1"/>
  <c r="U784" i="1"/>
  <c r="I708" i="5" s="1"/>
  <c r="P784" i="1"/>
  <c r="F749" i="1"/>
  <c r="Q708" i="1"/>
  <c r="K667" i="5" s="1"/>
  <c r="GX663" i="1"/>
  <c r="GX661" i="1"/>
  <c r="CT661" i="1"/>
  <c r="T661" i="1"/>
  <c r="F633" i="1"/>
  <c r="AB579" i="1"/>
  <c r="I537" i="5"/>
  <c r="T576" i="1"/>
  <c r="V574" i="1"/>
  <c r="V572" i="1"/>
  <c r="AB572" i="1"/>
  <c r="F553" i="1"/>
  <c r="AV536" i="1"/>
  <c r="CS500" i="1"/>
  <c r="U500" i="1"/>
  <c r="I500" i="5" s="1"/>
  <c r="CS499" i="1"/>
  <c r="CR498" i="1"/>
  <c r="AD498" i="1"/>
  <c r="U497" i="1"/>
  <c r="I488" i="5" s="1"/>
  <c r="GX494" i="1"/>
  <c r="GX493" i="1"/>
  <c r="BY503" i="1"/>
  <c r="BY490" i="1" s="1"/>
  <c r="F478" i="1"/>
  <c r="F465" i="1"/>
  <c r="F449" i="1"/>
  <c r="V412" i="5"/>
  <c r="CS381" i="1"/>
  <c r="P381" i="1"/>
  <c r="CT379" i="1"/>
  <c r="T379" i="1"/>
  <c r="S379" i="1"/>
  <c r="W378" i="1"/>
  <c r="S340" i="1"/>
  <c r="CZ340" i="1" s="1"/>
  <c r="Y340" i="1" s="1"/>
  <c r="T379" i="5" s="1"/>
  <c r="BY343" i="1"/>
  <c r="BY326" i="1" s="1"/>
  <c r="U334" i="1"/>
  <c r="I361" i="5" s="1"/>
  <c r="S333" i="1"/>
  <c r="CT333" i="1"/>
  <c r="BZ343" i="1"/>
  <c r="AQ343" i="1" s="1"/>
  <c r="V328" i="1"/>
  <c r="R328" i="1"/>
  <c r="F319" i="1"/>
  <c r="R292" i="1"/>
  <c r="F308" i="1"/>
  <c r="S299" i="5"/>
  <c r="S256" i="1"/>
  <c r="CT256" i="1"/>
  <c r="T255" i="1"/>
  <c r="CT254" i="1"/>
  <c r="T254" i="1"/>
  <c r="W209" i="1"/>
  <c r="GX207" i="1"/>
  <c r="S205" i="1"/>
  <c r="CT205" i="1"/>
  <c r="CQ203" i="1"/>
  <c r="I193" i="5"/>
  <c r="CQ165" i="1"/>
  <c r="F138" i="1"/>
  <c r="AS122" i="1"/>
  <c r="P83" i="1"/>
  <c r="CQ83" i="1"/>
  <c r="P82" i="1"/>
  <c r="CQ82" i="1"/>
  <c r="GX36" i="1"/>
  <c r="BY42" i="1"/>
  <c r="BY26" i="1" s="1"/>
  <c r="BY1012" i="1"/>
  <c r="AP1012" i="1" s="1"/>
  <c r="BY666" i="1"/>
  <c r="CI666" i="1" s="1"/>
  <c r="BY389" i="1"/>
  <c r="S253" i="1"/>
  <c r="CY253" i="1" s="1"/>
  <c r="X253" i="1" s="1"/>
  <c r="CT253" i="1"/>
  <c r="CR30" i="1"/>
  <c r="R30" i="1"/>
  <c r="T1192" i="1"/>
  <c r="W1154" i="1"/>
  <c r="T1153" i="1"/>
  <c r="CC1157" i="1"/>
  <c r="CC1147" i="1" s="1"/>
  <c r="T1150" i="1"/>
  <c r="U1149" i="1"/>
  <c r="I850" i="5" s="1"/>
  <c r="T1007" i="1"/>
  <c r="CC1012" i="1"/>
  <c r="AT1012" i="1" s="1"/>
  <c r="T1001" i="1"/>
  <c r="CC864" i="1"/>
  <c r="CC859" i="1" s="1"/>
  <c r="T784" i="1"/>
  <c r="CC792" i="1"/>
  <c r="CC778" i="1" s="1"/>
  <c r="T780" i="1"/>
  <c r="AV744" i="1"/>
  <c r="V709" i="1"/>
  <c r="W663" i="1"/>
  <c r="V663" i="1"/>
  <c r="BZ666" i="1"/>
  <c r="F642" i="1"/>
  <c r="AB580" i="1"/>
  <c r="T578" i="1"/>
  <c r="V577" i="1"/>
  <c r="CC503" i="1"/>
  <c r="CC490" i="1" s="1"/>
  <c r="R499" i="1"/>
  <c r="GK499" i="1" s="1"/>
  <c r="GX497" i="1"/>
  <c r="CT497" i="1"/>
  <c r="T497" i="1"/>
  <c r="S497" i="1"/>
  <c r="CZ497" i="1" s="1"/>
  <c r="Y497" i="1" s="1"/>
  <c r="T483" i="5" s="1"/>
  <c r="K487" i="5" s="1"/>
  <c r="BZ503" i="1"/>
  <c r="AW456" i="1"/>
  <c r="F447" i="1"/>
  <c r="U379" i="5"/>
  <c r="CR340" i="1"/>
  <c r="I373" i="5"/>
  <c r="W373" i="5" s="1"/>
  <c r="S338" i="1"/>
  <c r="CT338" i="1"/>
  <c r="CC343" i="1"/>
  <c r="CT334" i="1"/>
  <c r="AV292" i="1"/>
  <c r="F299" i="1"/>
  <c r="CT251" i="1"/>
  <c r="GX249" i="1"/>
  <c r="R209" i="1"/>
  <c r="K246" i="5" s="1"/>
  <c r="CS209" i="1"/>
  <c r="S158" i="1"/>
  <c r="F144" i="1"/>
  <c r="BA122" i="1"/>
  <c r="AW122" i="1"/>
  <c r="F130" i="1"/>
  <c r="V122" i="1"/>
  <c r="F147" i="1"/>
  <c r="V28" i="1"/>
  <c r="U28" i="1"/>
  <c r="I45" i="5" s="1"/>
  <c r="P28" i="1"/>
  <c r="K41" i="5" s="1"/>
  <c r="GX340" i="1"/>
  <c r="T340" i="1"/>
  <c r="GX338" i="1"/>
  <c r="T338" i="1"/>
  <c r="GX334" i="1"/>
  <c r="T334" i="1"/>
  <c r="GX333" i="1"/>
  <c r="T333" i="1"/>
  <c r="GX255" i="1"/>
  <c r="GX254" i="1"/>
  <c r="T211" i="1"/>
  <c r="T209" i="1"/>
  <c r="S223" i="5"/>
  <c r="I227" i="5" s="1"/>
  <c r="V203" i="1"/>
  <c r="AD203" i="1"/>
  <c r="AB203" i="1" s="1"/>
  <c r="CR203" i="1"/>
  <c r="T165" i="1"/>
  <c r="GX164" i="1"/>
  <c r="BY167" i="1"/>
  <c r="T164" i="1"/>
  <c r="P164" i="1"/>
  <c r="T159" i="1"/>
  <c r="F131" i="1"/>
  <c r="U86" i="1"/>
  <c r="I165" i="5" s="1"/>
  <c r="GX85" i="1"/>
  <c r="W85" i="1"/>
  <c r="AD84" i="1"/>
  <c r="CR84" i="1"/>
  <c r="S83" i="1"/>
  <c r="CY83" i="1" s="1"/>
  <c r="X83" i="1" s="1"/>
  <c r="S82" i="1"/>
  <c r="CY82" i="1" s="1"/>
  <c r="X82" i="1" s="1"/>
  <c r="U77" i="1"/>
  <c r="I124" i="5" s="1"/>
  <c r="P77" i="1"/>
  <c r="I51" i="5"/>
  <c r="W51" i="5" s="1"/>
  <c r="W28" i="1"/>
  <c r="S28" i="1"/>
  <c r="K38" i="5" s="1"/>
  <c r="AP122" i="1"/>
  <c r="F133" i="1"/>
  <c r="V83" i="1"/>
  <c r="R83" i="1"/>
  <c r="GK83" i="1" s="1"/>
  <c r="T210" i="1"/>
  <c r="U209" i="1"/>
  <c r="I252" i="5" s="1"/>
  <c r="U203" i="1"/>
  <c r="I221" i="5" s="1"/>
  <c r="I209" i="5"/>
  <c r="U165" i="1"/>
  <c r="I197" i="5" s="1"/>
  <c r="BZ167" i="1"/>
  <c r="V162" i="1"/>
  <c r="U158" i="1"/>
  <c r="I179" i="5" s="1"/>
  <c r="W86" i="1"/>
  <c r="U84" i="1"/>
  <c r="I153" i="5" s="1"/>
  <c r="GX78" i="1"/>
  <c r="U78" i="1"/>
  <c r="I134" i="5" s="1"/>
  <c r="GX77" i="1"/>
  <c r="V77" i="1"/>
  <c r="U36" i="1"/>
  <c r="P36" i="1"/>
  <c r="GX28" i="1"/>
  <c r="W1155" i="1"/>
  <c r="Q581" i="1"/>
  <c r="I162" i="10"/>
  <c r="D101" i="7"/>
  <c r="D90" i="6"/>
  <c r="E547" i="5"/>
  <c r="R581" i="1"/>
  <c r="GK581" i="1" s="1"/>
  <c r="T573" i="1"/>
  <c r="Q787" i="1"/>
  <c r="I216" i="10"/>
  <c r="D226" i="9" s="1"/>
  <c r="D119" i="6"/>
  <c r="D130" i="7"/>
  <c r="E717" i="5"/>
  <c r="R787" i="1"/>
  <c r="GK787" i="1" s="1"/>
  <c r="Q573" i="1"/>
  <c r="I148" i="10"/>
  <c r="D93" i="7"/>
  <c r="E512" i="5"/>
  <c r="D82" i="6"/>
  <c r="R573" i="1"/>
  <c r="GK573" i="1" s="1"/>
  <c r="U1002" i="1"/>
  <c r="U787" i="1"/>
  <c r="BZ650" i="1"/>
  <c r="AQ666" i="1"/>
  <c r="AQ650" i="1" s="1"/>
  <c r="T581" i="1"/>
  <c r="AZ1482" i="1"/>
  <c r="AR1482" i="1"/>
  <c r="BA1414" i="1"/>
  <c r="AS1414" i="1"/>
  <c r="W1380" i="1"/>
  <c r="O1380" i="1"/>
  <c r="AD1345" i="1"/>
  <c r="AB1345" i="1" s="1"/>
  <c r="S329" i="10"/>
  <c r="P329" i="10"/>
  <c r="U951" i="5"/>
  <c r="V951" i="5"/>
  <c r="S950" i="5"/>
  <c r="Q950" i="5"/>
  <c r="S1344" i="1"/>
  <c r="S1343" i="1"/>
  <c r="S949" i="5"/>
  <c r="Q949" i="5"/>
  <c r="Q1343" i="1"/>
  <c r="I327" i="10"/>
  <c r="D313" i="9" s="1"/>
  <c r="D171" i="7"/>
  <c r="E949" i="5"/>
  <c r="D159" i="6"/>
  <c r="CC1347" i="1"/>
  <c r="I948" i="5"/>
  <c r="I320" i="10"/>
  <c r="I318" i="10"/>
  <c r="I316" i="10"/>
  <c r="I314" i="10"/>
  <c r="I321" i="10"/>
  <c r="I319" i="10"/>
  <c r="I317" i="10"/>
  <c r="I315" i="10"/>
  <c r="I313" i="10"/>
  <c r="D167" i="7"/>
  <c r="I927" i="5"/>
  <c r="D155" i="6"/>
  <c r="C925" i="5"/>
  <c r="E924" i="5"/>
  <c r="AD1302" i="1"/>
  <c r="AB1302" i="1" s="1"/>
  <c r="V912" i="5"/>
  <c r="U912" i="5"/>
  <c r="I916" i="5"/>
  <c r="W916" i="5" s="1"/>
  <c r="U1301" i="1"/>
  <c r="AD1301" i="1"/>
  <c r="AB1301" i="1" s="1"/>
  <c r="S306" i="10"/>
  <c r="P306" i="10"/>
  <c r="U906" i="5"/>
  <c r="I902" i="5"/>
  <c r="W902" i="5" s="1"/>
  <c r="S900" i="5"/>
  <c r="Q900" i="5"/>
  <c r="S1300" i="1"/>
  <c r="S1195" i="1"/>
  <c r="CZ1195" i="1" s="1"/>
  <c r="Y1195" i="1" s="1"/>
  <c r="T887" i="5" s="1"/>
  <c r="S887" i="5"/>
  <c r="Q887" i="5"/>
  <c r="Q1195" i="1"/>
  <c r="I293" i="10"/>
  <c r="D284" i="9" s="1"/>
  <c r="D149" i="6"/>
  <c r="E887" i="5"/>
  <c r="D160" i="7"/>
  <c r="I886" i="5"/>
  <c r="CD1197" i="1"/>
  <c r="AU1197" i="1" s="1"/>
  <c r="N286" i="10"/>
  <c r="K286" i="10"/>
  <c r="P1192" i="1"/>
  <c r="K874" i="5" s="1"/>
  <c r="I874" i="5"/>
  <c r="CK1190" i="1"/>
  <c r="S1154" i="1"/>
  <c r="CY1154" i="1" s="1"/>
  <c r="X1154" i="1" s="1"/>
  <c r="Q856" i="5"/>
  <c r="S856" i="5"/>
  <c r="Q1154" i="1"/>
  <c r="I276" i="10"/>
  <c r="D154" i="7"/>
  <c r="E856" i="5"/>
  <c r="D143" i="6"/>
  <c r="I275" i="10"/>
  <c r="D273" i="9" s="1"/>
  <c r="D153" i="7"/>
  <c r="C853" i="5"/>
  <c r="D142" i="6"/>
  <c r="E852" i="5"/>
  <c r="R1152" i="1"/>
  <c r="GK1152" i="1" s="1"/>
  <c r="P274" i="10"/>
  <c r="S274" i="10"/>
  <c r="I272" i="10"/>
  <c r="D274" i="9" s="1"/>
  <c r="D150" i="7"/>
  <c r="E844" i="5"/>
  <c r="D139" i="6"/>
  <c r="I271" i="10"/>
  <c r="D267" i="9" s="1"/>
  <c r="I270" i="10"/>
  <c r="D270" i="9" s="1"/>
  <c r="D149" i="7"/>
  <c r="E838" i="5"/>
  <c r="C839" i="5"/>
  <c r="I841" i="5"/>
  <c r="D138" i="6"/>
  <c r="AS1113" i="1"/>
  <c r="AZ1045" i="1"/>
  <c r="AR1045" i="1"/>
  <c r="AD1008" i="1"/>
  <c r="AB1008" i="1" s="1"/>
  <c r="GK1007" i="1"/>
  <c r="K801" i="5"/>
  <c r="CD1012" i="1"/>
  <c r="AU1012" i="1" s="1"/>
  <c r="N251" i="10"/>
  <c r="K251" i="10"/>
  <c r="P1004" i="1"/>
  <c r="K790" i="5" s="1"/>
  <c r="I790" i="5"/>
  <c r="P1003" i="1"/>
  <c r="K779" i="5" s="1"/>
  <c r="I779" i="5"/>
  <c r="K241" i="10"/>
  <c r="N241" i="10"/>
  <c r="Q1001" i="1"/>
  <c r="K765" i="5" s="1"/>
  <c r="I766" i="5"/>
  <c r="W766" i="5" s="1"/>
  <c r="U762" i="5"/>
  <c r="V762" i="5"/>
  <c r="AW965" i="1"/>
  <c r="W931" i="1"/>
  <c r="O931" i="1"/>
  <c r="AW897" i="1"/>
  <c r="AD861" i="1"/>
  <c r="AB861" i="1" s="1"/>
  <c r="I747" i="5"/>
  <c r="W747" i="5" s="1"/>
  <c r="U743" i="5"/>
  <c r="V743" i="5"/>
  <c r="AQ825" i="1"/>
  <c r="AD790" i="1"/>
  <c r="AB790" i="1" s="1"/>
  <c r="S225" i="10"/>
  <c r="P225" i="10"/>
  <c r="Q724" i="5"/>
  <c r="I726" i="5"/>
  <c r="S724" i="5"/>
  <c r="S789" i="1"/>
  <c r="P217" i="10"/>
  <c r="S217" i="10"/>
  <c r="D67" i="7"/>
  <c r="D56" i="6"/>
  <c r="E363" i="5"/>
  <c r="C364" i="5"/>
  <c r="V331" i="1"/>
  <c r="U328" i="5"/>
  <c r="R329" i="1"/>
  <c r="GK329" i="1" s="1"/>
  <c r="V328" i="5"/>
  <c r="CX146" i="3"/>
  <c r="D62" i="7"/>
  <c r="D51" i="6"/>
  <c r="E328" i="5"/>
  <c r="C329" i="5"/>
  <c r="I331" i="1"/>
  <c r="GK328" i="1"/>
  <c r="K322" i="5"/>
  <c r="N87" i="10"/>
  <c r="K87" i="10"/>
  <c r="I248" i="5"/>
  <c r="X248" i="5" s="1"/>
  <c r="I232" i="5"/>
  <c r="R205" i="1"/>
  <c r="CR205" i="1"/>
  <c r="R160" i="1"/>
  <c r="GK160" i="1" s="1"/>
  <c r="CR160" i="1"/>
  <c r="BD122" i="1"/>
  <c r="F149" i="1"/>
  <c r="AV122" i="1"/>
  <c r="F129" i="1"/>
  <c r="F146" i="1"/>
  <c r="U122" i="1"/>
  <c r="Y122" i="1"/>
  <c r="Q85" i="1"/>
  <c r="I60" i="10"/>
  <c r="D56" i="9" s="1"/>
  <c r="D36" i="7"/>
  <c r="D25" i="6"/>
  <c r="E149" i="5"/>
  <c r="S80" i="1"/>
  <c r="K138" i="5" s="1"/>
  <c r="Q136" i="5"/>
  <c r="I139" i="5" s="1"/>
  <c r="S136" i="5"/>
  <c r="I140" i="5" s="1"/>
  <c r="I138" i="5"/>
  <c r="N30" i="10"/>
  <c r="K30" i="10"/>
  <c r="GX31" i="1"/>
  <c r="D24" i="7"/>
  <c r="D13" i="6"/>
  <c r="C68" i="5"/>
  <c r="E67" i="5"/>
  <c r="O304" i="10"/>
  <c r="M304" i="10"/>
  <c r="O247" i="10"/>
  <c r="M247" i="10"/>
  <c r="M212" i="10"/>
  <c r="O212" i="10"/>
  <c r="F227" i="9" s="1"/>
  <c r="O142" i="10"/>
  <c r="F145" i="9" s="1"/>
  <c r="M142" i="10"/>
  <c r="O126" i="10"/>
  <c r="M126" i="10"/>
  <c r="O94" i="10"/>
  <c r="F98" i="9" s="1"/>
  <c r="M94" i="10"/>
  <c r="F1509" i="1"/>
  <c r="F1496" i="1"/>
  <c r="AZ1414" i="1"/>
  <c r="R1414" i="1"/>
  <c r="F1400" i="1"/>
  <c r="F1389" i="1"/>
  <c r="BB1380" i="1"/>
  <c r="CT1344" i="1"/>
  <c r="R1344" i="1"/>
  <c r="GK1344" i="1" s="1"/>
  <c r="S328" i="10"/>
  <c r="P328" i="10"/>
  <c r="V950" i="5"/>
  <c r="U950" i="5"/>
  <c r="BZ1347" i="1"/>
  <c r="AQ1347" i="1" s="1"/>
  <c r="S1342" i="1"/>
  <c r="I1305" i="1"/>
  <c r="S1305" i="1" s="1"/>
  <c r="W1304" i="1"/>
  <c r="AB1304" i="1"/>
  <c r="I929" i="5"/>
  <c r="CS1301" i="1"/>
  <c r="AD1195" i="1"/>
  <c r="AB1195" i="1" s="1"/>
  <c r="S293" i="10"/>
  <c r="T293" i="10" s="1"/>
  <c r="P293" i="10"/>
  <c r="U887" i="5"/>
  <c r="V887" i="5"/>
  <c r="S1194" i="1"/>
  <c r="GK1192" i="1"/>
  <c r="K873" i="5"/>
  <c r="CT1155" i="1"/>
  <c r="S277" i="10"/>
  <c r="P277" i="10"/>
  <c r="AD1154" i="1"/>
  <c r="AB1154" i="1" s="1"/>
  <c r="S276" i="10"/>
  <c r="T276" i="10" s="1"/>
  <c r="P276" i="10"/>
  <c r="U856" i="5"/>
  <c r="V856" i="5"/>
  <c r="W1153" i="1"/>
  <c r="BZ1157" i="1"/>
  <c r="AQ1157" i="1" s="1"/>
  <c r="AB1150" i="1"/>
  <c r="K272" i="10"/>
  <c r="N272" i="10"/>
  <c r="I844" i="5"/>
  <c r="X844" i="5" s="1"/>
  <c r="F1121" i="1"/>
  <c r="AR1113" i="1"/>
  <c r="F1086" i="1"/>
  <c r="F1072" i="1"/>
  <c r="F1059" i="1"/>
  <c r="G999" i="1"/>
  <c r="A238" i="9" s="1"/>
  <c r="A832" i="5"/>
  <c r="AB1009" i="1"/>
  <c r="K261" i="10"/>
  <c r="N261" i="10"/>
  <c r="Q1007" i="1"/>
  <c r="K800" i="5" s="1"/>
  <c r="I257" i="10"/>
  <c r="I255" i="10"/>
  <c r="I253" i="10"/>
  <c r="I256" i="10"/>
  <c r="I254" i="10"/>
  <c r="D144" i="7"/>
  <c r="D133" i="6"/>
  <c r="I800" i="5"/>
  <c r="E798" i="5"/>
  <c r="Q1006" i="1"/>
  <c r="I252" i="10"/>
  <c r="D250" i="9" s="1"/>
  <c r="E792" i="5"/>
  <c r="D143" i="7"/>
  <c r="D132" i="6"/>
  <c r="GK1004" i="1"/>
  <c r="K789" i="5"/>
  <c r="GK1003" i="1"/>
  <c r="K778" i="5"/>
  <c r="CR1001" i="1"/>
  <c r="I240" i="10"/>
  <c r="I238" i="10"/>
  <c r="I236" i="10"/>
  <c r="D261" i="9" s="1"/>
  <c r="I239" i="10"/>
  <c r="D242" i="9" s="1"/>
  <c r="I237" i="10"/>
  <c r="D258" i="9" s="1"/>
  <c r="D138" i="7"/>
  <c r="D127" i="6"/>
  <c r="E762" i="5"/>
  <c r="C763" i="5"/>
  <c r="I765" i="5"/>
  <c r="F981" i="1"/>
  <c r="AS965" i="1"/>
  <c r="F946" i="1"/>
  <c r="F919" i="1"/>
  <c r="AS897" i="1"/>
  <c r="AB862" i="1"/>
  <c r="N231" i="10"/>
  <c r="K231" i="10"/>
  <c r="P861" i="1"/>
  <c r="K748" i="5" s="1"/>
  <c r="I748" i="5"/>
  <c r="F835" i="1"/>
  <c r="N225" i="10"/>
  <c r="K225" i="10"/>
  <c r="CT789" i="1"/>
  <c r="Q789" i="1"/>
  <c r="K727" i="5" s="1"/>
  <c r="V724" i="5"/>
  <c r="I728" i="5"/>
  <c r="W728" i="5" s="1"/>
  <c r="U724" i="5"/>
  <c r="CR788" i="1"/>
  <c r="AD788" i="1"/>
  <c r="U785" i="1"/>
  <c r="I722" i="5" s="1"/>
  <c r="AB783" i="1"/>
  <c r="S782" i="1"/>
  <c r="CZ782" i="1" s="1"/>
  <c r="Y782" i="1" s="1"/>
  <c r="T697" i="5" s="1"/>
  <c r="Q697" i="5"/>
  <c r="S697" i="5"/>
  <c r="Q780" i="1"/>
  <c r="D112" i="6"/>
  <c r="E683" i="5"/>
  <c r="D123" i="7"/>
  <c r="C684" i="5"/>
  <c r="F748" i="1"/>
  <c r="GX708" i="1"/>
  <c r="CS706" i="1"/>
  <c r="AD706" i="1"/>
  <c r="AB706" i="1" s="1"/>
  <c r="W701" i="1"/>
  <c r="V660" i="1"/>
  <c r="AD660" i="1"/>
  <c r="P181" i="10"/>
  <c r="S181" i="10"/>
  <c r="V601" i="5"/>
  <c r="U601" i="5"/>
  <c r="CR654" i="1"/>
  <c r="S653" i="1"/>
  <c r="K571" i="5" s="1"/>
  <c r="I571" i="5"/>
  <c r="O575" i="5" s="1"/>
  <c r="S569" i="5"/>
  <c r="I573" i="5" s="1"/>
  <c r="Q569" i="5"/>
  <c r="I572" i="5" s="1"/>
  <c r="GX652" i="1"/>
  <c r="U652" i="1"/>
  <c r="I567" i="5" s="1"/>
  <c r="S581" i="1"/>
  <c r="S547" i="5"/>
  <c r="Q547" i="5"/>
  <c r="CR580" i="1"/>
  <c r="CR577" i="1"/>
  <c r="CR574" i="1"/>
  <c r="S573" i="1"/>
  <c r="S512" i="5"/>
  <c r="Q512" i="5"/>
  <c r="F540" i="1"/>
  <c r="AS536" i="1"/>
  <c r="S145" i="10"/>
  <c r="P145" i="10"/>
  <c r="CQ500" i="1"/>
  <c r="R497" i="1"/>
  <c r="GK497" i="1" s="1"/>
  <c r="U483" i="5"/>
  <c r="V483" i="5"/>
  <c r="AD494" i="1"/>
  <c r="V464" i="5"/>
  <c r="U464" i="5"/>
  <c r="V458" i="5"/>
  <c r="BC422" i="1"/>
  <c r="CR386" i="1"/>
  <c r="I374" i="5"/>
  <c r="X374" i="5" s="1"/>
  <c r="R338" i="1"/>
  <c r="GK338" i="1" s="1"/>
  <c r="U371" i="5"/>
  <c r="V371" i="5"/>
  <c r="CR338" i="1"/>
  <c r="U329" i="1"/>
  <c r="I333" i="5" s="1"/>
  <c r="AD329" i="1"/>
  <c r="AB329" i="1" s="1"/>
  <c r="S328" i="1"/>
  <c r="K320" i="5" s="1"/>
  <c r="S318" i="5"/>
  <c r="I324" i="5" s="1"/>
  <c r="Q318" i="5"/>
  <c r="I323" i="5" s="1"/>
  <c r="I320" i="5"/>
  <c r="AX292" i="1"/>
  <c r="F301" i="1"/>
  <c r="AT292" i="1"/>
  <c r="F312" i="1"/>
  <c r="O292" i="1"/>
  <c r="F296" i="1"/>
  <c r="S293" i="5"/>
  <c r="Q293" i="5"/>
  <c r="S255" i="1"/>
  <c r="S280" i="5"/>
  <c r="I284" i="5" s="1"/>
  <c r="Q280" i="5"/>
  <c r="I283" i="5" s="1"/>
  <c r="I282" i="5"/>
  <c r="W282" i="5" s="1"/>
  <c r="I275" i="5"/>
  <c r="N90" i="10"/>
  <c r="K90" i="10"/>
  <c r="CQ210" i="1"/>
  <c r="V207" i="1"/>
  <c r="AB159" i="1"/>
  <c r="P159" i="1"/>
  <c r="K176" i="5"/>
  <c r="CY158" i="1"/>
  <c r="X158" i="1" s="1"/>
  <c r="R174" i="5" s="1"/>
  <c r="K177" i="5" s="1"/>
  <c r="J180" i="5" s="1"/>
  <c r="V85" i="1"/>
  <c r="AB84" i="1"/>
  <c r="I148" i="5"/>
  <c r="P84" i="1"/>
  <c r="K148" i="5" s="1"/>
  <c r="CZ82" i="1"/>
  <c r="Y82" i="1" s="1"/>
  <c r="V80" i="1"/>
  <c r="R78" i="1"/>
  <c r="I130" i="5"/>
  <c r="W130" i="5" s="1"/>
  <c r="U126" i="5"/>
  <c r="I133" i="5" s="1"/>
  <c r="V126" i="5"/>
  <c r="K133" i="5" s="1"/>
  <c r="S77" i="1"/>
  <c r="K118" i="5" s="1"/>
  <c r="Q116" i="5"/>
  <c r="I121" i="5" s="1"/>
  <c r="S116" i="5"/>
  <c r="I122" i="5" s="1"/>
  <c r="I118" i="5"/>
  <c r="W118" i="5" s="1"/>
  <c r="I41" i="10"/>
  <c r="I42" i="10"/>
  <c r="D29" i="7"/>
  <c r="I101" i="5"/>
  <c r="D18" i="6"/>
  <c r="C99" i="5"/>
  <c r="E98" i="5"/>
  <c r="CZ37" i="1"/>
  <c r="Y37" i="1" s="1"/>
  <c r="T86" i="5" s="1"/>
  <c r="K88" i="5"/>
  <c r="CY34" i="1"/>
  <c r="X34" i="1" s="1"/>
  <c r="R74" i="5" s="1"/>
  <c r="K76" i="5"/>
  <c r="Q33" i="1"/>
  <c r="CR33" i="1"/>
  <c r="I69" i="5"/>
  <c r="W69" i="5" s="1"/>
  <c r="S67" i="5"/>
  <c r="I71" i="5" s="1"/>
  <c r="Q67" i="5"/>
  <c r="I70" i="5" s="1"/>
  <c r="GK30" i="1"/>
  <c r="K61" i="5"/>
  <c r="BZ42" i="1"/>
  <c r="BZ26" i="1" s="1"/>
  <c r="O319" i="10"/>
  <c r="M319" i="10"/>
  <c r="O301" i="10"/>
  <c r="F296" i="9" s="1"/>
  <c r="M301" i="10"/>
  <c r="O281" i="10"/>
  <c r="M281" i="10"/>
  <c r="O223" i="10"/>
  <c r="F212" i="9" s="1"/>
  <c r="M223" i="10"/>
  <c r="O175" i="10"/>
  <c r="M175" i="10"/>
  <c r="O114" i="10"/>
  <c r="F114" i="9" s="1"/>
  <c r="M114" i="10"/>
  <c r="O111" i="10"/>
  <c r="M111" i="10"/>
  <c r="M73" i="10"/>
  <c r="O73" i="10"/>
  <c r="M72" i="10"/>
  <c r="O72" i="10"/>
  <c r="F72" i="9" s="1"/>
  <c r="M22" i="10"/>
  <c r="O22" i="10"/>
  <c r="F35" i="9" s="1"/>
  <c r="G22" i="1"/>
  <c r="A8" i="9" s="1"/>
  <c r="A966" i="5"/>
  <c r="F1489" i="1"/>
  <c r="F1455" i="1"/>
  <c r="F1422" i="1"/>
  <c r="Q1414" i="1"/>
  <c r="F1388" i="1"/>
  <c r="S1380" i="1"/>
  <c r="R1345" i="1"/>
  <c r="GK1345" i="1" s="1"/>
  <c r="CR1344" i="1"/>
  <c r="AD1344" i="1"/>
  <c r="AB1344" i="1" s="1"/>
  <c r="I328" i="10"/>
  <c r="D315" i="9" s="1"/>
  <c r="D172" i="7"/>
  <c r="E950" i="5"/>
  <c r="D160" i="6"/>
  <c r="P1343" i="1"/>
  <c r="N327" i="10"/>
  <c r="K327" i="10"/>
  <c r="I949" i="5"/>
  <c r="X949" i="5" s="1"/>
  <c r="R1342" i="1"/>
  <c r="K947" i="5" s="1"/>
  <c r="I947" i="5"/>
  <c r="W947" i="5" s="1"/>
  <c r="U943" i="5"/>
  <c r="V943" i="5"/>
  <c r="P1342" i="1"/>
  <c r="K948" i="5" s="1"/>
  <c r="CG1307" i="1"/>
  <c r="CG1298" i="1" s="1"/>
  <c r="AD1305" i="1"/>
  <c r="AB1305" i="1" s="1"/>
  <c r="S322" i="10"/>
  <c r="P322" i="10"/>
  <c r="V930" i="5"/>
  <c r="GX1304" i="1"/>
  <c r="S924" i="5"/>
  <c r="Q924" i="5"/>
  <c r="I926" i="5"/>
  <c r="W926" i="5" s="1"/>
  <c r="S1304" i="1"/>
  <c r="CR1302" i="1"/>
  <c r="R1302" i="1"/>
  <c r="BY1307" i="1"/>
  <c r="CR1301" i="1"/>
  <c r="CD1307" i="1"/>
  <c r="CR1300" i="1"/>
  <c r="I304" i="10"/>
  <c r="I302" i="10"/>
  <c r="D295" i="9" s="1"/>
  <c r="I300" i="10"/>
  <c r="I298" i="10"/>
  <c r="D304" i="9" s="1"/>
  <c r="I305" i="10"/>
  <c r="I303" i="10"/>
  <c r="D294" i="9" s="1"/>
  <c r="I301" i="10"/>
  <c r="I299" i="10"/>
  <c r="I297" i="10"/>
  <c r="D163" i="7"/>
  <c r="C901" i="5"/>
  <c r="D151" i="6"/>
  <c r="I903" i="5"/>
  <c r="E900" i="5"/>
  <c r="F1281" i="1"/>
  <c r="F1274" i="1"/>
  <c r="F1258" i="1"/>
  <c r="F1240" i="1"/>
  <c r="F1235" i="1"/>
  <c r="W1230" i="1"/>
  <c r="O1230" i="1"/>
  <c r="G1190" i="1"/>
  <c r="A276" i="9" s="1"/>
  <c r="A894" i="5"/>
  <c r="CS1195" i="1"/>
  <c r="P1195" i="1"/>
  <c r="N293" i="10"/>
  <c r="K293" i="10"/>
  <c r="I887" i="5"/>
  <c r="X887" i="5" s="1"/>
  <c r="R1194" i="1"/>
  <c r="V881" i="5"/>
  <c r="K890" i="5" s="1"/>
  <c r="U881" i="5"/>
  <c r="I885" i="5"/>
  <c r="W885" i="5" s="1"/>
  <c r="P1194" i="1"/>
  <c r="K886" i="5" s="1"/>
  <c r="BZ1197" i="1"/>
  <c r="BZ1190" i="1" s="1"/>
  <c r="S286" i="10"/>
  <c r="P286" i="10"/>
  <c r="S1192" i="1"/>
  <c r="K871" i="5" s="1"/>
  <c r="I871" i="5"/>
  <c r="S869" i="5"/>
  <c r="Q869" i="5"/>
  <c r="Q1192" i="1"/>
  <c r="K872" i="5" s="1"/>
  <c r="I284" i="10"/>
  <c r="I282" i="10"/>
  <c r="I280" i="10"/>
  <c r="I285" i="10"/>
  <c r="I283" i="10"/>
  <c r="I281" i="10"/>
  <c r="I279" i="10"/>
  <c r="D288" i="9" s="1"/>
  <c r="E869" i="5"/>
  <c r="D146" i="6"/>
  <c r="C870" i="5"/>
  <c r="D157" i="7"/>
  <c r="I872" i="5"/>
  <c r="G1147" i="1"/>
  <c r="A265" i="9" s="1"/>
  <c r="A863" i="5"/>
  <c r="CR1155" i="1"/>
  <c r="U1155" i="1"/>
  <c r="AD1155" i="1"/>
  <c r="I1155" i="1"/>
  <c r="GX1155" i="1" s="1"/>
  <c r="CS1154" i="1"/>
  <c r="P1154" i="1"/>
  <c r="N276" i="10"/>
  <c r="O276" i="10" s="1"/>
  <c r="K276" i="10"/>
  <c r="I856" i="5"/>
  <c r="X856" i="5" s="1"/>
  <c r="S852" i="5"/>
  <c r="I854" i="5"/>
  <c r="W854" i="5" s="1"/>
  <c r="Q852" i="5"/>
  <c r="S1153" i="1"/>
  <c r="K274" i="10"/>
  <c r="N274" i="10"/>
  <c r="AD1151" i="1"/>
  <c r="AB1151" i="1" s="1"/>
  <c r="P273" i="10"/>
  <c r="S273" i="10"/>
  <c r="GX1150" i="1"/>
  <c r="Q844" i="5"/>
  <c r="S844" i="5"/>
  <c r="S1150" i="1"/>
  <c r="V1149" i="1"/>
  <c r="Q1149" i="1"/>
  <c r="K841" i="5" s="1"/>
  <c r="I842" i="5"/>
  <c r="W842" i="5" s="1"/>
  <c r="V838" i="5"/>
  <c r="U838" i="5"/>
  <c r="F1127" i="1"/>
  <c r="F1120" i="1"/>
  <c r="AO1113" i="1"/>
  <c r="F1103" i="1"/>
  <c r="F1097" i="1"/>
  <c r="F1084" i="1"/>
  <c r="W1079" i="1"/>
  <c r="O1079" i="1"/>
  <c r="F1063" i="1"/>
  <c r="F1052" i="1"/>
  <c r="CT1010" i="1"/>
  <c r="CR1008" i="1"/>
  <c r="U1007" i="1"/>
  <c r="I806" i="5" s="1"/>
  <c r="AD1007" i="1"/>
  <c r="AB1007" i="1" s="1"/>
  <c r="U798" i="5"/>
  <c r="I805" i="5" s="1"/>
  <c r="I801" i="5"/>
  <c r="W801" i="5" s="1"/>
  <c r="V798" i="5"/>
  <c r="K805" i="5" s="1"/>
  <c r="U1006" i="1"/>
  <c r="AD1006" i="1"/>
  <c r="AB1006" i="1" s="1"/>
  <c r="S252" i="10"/>
  <c r="T252" i="10" s="1"/>
  <c r="P252" i="10"/>
  <c r="R252" i="10" s="1"/>
  <c r="U792" i="5"/>
  <c r="V792" i="5"/>
  <c r="BZ1012" i="1"/>
  <c r="CT1005" i="1"/>
  <c r="S251" i="10"/>
  <c r="P251" i="10"/>
  <c r="S1004" i="1"/>
  <c r="K787" i="5" s="1"/>
  <c r="S785" i="5"/>
  <c r="Q785" i="5"/>
  <c r="I787" i="5"/>
  <c r="W787" i="5" s="1"/>
  <c r="Q1004" i="1"/>
  <c r="K788" i="5" s="1"/>
  <c r="I249" i="10"/>
  <c r="I247" i="10"/>
  <c r="D253" i="9" s="1"/>
  <c r="I250" i="10"/>
  <c r="I248" i="10"/>
  <c r="D245" i="9" s="1"/>
  <c r="I246" i="10"/>
  <c r="D263" i="9" s="1"/>
  <c r="D141" i="7"/>
  <c r="D130" i="6"/>
  <c r="I788" i="5"/>
  <c r="E785" i="5"/>
  <c r="C786" i="5"/>
  <c r="S1003" i="1"/>
  <c r="K776" i="5" s="1"/>
  <c r="S774" i="5"/>
  <c r="I781" i="5" s="1"/>
  <c r="Q774" i="5"/>
  <c r="I780" i="5" s="1"/>
  <c r="I776" i="5"/>
  <c r="Q1003" i="1"/>
  <c r="K777" i="5" s="1"/>
  <c r="I245" i="10"/>
  <c r="I243" i="10"/>
  <c r="D252" i="9" s="1"/>
  <c r="I244" i="10"/>
  <c r="D251" i="9" s="1"/>
  <c r="I242" i="10"/>
  <c r="D260" i="9" s="1"/>
  <c r="D140" i="7"/>
  <c r="D129" i="6"/>
  <c r="I777" i="5"/>
  <c r="C775" i="5"/>
  <c r="E774" i="5"/>
  <c r="V1002" i="1"/>
  <c r="S768" i="5"/>
  <c r="I1002" i="1"/>
  <c r="P1002" i="1" s="1"/>
  <c r="W1001" i="1"/>
  <c r="I767" i="5"/>
  <c r="F992" i="1"/>
  <c r="F979" i="1"/>
  <c r="F939" i="1"/>
  <c r="S931" i="1"/>
  <c r="F924" i="1"/>
  <c r="F911" i="1"/>
  <c r="G859" i="1"/>
  <c r="A229" i="9" s="1"/>
  <c r="A756" i="5"/>
  <c r="AL756" i="5"/>
  <c r="CR861" i="1"/>
  <c r="R861" i="1"/>
  <c r="F843" i="1"/>
  <c r="F834" i="1"/>
  <c r="F829" i="1"/>
  <c r="CR790" i="1"/>
  <c r="CR789" i="1"/>
  <c r="AD789" i="1"/>
  <c r="I223" i="10"/>
  <c r="D212" i="9" s="1"/>
  <c r="I221" i="10"/>
  <c r="D220" i="9" s="1"/>
  <c r="I219" i="10"/>
  <c r="D223" i="9" s="1"/>
  <c r="I224" i="10"/>
  <c r="D211" i="9" s="1"/>
  <c r="I222" i="10"/>
  <c r="D218" i="9" s="1"/>
  <c r="I220" i="10"/>
  <c r="D221" i="9" s="1"/>
  <c r="I218" i="10"/>
  <c r="D224" i="9" s="1"/>
  <c r="D121" i="6"/>
  <c r="D132" i="7"/>
  <c r="I727" i="5"/>
  <c r="E724" i="5"/>
  <c r="C725" i="5"/>
  <c r="AB788" i="1"/>
  <c r="K217" i="10"/>
  <c r="N217" i="10"/>
  <c r="V787" i="1"/>
  <c r="W787" i="1"/>
  <c r="S787" i="1"/>
  <c r="CZ787" i="1" s="1"/>
  <c r="Y787" i="1" s="1"/>
  <c r="T717" i="5" s="1"/>
  <c r="S717" i="5"/>
  <c r="Q717" i="5"/>
  <c r="BZ792" i="1"/>
  <c r="P215" i="10"/>
  <c r="S215" i="10"/>
  <c r="P785" i="1"/>
  <c r="I715" i="5"/>
  <c r="S784" i="1"/>
  <c r="K705" i="5" s="1"/>
  <c r="I705" i="5"/>
  <c r="S703" i="5"/>
  <c r="I707" i="5" s="1"/>
  <c r="Q703" i="5"/>
  <c r="I706" i="5" s="1"/>
  <c r="CX283" i="3"/>
  <c r="D116" i="6"/>
  <c r="D127" i="7"/>
  <c r="C704" i="5"/>
  <c r="E703" i="5"/>
  <c r="CS783" i="1"/>
  <c r="AD782" i="1"/>
  <c r="AB782" i="1" s="1"/>
  <c r="I698" i="5"/>
  <c r="AA699" i="5" s="1"/>
  <c r="V697" i="5"/>
  <c r="U697" i="5"/>
  <c r="CR781" i="1"/>
  <c r="U780" i="1"/>
  <c r="I688" i="5" s="1"/>
  <c r="AD780" i="1"/>
  <c r="AB780" i="1" s="1"/>
  <c r="U683" i="5"/>
  <c r="V683" i="5"/>
  <c r="F764" i="1"/>
  <c r="F752" i="1"/>
  <c r="AR744" i="1"/>
  <c r="P709" i="1"/>
  <c r="N207" i="10"/>
  <c r="K207" i="10"/>
  <c r="I670" i="5"/>
  <c r="X670" i="5" s="1"/>
  <c r="W708" i="1"/>
  <c r="I666" i="5"/>
  <c r="S664" i="5"/>
  <c r="Q664" i="5"/>
  <c r="P199" i="10"/>
  <c r="S199" i="10"/>
  <c r="T706" i="1"/>
  <c r="P706" i="1"/>
  <c r="K657" i="5" s="1"/>
  <c r="I657" i="5"/>
  <c r="CR705" i="1"/>
  <c r="AD705" i="1"/>
  <c r="CT703" i="1"/>
  <c r="AD703" i="1"/>
  <c r="AB703" i="1" s="1"/>
  <c r="U701" i="1"/>
  <c r="I633" i="5" s="1"/>
  <c r="V701" i="1"/>
  <c r="AD701" i="1"/>
  <c r="AB701" i="1" s="1"/>
  <c r="U628" i="5"/>
  <c r="V628" i="5"/>
  <c r="G650" i="1"/>
  <c r="A161" i="9" s="1"/>
  <c r="A622" i="5"/>
  <c r="AL622" i="5"/>
  <c r="K190" i="10"/>
  <c r="N190" i="10"/>
  <c r="Q614" i="5"/>
  <c r="S614" i="5"/>
  <c r="S663" i="1"/>
  <c r="CY661" i="1"/>
  <c r="X661" i="1" s="1"/>
  <c r="R607" i="5" s="1"/>
  <c r="K609" i="5"/>
  <c r="GX660" i="1"/>
  <c r="K181" i="10"/>
  <c r="N181" i="10"/>
  <c r="I601" i="5"/>
  <c r="X601" i="5" s="1"/>
  <c r="T659" i="1"/>
  <c r="N173" i="10"/>
  <c r="K173" i="10"/>
  <c r="U657" i="1"/>
  <c r="I593" i="5" s="1"/>
  <c r="V657" i="1"/>
  <c r="AD657" i="1"/>
  <c r="V583" i="5"/>
  <c r="I587" i="5"/>
  <c r="W587" i="5" s="1"/>
  <c r="U583" i="5"/>
  <c r="CR655" i="1"/>
  <c r="U569" i="5"/>
  <c r="V569" i="5"/>
  <c r="CX224" i="3"/>
  <c r="D104" i="7"/>
  <c r="D93" i="6"/>
  <c r="C570" i="5"/>
  <c r="E569" i="5"/>
  <c r="F624" i="1"/>
  <c r="Y616" i="1"/>
  <c r="G570" i="1"/>
  <c r="A151" i="9" s="1"/>
  <c r="A553" i="5"/>
  <c r="S162" i="10"/>
  <c r="T162" i="10" s="1"/>
  <c r="P162" i="10"/>
  <c r="V547" i="5"/>
  <c r="U547" i="5"/>
  <c r="I546" i="5"/>
  <c r="N159" i="10"/>
  <c r="K159" i="10"/>
  <c r="V534" i="5"/>
  <c r="U534" i="5"/>
  <c r="Q578" i="1"/>
  <c r="I157" i="10"/>
  <c r="I155" i="10"/>
  <c r="I158" i="10"/>
  <c r="I156" i="10"/>
  <c r="D98" i="7"/>
  <c r="D87" i="6"/>
  <c r="E534" i="5"/>
  <c r="C535" i="5"/>
  <c r="N154" i="10"/>
  <c r="K154" i="10"/>
  <c r="I529" i="5"/>
  <c r="X529" i="5" s="1"/>
  <c r="BZ583" i="1"/>
  <c r="AQ583" i="1" s="1"/>
  <c r="V525" i="5"/>
  <c r="U525" i="5"/>
  <c r="P576" i="1"/>
  <c r="K528" i="5" s="1"/>
  <c r="S149" i="10"/>
  <c r="P149" i="10"/>
  <c r="S148" i="10"/>
  <c r="T148" i="10" s="1"/>
  <c r="P148" i="10"/>
  <c r="U512" i="5"/>
  <c r="V512" i="5"/>
  <c r="F556" i="1"/>
  <c r="F544" i="1"/>
  <c r="AZ536" i="1"/>
  <c r="CR501" i="1"/>
  <c r="AD501" i="1"/>
  <c r="AB501" i="1" s="1"/>
  <c r="S500" i="1"/>
  <c r="K492" i="5" s="1"/>
  <c r="I492" i="5"/>
  <c r="S490" i="5"/>
  <c r="Q490" i="5"/>
  <c r="GK500" i="1"/>
  <c r="K494" i="5"/>
  <c r="GX499" i="1"/>
  <c r="CR499" i="1"/>
  <c r="U499" i="1"/>
  <c r="I139" i="10"/>
  <c r="D140" i="9" s="1"/>
  <c r="I140" i="10"/>
  <c r="D139" i="9" s="1"/>
  <c r="D76" i="6"/>
  <c r="D87" i="7"/>
  <c r="I476" i="5"/>
  <c r="C474" i="5"/>
  <c r="E473" i="5"/>
  <c r="S138" i="10"/>
  <c r="P138" i="10"/>
  <c r="CR495" i="1"/>
  <c r="U494" i="1"/>
  <c r="I471" i="5" s="1"/>
  <c r="U493" i="1"/>
  <c r="P493" i="1"/>
  <c r="K136" i="10"/>
  <c r="N136" i="10"/>
  <c r="I458" i="5"/>
  <c r="X458" i="5" s="1"/>
  <c r="F477" i="1"/>
  <c r="BB456" i="1"/>
  <c r="F450" i="1"/>
  <c r="F443" i="1"/>
  <c r="F427" i="1"/>
  <c r="AQ422" i="1"/>
  <c r="T384" i="1"/>
  <c r="I427" i="5"/>
  <c r="Q418" i="5"/>
  <c r="S418" i="5"/>
  <c r="I417" i="5"/>
  <c r="CR380" i="1"/>
  <c r="AD380" i="1"/>
  <c r="AB380" i="1" s="1"/>
  <c r="CY379" i="1"/>
  <c r="X379" i="1" s="1"/>
  <c r="R405" i="5" s="1"/>
  <c r="K408" i="5" s="1"/>
  <c r="K407" i="5"/>
  <c r="P340" i="1"/>
  <c r="I382" i="5"/>
  <c r="D70" i="7"/>
  <c r="D59" i="6"/>
  <c r="E374" i="5"/>
  <c r="N115" i="10"/>
  <c r="K115" i="10"/>
  <c r="S332" i="1"/>
  <c r="CT332" i="1"/>
  <c r="U331" i="1"/>
  <c r="I350" i="5" s="1"/>
  <c r="GX329" i="1"/>
  <c r="T329" i="1"/>
  <c r="V318" i="5"/>
  <c r="K325" i="5" s="1"/>
  <c r="I322" i="5"/>
  <c r="W322" i="5" s="1"/>
  <c r="U318" i="5"/>
  <c r="I325" i="5" s="1"/>
  <c r="AD328" i="1"/>
  <c r="AB328" i="1" s="1"/>
  <c r="CR328" i="1"/>
  <c r="W257" i="1"/>
  <c r="V257" i="1"/>
  <c r="CR257" i="1"/>
  <c r="S106" i="10"/>
  <c r="P106" i="10"/>
  <c r="U305" i="5"/>
  <c r="V305" i="5"/>
  <c r="I104" i="10"/>
  <c r="D94" i="9" s="1"/>
  <c r="I102" i="10"/>
  <c r="D103" i="9" s="1"/>
  <c r="I100" i="10"/>
  <c r="D106" i="9" s="1"/>
  <c r="I105" i="10"/>
  <c r="D92" i="9" s="1"/>
  <c r="I103" i="10"/>
  <c r="D95" i="9" s="1"/>
  <c r="I101" i="10"/>
  <c r="D104" i="9" s="1"/>
  <c r="I99" i="10"/>
  <c r="D107" i="9" s="1"/>
  <c r="D58" i="7"/>
  <c r="E299" i="5"/>
  <c r="D47" i="6"/>
  <c r="C300" i="5"/>
  <c r="I302" i="5"/>
  <c r="I98" i="10"/>
  <c r="D105" i="9" s="1"/>
  <c r="D57" i="7"/>
  <c r="D46" i="6"/>
  <c r="Q255" i="1"/>
  <c r="E293" i="5"/>
  <c r="CQ252" i="1"/>
  <c r="T250" i="1"/>
  <c r="V250" i="1"/>
  <c r="V280" i="5"/>
  <c r="AD250" i="1"/>
  <c r="CR250" i="1"/>
  <c r="U280" i="5"/>
  <c r="V249" i="1"/>
  <c r="V273" i="5"/>
  <c r="U273" i="5"/>
  <c r="R249" i="1"/>
  <c r="GK249" i="1" s="1"/>
  <c r="CQ212" i="1"/>
  <c r="Q211" i="1"/>
  <c r="K257" i="5" s="1"/>
  <c r="I88" i="10"/>
  <c r="D86" i="9" s="1"/>
  <c r="I89" i="10"/>
  <c r="D40" i="6"/>
  <c r="D51" i="7"/>
  <c r="I257" i="5"/>
  <c r="E254" i="5"/>
  <c r="C255" i="5"/>
  <c r="S210" i="1"/>
  <c r="S248" i="5"/>
  <c r="Q248" i="5"/>
  <c r="I247" i="5"/>
  <c r="P209" i="1"/>
  <c r="K247" i="5" s="1"/>
  <c r="CR207" i="1"/>
  <c r="U207" i="1"/>
  <c r="I240" i="5" s="1"/>
  <c r="V223" i="5"/>
  <c r="R204" i="1"/>
  <c r="GK204" i="1" s="1"/>
  <c r="U223" i="5"/>
  <c r="CX97" i="3"/>
  <c r="D35" i="6"/>
  <c r="D46" i="7"/>
  <c r="E223" i="5"/>
  <c r="C224" i="5"/>
  <c r="CX96" i="3"/>
  <c r="D34" i="6"/>
  <c r="D45" i="7"/>
  <c r="E216" i="5"/>
  <c r="C217" i="5"/>
  <c r="R203" i="1"/>
  <c r="GK203" i="1" s="1"/>
  <c r="S202" i="1"/>
  <c r="K208" i="5" s="1"/>
  <c r="I208" i="5"/>
  <c r="W208" i="5" s="1"/>
  <c r="S206" i="5"/>
  <c r="I212" i="5" s="1"/>
  <c r="Q206" i="5"/>
  <c r="I211" i="5" s="1"/>
  <c r="CX76" i="3"/>
  <c r="D30" i="6"/>
  <c r="D41" i="7"/>
  <c r="E181" i="5"/>
  <c r="C182" i="5"/>
  <c r="CZ158" i="1"/>
  <c r="Y158" i="1" s="1"/>
  <c r="T174" i="5" s="1"/>
  <c r="K178" i="5" s="1"/>
  <c r="I176" i="5"/>
  <c r="W176" i="5" s="1"/>
  <c r="S174" i="5"/>
  <c r="I178" i="5" s="1"/>
  <c r="Q174" i="5"/>
  <c r="I177" i="5" s="1"/>
  <c r="F152" i="1"/>
  <c r="F136" i="1"/>
  <c r="AB87" i="1"/>
  <c r="K63" i="10"/>
  <c r="N63" i="10"/>
  <c r="I149" i="5"/>
  <c r="X149" i="5" s="1"/>
  <c r="I58" i="10"/>
  <c r="I54" i="10"/>
  <c r="D50" i="9" s="1"/>
  <c r="I59" i="10"/>
  <c r="D43" i="9" s="1"/>
  <c r="I55" i="10"/>
  <c r="D49" i="9" s="1"/>
  <c r="I56" i="10"/>
  <c r="D47" i="9" s="1"/>
  <c r="I52" i="10"/>
  <c r="D57" i="9" s="1"/>
  <c r="D35" i="7"/>
  <c r="I57" i="10"/>
  <c r="D46" i="9" s="1"/>
  <c r="I53" i="10"/>
  <c r="D55" i="9" s="1"/>
  <c r="D24" i="6"/>
  <c r="I146" i="5"/>
  <c r="E143" i="5"/>
  <c r="C144" i="5"/>
  <c r="CR83" i="1"/>
  <c r="U83" i="1"/>
  <c r="AD83" i="1"/>
  <c r="R82" i="1"/>
  <c r="GK82" i="1" s="1"/>
  <c r="AD82" i="1"/>
  <c r="CR82" i="1"/>
  <c r="Q81" i="1"/>
  <c r="CP81" i="1" s="1"/>
  <c r="O81" i="1" s="1"/>
  <c r="CR81" i="1"/>
  <c r="AD81" i="1"/>
  <c r="CS81" i="1"/>
  <c r="CC89" i="1"/>
  <c r="CC75" i="1" s="1"/>
  <c r="CS78" i="1"/>
  <c r="P78" i="1"/>
  <c r="CQ78" i="1"/>
  <c r="R77" i="1"/>
  <c r="K120" i="5" s="1"/>
  <c r="I120" i="5"/>
  <c r="W120" i="5" s="1"/>
  <c r="U116" i="5"/>
  <c r="I123" i="5" s="1"/>
  <c r="CR77" i="1"/>
  <c r="V116" i="5"/>
  <c r="K123" i="5" s="1"/>
  <c r="CG42" i="1"/>
  <c r="CG26" i="1" s="1"/>
  <c r="CT40" i="1"/>
  <c r="I40" i="1"/>
  <c r="T40" i="1" s="1"/>
  <c r="S98" i="5"/>
  <c r="Q98" i="5"/>
  <c r="I100" i="5"/>
  <c r="W100" i="5" s="1"/>
  <c r="S39" i="1"/>
  <c r="CT39" i="1"/>
  <c r="Q86" i="5"/>
  <c r="CT37" i="1"/>
  <c r="I88" i="5"/>
  <c r="S86" i="5"/>
  <c r="I39" i="10"/>
  <c r="I35" i="10"/>
  <c r="I31" i="10"/>
  <c r="D37" i="9" s="1"/>
  <c r="I36" i="10"/>
  <c r="D21" i="9" s="1"/>
  <c r="I32" i="10"/>
  <c r="D28" i="9" s="1"/>
  <c r="I37" i="10"/>
  <c r="I33" i="10"/>
  <c r="D27" i="9" s="1"/>
  <c r="I38" i="10"/>
  <c r="I34" i="10"/>
  <c r="D24" i="9" s="1"/>
  <c r="D27" i="7"/>
  <c r="E86" i="5"/>
  <c r="D16" i="6"/>
  <c r="I89" i="5"/>
  <c r="C87" i="5"/>
  <c r="CZ34" i="1"/>
  <c r="Y34" i="1" s="1"/>
  <c r="T74" i="5" s="1"/>
  <c r="V31" i="1"/>
  <c r="U67" i="5"/>
  <c r="V67" i="5"/>
  <c r="AD31" i="1"/>
  <c r="CR31" i="1"/>
  <c r="Q57" i="5"/>
  <c r="I62" i="5" s="1"/>
  <c r="I59" i="5"/>
  <c r="W59" i="5" s="1"/>
  <c r="S57" i="5"/>
  <c r="I63" i="5" s="1"/>
  <c r="O297" i="10"/>
  <c r="M297" i="10"/>
  <c r="O291" i="10"/>
  <c r="M291" i="10"/>
  <c r="O253" i="10"/>
  <c r="M253" i="10"/>
  <c r="O244" i="10"/>
  <c r="F251" i="9" s="1"/>
  <c r="M244" i="10"/>
  <c r="O219" i="10"/>
  <c r="F223" i="9" s="1"/>
  <c r="M219" i="10"/>
  <c r="O194" i="10"/>
  <c r="F198" i="9" s="1"/>
  <c r="M194" i="10"/>
  <c r="O172" i="10"/>
  <c r="F168" i="9" s="1"/>
  <c r="M172" i="10"/>
  <c r="O166" i="10"/>
  <c r="F163" i="9" s="1"/>
  <c r="M166" i="10"/>
  <c r="O153" i="10"/>
  <c r="M153" i="10"/>
  <c r="O134" i="10"/>
  <c r="F148" i="9" s="1"/>
  <c r="M134" i="10"/>
  <c r="O102" i="10"/>
  <c r="F103" i="9" s="1"/>
  <c r="M102" i="10"/>
  <c r="O86" i="10"/>
  <c r="F73" i="9" s="1"/>
  <c r="M86" i="10"/>
  <c r="M55" i="10"/>
  <c r="O55" i="10"/>
  <c r="F49" i="9" s="1"/>
  <c r="M47" i="10"/>
  <c r="O47" i="10"/>
  <c r="F45" i="9" s="1"/>
  <c r="M39" i="10"/>
  <c r="O39" i="10"/>
  <c r="M14" i="10"/>
  <c r="O14" i="10"/>
  <c r="P787" i="1"/>
  <c r="CP787" i="1" s="1"/>
  <c r="O787" i="1" s="1"/>
  <c r="K717" i="5" s="1"/>
  <c r="N216" i="10"/>
  <c r="K216" i="10"/>
  <c r="M216" i="10" s="1"/>
  <c r="I717" i="5"/>
  <c r="X717" i="5" s="1"/>
  <c r="N215" i="10"/>
  <c r="K215" i="10"/>
  <c r="S785" i="1"/>
  <c r="K712" i="5" s="1"/>
  <c r="I712" i="5"/>
  <c r="W712" i="5" s="1"/>
  <c r="S710" i="5"/>
  <c r="Q710" i="5"/>
  <c r="Q785" i="1"/>
  <c r="K713" i="5" s="1"/>
  <c r="I212" i="10"/>
  <c r="D227" i="9" s="1"/>
  <c r="I213" i="10"/>
  <c r="D215" i="9" s="1"/>
  <c r="I214" i="10"/>
  <c r="D213" i="9" s="1"/>
  <c r="D117" i="6"/>
  <c r="D128" i="7"/>
  <c r="C711" i="5"/>
  <c r="I713" i="5"/>
  <c r="E710" i="5"/>
  <c r="AD781" i="1"/>
  <c r="AB781" i="1" s="1"/>
  <c r="W744" i="1"/>
  <c r="G699" i="1"/>
  <c r="A188" i="9" s="1"/>
  <c r="A677" i="5"/>
  <c r="S709" i="1"/>
  <c r="CZ709" i="1" s="1"/>
  <c r="Y709" i="1" s="1"/>
  <c r="T670" i="5" s="1"/>
  <c r="S670" i="5"/>
  <c r="Q670" i="5"/>
  <c r="Q709" i="1"/>
  <c r="I207" i="10"/>
  <c r="D207" i="9" s="1"/>
  <c r="D110" i="6"/>
  <c r="D121" i="7"/>
  <c r="E670" i="5"/>
  <c r="I205" i="10"/>
  <c r="D193" i="9" s="1"/>
  <c r="I203" i="10"/>
  <c r="D202" i="9" s="1"/>
  <c r="I201" i="10"/>
  <c r="D205" i="9" s="1"/>
  <c r="I206" i="10"/>
  <c r="D191" i="9" s="1"/>
  <c r="I204" i="10"/>
  <c r="D194" i="9" s="1"/>
  <c r="I202" i="10"/>
  <c r="D203" i="9" s="1"/>
  <c r="I200" i="10"/>
  <c r="D206" i="9" s="1"/>
  <c r="D109" i="6"/>
  <c r="D120" i="7"/>
  <c r="C665" i="5"/>
  <c r="I667" i="5"/>
  <c r="E664" i="5"/>
  <c r="V652" i="5"/>
  <c r="I656" i="5"/>
  <c r="W656" i="5" s="1"/>
  <c r="U652" i="5"/>
  <c r="R706" i="1"/>
  <c r="I198" i="10"/>
  <c r="D192" i="9" s="1"/>
  <c r="I196" i="10"/>
  <c r="D196" i="9" s="1"/>
  <c r="I194" i="10"/>
  <c r="D198" i="9" s="1"/>
  <c r="I197" i="10"/>
  <c r="D195" i="9" s="1"/>
  <c r="I195" i="10"/>
  <c r="D197" i="9" s="1"/>
  <c r="I193" i="10"/>
  <c r="D201" i="9" s="1"/>
  <c r="D107" i="6"/>
  <c r="D118" i="7"/>
  <c r="I655" i="5"/>
  <c r="E652" i="5"/>
  <c r="C653" i="5"/>
  <c r="AD702" i="1"/>
  <c r="AB702" i="1" s="1"/>
  <c r="CX255" i="3"/>
  <c r="D104" i="6"/>
  <c r="D115" i="7"/>
  <c r="C629" i="5"/>
  <c r="E628" i="5"/>
  <c r="K189" i="10"/>
  <c r="N189" i="10"/>
  <c r="I614" i="5"/>
  <c r="X614" i="5" s="1"/>
  <c r="K188" i="10"/>
  <c r="N188" i="10"/>
  <c r="AD661" i="1"/>
  <c r="AB661" i="1" s="1"/>
  <c r="V607" i="5"/>
  <c r="I611" i="5"/>
  <c r="W611" i="5" s="1"/>
  <c r="U607" i="5"/>
  <c r="Q601" i="5"/>
  <c r="S601" i="5"/>
  <c r="I181" i="10"/>
  <c r="D181" i="9" s="1"/>
  <c r="D109" i="7"/>
  <c r="D98" i="6"/>
  <c r="E601" i="5"/>
  <c r="Q659" i="1"/>
  <c r="K598" i="5" s="1"/>
  <c r="I599" i="5"/>
  <c r="W599" i="5" s="1"/>
  <c r="U595" i="5"/>
  <c r="I604" i="5" s="1"/>
  <c r="V595" i="5"/>
  <c r="I180" i="10"/>
  <c r="D164" i="9" s="1"/>
  <c r="I178" i="10"/>
  <c r="D173" i="9" s="1"/>
  <c r="I176" i="10"/>
  <c r="I174" i="10"/>
  <c r="I179" i="10"/>
  <c r="I177" i="10"/>
  <c r="D174" i="9" s="1"/>
  <c r="I175" i="10"/>
  <c r="D108" i="7"/>
  <c r="E595" i="5"/>
  <c r="D97" i="6"/>
  <c r="C596" i="5"/>
  <c r="I598" i="5"/>
  <c r="CY657" i="1"/>
  <c r="X657" i="1" s="1"/>
  <c r="R583" i="5" s="1"/>
  <c r="K585" i="5"/>
  <c r="V576" i="5"/>
  <c r="U576" i="5"/>
  <c r="CX225" i="3"/>
  <c r="D105" i="7"/>
  <c r="D94" i="6"/>
  <c r="E576" i="5"/>
  <c r="C577" i="5"/>
  <c r="V559" i="5"/>
  <c r="K566" i="5" s="1"/>
  <c r="I563" i="5"/>
  <c r="W563" i="5" s="1"/>
  <c r="U559" i="5"/>
  <c r="I566" i="5" s="1"/>
  <c r="Q652" i="1"/>
  <c r="K562" i="5" s="1"/>
  <c r="I165" i="10"/>
  <c r="D165" i="9" s="1"/>
  <c r="I166" i="10"/>
  <c r="D163" i="9" s="1"/>
  <c r="D103" i="7"/>
  <c r="D92" i="6"/>
  <c r="I562" i="5"/>
  <c r="E559" i="5"/>
  <c r="C560" i="5"/>
  <c r="V581" i="1"/>
  <c r="N162" i="10"/>
  <c r="K162" i="10"/>
  <c r="I547" i="5"/>
  <c r="X547" i="5" s="1"/>
  <c r="V543" i="5"/>
  <c r="U543" i="5"/>
  <c r="S159" i="10"/>
  <c r="P159" i="10"/>
  <c r="S154" i="10"/>
  <c r="P154" i="10"/>
  <c r="V529" i="5"/>
  <c r="U529" i="5"/>
  <c r="Q577" i="1"/>
  <c r="I154" i="10"/>
  <c r="D156" i="9" s="1"/>
  <c r="D97" i="7"/>
  <c r="D86" i="6"/>
  <c r="E529" i="5"/>
  <c r="CD583" i="1"/>
  <c r="N149" i="10"/>
  <c r="K149" i="10"/>
  <c r="U517" i="5"/>
  <c r="V517" i="5"/>
  <c r="Q574" i="1"/>
  <c r="D94" i="7"/>
  <c r="C518" i="5"/>
  <c r="D83" i="6"/>
  <c r="E517" i="5"/>
  <c r="V573" i="1"/>
  <c r="N148" i="10"/>
  <c r="K148" i="10"/>
  <c r="M148" i="10" s="1"/>
  <c r="I512" i="5"/>
  <c r="X512" i="5" s="1"/>
  <c r="V509" i="5"/>
  <c r="U509" i="5"/>
  <c r="G490" i="1"/>
  <c r="A136" i="9" s="1"/>
  <c r="AL503" i="5"/>
  <c r="A503" i="5"/>
  <c r="R496" i="1"/>
  <c r="V473" i="5"/>
  <c r="K480" i="5" s="1"/>
  <c r="CR496" i="1"/>
  <c r="I477" i="5"/>
  <c r="W477" i="5" s="1"/>
  <c r="U473" i="5"/>
  <c r="I480" i="5" s="1"/>
  <c r="S464" i="5"/>
  <c r="Q464" i="5"/>
  <c r="I466" i="5"/>
  <c r="W466" i="5" s="1"/>
  <c r="CT494" i="1"/>
  <c r="I137" i="10"/>
  <c r="D74" i="6"/>
  <c r="D85" i="7"/>
  <c r="E464" i="5"/>
  <c r="C465" i="5"/>
  <c r="Q458" i="5"/>
  <c r="S458" i="5"/>
  <c r="I460" i="5" s="1"/>
  <c r="I136" i="10"/>
  <c r="D73" i="6"/>
  <c r="D84" i="7"/>
  <c r="E458" i="5"/>
  <c r="N130" i="10"/>
  <c r="K130" i="10"/>
  <c r="V433" i="5"/>
  <c r="I437" i="5"/>
  <c r="W437" i="5" s="1"/>
  <c r="U433" i="5"/>
  <c r="GX386" i="1"/>
  <c r="I128" i="10"/>
  <c r="D131" i="9" s="1"/>
  <c r="I129" i="10"/>
  <c r="D128" i="9" s="1"/>
  <c r="D69" i="6"/>
  <c r="D80" i="7"/>
  <c r="I436" i="5"/>
  <c r="E433" i="5"/>
  <c r="C434" i="5"/>
  <c r="V424" i="5"/>
  <c r="U424" i="5"/>
  <c r="Q383" i="1"/>
  <c r="I125" i="10"/>
  <c r="D66" i="6"/>
  <c r="D77" i="7"/>
  <c r="E418" i="5"/>
  <c r="I124" i="10"/>
  <c r="D126" i="9" s="1"/>
  <c r="I122" i="10"/>
  <c r="I123" i="10"/>
  <c r="D127" i="9" s="1"/>
  <c r="D65" i="6"/>
  <c r="E412" i="5"/>
  <c r="D76" i="7"/>
  <c r="C413" i="5"/>
  <c r="I415" i="5"/>
  <c r="Q379" i="1"/>
  <c r="U405" i="5"/>
  <c r="V405" i="5"/>
  <c r="S395" i="5"/>
  <c r="I401" i="5" s="1"/>
  <c r="Q395" i="5"/>
  <c r="I400" i="5" s="1"/>
  <c r="I397" i="5"/>
  <c r="CT378" i="1"/>
  <c r="I120" i="10"/>
  <c r="D125" i="9" s="1"/>
  <c r="I121" i="10"/>
  <c r="D124" i="9" s="1"/>
  <c r="D63" i="6"/>
  <c r="D74" i="7"/>
  <c r="I398" i="5"/>
  <c r="E395" i="5"/>
  <c r="C396" i="5"/>
  <c r="CT341" i="1"/>
  <c r="Q339" i="1"/>
  <c r="U374" i="5"/>
  <c r="V374" i="5"/>
  <c r="CR339" i="1"/>
  <c r="S116" i="10"/>
  <c r="P116" i="10"/>
  <c r="CR337" i="1"/>
  <c r="S363" i="5"/>
  <c r="Q363" i="5"/>
  <c r="I365" i="5"/>
  <c r="CT336" i="1"/>
  <c r="G247" i="1"/>
  <c r="A90" i="9" s="1"/>
  <c r="A312" i="5"/>
  <c r="CY257" i="1"/>
  <c r="X257" i="1" s="1"/>
  <c r="R305" i="5" s="1"/>
  <c r="CZ257" i="1"/>
  <c r="Y257" i="1" s="1"/>
  <c r="T305" i="5" s="1"/>
  <c r="G200" i="1"/>
  <c r="A70" i="9" s="1"/>
  <c r="AL267" i="5"/>
  <c r="A267" i="5"/>
  <c r="S209" i="1"/>
  <c r="K244" i="5" s="1"/>
  <c r="I244" i="5"/>
  <c r="S242" i="5"/>
  <c r="Q242" i="5"/>
  <c r="Q207" i="1"/>
  <c r="K233" i="5" s="1"/>
  <c r="I78" i="10"/>
  <c r="D75" i="9" s="1"/>
  <c r="I77" i="10"/>
  <c r="D76" i="9" s="1"/>
  <c r="I76" i="10"/>
  <c r="I74" i="10"/>
  <c r="I75" i="10"/>
  <c r="I73" i="10"/>
  <c r="D36" i="6"/>
  <c r="D47" i="7"/>
  <c r="I233" i="5"/>
  <c r="E230" i="5"/>
  <c r="C231" i="5"/>
  <c r="AD161" i="1"/>
  <c r="AB161" i="1" s="1"/>
  <c r="R161" i="1"/>
  <c r="GK161" i="1" s="1"/>
  <c r="CR161" i="1"/>
  <c r="CS161" i="1"/>
  <c r="P86" i="1"/>
  <c r="K160" i="5" s="1"/>
  <c r="I160" i="5"/>
  <c r="S85" i="1"/>
  <c r="S149" i="5"/>
  <c r="Q149" i="5"/>
  <c r="CX57" i="3"/>
  <c r="D34" i="7"/>
  <c r="D23" i="6"/>
  <c r="E136" i="5"/>
  <c r="C137" i="5"/>
  <c r="S40" i="10"/>
  <c r="P40" i="10"/>
  <c r="CR38" i="1"/>
  <c r="S33" i="1"/>
  <c r="CT33" i="1"/>
  <c r="O283" i="10"/>
  <c r="M283" i="10"/>
  <c r="O240" i="10"/>
  <c r="M240" i="10"/>
  <c r="O202" i="10"/>
  <c r="F203" i="9" s="1"/>
  <c r="M202" i="10"/>
  <c r="O180" i="10"/>
  <c r="F164" i="9" s="1"/>
  <c r="M180" i="10"/>
  <c r="O121" i="10"/>
  <c r="F124" i="9" s="1"/>
  <c r="E129" i="9" s="1"/>
  <c r="M121" i="10"/>
  <c r="O78" i="10"/>
  <c r="F75" i="9" s="1"/>
  <c r="M78" i="10"/>
  <c r="M69" i="10"/>
  <c r="O69" i="10"/>
  <c r="F63" i="9" s="1"/>
  <c r="E64" i="9" s="1"/>
  <c r="M31" i="10"/>
  <c r="O31" i="10"/>
  <c r="F37" i="9" s="1"/>
  <c r="M26" i="10"/>
  <c r="O26" i="10"/>
  <c r="M17" i="10"/>
  <c r="O17" i="10"/>
  <c r="F1456" i="1"/>
  <c r="A958" i="5"/>
  <c r="AL958" i="5"/>
  <c r="CS1345" i="1"/>
  <c r="P1345" i="1"/>
  <c r="AC1347" i="1" s="1"/>
  <c r="N329" i="10"/>
  <c r="K329" i="10"/>
  <c r="I951" i="5"/>
  <c r="X951" i="5" s="1"/>
  <c r="U1343" i="1"/>
  <c r="AD1343" i="1"/>
  <c r="AB1343" i="1" s="1"/>
  <c r="S327" i="10"/>
  <c r="P327" i="10"/>
  <c r="R327" i="10" s="1"/>
  <c r="U949" i="5"/>
  <c r="I954" i="5" s="1"/>
  <c r="V949" i="5"/>
  <c r="I945" i="5"/>
  <c r="S943" i="5"/>
  <c r="Q943" i="5"/>
  <c r="AB1303" i="1"/>
  <c r="K312" i="10"/>
  <c r="N312" i="10"/>
  <c r="CS1302" i="1"/>
  <c r="P1302" i="1"/>
  <c r="K917" i="5" s="1"/>
  <c r="I917" i="5"/>
  <c r="N306" i="10"/>
  <c r="K306" i="10"/>
  <c r="CT1300" i="1"/>
  <c r="R1300" i="1"/>
  <c r="K904" i="5" s="1"/>
  <c r="I904" i="5"/>
  <c r="W904" i="5" s="1"/>
  <c r="U900" i="5"/>
  <c r="V900" i="5"/>
  <c r="F1282" i="1"/>
  <c r="F1237" i="1"/>
  <c r="U1195" i="1"/>
  <c r="S881" i="5"/>
  <c r="I889" i="5" s="1"/>
  <c r="I883" i="5"/>
  <c r="Q881" i="5"/>
  <c r="V1155" i="1"/>
  <c r="U1154" i="1"/>
  <c r="GX1153" i="1"/>
  <c r="AB1153" i="1"/>
  <c r="I855" i="5"/>
  <c r="CR1152" i="1"/>
  <c r="AD1152" i="1"/>
  <c r="AB1152" i="1" s="1"/>
  <c r="I1152" i="1"/>
  <c r="U1152" i="1" s="1"/>
  <c r="S845" i="5"/>
  <c r="I848" i="5" s="1"/>
  <c r="I1151" i="1"/>
  <c r="Q845" i="5" s="1"/>
  <c r="I847" i="5" s="1"/>
  <c r="W1150" i="1"/>
  <c r="CQ1150" i="1"/>
  <c r="GX1149" i="1"/>
  <c r="I840" i="5"/>
  <c r="W840" i="5" s="1"/>
  <c r="S838" i="5"/>
  <c r="Q838" i="5"/>
  <c r="F1129" i="1"/>
  <c r="AZ1113" i="1"/>
  <c r="F1106" i="1"/>
  <c r="CS1008" i="1"/>
  <c r="S1007" i="1"/>
  <c r="K799" i="5" s="1"/>
  <c r="Q798" i="5"/>
  <c r="I803" i="5" s="1"/>
  <c r="S798" i="5"/>
  <c r="I804" i="5" s="1"/>
  <c r="I799" i="5"/>
  <c r="W799" i="5" s="1"/>
  <c r="S1006" i="1"/>
  <c r="CY1006" i="1" s="1"/>
  <c r="X1006" i="1" s="1"/>
  <c r="R792" i="5" s="1"/>
  <c r="S792" i="5"/>
  <c r="Q792" i="5"/>
  <c r="GX1002" i="1"/>
  <c r="AD1001" i="1"/>
  <c r="AB1001" i="1" s="1"/>
  <c r="F987" i="1"/>
  <c r="F951" i="1"/>
  <c r="F940" i="1"/>
  <c r="F913" i="1"/>
  <c r="CS861" i="1"/>
  <c r="F830" i="1"/>
  <c r="S825" i="1"/>
  <c r="CS790" i="1"/>
  <c r="T787" i="1"/>
  <c r="AD785" i="1"/>
  <c r="AB785" i="1" s="1"/>
  <c r="I714" i="5"/>
  <c r="W714" i="5" s="1"/>
  <c r="U710" i="5"/>
  <c r="V710" i="5"/>
  <c r="CS781" i="1"/>
  <c r="S780" i="1"/>
  <c r="K685" i="5" s="1"/>
  <c r="Q683" i="5"/>
  <c r="I686" i="5" s="1"/>
  <c r="S683" i="5"/>
  <c r="I687" i="5" s="1"/>
  <c r="H689" i="5" s="1"/>
  <c r="I685" i="5"/>
  <c r="F753" i="1"/>
  <c r="U709" i="1"/>
  <c r="AD709" i="1"/>
  <c r="AB709" i="1" s="1"/>
  <c r="S207" i="10"/>
  <c r="P207" i="10"/>
  <c r="R207" i="10" s="1"/>
  <c r="U670" i="5"/>
  <c r="V670" i="5"/>
  <c r="CQ708" i="1"/>
  <c r="S658" i="5"/>
  <c r="I660" i="5" s="1"/>
  <c r="CC711" i="1"/>
  <c r="CC699" i="1" s="1"/>
  <c r="CS702" i="1"/>
  <c r="S701" i="1"/>
  <c r="K630" i="5" s="1"/>
  <c r="I630" i="5"/>
  <c r="W630" i="5" s="1"/>
  <c r="S628" i="5"/>
  <c r="I632" i="5" s="1"/>
  <c r="Q628" i="5"/>
  <c r="I631" i="5" s="1"/>
  <c r="CR664" i="1"/>
  <c r="P190" i="10"/>
  <c r="S190" i="10"/>
  <c r="U660" i="1"/>
  <c r="GX659" i="1"/>
  <c r="I600" i="5"/>
  <c r="O606" i="5" s="1"/>
  <c r="S173" i="10"/>
  <c r="P173" i="10"/>
  <c r="S583" i="5"/>
  <c r="I585" i="5"/>
  <c r="W585" i="5" s="1"/>
  <c r="Q583" i="5"/>
  <c r="I171" i="10"/>
  <c r="D171" i="9" s="1"/>
  <c r="I169" i="10"/>
  <c r="D175" i="9" s="1"/>
  <c r="I167" i="10"/>
  <c r="D180" i="9" s="1"/>
  <c r="I172" i="10"/>
  <c r="D168" i="9" s="1"/>
  <c r="I170" i="10"/>
  <c r="I168" i="10"/>
  <c r="D176" i="9" s="1"/>
  <c r="D106" i="7"/>
  <c r="D95" i="6"/>
  <c r="C584" i="5"/>
  <c r="E583" i="5"/>
  <c r="I586" i="5"/>
  <c r="GX654" i="1"/>
  <c r="U654" i="1"/>
  <c r="I581" i="5" s="1"/>
  <c r="CR652" i="1"/>
  <c r="AD652" i="1"/>
  <c r="AB652" i="1" s="1"/>
  <c r="W581" i="1"/>
  <c r="I160" i="10"/>
  <c r="I161" i="10"/>
  <c r="D100" i="7"/>
  <c r="D89" i="6"/>
  <c r="E543" i="5"/>
  <c r="C544" i="5"/>
  <c r="CR579" i="1"/>
  <c r="S578" i="1"/>
  <c r="K536" i="5" s="1"/>
  <c r="Q534" i="5"/>
  <c r="S534" i="5"/>
  <c r="I536" i="5"/>
  <c r="GX577" i="1"/>
  <c r="U577" i="1"/>
  <c r="S576" i="1"/>
  <c r="K527" i="5" s="1"/>
  <c r="Q525" i="5"/>
  <c r="S525" i="5"/>
  <c r="I527" i="5"/>
  <c r="W527" i="5" s="1"/>
  <c r="GX574" i="1"/>
  <c r="U574" i="1"/>
  <c r="I523" i="5" s="1"/>
  <c r="W573" i="1"/>
  <c r="CR572" i="1"/>
  <c r="D92" i="7"/>
  <c r="D81" i="6"/>
  <c r="E509" i="5"/>
  <c r="C510" i="5"/>
  <c r="F545" i="1"/>
  <c r="V494" i="1"/>
  <c r="F445" i="1"/>
  <c r="U386" i="1"/>
  <c r="I443" i="5" s="1"/>
  <c r="CR384" i="1"/>
  <c r="AD384" i="1"/>
  <c r="AB384" i="1" s="1"/>
  <c r="I126" i="10"/>
  <c r="D67" i="6"/>
  <c r="D78" i="7"/>
  <c r="I385" i="1"/>
  <c r="S428" i="5" s="1"/>
  <c r="I430" i="5" s="1"/>
  <c r="E424" i="5"/>
  <c r="C425" i="5"/>
  <c r="U382" i="1"/>
  <c r="I422" i="5" s="1"/>
  <c r="R380" i="1"/>
  <c r="GK380" i="1" s="1"/>
  <c r="I399" i="5"/>
  <c r="W399" i="5" s="1"/>
  <c r="P118" i="10"/>
  <c r="S118" i="10"/>
  <c r="CR341" i="1"/>
  <c r="N116" i="10"/>
  <c r="K116" i="10"/>
  <c r="U363" i="5"/>
  <c r="S115" i="10"/>
  <c r="P115" i="10"/>
  <c r="CR335" i="1"/>
  <c r="R333" i="1"/>
  <c r="GK333" i="1" s="1"/>
  <c r="CR333" i="1"/>
  <c r="CR329" i="1"/>
  <c r="I106" i="10"/>
  <c r="D108" i="9" s="1"/>
  <c r="D59" i="7"/>
  <c r="D48" i="6"/>
  <c r="E305" i="5"/>
  <c r="CY256" i="1"/>
  <c r="X256" i="1" s="1"/>
  <c r="R299" i="5" s="1"/>
  <c r="K306" i="5" s="1"/>
  <c r="K301" i="5"/>
  <c r="CZ256" i="1"/>
  <c r="Y256" i="1" s="1"/>
  <c r="T299" i="5" s="1"/>
  <c r="D55" i="7"/>
  <c r="D44" i="6"/>
  <c r="E280" i="5"/>
  <c r="C281" i="5"/>
  <c r="CX121" i="3"/>
  <c r="D54" i="7"/>
  <c r="D43" i="6"/>
  <c r="E273" i="5"/>
  <c r="C274" i="5"/>
  <c r="I234" i="5"/>
  <c r="W234" i="5" s="1"/>
  <c r="U230" i="5"/>
  <c r="R207" i="1"/>
  <c r="V230" i="5"/>
  <c r="BY214" i="1"/>
  <c r="BY200" i="1" s="1"/>
  <c r="CQ202" i="1"/>
  <c r="GK202" i="1"/>
  <c r="K210" i="5"/>
  <c r="Q164" i="1"/>
  <c r="R164" i="1"/>
  <c r="GK164" i="1" s="1"/>
  <c r="AY122" i="1"/>
  <c r="F132" i="1"/>
  <c r="F1500" i="1"/>
  <c r="X1448" i="1"/>
  <c r="P1448" i="1"/>
  <c r="F1441" i="1"/>
  <c r="CR1345" i="1"/>
  <c r="F1499" i="1"/>
  <c r="F1492" i="1"/>
  <c r="U1482" i="1"/>
  <c r="F1469" i="1"/>
  <c r="F1464" i="1"/>
  <c r="W1448" i="1"/>
  <c r="F1432" i="1"/>
  <c r="F1421" i="1"/>
  <c r="F1391" i="1"/>
  <c r="F1387" i="1"/>
  <c r="S1345" i="1"/>
  <c r="S951" i="5"/>
  <c r="Q951" i="5"/>
  <c r="Q1345" i="1"/>
  <c r="I329" i="10"/>
  <c r="D314" i="9" s="1"/>
  <c r="D173" i="7"/>
  <c r="E951" i="5"/>
  <c r="D161" i="6"/>
  <c r="N328" i="10"/>
  <c r="K328" i="10"/>
  <c r="M328" i="10" s="1"/>
  <c r="I950" i="5"/>
  <c r="X950" i="5" s="1"/>
  <c r="GX1343" i="1"/>
  <c r="BY1347" i="1"/>
  <c r="CI1347" i="1" s="1"/>
  <c r="CR1343" i="1"/>
  <c r="T1343" i="1"/>
  <c r="R1343" i="1"/>
  <c r="GK1343" i="1" s="1"/>
  <c r="CD1347" i="1"/>
  <c r="AU1347" i="1" s="1"/>
  <c r="CR1342" i="1"/>
  <c r="AD1342" i="1"/>
  <c r="AB1342" i="1" s="1"/>
  <c r="I325" i="10"/>
  <c r="D310" i="9" s="1"/>
  <c r="I326" i="10"/>
  <c r="D309" i="9" s="1"/>
  <c r="I324" i="10"/>
  <c r="D316" i="9" s="1"/>
  <c r="D170" i="7"/>
  <c r="C944" i="5"/>
  <c r="I946" i="5"/>
  <c r="E943" i="5"/>
  <c r="D158" i="6"/>
  <c r="A937" i="5"/>
  <c r="AL937" i="5"/>
  <c r="CS1305" i="1"/>
  <c r="P1305" i="1"/>
  <c r="N322" i="10"/>
  <c r="K322" i="10"/>
  <c r="CT1304" i="1"/>
  <c r="V1304" i="1"/>
  <c r="R1304" i="1"/>
  <c r="V924" i="5"/>
  <c r="I928" i="5"/>
  <c r="W928" i="5" s="1"/>
  <c r="U924" i="5"/>
  <c r="P1304" i="1"/>
  <c r="K929" i="5" s="1"/>
  <c r="CT1303" i="1"/>
  <c r="P312" i="10"/>
  <c r="S312" i="10"/>
  <c r="S1302" i="1"/>
  <c r="K914" i="5" s="1"/>
  <c r="Q912" i="5"/>
  <c r="S912" i="5"/>
  <c r="I914" i="5"/>
  <c r="W914" i="5" s="1"/>
  <c r="Q1302" i="1"/>
  <c r="K915" i="5" s="1"/>
  <c r="I311" i="10"/>
  <c r="I309" i="10"/>
  <c r="I307" i="10"/>
  <c r="I310" i="10"/>
  <c r="I308" i="10"/>
  <c r="D297" i="9" s="1"/>
  <c r="D165" i="7"/>
  <c r="I915" i="5"/>
  <c r="E912" i="5"/>
  <c r="D153" i="6"/>
  <c r="C913" i="5"/>
  <c r="S1301" i="1"/>
  <c r="CY1301" i="1" s="1"/>
  <c r="X1301" i="1" s="1"/>
  <c r="R906" i="5" s="1"/>
  <c r="Q906" i="5"/>
  <c r="I907" i="5" s="1"/>
  <c r="I1301" i="1"/>
  <c r="V1301" i="1" s="1"/>
  <c r="CC1307" i="1"/>
  <c r="AT1307" i="1" s="1"/>
  <c r="AB1300" i="1"/>
  <c r="I905" i="5"/>
  <c r="G1298" i="1"/>
  <c r="A290" i="9" s="1"/>
  <c r="F1280" i="1"/>
  <c r="F1273" i="1"/>
  <c r="F1257" i="1"/>
  <c r="F1250" i="1"/>
  <c r="F1245" i="1"/>
  <c r="F1239" i="1"/>
  <c r="GX1195" i="1"/>
  <c r="CR1195" i="1"/>
  <c r="T1195" i="1"/>
  <c r="R1195" i="1"/>
  <c r="GK1195" i="1" s="1"/>
  <c r="CR1194" i="1"/>
  <c r="AD1194" i="1"/>
  <c r="AB1194" i="1" s="1"/>
  <c r="I291" i="10"/>
  <c r="I289" i="10"/>
  <c r="I287" i="10"/>
  <c r="I292" i="10"/>
  <c r="I290" i="10"/>
  <c r="I288" i="10"/>
  <c r="D148" i="6"/>
  <c r="I884" i="5"/>
  <c r="D159" i="7"/>
  <c r="E881" i="5"/>
  <c r="C882" i="5"/>
  <c r="CR1193" i="1"/>
  <c r="AD1193" i="1"/>
  <c r="AB1193" i="1" s="1"/>
  <c r="CC1197" i="1"/>
  <c r="AD1192" i="1"/>
  <c r="AB1192" i="1" s="1"/>
  <c r="I873" i="5"/>
  <c r="W873" i="5" s="1"/>
  <c r="V869" i="5"/>
  <c r="U869" i="5"/>
  <c r="AB1155" i="1"/>
  <c r="N277" i="10"/>
  <c r="K277" i="10"/>
  <c r="I857" i="5"/>
  <c r="X857" i="5" s="1"/>
  <c r="GX1154" i="1"/>
  <c r="CR1154" i="1"/>
  <c r="T1154" i="1"/>
  <c r="R1154" i="1"/>
  <c r="GK1154" i="1" s="1"/>
  <c r="CT1153" i="1"/>
  <c r="V1153" i="1"/>
  <c r="R1153" i="1"/>
  <c r="GK1153" i="1" s="1"/>
  <c r="V852" i="5"/>
  <c r="U852" i="5"/>
  <c r="P1153" i="1"/>
  <c r="K855" i="5" s="1"/>
  <c r="GX1152" i="1"/>
  <c r="Q846" i="5"/>
  <c r="S846" i="5"/>
  <c r="S1152" i="1"/>
  <c r="CS1151" i="1"/>
  <c r="P1151" i="1"/>
  <c r="K273" i="10"/>
  <c r="N273" i="10"/>
  <c r="I845" i="5"/>
  <c r="X845" i="5" s="1"/>
  <c r="CD1157" i="1"/>
  <c r="CT1150" i="1"/>
  <c r="V1150" i="1"/>
  <c r="R1150" i="1"/>
  <c r="GK1150" i="1" s="1"/>
  <c r="P272" i="10"/>
  <c r="S272" i="10"/>
  <c r="T272" i="10" s="1"/>
  <c r="V844" i="5"/>
  <c r="U844" i="5"/>
  <c r="P1150" i="1"/>
  <c r="CT1149" i="1"/>
  <c r="I843" i="5"/>
  <c r="S1149" i="1"/>
  <c r="F1138" i="1"/>
  <c r="F1131" i="1"/>
  <c r="F1102" i="1"/>
  <c r="F1062" i="1"/>
  <c r="F1055" i="1"/>
  <c r="U1045" i="1"/>
  <c r="CR1010" i="1"/>
  <c r="AD1010" i="1"/>
  <c r="AB1010" i="1" s="1"/>
  <c r="CT1009" i="1"/>
  <c r="P261" i="10"/>
  <c r="S261" i="10"/>
  <c r="CS1007" i="1"/>
  <c r="P1007" i="1"/>
  <c r="I802" i="5"/>
  <c r="CS1006" i="1"/>
  <c r="P1006" i="1"/>
  <c r="N252" i="10"/>
  <c r="K252" i="10"/>
  <c r="M252" i="10" s="1"/>
  <c r="I792" i="5"/>
  <c r="X792" i="5" s="1"/>
  <c r="CR1005" i="1"/>
  <c r="AD1005" i="1"/>
  <c r="AB1005" i="1" s="1"/>
  <c r="AD1004" i="1"/>
  <c r="AB1004" i="1" s="1"/>
  <c r="V785" i="5"/>
  <c r="U785" i="5"/>
  <c r="I789" i="5"/>
  <c r="W789" i="5" s="1"/>
  <c r="AD1003" i="1"/>
  <c r="AB1003" i="1" s="1"/>
  <c r="V774" i="5"/>
  <c r="K782" i="5" s="1"/>
  <c r="I778" i="5"/>
  <c r="W778" i="5" s="1"/>
  <c r="U774" i="5"/>
  <c r="I782" i="5" s="1"/>
  <c r="AD1002" i="1"/>
  <c r="AB1002" i="1" s="1"/>
  <c r="P241" i="10"/>
  <c r="S241" i="10"/>
  <c r="U768" i="5"/>
  <c r="V768" i="5"/>
  <c r="I764" i="5"/>
  <c r="S762" i="5"/>
  <c r="Q762" i="5"/>
  <c r="S1001" i="1"/>
  <c r="CP1001" i="1" s="1"/>
  <c r="O1001" i="1" s="1"/>
  <c r="F983" i="1"/>
  <c r="F978" i="1"/>
  <c r="F972" i="1"/>
  <c r="F942" i="1"/>
  <c r="F938" i="1"/>
  <c r="F915" i="1"/>
  <c r="F910" i="1"/>
  <c r="F904" i="1"/>
  <c r="BZ864" i="1"/>
  <c r="CG864" i="1" s="1"/>
  <c r="CT862" i="1"/>
  <c r="S231" i="10"/>
  <c r="P231" i="10"/>
  <c r="S861" i="1"/>
  <c r="K745" i="5" s="1"/>
  <c r="I745" i="5"/>
  <c r="S743" i="5"/>
  <c r="Q743" i="5"/>
  <c r="Q861" i="1"/>
  <c r="K746" i="5" s="1"/>
  <c r="I229" i="10"/>
  <c r="D235" i="9" s="1"/>
  <c r="I230" i="10"/>
  <c r="D231" i="9" s="1"/>
  <c r="I228" i="10"/>
  <c r="D236" i="9" s="1"/>
  <c r="D124" i="6"/>
  <c r="C744" i="5"/>
  <c r="E743" i="5"/>
  <c r="I746" i="5"/>
  <c r="D135" i="7"/>
  <c r="F848" i="1"/>
  <c r="F833" i="1"/>
  <c r="G778" i="1"/>
  <c r="A209" i="9" s="1"/>
  <c r="AL737" i="5"/>
  <c r="A737" i="5"/>
  <c r="S730" i="5"/>
  <c r="I732" i="5" s="1"/>
  <c r="I790" i="1"/>
  <c r="GX790" i="1" s="1"/>
  <c r="AB789" i="1"/>
  <c r="I729" i="5"/>
  <c r="AD787" i="1"/>
  <c r="AB787" i="1" s="1"/>
  <c r="S216" i="10"/>
  <c r="P216" i="10"/>
  <c r="V717" i="5"/>
  <c r="U717" i="5"/>
  <c r="CR786" i="1"/>
  <c r="AD786" i="1"/>
  <c r="AB786" i="1" s="1"/>
  <c r="CR785" i="1"/>
  <c r="T785" i="1"/>
  <c r="R785" i="1"/>
  <c r="AD784" i="1"/>
  <c r="AB784" i="1" s="1"/>
  <c r="U703" i="5"/>
  <c r="V703" i="5"/>
  <c r="BY792" i="1"/>
  <c r="CR783" i="1"/>
  <c r="CS782" i="1"/>
  <c r="I781" i="1"/>
  <c r="CS780" i="1"/>
  <c r="P780" i="1"/>
  <c r="F768" i="1"/>
  <c r="CR709" i="1"/>
  <c r="T709" i="1"/>
  <c r="R709" i="1"/>
  <c r="GK709" i="1" s="1"/>
  <c r="V708" i="1"/>
  <c r="R708" i="1"/>
  <c r="I668" i="5"/>
  <c r="W668" i="5" s="1"/>
  <c r="U664" i="5"/>
  <c r="I673" i="5" s="1"/>
  <c r="V664" i="5"/>
  <c r="P708" i="1"/>
  <c r="K669" i="5" s="1"/>
  <c r="CS707" i="1"/>
  <c r="K199" i="10"/>
  <c r="N199" i="10"/>
  <c r="I658" i="5"/>
  <c r="X658" i="5" s="1"/>
  <c r="I707" i="1"/>
  <c r="GX707" i="1" s="1"/>
  <c r="W706" i="1"/>
  <c r="CT706" i="1"/>
  <c r="Q652" i="5"/>
  <c r="S652" i="5"/>
  <c r="I654" i="5"/>
  <c r="W654" i="5" s="1"/>
  <c r="BZ711" i="1"/>
  <c r="AQ711" i="1" s="1"/>
  <c r="R704" i="1"/>
  <c r="GK704" i="1" s="1"/>
  <c r="BY711" i="1"/>
  <c r="CS703" i="1"/>
  <c r="S635" i="5"/>
  <c r="I641" i="5" s="1"/>
  <c r="CT701" i="1"/>
  <c r="CT664" i="1"/>
  <c r="Q663" i="1"/>
  <c r="P189" i="10"/>
  <c r="S189" i="10"/>
  <c r="U614" i="5"/>
  <c r="V614" i="5"/>
  <c r="I189" i="10"/>
  <c r="D185" i="9" s="1"/>
  <c r="D112" i="7"/>
  <c r="D101" i="6"/>
  <c r="E614" i="5"/>
  <c r="P188" i="10"/>
  <c r="S188" i="10"/>
  <c r="S607" i="5"/>
  <c r="Q607" i="5"/>
  <c r="I609" i="5"/>
  <c r="W609" i="5" s="1"/>
  <c r="I187" i="10"/>
  <c r="D166" i="9" s="1"/>
  <c r="I185" i="10"/>
  <c r="D169" i="9" s="1"/>
  <c r="I183" i="10"/>
  <c r="D177" i="9" s="1"/>
  <c r="I186" i="10"/>
  <c r="D167" i="9" s="1"/>
  <c r="I184" i="10"/>
  <c r="D170" i="9" s="1"/>
  <c r="I182" i="10"/>
  <c r="D183" i="9" s="1"/>
  <c r="D110" i="7"/>
  <c r="D99" i="6"/>
  <c r="I610" i="5"/>
  <c r="C608" i="5"/>
  <c r="E607" i="5"/>
  <c r="CR660" i="1"/>
  <c r="T660" i="1"/>
  <c r="S660" i="1"/>
  <c r="CY660" i="1" s="1"/>
  <c r="X660" i="1" s="1"/>
  <c r="R601" i="5" s="1"/>
  <c r="W659" i="1"/>
  <c r="I597" i="5"/>
  <c r="W597" i="5" s="1"/>
  <c r="S595" i="5"/>
  <c r="I603" i="5" s="1"/>
  <c r="Q595" i="5"/>
  <c r="S659" i="1"/>
  <c r="CR658" i="1"/>
  <c r="CT657" i="1"/>
  <c r="P657" i="1"/>
  <c r="K588" i="5" s="1"/>
  <c r="I588" i="5"/>
  <c r="V656" i="1"/>
  <c r="W654" i="1"/>
  <c r="S654" i="1"/>
  <c r="K578" i="5" s="1"/>
  <c r="S576" i="5"/>
  <c r="I580" i="5" s="1"/>
  <c r="X582" i="5" s="1"/>
  <c r="Q576" i="5"/>
  <c r="I579" i="5" s="1"/>
  <c r="I578" i="5"/>
  <c r="W578" i="5" s="1"/>
  <c r="R654" i="1"/>
  <c r="GK654" i="1" s="1"/>
  <c r="GX653" i="1"/>
  <c r="CR653" i="1"/>
  <c r="U653" i="1"/>
  <c r="I574" i="5" s="1"/>
  <c r="AD653" i="1"/>
  <c r="W652" i="1"/>
  <c r="S652" i="1"/>
  <c r="K561" i="5" s="1"/>
  <c r="Q559" i="5"/>
  <c r="I564" i="5" s="1"/>
  <c r="I561" i="5"/>
  <c r="W561" i="5" s="1"/>
  <c r="S559" i="5"/>
  <c r="I565" i="5" s="1"/>
  <c r="O568" i="5" s="1"/>
  <c r="R652" i="1"/>
  <c r="F646" i="1"/>
  <c r="F632" i="1"/>
  <c r="F623" i="1"/>
  <c r="AU616" i="1"/>
  <c r="GX581" i="1"/>
  <c r="BY583" i="1"/>
  <c r="AP583" i="1" s="1"/>
  <c r="CR581" i="1"/>
  <c r="U581" i="1"/>
  <c r="AD581" i="1"/>
  <c r="W580" i="1"/>
  <c r="S580" i="1"/>
  <c r="K545" i="5" s="1"/>
  <c r="Q543" i="5"/>
  <c r="I548" i="5" s="1"/>
  <c r="S543" i="5"/>
  <c r="I545" i="5"/>
  <c r="R580" i="1"/>
  <c r="GK580" i="1" s="1"/>
  <c r="GX578" i="1"/>
  <c r="CR578" i="1"/>
  <c r="U578" i="1"/>
  <c r="I541" i="5" s="1"/>
  <c r="AD578" i="1"/>
  <c r="W577" i="1"/>
  <c r="S577" i="1"/>
  <c r="S529" i="5"/>
  <c r="I531" i="5" s="1"/>
  <c r="Q529" i="5"/>
  <c r="R577" i="1"/>
  <c r="GK577" i="1" s="1"/>
  <c r="CR576" i="1"/>
  <c r="AD576" i="1"/>
  <c r="AB576" i="1" s="1"/>
  <c r="I152" i="10"/>
  <c r="I150" i="10"/>
  <c r="D159" i="9" s="1"/>
  <c r="I153" i="10"/>
  <c r="I151" i="10"/>
  <c r="D158" i="9" s="1"/>
  <c r="D96" i="7"/>
  <c r="D85" i="6"/>
  <c r="E525" i="5"/>
  <c r="C526" i="5"/>
  <c r="CR575" i="1"/>
  <c r="AD575" i="1"/>
  <c r="AB575" i="1" s="1"/>
  <c r="W574" i="1"/>
  <c r="S574" i="1"/>
  <c r="K519" i="5" s="1"/>
  <c r="I519" i="5"/>
  <c r="S517" i="5"/>
  <c r="Q517" i="5"/>
  <c r="R574" i="1"/>
  <c r="GK574" i="1" s="1"/>
  <c r="GX573" i="1"/>
  <c r="CR573" i="1"/>
  <c r="U573" i="1"/>
  <c r="AD573" i="1"/>
  <c r="W572" i="1"/>
  <c r="S572" i="1"/>
  <c r="K511" i="5" s="1"/>
  <c r="Q509" i="5"/>
  <c r="S509" i="5"/>
  <c r="I514" i="5" s="1"/>
  <c r="I511" i="5"/>
  <c r="R572" i="1"/>
  <c r="GK572" i="1" s="1"/>
  <c r="F562" i="1"/>
  <c r="N145" i="10"/>
  <c r="K145" i="10"/>
  <c r="I494" i="5"/>
  <c r="W494" i="5" s="1"/>
  <c r="U490" i="5"/>
  <c r="V490" i="5"/>
  <c r="Q500" i="1"/>
  <c r="K493" i="5" s="1"/>
  <c r="I143" i="10"/>
  <c r="D142" i="9" s="1"/>
  <c r="I141" i="10"/>
  <c r="D149" i="9" s="1"/>
  <c r="I144" i="10"/>
  <c r="D141" i="9" s="1"/>
  <c r="I142" i="10"/>
  <c r="D145" i="9" s="1"/>
  <c r="D78" i="6"/>
  <c r="D89" i="7"/>
  <c r="E490" i="5"/>
  <c r="C491" i="5"/>
  <c r="I493" i="5"/>
  <c r="CR497" i="1"/>
  <c r="CY497" i="1"/>
  <c r="X497" i="1" s="1"/>
  <c r="R483" i="5" s="1"/>
  <c r="K486" i="5" s="1"/>
  <c r="P489" i="5" s="1"/>
  <c r="K485" i="5"/>
  <c r="GX496" i="1"/>
  <c r="S473" i="5"/>
  <c r="I479" i="5" s="1"/>
  <c r="Q473" i="5"/>
  <c r="I478" i="5" s="1"/>
  <c r="H482" i="5" s="1"/>
  <c r="I475" i="5"/>
  <c r="W475" i="5" s="1"/>
  <c r="S496" i="1"/>
  <c r="N138" i="10"/>
  <c r="K138" i="10"/>
  <c r="CR494" i="1"/>
  <c r="T494" i="1"/>
  <c r="S494" i="1"/>
  <c r="T493" i="1"/>
  <c r="S493" i="1"/>
  <c r="CY493" i="1" s="1"/>
  <c r="X493" i="1" s="1"/>
  <c r="R458" i="5" s="1"/>
  <c r="CY492" i="1"/>
  <c r="X492" i="1" s="1"/>
  <c r="R452" i="5" s="1"/>
  <c r="I454" i="5"/>
  <c r="Q452" i="5"/>
  <c r="I459" i="5" s="1"/>
  <c r="S452" i="5"/>
  <c r="I135" i="10"/>
  <c r="D138" i="9" s="1"/>
  <c r="I134" i="10"/>
  <c r="D72" i="6"/>
  <c r="D83" i="7"/>
  <c r="E452" i="5"/>
  <c r="C453" i="5"/>
  <c r="I455" i="5"/>
  <c r="F482" i="1"/>
  <c r="F474" i="1"/>
  <c r="F466" i="1"/>
  <c r="F461" i="1"/>
  <c r="V456" i="1"/>
  <c r="F441" i="1"/>
  <c r="F432" i="1"/>
  <c r="AV422" i="1"/>
  <c r="F429" i="1"/>
  <c r="Y422" i="1"/>
  <c r="F451" i="1"/>
  <c r="U422" i="1"/>
  <c r="F446" i="1"/>
  <c r="G376" i="1"/>
  <c r="A122" i="9" s="1"/>
  <c r="A446" i="5"/>
  <c r="CC389" i="1"/>
  <c r="CC376" i="1" s="1"/>
  <c r="S130" i="10"/>
  <c r="P130" i="10"/>
  <c r="AD387" i="1"/>
  <c r="CR387" i="1"/>
  <c r="T386" i="1"/>
  <c r="S433" i="5"/>
  <c r="Q433" i="5"/>
  <c r="I435" i="5"/>
  <c r="S127" i="10"/>
  <c r="P127" i="10"/>
  <c r="I426" i="5"/>
  <c r="W426" i="5" s="1"/>
  <c r="R384" i="1"/>
  <c r="GK384" i="1" s="1"/>
  <c r="V383" i="1"/>
  <c r="P125" i="10"/>
  <c r="R125" i="10" s="1"/>
  <c r="S125" i="10"/>
  <c r="T125" i="10" s="1"/>
  <c r="V418" i="5"/>
  <c r="U418" i="5"/>
  <c r="P383" i="1"/>
  <c r="W382" i="1"/>
  <c r="I414" i="5"/>
  <c r="W414" i="5" s="1"/>
  <c r="S412" i="5"/>
  <c r="Q412" i="5"/>
  <c r="CR381" i="1"/>
  <c r="U381" i="1"/>
  <c r="T378" i="1"/>
  <c r="S378" i="1"/>
  <c r="CY340" i="1"/>
  <c r="X340" i="1" s="1"/>
  <c r="R379" i="5" s="1"/>
  <c r="K381" i="5"/>
  <c r="GX339" i="1"/>
  <c r="S374" i="5"/>
  <c r="S339" i="1"/>
  <c r="CT339" i="1"/>
  <c r="Q374" i="5"/>
  <c r="T336" i="1"/>
  <c r="S336" i="1"/>
  <c r="CY334" i="1"/>
  <c r="X334" i="1" s="1"/>
  <c r="R352" i="5" s="1"/>
  <c r="K354" i="5"/>
  <c r="R332" i="1"/>
  <c r="GK332" i="1" s="1"/>
  <c r="CR332" i="1"/>
  <c r="GX331" i="1"/>
  <c r="T331" i="1"/>
  <c r="Q330" i="1"/>
  <c r="K338" i="5" s="1"/>
  <c r="I111" i="10"/>
  <c r="I112" i="10"/>
  <c r="D63" i="7"/>
  <c r="D52" i="6"/>
  <c r="E335" i="5"/>
  <c r="C336" i="5"/>
  <c r="R330" i="1"/>
  <c r="I338" i="5"/>
  <c r="Q328" i="5"/>
  <c r="I331" i="5" s="1"/>
  <c r="P329" i="1"/>
  <c r="CS328" i="1"/>
  <c r="F310" i="1"/>
  <c r="U257" i="1"/>
  <c r="N106" i="10"/>
  <c r="K106" i="10"/>
  <c r="I305" i="5"/>
  <c r="X305" i="5" s="1"/>
  <c r="W256" i="1"/>
  <c r="V256" i="1"/>
  <c r="CR256" i="1"/>
  <c r="I303" i="5"/>
  <c r="W303" i="5" s="1"/>
  <c r="U299" i="5"/>
  <c r="V299" i="5"/>
  <c r="K308" i="5" s="1"/>
  <c r="I293" i="5"/>
  <c r="X293" i="5" s="1"/>
  <c r="I97" i="10"/>
  <c r="D93" i="9" s="1"/>
  <c r="I95" i="10"/>
  <c r="D97" i="9" s="1"/>
  <c r="I93" i="10"/>
  <c r="D99" i="9" s="1"/>
  <c r="I96" i="10"/>
  <c r="D96" i="9" s="1"/>
  <c r="I94" i="10"/>
  <c r="D98" i="9" s="1"/>
  <c r="I92" i="10"/>
  <c r="D102" i="9" s="1"/>
  <c r="D56" i="7"/>
  <c r="D45" i="6"/>
  <c r="I290" i="5"/>
  <c r="E287" i="5"/>
  <c r="C288" i="5"/>
  <c r="CZ253" i="1"/>
  <c r="Y253" i="1" s="1"/>
  <c r="Q251" i="1"/>
  <c r="CR251" i="1"/>
  <c r="CS250" i="1"/>
  <c r="CR249" i="1"/>
  <c r="U249" i="1"/>
  <c r="I278" i="5" s="1"/>
  <c r="AD249" i="1"/>
  <c r="AB249" i="1" s="1"/>
  <c r="V211" i="1"/>
  <c r="V254" i="5"/>
  <c r="R211" i="1"/>
  <c r="I258" i="5"/>
  <c r="W258" i="5" s="1"/>
  <c r="U254" i="5"/>
  <c r="CQ209" i="1"/>
  <c r="GK209" i="1"/>
  <c r="K79" i="10"/>
  <c r="N79" i="10"/>
  <c r="I236" i="5"/>
  <c r="X236" i="5" s="1"/>
  <c r="BZ214" i="1"/>
  <c r="T207" i="1"/>
  <c r="CQ206" i="1"/>
  <c r="CR204" i="1"/>
  <c r="U204" i="1"/>
  <c r="I228" i="5" s="1"/>
  <c r="AD204" i="1"/>
  <c r="AB204" i="1" s="1"/>
  <c r="U216" i="5"/>
  <c r="CC214" i="1"/>
  <c r="CC200" i="1" s="1"/>
  <c r="U164" i="1"/>
  <c r="AB164" i="1"/>
  <c r="CQ163" i="1"/>
  <c r="CY160" i="1"/>
  <c r="X160" i="1" s="1"/>
  <c r="CZ160" i="1"/>
  <c r="Y160" i="1" s="1"/>
  <c r="W159" i="1"/>
  <c r="V181" i="5"/>
  <c r="R158" i="1"/>
  <c r="GK158" i="1" s="1"/>
  <c r="U174" i="5"/>
  <c r="V174" i="5"/>
  <c r="AD158" i="1"/>
  <c r="CR158" i="1"/>
  <c r="F140" i="1"/>
  <c r="F135" i="1"/>
  <c r="AD86" i="1"/>
  <c r="AB86" i="1" s="1"/>
  <c r="I159" i="5"/>
  <c r="W159" i="5" s="1"/>
  <c r="U155" i="5"/>
  <c r="V155" i="5"/>
  <c r="R86" i="1"/>
  <c r="CR86" i="1"/>
  <c r="T85" i="1"/>
  <c r="R85" i="1"/>
  <c r="GK85" i="1" s="1"/>
  <c r="W84" i="1"/>
  <c r="T83" i="1"/>
  <c r="T80" i="1"/>
  <c r="R80" i="1"/>
  <c r="GK80" i="1" s="1"/>
  <c r="CR78" i="1"/>
  <c r="V39" i="1"/>
  <c r="R39" i="1"/>
  <c r="V98" i="5"/>
  <c r="CR39" i="1"/>
  <c r="I102" i="5"/>
  <c r="W102" i="5" s="1"/>
  <c r="U98" i="5"/>
  <c r="CT38" i="1"/>
  <c r="I90" i="5"/>
  <c r="W90" i="5" s="1"/>
  <c r="P30" i="10"/>
  <c r="S30" i="10"/>
  <c r="CR35" i="1"/>
  <c r="AD32" i="1"/>
  <c r="AB32" i="1" s="1"/>
  <c r="CR32" i="1"/>
  <c r="CC42" i="1"/>
  <c r="CC26" i="1" s="1"/>
  <c r="CS31" i="1"/>
  <c r="O310" i="10"/>
  <c r="M310" i="10"/>
  <c r="O289" i="10"/>
  <c r="M289" i="10"/>
  <c r="O230" i="10"/>
  <c r="F231" i="9" s="1"/>
  <c r="E232" i="9" s="1"/>
  <c r="M230" i="10"/>
  <c r="M214" i="10"/>
  <c r="O214" i="10"/>
  <c r="F213" i="9" s="1"/>
  <c r="O183" i="10"/>
  <c r="F177" i="9" s="1"/>
  <c r="M183" i="10"/>
  <c r="O167" i="10"/>
  <c r="M167" i="10"/>
  <c r="O151" i="10"/>
  <c r="M151" i="10"/>
  <c r="O140" i="10"/>
  <c r="F139" i="9" s="1"/>
  <c r="M140" i="10"/>
  <c r="O122" i="10"/>
  <c r="F134" i="9" s="1"/>
  <c r="M122" i="10"/>
  <c r="O117" i="10"/>
  <c r="F118" i="9" s="1"/>
  <c r="M117" i="10"/>
  <c r="O99" i="10"/>
  <c r="F107" i="9" s="1"/>
  <c r="M99" i="10"/>
  <c r="O81" i="10"/>
  <c r="M81" i="10"/>
  <c r="M50" i="10"/>
  <c r="O50" i="10"/>
  <c r="M34" i="10"/>
  <c r="O34" i="10"/>
  <c r="M29" i="10"/>
  <c r="O29" i="10"/>
  <c r="F14" i="9" s="1"/>
  <c r="M11" i="10"/>
  <c r="O11" i="10"/>
  <c r="F19" i="9" s="1"/>
  <c r="CR29" i="1"/>
  <c r="T29" i="1"/>
  <c r="P29" i="1"/>
  <c r="AB28" i="1"/>
  <c r="R324" i="10"/>
  <c r="T324" i="10"/>
  <c r="O325" i="10"/>
  <c r="F310" i="9" s="1"/>
  <c r="M325" i="10"/>
  <c r="O326" i="10"/>
  <c r="F309" i="9" s="1"/>
  <c r="M326" i="10"/>
  <c r="R314" i="10"/>
  <c r="T314" i="10"/>
  <c r="O315" i="10"/>
  <c r="M315" i="10"/>
  <c r="O317" i="10"/>
  <c r="M317" i="10"/>
  <c r="O318" i="10"/>
  <c r="M318" i="10"/>
  <c r="R321" i="10"/>
  <c r="T321" i="10"/>
  <c r="O308" i="10"/>
  <c r="F297" i="9" s="1"/>
  <c r="M308" i="10"/>
  <c r="O309" i="10"/>
  <c r="M309" i="10"/>
  <c r="O298" i="10"/>
  <c r="M298" i="10"/>
  <c r="O299" i="10"/>
  <c r="M299" i="10"/>
  <c r="O300" i="10"/>
  <c r="M300" i="10"/>
  <c r="R303" i="10"/>
  <c r="T303" i="10"/>
  <c r="O305" i="10"/>
  <c r="M305" i="10"/>
  <c r="O287" i="10"/>
  <c r="M287" i="10"/>
  <c r="O288" i="10"/>
  <c r="M288" i="10"/>
  <c r="R290" i="10"/>
  <c r="T290" i="10"/>
  <c r="O292" i="10"/>
  <c r="M292" i="10"/>
  <c r="O279" i="10"/>
  <c r="F288" i="9" s="1"/>
  <c r="M279" i="10"/>
  <c r="O280" i="10"/>
  <c r="F287" i="9" s="1"/>
  <c r="M280" i="10"/>
  <c r="O284" i="10"/>
  <c r="M284" i="10"/>
  <c r="O270" i="10"/>
  <c r="F270" i="9" s="1"/>
  <c r="M270" i="10"/>
  <c r="O271" i="10"/>
  <c r="F267" i="9" s="1"/>
  <c r="E268" i="9" s="1"/>
  <c r="M271" i="10"/>
  <c r="O254" i="10"/>
  <c r="M254" i="10"/>
  <c r="O256" i="10"/>
  <c r="M256" i="10"/>
  <c r="O257" i="10"/>
  <c r="M257" i="10"/>
  <c r="O249" i="10"/>
  <c r="M249" i="10"/>
  <c r="O250" i="10"/>
  <c r="M250" i="10"/>
  <c r="R243" i="10"/>
  <c r="T243" i="10"/>
  <c r="O245" i="10"/>
  <c r="M245" i="10"/>
  <c r="O236" i="10"/>
  <c r="F261" i="9" s="1"/>
  <c r="M236" i="10"/>
  <c r="O237" i="10"/>
  <c r="F258" i="9" s="1"/>
  <c r="M237" i="10"/>
  <c r="R239" i="10"/>
  <c r="T239" i="10"/>
  <c r="O229" i="10"/>
  <c r="F235" i="9" s="1"/>
  <c r="M229" i="10"/>
  <c r="R218" i="10"/>
  <c r="T218" i="10"/>
  <c r="O221" i="10"/>
  <c r="F220" i="9" s="1"/>
  <c r="M221" i="10"/>
  <c r="O222" i="10"/>
  <c r="F218" i="9" s="1"/>
  <c r="M222" i="10"/>
  <c r="M213" i="10"/>
  <c r="O213" i="10"/>
  <c r="F215" i="9" s="1"/>
  <c r="O210" i="10"/>
  <c r="M210" i="10"/>
  <c r="R201" i="10"/>
  <c r="T201" i="10"/>
  <c r="O203" i="10"/>
  <c r="F202" i="9" s="1"/>
  <c r="M203" i="10"/>
  <c r="O205" i="10"/>
  <c r="F193" i="9" s="1"/>
  <c r="M205" i="10"/>
  <c r="O206" i="10"/>
  <c r="F191" i="9" s="1"/>
  <c r="M206" i="10"/>
  <c r="R193" i="10"/>
  <c r="T193" i="10"/>
  <c r="O195" i="10"/>
  <c r="F197" i="9" s="1"/>
  <c r="M195" i="10"/>
  <c r="O197" i="10"/>
  <c r="F195" i="9" s="1"/>
  <c r="M197" i="10"/>
  <c r="O198" i="10"/>
  <c r="F192" i="9" s="1"/>
  <c r="M198" i="10"/>
  <c r="T192" i="10"/>
  <c r="R184" i="10"/>
  <c r="T184" i="10"/>
  <c r="O185" i="10"/>
  <c r="F169" i="9" s="1"/>
  <c r="M185" i="10"/>
  <c r="R187" i="10"/>
  <c r="T187" i="10"/>
  <c r="R176" i="10"/>
  <c r="T176" i="10"/>
  <c r="O177" i="10"/>
  <c r="F174" i="9" s="1"/>
  <c r="M177" i="10"/>
  <c r="R179" i="10"/>
  <c r="T179" i="10"/>
  <c r="R168" i="10"/>
  <c r="T168" i="10"/>
  <c r="O169" i="10"/>
  <c r="M169" i="10"/>
  <c r="R171" i="10"/>
  <c r="T171" i="10"/>
  <c r="R165" i="10"/>
  <c r="T165" i="10"/>
  <c r="O161" i="10"/>
  <c r="M161" i="10"/>
  <c r="R156" i="10"/>
  <c r="T156" i="10"/>
  <c r="O157" i="10"/>
  <c r="M157" i="10"/>
  <c r="O150" i="10"/>
  <c r="M150" i="10"/>
  <c r="R152" i="10"/>
  <c r="T152" i="10"/>
  <c r="O143" i="10"/>
  <c r="F142" i="9" s="1"/>
  <c r="M143" i="10"/>
  <c r="O137" i="10"/>
  <c r="M137" i="10"/>
  <c r="O128" i="10"/>
  <c r="F131" i="9" s="1"/>
  <c r="M128" i="10"/>
  <c r="O123" i="10"/>
  <c r="F127" i="9" s="1"/>
  <c r="M123" i="10"/>
  <c r="O120" i="10"/>
  <c r="F125" i="9" s="1"/>
  <c r="M120" i="10"/>
  <c r="R113" i="10"/>
  <c r="T113" i="10"/>
  <c r="R112" i="10"/>
  <c r="T112" i="10"/>
  <c r="R109" i="10"/>
  <c r="T109" i="10"/>
  <c r="O110" i="10"/>
  <c r="M110" i="10"/>
  <c r="R100" i="10"/>
  <c r="T100" i="10"/>
  <c r="R103" i="10"/>
  <c r="T103" i="10"/>
  <c r="O104" i="10"/>
  <c r="F94" i="9" s="1"/>
  <c r="M104" i="10"/>
  <c r="R92" i="10"/>
  <c r="T92" i="10"/>
  <c r="R95" i="10"/>
  <c r="T95" i="10"/>
  <c r="O96" i="10"/>
  <c r="F96" i="9" s="1"/>
  <c r="M96" i="10"/>
  <c r="O88" i="10"/>
  <c r="F86" i="9" s="1"/>
  <c r="M88" i="10"/>
  <c r="O89" i="10"/>
  <c r="M89" i="10"/>
  <c r="R80" i="10"/>
  <c r="T80" i="10"/>
  <c r="O82" i="10"/>
  <c r="M82" i="10"/>
  <c r="O84" i="10"/>
  <c r="M84" i="10"/>
  <c r="O85" i="10"/>
  <c r="M85" i="10"/>
  <c r="M74" i="10"/>
  <c r="O74" i="10"/>
  <c r="F81" i="9" s="1"/>
  <c r="O76" i="10"/>
  <c r="F77" i="9" s="1"/>
  <c r="M76" i="10"/>
  <c r="O77" i="10"/>
  <c r="F76" i="9" s="1"/>
  <c r="M77" i="10"/>
  <c r="T71" i="10"/>
  <c r="R71" i="10"/>
  <c r="M67" i="10"/>
  <c r="O67" i="10"/>
  <c r="F67" i="9" s="1"/>
  <c r="M68" i="10"/>
  <c r="O68" i="10"/>
  <c r="F66" i="9" s="1"/>
  <c r="M61" i="10"/>
  <c r="O61" i="10"/>
  <c r="F58" i="9" s="1"/>
  <c r="M52" i="10"/>
  <c r="O52" i="10"/>
  <c r="F57" i="9" s="1"/>
  <c r="T54" i="10"/>
  <c r="R54" i="10"/>
  <c r="M56" i="10"/>
  <c r="O56" i="10"/>
  <c r="F47" i="9" s="1"/>
  <c r="M58" i="10"/>
  <c r="O58" i="10"/>
  <c r="M59" i="10"/>
  <c r="O59" i="10"/>
  <c r="F43" i="9" s="1"/>
  <c r="T51" i="10"/>
  <c r="R51" i="10"/>
  <c r="T46" i="10"/>
  <c r="R46" i="10"/>
  <c r="T48" i="10"/>
  <c r="R48" i="10"/>
  <c r="T41" i="10"/>
  <c r="R41" i="10"/>
  <c r="M42" i="10"/>
  <c r="O42" i="10"/>
  <c r="T32" i="10"/>
  <c r="R32" i="10"/>
  <c r="T35" i="10"/>
  <c r="R35" i="10"/>
  <c r="M36" i="10"/>
  <c r="O36" i="10"/>
  <c r="F21" i="9" s="1"/>
  <c r="T38" i="10"/>
  <c r="R38" i="10"/>
  <c r="M23" i="10"/>
  <c r="O23" i="10"/>
  <c r="T25" i="10"/>
  <c r="R25" i="10"/>
  <c r="T27" i="10"/>
  <c r="R27" i="10"/>
  <c r="T18" i="10"/>
  <c r="R18" i="10"/>
  <c r="M19" i="10"/>
  <c r="O19" i="10"/>
  <c r="F26" i="9" s="1"/>
  <c r="T21" i="10"/>
  <c r="R21" i="10"/>
  <c r="T15" i="10"/>
  <c r="R15" i="10"/>
  <c r="M8" i="10"/>
  <c r="O8" i="10"/>
  <c r="F36" i="9" s="1"/>
  <c r="T10" i="10"/>
  <c r="R10" i="10"/>
  <c r="T12" i="10"/>
  <c r="R12" i="10"/>
  <c r="E36" i="5"/>
  <c r="V57" i="5"/>
  <c r="K64" i="5" s="1"/>
  <c r="U136" i="5"/>
  <c r="E206" i="5"/>
  <c r="V216" i="5"/>
  <c r="S371" i="5"/>
  <c r="I376" i="5" s="1"/>
  <c r="X378" i="5" s="1"/>
  <c r="U395" i="5"/>
  <c r="I402" i="5" s="1"/>
  <c r="S483" i="5"/>
  <c r="I487" i="5" s="1"/>
  <c r="GX378" i="1"/>
  <c r="U378" i="1"/>
  <c r="I403" i="5" s="1"/>
  <c r="V378" i="1"/>
  <c r="Q378" i="1"/>
  <c r="K398" i="5" s="1"/>
  <c r="V395" i="5"/>
  <c r="K402" i="5" s="1"/>
  <c r="G326" i="1"/>
  <c r="A110" i="9" s="1"/>
  <c r="A389" i="5"/>
  <c r="K118" i="10"/>
  <c r="N118" i="10"/>
  <c r="S379" i="5"/>
  <c r="Q379" i="5"/>
  <c r="I117" i="10"/>
  <c r="D118" i="9" s="1"/>
  <c r="D71" i="7"/>
  <c r="D60" i="6"/>
  <c r="P339" i="1"/>
  <c r="GX336" i="1"/>
  <c r="U336" i="1"/>
  <c r="I369" i="5" s="1"/>
  <c r="V336" i="1"/>
  <c r="Q336" i="1"/>
  <c r="V363" i="5"/>
  <c r="S352" i="5"/>
  <c r="Q352" i="5"/>
  <c r="I113" i="10"/>
  <c r="D115" i="9" s="1"/>
  <c r="I114" i="10"/>
  <c r="D114" i="9" s="1"/>
  <c r="D65" i="7"/>
  <c r="D54" i="6"/>
  <c r="I355" i="5"/>
  <c r="W331" i="1"/>
  <c r="AB331" i="1"/>
  <c r="S345" i="5"/>
  <c r="I349" i="5" s="1"/>
  <c r="Q345" i="5"/>
  <c r="I348" i="5" s="1"/>
  <c r="W330" i="1"/>
  <c r="S330" i="1"/>
  <c r="K337" i="5" s="1"/>
  <c r="I337" i="5"/>
  <c r="W337" i="5" s="1"/>
  <c r="Q328" i="1"/>
  <c r="K321" i="5" s="1"/>
  <c r="I109" i="10"/>
  <c r="I110" i="10"/>
  <c r="D112" i="9" s="1"/>
  <c r="D61" i="7"/>
  <c r="D50" i="6"/>
  <c r="I321" i="5"/>
  <c r="GX257" i="1"/>
  <c r="T257" i="1"/>
  <c r="GX256" i="1"/>
  <c r="T256" i="1"/>
  <c r="V255" i="1"/>
  <c r="CR255" i="1"/>
  <c r="P98" i="10"/>
  <c r="R98" i="10" s="1"/>
  <c r="S98" i="10"/>
  <c r="U293" i="5"/>
  <c r="V293" i="5"/>
  <c r="S287" i="5"/>
  <c r="Q287" i="5"/>
  <c r="BZ259" i="1"/>
  <c r="BZ247" i="1" s="1"/>
  <c r="U250" i="1"/>
  <c r="I285" i="5" s="1"/>
  <c r="S90" i="10"/>
  <c r="P90" i="10"/>
  <c r="I259" i="5"/>
  <c r="S87" i="10"/>
  <c r="P87" i="10"/>
  <c r="U248" i="5"/>
  <c r="P210" i="1"/>
  <c r="I87" i="10"/>
  <c r="D85" i="9" s="1"/>
  <c r="D39" i="6"/>
  <c r="D50" i="7"/>
  <c r="E248" i="5"/>
  <c r="I246" i="5"/>
  <c r="W246" i="5" s="1"/>
  <c r="U242" i="5"/>
  <c r="V242" i="5"/>
  <c r="P79" i="10"/>
  <c r="S79" i="10"/>
  <c r="I235" i="5"/>
  <c r="W203" i="1"/>
  <c r="S203" i="1"/>
  <c r="K218" i="5" s="1"/>
  <c r="Q216" i="5"/>
  <c r="I219" i="5" s="1"/>
  <c r="I210" i="5"/>
  <c r="W210" i="5" s="1"/>
  <c r="U206" i="5"/>
  <c r="I213" i="5" s="1"/>
  <c r="V206" i="5"/>
  <c r="K213" i="5" s="1"/>
  <c r="S165" i="1"/>
  <c r="K190" i="5" s="1"/>
  <c r="I190" i="5"/>
  <c r="W164" i="1"/>
  <c r="R163" i="1"/>
  <c r="GK163" i="1" s="1"/>
  <c r="GX159" i="1"/>
  <c r="I183" i="5"/>
  <c r="W183" i="5" s="1"/>
  <c r="S159" i="1"/>
  <c r="CX75" i="3"/>
  <c r="D29" i="6"/>
  <c r="D40" i="7"/>
  <c r="E174" i="5"/>
  <c r="C175" i="5"/>
  <c r="G75" i="1"/>
  <c r="A40" i="9" s="1"/>
  <c r="A168" i="5"/>
  <c r="U85" i="1"/>
  <c r="AD85" i="1"/>
  <c r="AB85" i="1" s="1"/>
  <c r="S60" i="10"/>
  <c r="P60" i="10"/>
  <c r="R60" i="10" s="1"/>
  <c r="V149" i="5"/>
  <c r="GX84" i="1"/>
  <c r="Q143" i="5"/>
  <c r="I150" i="5" s="1"/>
  <c r="S84" i="1"/>
  <c r="W83" i="1"/>
  <c r="AB83" i="1"/>
  <c r="U80" i="1"/>
  <c r="I141" i="5" s="1"/>
  <c r="AB80" i="1"/>
  <c r="Q78" i="1"/>
  <c r="K129" i="5" s="1"/>
  <c r="I50" i="10"/>
  <c r="I51" i="10"/>
  <c r="D33" i="7"/>
  <c r="I49" i="10"/>
  <c r="D22" i="6"/>
  <c r="C127" i="5"/>
  <c r="G26" i="1"/>
  <c r="A9" i="9" s="1"/>
  <c r="AL110" i="5"/>
  <c r="A110" i="5"/>
  <c r="V40" i="1"/>
  <c r="S43" i="10"/>
  <c r="P43" i="10"/>
  <c r="GX39" i="1"/>
  <c r="K40" i="10"/>
  <c r="N40" i="10"/>
  <c r="U37" i="1"/>
  <c r="I96" i="5" s="1"/>
  <c r="V37" i="1"/>
  <c r="Q37" i="1"/>
  <c r="K89" i="5" s="1"/>
  <c r="I27" i="10"/>
  <c r="I23" i="10"/>
  <c r="I28" i="10"/>
  <c r="D15" i="9" s="1"/>
  <c r="I24" i="10"/>
  <c r="D25" i="9" s="1"/>
  <c r="I29" i="10"/>
  <c r="D14" i="9" s="1"/>
  <c r="I25" i="10"/>
  <c r="D23" i="9" s="1"/>
  <c r="I26" i="10"/>
  <c r="D22" i="9" s="1"/>
  <c r="I22" i="10"/>
  <c r="D35" i="9" s="1"/>
  <c r="D25" i="7"/>
  <c r="CP33" i="1"/>
  <c r="O33" i="1" s="1"/>
  <c r="I19" i="10"/>
  <c r="D26" i="9" s="1"/>
  <c r="I20" i="10"/>
  <c r="D17" i="9" s="1"/>
  <c r="I21" i="10"/>
  <c r="I18" i="10"/>
  <c r="D30" i="9" s="1"/>
  <c r="D23" i="7"/>
  <c r="R29" i="1"/>
  <c r="K51" i="5" s="1"/>
  <c r="I15" i="10"/>
  <c r="I16" i="10"/>
  <c r="I17" i="10"/>
  <c r="D22" i="7"/>
  <c r="O313" i="10"/>
  <c r="M313" i="10"/>
  <c r="R316" i="10"/>
  <c r="T316" i="10"/>
  <c r="R319" i="10"/>
  <c r="T319" i="10"/>
  <c r="O320" i="10"/>
  <c r="M320" i="10"/>
  <c r="R307" i="10"/>
  <c r="T307" i="10"/>
  <c r="R310" i="10"/>
  <c r="T310" i="10"/>
  <c r="O311" i="10"/>
  <c r="M311" i="10"/>
  <c r="R297" i="10"/>
  <c r="T297" i="10"/>
  <c r="R301" i="10"/>
  <c r="T301" i="10"/>
  <c r="O302" i="10"/>
  <c r="F295" i="9" s="1"/>
  <c r="M302" i="10"/>
  <c r="R304" i="10"/>
  <c r="T304" i="10"/>
  <c r="R289" i="10"/>
  <c r="T289" i="10"/>
  <c r="R291" i="10"/>
  <c r="T291" i="10"/>
  <c r="R281" i="10"/>
  <c r="T281" i="10"/>
  <c r="O282" i="10"/>
  <c r="F285" i="9" s="1"/>
  <c r="M282" i="10"/>
  <c r="R283" i="10"/>
  <c r="T283" i="10"/>
  <c r="R285" i="10"/>
  <c r="T285" i="10"/>
  <c r="O275" i="10"/>
  <c r="F273" i="9" s="1"/>
  <c r="M275" i="10"/>
  <c r="R253" i="10"/>
  <c r="T253" i="10"/>
  <c r="R255" i="10"/>
  <c r="T255" i="10"/>
  <c r="O246" i="10"/>
  <c r="F263" i="9" s="1"/>
  <c r="M246" i="10"/>
  <c r="R247" i="10"/>
  <c r="T247" i="10"/>
  <c r="R248" i="10"/>
  <c r="T248" i="10"/>
  <c r="O242" i="10"/>
  <c r="F260" i="9" s="1"/>
  <c r="M242" i="10"/>
  <c r="R244" i="10"/>
  <c r="T244" i="10"/>
  <c r="O238" i="10"/>
  <c r="M238" i="10"/>
  <c r="R240" i="10"/>
  <c r="T240" i="10"/>
  <c r="R228" i="10"/>
  <c r="T228" i="10"/>
  <c r="R230" i="10"/>
  <c r="T230" i="10"/>
  <c r="R219" i="10"/>
  <c r="T219" i="10"/>
  <c r="R220" i="10"/>
  <c r="T220" i="10"/>
  <c r="R223" i="10"/>
  <c r="T223" i="10"/>
  <c r="O224" i="10"/>
  <c r="F211" i="9" s="1"/>
  <c r="M224" i="10"/>
  <c r="T212" i="10"/>
  <c r="R212" i="10"/>
  <c r="T214" i="10"/>
  <c r="R214" i="10"/>
  <c r="O200" i="10"/>
  <c r="F206" i="9" s="1"/>
  <c r="M200" i="10"/>
  <c r="R202" i="10"/>
  <c r="T202" i="10"/>
  <c r="R204" i="10"/>
  <c r="T204" i="10"/>
  <c r="R194" i="10"/>
  <c r="T194" i="10"/>
  <c r="R196" i="10"/>
  <c r="T196" i="10"/>
  <c r="R182" i="10"/>
  <c r="T182" i="10"/>
  <c r="O184" i="10"/>
  <c r="F170" i="9" s="1"/>
  <c r="M184" i="10"/>
  <c r="O186" i="10"/>
  <c r="F167" i="9" s="1"/>
  <c r="M186" i="10"/>
  <c r="O187" i="10"/>
  <c r="F166" i="9" s="1"/>
  <c r="M187" i="10"/>
  <c r="R174" i="10"/>
  <c r="T174" i="10"/>
  <c r="O176" i="10"/>
  <c r="M176" i="10"/>
  <c r="O178" i="10"/>
  <c r="F173" i="9" s="1"/>
  <c r="M178" i="10"/>
  <c r="O179" i="10"/>
  <c r="M179" i="10"/>
  <c r="O168" i="10"/>
  <c r="M168" i="10"/>
  <c r="O170" i="10"/>
  <c r="F172" i="9" s="1"/>
  <c r="M170" i="10"/>
  <c r="O171" i="10"/>
  <c r="F171" i="9" s="1"/>
  <c r="M171" i="10"/>
  <c r="R166" i="10"/>
  <c r="T166" i="10"/>
  <c r="R160" i="10"/>
  <c r="T160" i="10"/>
  <c r="O155" i="10"/>
  <c r="M155" i="10"/>
  <c r="R158" i="10"/>
  <c r="T158" i="10"/>
  <c r="R151" i="10"/>
  <c r="T151" i="10"/>
  <c r="R153" i="10"/>
  <c r="T153" i="10"/>
  <c r="O141" i="10"/>
  <c r="F149" i="9" s="1"/>
  <c r="M141" i="10"/>
  <c r="R142" i="10"/>
  <c r="T142" i="10"/>
  <c r="R144" i="10"/>
  <c r="T144" i="10"/>
  <c r="R139" i="10"/>
  <c r="T139" i="10"/>
  <c r="R135" i="10"/>
  <c r="T135" i="10"/>
  <c r="O129" i="10"/>
  <c r="F128" i="9" s="1"/>
  <c r="M129" i="10"/>
  <c r="O124" i="10"/>
  <c r="F126" i="9" s="1"/>
  <c r="M124" i="10"/>
  <c r="R121" i="10"/>
  <c r="T121" i="10"/>
  <c r="R117" i="10"/>
  <c r="T117" i="10"/>
  <c r="R114" i="10"/>
  <c r="T114" i="10"/>
  <c r="O109" i="10"/>
  <c r="M109" i="10"/>
  <c r="R101" i="10"/>
  <c r="T101" i="10"/>
  <c r="O103" i="10"/>
  <c r="F95" i="9" s="1"/>
  <c r="M103" i="10"/>
  <c r="O105" i="10"/>
  <c r="F92" i="9" s="1"/>
  <c r="M105" i="10"/>
  <c r="R93" i="10"/>
  <c r="T93" i="10"/>
  <c r="O95" i="10"/>
  <c r="F97" i="9" s="1"/>
  <c r="M95" i="10"/>
  <c r="O97" i="10"/>
  <c r="F93" i="9" s="1"/>
  <c r="M97" i="10"/>
  <c r="R81" i="10"/>
  <c r="T81" i="10"/>
  <c r="R83" i="10"/>
  <c r="T83" i="10"/>
  <c r="R86" i="10"/>
  <c r="T86" i="10"/>
  <c r="T73" i="10"/>
  <c r="R73" i="10"/>
  <c r="T75" i="10"/>
  <c r="R75" i="10"/>
  <c r="R78" i="10"/>
  <c r="T78" i="10"/>
  <c r="T72" i="10"/>
  <c r="R72" i="10"/>
  <c r="T66" i="10"/>
  <c r="R66" i="10"/>
  <c r="T69" i="10"/>
  <c r="R69" i="10"/>
  <c r="T62" i="10"/>
  <c r="R62" i="10"/>
  <c r="M53" i="10"/>
  <c r="O53" i="10"/>
  <c r="F55" i="9" s="1"/>
  <c r="T55" i="10"/>
  <c r="R55" i="10"/>
  <c r="T57" i="10"/>
  <c r="R57" i="10"/>
  <c r="T49" i="10"/>
  <c r="R49" i="10"/>
  <c r="M51" i="10"/>
  <c r="O51" i="10"/>
  <c r="F44" i="9" s="1"/>
  <c r="M45" i="10"/>
  <c r="O45" i="10"/>
  <c r="M46" i="10"/>
  <c r="O46" i="10"/>
  <c r="F51" i="9" s="1"/>
  <c r="M41" i="10"/>
  <c r="O41" i="10"/>
  <c r="T33" i="10"/>
  <c r="R33" i="10"/>
  <c r="M35" i="10"/>
  <c r="O35" i="10"/>
  <c r="M37" i="10"/>
  <c r="O37" i="10"/>
  <c r="M38" i="10"/>
  <c r="O38" i="10"/>
  <c r="F18" i="9" s="1"/>
  <c r="M24" i="10"/>
  <c r="O24" i="10"/>
  <c r="F25" i="9" s="1"/>
  <c r="M25" i="10"/>
  <c r="O25" i="10"/>
  <c r="F23" i="9" s="1"/>
  <c r="T28" i="10"/>
  <c r="R28" i="10"/>
  <c r="M18" i="10"/>
  <c r="O18" i="10"/>
  <c r="F30" i="9" s="1"/>
  <c r="M20" i="10"/>
  <c r="O20" i="10"/>
  <c r="F17" i="9" s="1"/>
  <c r="M21" i="10"/>
  <c r="O21" i="10"/>
  <c r="F12" i="9" s="1"/>
  <c r="T16" i="10"/>
  <c r="R16" i="10"/>
  <c r="M9" i="10"/>
  <c r="O9" i="10"/>
  <c r="M10" i="10"/>
  <c r="O10" i="10"/>
  <c r="F29" i="9" s="1"/>
  <c r="T13" i="10"/>
  <c r="R13" i="10"/>
  <c r="Q36" i="5"/>
  <c r="I42" i="5" s="1"/>
  <c r="I41" i="5"/>
  <c r="Q47" i="5"/>
  <c r="I52" i="5" s="1"/>
  <c r="I50" i="5"/>
  <c r="U57" i="5"/>
  <c r="I64" i="5" s="1"/>
  <c r="C58" i="5"/>
  <c r="I61" i="5"/>
  <c r="W61" i="5" s="1"/>
  <c r="Q74" i="5"/>
  <c r="C75" i="5"/>
  <c r="I76" i="5"/>
  <c r="W76" i="5" s="1"/>
  <c r="U86" i="5"/>
  <c r="E126" i="5"/>
  <c r="I129" i="5"/>
  <c r="V136" i="5"/>
  <c r="S143" i="5"/>
  <c r="U149" i="5"/>
  <c r="Q181" i="5"/>
  <c r="I184" i="5" s="1"/>
  <c r="S188" i="5"/>
  <c r="I195" i="5" s="1"/>
  <c r="X198" i="5" s="1"/>
  <c r="A200" i="5"/>
  <c r="I218" i="5"/>
  <c r="V248" i="5"/>
  <c r="C319" i="5"/>
  <c r="S335" i="5"/>
  <c r="I341" i="5" s="1"/>
  <c r="I347" i="5"/>
  <c r="W347" i="5" s="1"/>
  <c r="U352" i="5"/>
  <c r="CX192" i="3"/>
  <c r="D77" i="6"/>
  <c r="D88" i="7"/>
  <c r="E483" i="5"/>
  <c r="C484" i="5"/>
  <c r="T496" i="1"/>
  <c r="P494" i="1"/>
  <c r="K467" i="5" s="1"/>
  <c r="I467" i="5"/>
  <c r="V493" i="1"/>
  <c r="AD493" i="1"/>
  <c r="P136" i="10"/>
  <c r="R136" i="10" s="1"/>
  <c r="S136" i="10"/>
  <c r="T136" i="10" s="1"/>
  <c r="GX492" i="1"/>
  <c r="V492" i="1"/>
  <c r="R492" i="1"/>
  <c r="K456" i="5" s="1"/>
  <c r="I456" i="5"/>
  <c r="W456" i="5" s="1"/>
  <c r="U452" i="5"/>
  <c r="I438" i="5"/>
  <c r="N127" i="10"/>
  <c r="K127" i="10"/>
  <c r="W384" i="1"/>
  <c r="S424" i="5"/>
  <c r="Q424" i="5"/>
  <c r="K125" i="10"/>
  <c r="M125" i="10" s="1"/>
  <c r="N125" i="10"/>
  <c r="I418" i="5"/>
  <c r="X418" i="5" s="1"/>
  <c r="BZ389" i="1"/>
  <c r="CG389" i="1" s="1"/>
  <c r="I416" i="5"/>
  <c r="W416" i="5" s="1"/>
  <c r="U412" i="5"/>
  <c r="R382" i="1"/>
  <c r="CX167" i="3"/>
  <c r="D64" i="6"/>
  <c r="E405" i="5"/>
  <c r="D75" i="7"/>
  <c r="C406" i="5"/>
  <c r="P378" i="1"/>
  <c r="V340" i="1"/>
  <c r="Q340" i="1"/>
  <c r="V379" i="5"/>
  <c r="T339" i="1"/>
  <c r="D69" i="7"/>
  <c r="D58" i="6"/>
  <c r="E371" i="5"/>
  <c r="C372" i="5"/>
  <c r="Q366" i="5"/>
  <c r="P336" i="1"/>
  <c r="W335" i="1"/>
  <c r="I335" i="1"/>
  <c r="Q335" i="1" s="1"/>
  <c r="V334" i="1"/>
  <c r="R334" i="1"/>
  <c r="V352" i="5"/>
  <c r="V345" i="5"/>
  <c r="I339" i="5"/>
  <c r="W339" i="5" s="1"/>
  <c r="U335" i="5"/>
  <c r="I342" i="5" s="1"/>
  <c r="W329" i="1"/>
  <c r="S329" i="1"/>
  <c r="K330" i="5" s="1"/>
  <c r="I330" i="5"/>
  <c r="H334" i="5" s="1"/>
  <c r="F300" i="1"/>
  <c r="Q305" i="5"/>
  <c r="I301" i="5"/>
  <c r="W301" i="5" s="1"/>
  <c r="K98" i="10"/>
  <c r="N98" i="10"/>
  <c r="V254" i="1"/>
  <c r="CR254" i="1"/>
  <c r="V287" i="5"/>
  <c r="K296" i="5" s="1"/>
  <c r="S254" i="1"/>
  <c r="CR252" i="1"/>
  <c r="AD252" i="1"/>
  <c r="AB252" i="1" s="1"/>
  <c r="W249" i="1"/>
  <c r="AJ259" i="1" s="1"/>
  <c r="S249" i="1"/>
  <c r="K275" i="5" s="1"/>
  <c r="S273" i="5"/>
  <c r="I277" i="5" s="1"/>
  <c r="Q273" i="5"/>
  <c r="I276" i="5" s="1"/>
  <c r="CR212" i="1"/>
  <c r="AD212" i="1"/>
  <c r="AB212" i="1" s="1"/>
  <c r="W211" i="1"/>
  <c r="S211" i="1"/>
  <c r="K256" i="5" s="1"/>
  <c r="Q254" i="5"/>
  <c r="GX210" i="1"/>
  <c r="CR210" i="1"/>
  <c r="U210" i="1"/>
  <c r="AD210" i="1"/>
  <c r="AB210" i="1" s="1"/>
  <c r="CR209" i="1"/>
  <c r="AD209" i="1"/>
  <c r="AB209" i="1" s="1"/>
  <c r="Q209" i="1"/>
  <c r="K245" i="5" s="1"/>
  <c r="I85" i="10"/>
  <c r="I83" i="10"/>
  <c r="D79" i="9" s="1"/>
  <c r="I81" i="10"/>
  <c r="I86" i="10"/>
  <c r="D73" i="9" s="1"/>
  <c r="I84" i="10"/>
  <c r="D78" i="9" s="1"/>
  <c r="I82" i="10"/>
  <c r="I80" i="10"/>
  <c r="D38" i="6"/>
  <c r="D49" i="7"/>
  <c r="C243" i="5"/>
  <c r="CR208" i="1"/>
  <c r="AD208" i="1"/>
  <c r="AB208" i="1" s="1"/>
  <c r="W207" i="1"/>
  <c r="S207" i="1"/>
  <c r="K232" i="5" s="1"/>
  <c r="Q230" i="5"/>
  <c r="CR206" i="1"/>
  <c r="AD206" i="1"/>
  <c r="W204" i="1"/>
  <c r="S204" i="1"/>
  <c r="K225" i="5" s="1"/>
  <c r="Q223" i="5"/>
  <c r="I226" i="5" s="1"/>
  <c r="CR202" i="1"/>
  <c r="AD202" i="1"/>
  <c r="AB202" i="1" s="1"/>
  <c r="Q202" i="1"/>
  <c r="K209" i="5" s="1"/>
  <c r="I71" i="10"/>
  <c r="D74" i="9" s="1"/>
  <c r="I72" i="10"/>
  <c r="D72" i="9" s="1"/>
  <c r="D33" i="6"/>
  <c r="D44" i="7"/>
  <c r="C207" i="5"/>
  <c r="I192" i="5"/>
  <c r="W192" i="5" s="1"/>
  <c r="U188" i="5"/>
  <c r="I196" i="5" s="1"/>
  <c r="Q165" i="1"/>
  <c r="K191" i="5" s="1"/>
  <c r="I68" i="10"/>
  <c r="D66" i="9" s="1"/>
  <c r="I69" i="10"/>
  <c r="D63" i="9" s="1"/>
  <c r="I66" i="10"/>
  <c r="D68" i="9" s="1"/>
  <c r="I67" i="10"/>
  <c r="D67" i="9" s="1"/>
  <c r="D31" i="6"/>
  <c r="D42" i="7"/>
  <c r="E188" i="5"/>
  <c r="C189" i="5"/>
  <c r="CR163" i="1"/>
  <c r="AD163" i="1"/>
  <c r="AB163" i="1" s="1"/>
  <c r="AB162" i="1"/>
  <c r="CQ160" i="1"/>
  <c r="CT159" i="1"/>
  <c r="V159" i="1"/>
  <c r="AI167" i="1" s="1"/>
  <c r="R159" i="1"/>
  <c r="GK159" i="1" s="1"/>
  <c r="U181" i="5"/>
  <c r="AB158" i="1"/>
  <c r="F137" i="1"/>
  <c r="BZ89" i="1"/>
  <c r="BZ75" i="1" s="1"/>
  <c r="CT87" i="1"/>
  <c r="S63" i="10"/>
  <c r="P63" i="10"/>
  <c r="S86" i="1"/>
  <c r="K157" i="5" s="1"/>
  <c r="I157" i="5"/>
  <c r="W157" i="5" s="1"/>
  <c r="S155" i="5"/>
  <c r="Q86" i="1"/>
  <c r="K158" i="5" s="1"/>
  <c r="I62" i="10"/>
  <c r="D48" i="9" s="1"/>
  <c r="D37" i="7"/>
  <c r="I61" i="10"/>
  <c r="D58" i="9" s="1"/>
  <c r="D26" i="6"/>
  <c r="C156" i="5"/>
  <c r="CS85" i="1"/>
  <c r="P85" i="1"/>
  <c r="CP85" i="1" s="1"/>
  <c r="O85" i="1" s="1"/>
  <c r="K149" i="5" s="1"/>
  <c r="N60" i="10"/>
  <c r="K60" i="10"/>
  <c r="CT84" i="1"/>
  <c r="V84" i="1"/>
  <c r="R84" i="1"/>
  <c r="GX83" i="1"/>
  <c r="AB82" i="1"/>
  <c r="CS80" i="1"/>
  <c r="P80" i="1"/>
  <c r="CT79" i="1"/>
  <c r="W78" i="1"/>
  <c r="S78" i="1"/>
  <c r="K128" i="5" s="1"/>
  <c r="I128" i="5"/>
  <c r="W128" i="5" s="1"/>
  <c r="S126" i="5"/>
  <c r="I132" i="5" s="1"/>
  <c r="CQ77" i="1"/>
  <c r="Q77" i="1"/>
  <c r="K119" i="5" s="1"/>
  <c r="I46" i="10"/>
  <c r="I47" i="10"/>
  <c r="D45" i="9" s="1"/>
  <c r="I48" i="10"/>
  <c r="D42" i="9" s="1"/>
  <c r="D32" i="7"/>
  <c r="I45" i="10"/>
  <c r="D52" i="9" s="1"/>
  <c r="D21" i="6"/>
  <c r="I119" i="5"/>
  <c r="E116" i="5"/>
  <c r="N43" i="10"/>
  <c r="K43" i="10"/>
  <c r="I103" i="5"/>
  <c r="X103" i="5" s="1"/>
  <c r="T39" i="1"/>
  <c r="P37" i="1"/>
  <c r="V36" i="1"/>
  <c r="Q36" i="1"/>
  <c r="CP36" i="1" s="1"/>
  <c r="O36" i="1" s="1"/>
  <c r="I35" i="1"/>
  <c r="U35" i="1" s="1"/>
  <c r="V34" i="1"/>
  <c r="R34" i="1"/>
  <c r="V74" i="5"/>
  <c r="P31" i="1"/>
  <c r="CS30" i="1"/>
  <c r="U30" i="1"/>
  <c r="I65" i="5" s="1"/>
  <c r="AD30" i="1"/>
  <c r="V29" i="1"/>
  <c r="CR28" i="1"/>
  <c r="T28" i="1"/>
  <c r="R28" i="1"/>
  <c r="O324" i="10"/>
  <c r="F316" i="9" s="1"/>
  <c r="M324" i="10"/>
  <c r="R325" i="10"/>
  <c r="T325" i="10"/>
  <c r="O314" i="10"/>
  <c r="M314" i="10"/>
  <c r="R317" i="10"/>
  <c r="T317" i="10"/>
  <c r="O321" i="10"/>
  <c r="M321" i="10"/>
  <c r="R308" i="10"/>
  <c r="T308" i="10"/>
  <c r="R299" i="10"/>
  <c r="T299" i="10"/>
  <c r="O303" i="10"/>
  <c r="F294" i="9" s="1"/>
  <c r="M303" i="10"/>
  <c r="R287" i="10"/>
  <c r="T287" i="10"/>
  <c r="O290" i="10"/>
  <c r="M290" i="10"/>
  <c r="R279" i="10"/>
  <c r="T279" i="10"/>
  <c r="R270" i="10"/>
  <c r="T270" i="10"/>
  <c r="R256" i="10"/>
  <c r="T256" i="10"/>
  <c r="R249" i="10"/>
  <c r="T249" i="10"/>
  <c r="O243" i="10"/>
  <c r="F252" i="9" s="1"/>
  <c r="M243" i="10"/>
  <c r="R236" i="10"/>
  <c r="T236" i="10"/>
  <c r="O239" i="10"/>
  <c r="F242" i="9" s="1"/>
  <c r="M239" i="10"/>
  <c r="R229" i="10"/>
  <c r="T229" i="10"/>
  <c r="O218" i="10"/>
  <c r="F224" i="9" s="1"/>
  <c r="M218" i="10"/>
  <c r="R221" i="10"/>
  <c r="T221" i="10"/>
  <c r="O201" i="10"/>
  <c r="F205" i="9" s="1"/>
  <c r="M201" i="10"/>
  <c r="R205" i="10"/>
  <c r="T205" i="10"/>
  <c r="O193" i="10"/>
  <c r="F201" i="9" s="1"/>
  <c r="M193" i="10"/>
  <c r="R197" i="10"/>
  <c r="T197" i="10"/>
  <c r="R183" i="10"/>
  <c r="T183" i="10"/>
  <c r="R185" i="10"/>
  <c r="T185" i="10"/>
  <c r="R175" i="10"/>
  <c r="T175" i="10"/>
  <c r="R177" i="10"/>
  <c r="T177" i="10"/>
  <c r="R180" i="10"/>
  <c r="T180" i="10"/>
  <c r="R167" i="10"/>
  <c r="T167" i="10"/>
  <c r="R169" i="10"/>
  <c r="T169" i="10"/>
  <c r="R172" i="10"/>
  <c r="T172" i="10"/>
  <c r="O165" i="10"/>
  <c r="F165" i="9" s="1"/>
  <c r="M165" i="10"/>
  <c r="O156" i="10"/>
  <c r="M156" i="10"/>
  <c r="O152" i="10"/>
  <c r="F154" i="9" s="1"/>
  <c r="M152" i="10"/>
  <c r="R140" i="10"/>
  <c r="T140" i="10"/>
  <c r="R137" i="10"/>
  <c r="T137" i="10"/>
  <c r="R134" i="10"/>
  <c r="T134" i="10"/>
  <c r="R128" i="10"/>
  <c r="T128" i="10"/>
  <c r="R126" i="10"/>
  <c r="T126" i="10"/>
  <c r="R122" i="10"/>
  <c r="T122" i="10"/>
  <c r="R123" i="10"/>
  <c r="T123" i="10"/>
  <c r="O113" i="10"/>
  <c r="F115" i="9" s="1"/>
  <c r="M113" i="10"/>
  <c r="R111" i="10"/>
  <c r="T111" i="10"/>
  <c r="O112" i="10"/>
  <c r="M112" i="10"/>
  <c r="R110" i="10"/>
  <c r="T110" i="10"/>
  <c r="R99" i="10"/>
  <c r="T99" i="10"/>
  <c r="O100" i="10"/>
  <c r="F106" i="9" s="1"/>
  <c r="M100" i="10"/>
  <c r="R102" i="10"/>
  <c r="T102" i="10"/>
  <c r="R104" i="10"/>
  <c r="T104" i="10"/>
  <c r="O92" i="10"/>
  <c r="F102" i="9" s="1"/>
  <c r="M92" i="10"/>
  <c r="R94" i="10"/>
  <c r="T94" i="10"/>
  <c r="R96" i="10"/>
  <c r="T96" i="10"/>
  <c r="R88" i="10"/>
  <c r="T88" i="10"/>
  <c r="O80" i="10"/>
  <c r="M80" i="10"/>
  <c r="R84" i="10"/>
  <c r="T84" i="10"/>
  <c r="R76" i="10"/>
  <c r="T76" i="10"/>
  <c r="M71" i="10"/>
  <c r="O71" i="10"/>
  <c r="F74" i="9" s="1"/>
  <c r="T67" i="10"/>
  <c r="R67" i="10"/>
  <c r="M54" i="10"/>
  <c r="O54" i="10"/>
  <c r="F50" i="9" s="1"/>
  <c r="T58" i="10"/>
  <c r="R58" i="10"/>
  <c r="T50" i="10"/>
  <c r="R50" i="10"/>
  <c r="T47" i="10"/>
  <c r="R47" i="10"/>
  <c r="M48" i="10"/>
  <c r="O48" i="10"/>
  <c r="F42" i="9" s="1"/>
  <c r="T42" i="10"/>
  <c r="R42" i="10"/>
  <c r="T31" i="10"/>
  <c r="R31" i="10"/>
  <c r="M32" i="10"/>
  <c r="O32" i="10"/>
  <c r="F28" i="9" s="1"/>
  <c r="T34" i="10"/>
  <c r="R34" i="10"/>
  <c r="T36" i="10"/>
  <c r="R36" i="10"/>
  <c r="T39" i="10"/>
  <c r="R39" i="10"/>
  <c r="T22" i="10"/>
  <c r="R22" i="10"/>
  <c r="T23" i="10"/>
  <c r="R23" i="10"/>
  <c r="T26" i="10"/>
  <c r="R26" i="10"/>
  <c r="M27" i="10"/>
  <c r="O27" i="10"/>
  <c r="T29" i="10"/>
  <c r="R29" i="10"/>
  <c r="T19" i="10"/>
  <c r="R19" i="10"/>
  <c r="M15" i="10"/>
  <c r="O15" i="10"/>
  <c r="T17" i="10"/>
  <c r="R17" i="10"/>
  <c r="T8" i="10"/>
  <c r="R8" i="10"/>
  <c r="T11" i="10"/>
  <c r="R11" i="10"/>
  <c r="M12" i="10"/>
  <c r="O12" i="10"/>
  <c r="F16" i="9" s="1"/>
  <c r="T14" i="10"/>
  <c r="R14" i="10"/>
  <c r="S36" i="5"/>
  <c r="I43" i="5" s="1"/>
  <c r="V36" i="5"/>
  <c r="K44" i="5" s="1"/>
  <c r="S47" i="5"/>
  <c r="I53" i="5" s="1"/>
  <c r="V47" i="5"/>
  <c r="K54" i="5" s="1"/>
  <c r="E57" i="5"/>
  <c r="U74" i="5"/>
  <c r="I91" i="5"/>
  <c r="Q126" i="5"/>
  <c r="I131" i="5" s="1"/>
  <c r="H135" i="5" s="1"/>
  <c r="U143" i="5"/>
  <c r="I147" i="5"/>
  <c r="W147" i="5" s="1"/>
  <c r="E155" i="5"/>
  <c r="I158" i="5"/>
  <c r="S181" i="5"/>
  <c r="I185" i="5" s="1"/>
  <c r="K192" i="5"/>
  <c r="AL200" i="5"/>
  <c r="S216" i="5"/>
  <c r="I220" i="5" s="1"/>
  <c r="X222" i="5" s="1"/>
  <c r="S230" i="5"/>
  <c r="U287" i="5"/>
  <c r="I291" i="5"/>
  <c r="W291" i="5" s="1"/>
  <c r="S305" i="5"/>
  <c r="E318" i="5"/>
  <c r="S328" i="5"/>
  <c r="I332" i="5" s="1"/>
  <c r="S357" i="5"/>
  <c r="C380" i="5"/>
  <c r="I381" i="5"/>
  <c r="W381" i="5" s="1"/>
  <c r="Q405" i="5"/>
  <c r="I408" i="5" s="1"/>
  <c r="V452" i="5"/>
  <c r="K461" i="5" s="1"/>
  <c r="T30" i="1"/>
  <c r="P30" i="1"/>
  <c r="CS29" i="1"/>
  <c r="AD29" i="1"/>
  <c r="AB29" i="1" s="1"/>
  <c r="CX1" i="3"/>
  <c r="I11" i="10"/>
  <c r="D19" i="9" s="1"/>
  <c r="I12" i="10"/>
  <c r="D16" i="9" s="1"/>
  <c r="I8" i="10"/>
  <c r="D36" i="9" s="1"/>
  <c r="I13" i="10"/>
  <c r="I9" i="10"/>
  <c r="D33" i="9" s="1"/>
  <c r="I14" i="10"/>
  <c r="I10" i="10"/>
  <c r="D29" i="9" s="1"/>
  <c r="D21" i="7"/>
  <c r="R326" i="10"/>
  <c r="T326" i="10"/>
  <c r="R313" i="10"/>
  <c r="T313" i="10"/>
  <c r="R315" i="10"/>
  <c r="T315" i="10"/>
  <c r="O316" i="10"/>
  <c r="M316" i="10"/>
  <c r="R318" i="10"/>
  <c r="T318" i="10"/>
  <c r="R320" i="10"/>
  <c r="T320" i="10"/>
  <c r="O307" i="10"/>
  <c r="M307" i="10"/>
  <c r="R309" i="10"/>
  <c r="T309" i="10"/>
  <c r="R311" i="10"/>
  <c r="T311" i="10"/>
  <c r="R298" i="10"/>
  <c r="T298" i="10"/>
  <c r="R300" i="10"/>
  <c r="T300" i="10"/>
  <c r="R302" i="10"/>
  <c r="T302" i="10"/>
  <c r="R305" i="10"/>
  <c r="T305" i="10"/>
  <c r="R288" i="10"/>
  <c r="T288" i="10"/>
  <c r="R292" i="10"/>
  <c r="T292" i="10"/>
  <c r="R280" i="10"/>
  <c r="T280" i="10"/>
  <c r="R282" i="10"/>
  <c r="T282" i="10"/>
  <c r="R284" i="10"/>
  <c r="T284" i="10"/>
  <c r="O285" i="10"/>
  <c r="M285" i="10"/>
  <c r="R275" i="10"/>
  <c r="T275" i="10"/>
  <c r="R271" i="10"/>
  <c r="T271" i="10"/>
  <c r="R254" i="10"/>
  <c r="T254" i="10"/>
  <c r="O255" i="10"/>
  <c r="M255" i="10"/>
  <c r="R257" i="10"/>
  <c r="T257" i="10"/>
  <c r="R246" i="10"/>
  <c r="T246" i="10"/>
  <c r="O248" i="10"/>
  <c r="F245" i="9" s="1"/>
  <c r="M248" i="10"/>
  <c r="R250" i="10"/>
  <c r="T250" i="10"/>
  <c r="R242" i="10"/>
  <c r="T242" i="10"/>
  <c r="R245" i="10"/>
  <c r="T245" i="10"/>
  <c r="R237" i="10"/>
  <c r="T237" i="10"/>
  <c r="R238" i="10"/>
  <c r="T238" i="10"/>
  <c r="O228" i="10"/>
  <c r="F236" i="9" s="1"/>
  <c r="M228" i="10"/>
  <c r="O220" i="10"/>
  <c r="F221" i="9" s="1"/>
  <c r="M220" i="10"/>
  <c r="R222" i="10"/>
  <c r="T222" i="10"/>
  <c r="R224" i="10"/>
  <c r="T224" i="10"/>
  <c r="T213" i="10"/>
  <c r="R213" i="10"/>
  <c r="R210" i="10"/>
  <c r="T210" i="10"/>
  <c r="R200" i="10"/>
  <c r="T200" i="10"/>
  <c r="R203" i="10"/>
  <c r="T203" i="10"/>
  <c r="O204" i="10"/>
  <c r="F194" i="9" s="1"/>
  <c r="M204" i="10"/>
  <c r="R206" i="10"/>
  <c r="T206" i="10"/>
  <c r="R195" i="10"/>
  <c r="T195" i="10"/>
  <c r="O196" i="10"/>
  <c r="F196" i="9" s="1"/>
  <c r="M196" i="10"/>
  <c r="R198" i="10"/>
  <c r="T198" i="10"/>
  <c r="O182" i="10"/>
  <c r="F183" i="9" s="1"/>
  <c r="M182" i="10"/>
  <c r="R186" i="10"/>
  <c r="T186" i="10"/>
  <c r="O174" i="10"/>
  <c r="M174" i="10"/>
  <c r="R178" i="10"/>
  <c r="T178" i="10"/>
  <c r="R170" i="10"/>
  <c r="T170" i="10"/>
  <c r="O160" i="10"/>
  <c r="M160" i="10"/>
  <c r="R161" i="10"/>
  <c r="T161" i="10"/>
  <c r="R155" i="10"/>
  <c r="T155" i="10"/>
  <c r="R157" i="10"/>
  <c r="T157" i="10"/>
  <c r="O158" i="10"/>
  <c r="M158" i="10"/>
  <c r="R150" i="10"/>
  <c r="T150" i="10"/>
  <c r="R141" i="10"/>
  <c r="T141" i="10"/>
  <c r="R143" i="10"/>
  <c r="T143" i="10"/>
  <c r="O144" i="10"/>
  <c r="F141" i="9" s="1"/>
  <c r="M144" i="10"/>
  <c r="O139" i="10"/>
  <c r="F140" i="9" s="1"/>
  <c r="M139" i="10"/>
  <c r="O135" i="10"/>
  <c r="F138" i="9" s="1"/>
  <c r="M135" i="10"/>
  <c r="R129" i="10"/>
  <c r="T129" i="10"/>
  <c r="R124" i="10"/>
  <c r="T124" i="10"/>
  <c r="R120" i="10"/>
  <c r="T120" i="10"/>
  <c r="O101" i="10"/>
  <c r="F104" i="9" s="1"/>
  <c r="M101" i="10"/>
  <c r="R105" i="10"/>
  <c r="T105" i="10"/>
  <c r="O93" i="10"/>
  <c r="F99" i="9" s="1"/>
  <c r="M93" i="10"/>
  <c r="R97" i="10"/>
  <c r="T97" i="10"/>
  <c r="R89" i="10"/>
  <c r="T89" i="10"/>
  <c r="R82" i="10"/>
  <c r="T82" i="10"/>
  <c r="O83" i="10"/>
  <c r="F79" i="9" s="1"/>
  <c r="M83" i="10"/>
  <c r="R85" i="10"/>
  <c r="T85" i="10"/>
  <c r="T74" i="10"/>
  <c r="R74" i="10"/>
  <c r="M75" i="10"/>
  <c r="O75" i="10"/>
  <c r="F80" i="9" s="1"/>
  <c r="R77" i="10"/>
  <c r="T77" i="10"/>
  <c r="M66" i="10"/>
  <c r="O66" i="10"/>
  <c r="F68" i="9" s="1"/>
  <c r="T68" i="10"/>
  <c r="R68" i="10"/>
  <c r="T61" i="10"/>
  <c r="R61" i="10"/>
  <c r="M62" i="10"/>
  <c r="O62" i="10"/>
  <c r="F48" i="9" s="1"/>
  <c r="T52" i="10"/>
  <c r="R52" i="10"/>
  <c r="T53" i="10"/>
  <c r="R53" i="10"/>
  <c r="T56" i="10"/>
  <c r="R56" i="10"/>
  <c r="M57" i="10"/>
  <c r="O57" i="10"/>
  <c r="F46" i="9" s="1"/>
  <c r="T59" i="10"/>
  <c r="R59" i="10"/>
  <c r="M49" i="10"/>
  <c r="O49" i="10"/>
  <c r="T45" i="10"/>
  <c r="R45" i="10"/>
  <c r="M33" i="10"/>
  <c r="O33" i="10"/>
  <c r="F27" i="9" s="1"/>
  <c r="T37" i="10"/>
  <c r="R37" i="10"/>
  <c r="T24" i="10"/>
  <c r="R24" i="10"/>
  <c r="M28" i="10"/>
  <c r="O28" i="10"/>
  <c r="F15" i="9" s="1"/>
  <c r="T20" i="10"/>
  <c r="R20" i="10"/>
  <c r="M16" i="10"/>
  <c r="O16" i="10"/>
  <c r="T9" i="10"/>
  <c r="R9" i="10"/>
  <c r="M13" i="10"/>
  <c r="O13" i="10"/>
  <c r="F13" i="9" s="1"/>
  <c r="U36" i="5"/>
  <c r="I44" i="5" s="1"/>
  <c r="C37" i="5"/>
  <c r="I38" i="5"/>
  <c r="I40" i="5"/>
  <c r="W40" i="5" s="1"/>
  <c r="U47" i="5"/>
  <c r="I54" i="5" s="1"/>
  <c r="O56" i="5" s="1"/>
  <c r="C48" i="5"/>
  <c r="I60" i="5"/>
  <c r="I77" i="5"/>
  <c r="V86" i="5"/>
  <c r="V143" i="5"/>
  <c r="K152" i="5" s="1"/>
  <c r="Q155" i="5"/>
  <c r="V188" i="5"/>
  <c r="K196" i="5" s="1"/>
  <c r="I225" i="5"/>
  <c r="W225" i="5" s="1"/>
  <c r="E242" i="5"/>
  <c r="I245" i="5"/>
  <c r="I256" i="5"/>
  <c r="W256" i="5" s="1"/>
  <c r="Q299" i="5"/>
  <c r="I306" i="5" s="1"/>
  <c r="V335" i="5"/>
  <c r="K342" i="5" s="1"/>
  <c r="U345" i="5"/>
  <c r="C353" i="5"/>
  <c r="I354" i="5"/>
  <c r="W354" i="5" s="1"/>
  <c r="Q371" i="5"/>
  <c r="K373" i="5"/>
  <c r="E379" i="5"/>
  <c r="S405" i="5"/>
  <c r="I409" i="5" s="1"/>
  <c r="U458" i="5"/>
  <c r="Q483" i="5"/>
  <c r="I486" i="5" s="1"/>
  <c r="X489" i="5" s="1"/>
  <c r="D10" i="6"/>
  <c r="D11" i="6"/>
  <c r="D12" i="6"/>
  <c r="D14" i="6"/>
  <c r="U783" i="1"/>
  <c r="S783" i="1"/>
  <c r="P783" i="1"/>
  <c r="U700" i="5"/>
  <c r="O211" i="10"/>
  <c r="F214" i="9" s="1"/>
  <c r="E216" i="9" s="1"/>
  <c r="R211" i="10"/>
  <c r="S700" i="5"/>
  <c r="V700" i="5"/>
  <c r="I701" i="5"/>
  <c r="AA702" i="5" s="1"/>
  <c r="D115" i="6"/>
  <c r="M211" i="10"/>
  <c r="T783" i="1"/>
  <c r="R783" i="1"/>
  <c r="GK783" i="1" s="1"/>
  <c r="Q700" i="5"/>
  <c r="D126" i="7"/>
  <c r="I211" i="10"/>
  <c r="D214" i="9" s="1"/>
  <c r="E700" i="5"/>
  <c r="T211" i="10"/>
  <c r="I890" i="5"/>
  <c r="I249" i="5"/>
  <c r="I307" i="5"/>
  <c r="I952" i="5"/>
  <c r="I26" i="5"/>
  <c r="I295" i="5"/>
  <c r="I421" i="5"/>
  <c r="I672" i="5"/>
  <c r="K251" i="5"/>
  <c r="I294" i="5"/>
  <c r="I375" i="5"/>
  <c r="K954" i="5"/>
  <c r="K459" i="5"/>
  <c r="H142" i="5"/>
  <c r="I770" i="5"/>
  <c r="I25" i="5"/>
  <c r="P180" i="5"/>
  <c r="I420" i="5"/>
  <c r="K421" i="5"/>
  <c r="O411" i="5"/>
  <c r="I27" i="5"/>
  <c r="I251" i="5"/>
  <c r="I513" i="5"/>
  <c r="I602" i="5"/>
  <c r="H699" i="5"/>
  <c r="O73" i="5"/>
  <c r="J489" i="5"/>
  <c r="H180" i="5"/>
  <c r="H327" i="5"/>
  <c r="O351" i="5"/>
  <c r="O215" i="5"/>
  <c r="X327" i="5"/>
  <c r="H575" i="5"/>
  <c r="H66" i="5"/>
  <c r="O125" i="5"/>
  <c r="X215" i="5"/>
  <c r="O689" i="5"/>
  <c r="W38" i="5"/>
  <c r="X66" i="5"/>
  <c r="W138" i="5"/>
  <c r="X180" i="5"/>
  <c r="W218" i="5"/>
  <c r="W232" i="5"/>
  <c r="W244" i="5"/>
  <c r="H279" i="5"/>
  <c r="X286" i="5"/>
  <c r="H411" i="5"/>
  <c r="W435" i="5"/>
  <c r="W519" i="5"/>
  <c r="W536" i="5"/>
  <c r="W666" i="5"/>
  <c r="X142" i="5"/>
  <c r="H215" i="5"/>
  <c r="W275" i="5"/>
  <c r="W289" i="5"/>
  <c r="X334" i="5"/>
  <c r="W407" i="5"/>
  <c r="W454" i="5"/>
  <c r="W492" i="5"/>
  <c r="W511" i="5"/>
  <c r="W545" i="5"/>
  <c r="H606" i="5"/>
  <c r="W685" i="5"/>
  <c r="O699" i="5"/>
  <c r="O702" i="5"/>
  <c r="W705" i="5"/>
  <c r="W726" i="5"/>
  <c r="W745" i="5"/>
  <c r="W764" i="5"/>
  <c r="W776" i="5"/>
  <c r="W145" i="5"/>
  <c r="X279" i="5"/>
  <c r="X411" i="5"/>
  <c r="X709" i="5"/>
  <c r="W49" i="5"/>
  <c r="W190" i="5"/>
  <c r="W365" i="5"/>
  <c r="W883" i="5"/>
  <c r="GK1342" i="1"/>
  <c r="AE1347" i="1"/>
  <c r="AX1307" i="1"/>
  <c r="CI1307" i="1"/>
  <c r="BY1298" i="1"/>
  <c r="AP1307" i="1"/>
  <c r="CD1298" i="1"/>
  <c r="AU1307" i="1"/>
  <c r="F1222" i="1"/>
  <c r="BD1190" i="1"/>
  <c r="AQ1197" i="1"/>
  <c r="CZ1192" i="1"/>
  <c r="Y1192" i="1" s="1"/>
  <c r="T869" i="5" s="1"/>
  <c r="CY1192" i="1"/>
  <c r="X1192" i="1" s="1"/>
  <c r="R869" i="5" s="1"/>
  <c r="CP1343" i="1"/>
  <c r="O1343" i="1" s="1"/>
  <c r="K949" i="5" s="1"/>
  <c r="AI1347" i="1"/>
  <c r="CP1154" i="1"/>
  <c r="O1154" i="1" s="1"/>
  <c r="K856" i="5" s="1"/>
  <c r="BZ1340" i="1"/>
  <c r="BY1190" i="1"/>
  <c r="CI1197" i="1"/>
  <c r="AP1197" i="1"/>
  <c r="BZ1147" i="1"/>
  <c r="CP1345" i="1"/>
  <c r="O1345" i="1" s="1"/>
  <c r="K951" i="5" s="1"/>
  <c r="CJ1347" i="1"/>
  <c r="AG1347" i="1"/>
  <c r="CZ1343" i="1"/>
  <c r="Y1343" i="1" s="1"/>
  <c r="T949" i="5" s="1"/>
  <c r="CY1343" i="1"/>
  <c r="X1343" i="1" s="1"/>
  <c r="R949" i="5" s="1"/>
  <c r="CC1340" i="1"/>
  <c r="AT1347" i="1"/>
  <c r="BZ1298" i="1"/>
  <c r="AQ1307" i="1"/>
  <c r="F1210" i="1"/>
  <c r="BB1190" i="1"/>
  <c r="CY1195" i="1"/>
  <c r="X1195" i="1" s="1"/>
  <c r="CD1190" i="1"/>
  <c r="CP1192" i="1"/>
  <c r="O1192" i="1" s="1"/>
  <c r="BD1147" i="1"/>
  <c r="F1182" i="1"/>
  <c r="CZ1154" i="1"/>
  <c r="Y1154" i="1" s="1"/>
  <c r="AJ1347" i="1"/>
  <c r="CZ1345" i="1"/>
  <c r="Y1345" i="1" s="1"/>
  <c r="T951" i="5" s="1"/>
  <c r="CY1345" i="1"/>
  <c r="X1345" i="1" s="1"/>
  <c r="R951" i="5" s="1"/>
  <c r="BY1340" i="1"/>
  <c r="CD1340" i="1"/>
  <c r="CZ1301" i="1"/>
  <c r="Y1301" i="1" s="1"/>
  <c r="T906" i="5" s="1"/>
  <c r="CC1298" i="1"/>
  <c r="F1213" i="1"/>
  <c r="BC1190" i="1"/>
  <c r="CC1190" i="1"/>
  <c r="AT1197" i="1"/>
  <c r="CD1147" i="1"/>
  <c r="AU1157" i="1"/>
  <c r="AT999" i="1"/>
  <c r="F1030" i="1"/>
  <c r="AQ1012" i="1"/>
  <c r="BZ999" i="1"/>
  <c r="CZ1004" i="1"/>
  <c r="Y1004" i="1" s="1"/>
  <c r="T785" i="5" s="1"/>
  <c r="CY1004" i="1"/>
  <c r="X1004" i="1" s="1"/>
  <c r="R785" i="5" s="1"/>
  <c r="CY1003" i="1"/>
  <c r="X1003" i="1" s="1"/>
  <c r="R774" i="5" s="1"/>
  <c r="K780" i="5" s="1"/>
  <c r="F817" i="1"/>
  <c r="BD778" i="1"/>
  <c r="AO778" i="1"/>
  <c r="F796" i="1"/>
  <c r="CY787" i="1"/>
  <c r="X787" i="1" s="1"/>
  <c r="R717" i="5" s="1"/>
  <c r="BZ778" i="1"/>
  <c r="AQ792" i="1"/>
  <c r="CY784" i="1"/>
  <c r="X784" i="1" s="1"/>
  <c r="R703" i="5" s="1"/>
  <c r="K706" i="5" s="1"/>
  <c r="CY782" i="1"/>
  <c r="X782" i="1" s="1"/>
  <c r="R697" i="5" s="1"/>
  <c r="AT711" i="1"/>
  <c r="CZ701" i="1"/>
  <c r="Y701" i="1" s="1"/>
  <c r="T628" i="5" s="1"/>
  <c r="K632" i="5" s="1"/>
  <c r="F1477" i="1"/>
  <c r="F1473" i="1"/>
  <c r="F1461" i="1"/>
  <c r="AR1448" i="1"/>
  <c r="F1437" i="1"/>
  <c r="F1429" i="1"/>
  <c r="F1425" i="1"/>
  <c r="AT1414" i="1"/>
  <c r="F1409" i="1"/>
  <c r="F1405" i="1"/>
  <c r="F1393" i="1"/>
  <c r="AR1380" i="1"/>
  <c r="AO1347" i="1"/>
  <c r="CT1345" i="1"/>
  <c r="Q1344" i="1"/>
  <c r="CT1343" i="1"/>
  <c r="CZ1342" i="1"/>
  <c r="Y1342" i="1" s="1"/>
  <c r="T943" i="5" s="1"/>
  <c r="Q1342" i="1"/>
  <c r="BX1340" i="1"/>
  <c r="AO1307" i="1"/>
  <c r="CT1305" i="1"/>
  <c r="Q1304" i="1"/>
  <c r="CT1302" i="1"/>
  <c r="CT1301" i="1"/>
  <c r="CZ1300" i="1"/>
  <c r="Y1300" i="1" s="1"/>
  <c r="T900" i="5" s="1"/>
  <c r="K908" i="5" s="1"/>
  <c r="Q1300" i="1"/>
  <c r="K903" i="5" s="1"/>
  <c r="BX1298" i="1"/>
  <c r="F1287" i="1"/>
  <c r="F1279" i="1"/>
  <c r="F1275" i="1"/>
  <c r="AT1264" i="1"/>
  <c r="F1259" i="1"/>
  <c r="F1255" i="1"/>
  <c r="F1243" i="1"/>
  <c r="AR1230" i="1"/>
  <c r="AO1197" i="1"/>
  <c r="CT1195" i="1"/>
  <c r="Q1194" i="1"/>
  <c r="CT1192" i="1"/>
  <c r="CL1190" i="1"/>
  <c r="BC1157" i="1"/>
  <c r="Q1155" i="1"/>
  <c r="CT1154" i="1"/>
  <c r="Q1153" i="1"/>
  <c r="CP1153" i="1" s="1"/>
  <c r="O1153" i="1" s="1"/>
  <c r="Q1152" i="1"/>
  <c r="CT1151" i="1"/>
  <c r="Q1150" i="1"/>
  <c r="P1149" i="1"/>
  <c r="K843" i="5" s="1"/>
  <c r="CM1147" i="1"/>
  <c r="F1095" i="1"/>
  <c r="CX397" i="3"/>
  <c r="CX401" i="3"/>
  <c r="CX398" i="3"/>
  <c r="CX402" i="3"/>
  <c r="CX399" i="3"/>
  <c r="CX403" i="3"/>
  <c r="CX400" i="3"/>
  <c r="CX389" i="3"/>
  <c r="CX393" i="3"/>
  <c r="CX386" i="3"/>
  <c r="CX390" i="3"/>
  <c r="CX394" i="3"/>
  <c r="CX387" i="3"/>
  <c r="CX391" i="3"/>
  <c r="CX395" i="3"/>
  <c r="CX388" i="3"/>
  <c r="CX392" i="3"/>
  <c r="CX396" i="3"/>
  <c r="CX369" i="3"/>
  <c r="CX373" i="3"/>
  <c r="CX377" i="3"/>
  <c r="CX370" i="3"/>
  <c r="CX374" i="3"/>
  <c r="CX378" i="3"/>
  <c r="CX371" i="3"/>
  <c r="CX375" i="3"/>
  <c r="CX368" i="3"/>
  <c r="CX372" i="3"/>
  <c r="CX376" i="3"/>
  <c r="CX361" i="3"/>
  <c r="CX365" i="3"/>
  <c r="CX362" i="3"/>
  <c r="CX366" i="3"/>
  <c r="CX363" i="3"/>
  <c r="CX367" i="3"/>
  <c r="CX360" i="3"/>
  <c r="CX364" i="3"/>
  <c r="CX349" i="3"/>
  <c r="CX350" i="3"/>
  <c r="CX347" i="3"/>
  <c r="CX348" i="3"/>
  <c r="BB1113" i="1"/>
  <c r="F1128" i="1"/>
  <c r="AT1113" i="1"/>
  <c r="F1133" i="1"/>
  <c r="AP1113" i="1"/>
  <c r="F1124" i="1"/>
  <c r="O1113" i="1"/>
  <c r="F1117" i="1"/>
  <c r="F1066" i="1"/>
  <c r="AU1045" i="1"/>
  <c r="AQ1045" i="1"/>
  <c r="F1057" i="1"/>
  <c r="X1045" i="1"/>
  <c r="F1073" i="1"/>
  <c r="F1068" i="1"/>
  <c r="T1045" i="1"/>
  <c r="P1045" i="1"/>
  <c r="F1050" i="1"/>
  <c r="CZ1007" i="1"/>
  <c r="Y1007" i="1" s="1"/>
  <c r="CZ1006" i="1"/>
  <c r="Y1006" i="1" s="1"/>
  <c r="T792" i="5" s="1"/>
  <c r="CD859" i="1"/>
  <c r="AU864" i="1"/>
  <c r="CP861" i="1"/>
  <c r="O861" i="1" s="1"/>
  <c r="CY709" i="1"/>
  <c r="X709" i="1" s="1"/>
  <c r="R670" i="5" s="1"/>
  <c r="F1505" i="1"/>
  <c r="F1497" i="1"/>
  <c r="F1493" i="1"/>
  <c r="AT1482" i="1"/>
  <c r="F1510" i="1"/>
  <c r="F1494" i="1"/>
  <c r="F1486" i="1"/>
  <c r="AU1482" i="1"/>
  <c r="F1470" i="1"/>
  <c r="F1462" i="1"/>
  <c r="F1454" i="1"/>
  <c r="AS1448" i="1"/>
  <c r="F1442" i="1"/>
  <c r="F1426" i="1"/>
  <c r="F1418" i="1"/>
  <c r="AU1414" i="1"/>
  <c r="F1402" i="1"/>
  <c r="F1394" i="1"/>
  <c r="F1386" i="1"/>
  <c r="AS1380" i="1"/>
  <c r="BB1347" i="1"/>
  <c r="CQ1345" i="1"/>
  <c r="CS1344" i="1"/>
  <c r="CQ1343" i="1"/>
  <c r="CS1342" i="1"/>
  <c r="BB1307" i="1"/>
  <c r="CQ1305" i="1"/>
  <c r="CS1304" i="1"/>
  <c r="CS1303" i="1"/>
  <c r="I1303" i="1"/>
  <c r="Q918" i="5" s="1"/>
  <c r="I919" i="5" s="1"/>
  <c r="CQ1302" i="1"/>
  <c r="CQ1301" i="1"/>
  <c r="CS1300" i="1"/>
  <c r="F1292" i="1"/>
  <c r="F1276" i="1"/>
  <c r="F1268" i="1"/>
  <c r="AU1264" i="1"/>
  <c r="F1252" i="1"/>
  <c r="F1244" i="1"/>
  <c r="F1236" i="1"/>
  <c r="AS1230" i="1"/>
  <c r="CG1197" i="1"/>
  <c r="CQ1195" i="1"/>
  <c r="CS1194" i="1"/>
  <c r="CS1193" i="1"/>
  <c r="I1193" i="1"/>
  <c r="V875" i="5" s="1"/>
  <c r="K878" i="5" s="1"/>
  <c r="CQ1192" i="1"/>
  <c r="CM1190" i="1"/>
  <c r="CS1155" i="1"/>
  <c r="CQ1154" i="1"/>
  <c r="CS1153" i="1"/>
  <c r="CS1152" i="1"/>
  <c r="CQ1151" i="1"/>
  <c r="CS1150" i="1"/>
  <c r="CQ1149" i="1"/>
  <c r="AD1149" i="1"/>
  <c r="AB1149" i="1" s="1"/>
  <c r="F1123" i="1"/>
  <c r="CG1012" i="1"/>
  <c r="CP789" i="1"/>
  <c r="O789" i="1" s="1"/>
  <c r="R1149" i="1"/>
  <c r="K842" i="5" s="1"/>
  <c r="CS1149" i="1"/>
  <c r="AQ1113" i="1"/>
  <c r="F1125" i="1"/>
  <c r="X1113" i="1"/>
  <c r="F1141" i="1"/>
  <c r="F1136" i="1"/>
  <c r="T1113" i="1"/>
  <c r="BB1012" i="1"/>
  <c r="CK999" i="1"/>
  <c r="CD999" i="1"/>
  <c r="CZ785" i="1"/>
  <c r="Y785" i="1" s="1"/>
  <c r="T710" i="5" s="1"/>
  <c r="CZ783" i="1"/>
  <c r="Y783" i="1" s="1"/>
  <c r="T700" i="5" s="1"/>
  <c r="CY783" i="1"/>
  <c r="X783" i="1" s="1"/>
  <c r="R700" i="5" s="1"/>
  <c r="AO699" i="1"/>
  <c r="F715" i="1"/>
  <c r="BY699" i="1"/>
  <c r="CI711" i="1"/>
  <c r="AP711" i="1"/>
  <c r="F1487" i="1"/>
  <c r="F1419" i="1"/>
  <c r="BC1347" i="1"/>
  <c r="BC1307" i="1"/>
  <c r="F1269" i="1"/>
  <c r="AO1157" i="1"/>
  <c r="F1087" i="1"/>
  <c r="CP1004" i="1"/>
  <c r="O1004" i="1" s="1"/>
  <c r="CX381" i="3"/>
  <c r="CX385" i="3"/>
  <c r="CX382" i="3"/>
  <c r="CX379" i="3"/>
  <c r="CX383" i="3"/>
  <c r="CX380" i="3"/>
  <c r="CX384" i="3"/>
  <c r="CX353" i="3"/>
  <c r="CX357" i="3"/>
  <c r="CX354" i="3"/>
  <c r="CX358" i="3"/>
  <c r="CX351" i="3"/>
  <c r="CX355" i="3"/>
  <c r="CX359" i="3"/>
  <c r="CX352" i="3"/>
  <c r="CX356" i="3"/>
  <c r="BA1079" i="1"/>
  <c r="F1101" i="1"/>
  <c r="F1098" i="1"/>
  <c r="AS1079" i="1"/>
  <c r="AO1079" i="1"/>
  <c r="F1085" i="1"/>
  <c r="F1104" i="1"/>
  <c r="V1079" i="1"/>
  <c r="F1028" i="1"/>
  <c r="BC999" i="1"/>
  <c r="AP999" i="1"/>
  <c r="F1021" i="1"/>
  <c r="AQ864" i="1"/>
  <c r="CZ861" i="1"/>
  <c r="Y861" i="1" s="1"/>
  <c r="T743" i="5" s="1"/>
  <c r="BY778" i="1"/>
  <c r="AP792" i="1"/>
  <c r="BD1347" i="1"/>
  <c r="BD1307" i="1"/>
  <c r="BB1157" i="1"/>
  <c r="AT1157" i="1"/>
  <c r="AP1157" i="1"/>
  <c r="R862" i="1"/>
  <c r="GK862" i="1" s="1"/>
  <c r="CX341" i="3"/>
  <c r="CX345" i="3"/>
  <c r="CX342" i="3"/>
  <c r="CX346" i="3"/>
  <c r="CX343" i="3"/>
  <c r="CX344" i="3"/>
  <c r="CX305" i="3"/>
  <c r="CX309" i="3"/>
  <c r="CX306" i="3"/>
  <c r="CX310" i="3"/>
  <c r="CX307" i="3"/>
  <c r="CX311" i="3"/>
  <c r="CX308" i="3"/>
  <c r="CX293" i="3"/>
  <c r="CX297" i="3"/>
  <c r="CX294" i="3"/>
  <c r="CX298" i="3"/>
  <c r="CX291" i="3"/>
  <c r="CX295" i="3"/>
  <c r="CX299" i="3"/>
  <c r="CX292" i="3"/>
  <c r="CX296" i="3"/>
  <c r="F691" i="1"/>
  <c r="BD650" i="1"/>
  <c r="CZ660" i="1"/>
  <c r="Y660" i="1" s="1"/>
  <c r="T601" i="5" s="1"/>
  <c r="CS658" i="1"/>
  <c r="AD658" i="1"/>
  <c r="AB658" i="1" s="1"/>
  <c r="CZ653" i="1"/>
  <c r="Y653" i="1" s="1"/>
  <c r="T569" i="5" s="1"/>
  <c r="K573" i="5" s="1"/>
  <c r="CY653" i="1"/>
  <c r="X653" i="1" s="1"/>
  <c r="R569" i="5" s="1"/>
  <c r="K572" i="5" s="1"/>
  <c r="J575" i="5" s="1"/>
  <c r="CZ581" i="1"/>
  <c r="Y581" i="1" s="1"/>
  <c r="T547" i="5" s="1"/>
  <c r="CY581" i="1"/>
  <c r="X581" i="1" s="1"/>
  <c r="R547" i="5" s="1"/>
  <c r="CY578" i="1"/>
  <c r="X578" i="1" s="1"/>
  <c r="R534" i="5" s="1"/>
  <c r="CY576" i="1"/>
  <c r="X576" i="1" s="1"/>
  <c r="R525" i="5" s="1"/>
  <c r="CZ573" i="1"/>
  <c r="Y573" i="1" s="1"/>
  <c r="T512" i="5" s="1"/>
  <c r="CY573" i="1"/>
  <c r="X573" i="1" s="1"/>
  <c r="R512" i="5" s="1"/>
  <c r="F1109" i="1"/>
  <c r="F1093" i="1"/>
  <c r="Y1079" i="1"/>
  <c r="F1065" i="1"/>
  <c r="F1049" i="1"/>
  <c r="CI1012" i="1"/>
  <c r="BD1012" i="1"/>
  <c r="CS1010" i="1"/>
  <c r="CS1009" i="1"/>
  <c r="CQ1008" i="1"/>
  <c r="CQ1007" i="1"/>
  <c r="CQ1006" i="1"/>
  <c r="CS1005" i="1"/>
  <c r="I1005" i="1"/>
  <c r="CQ1004" i="1"/>
  <c r="CQ1003" i="1"/>
  <c r="CQ1002" i="1"/>
  <c r="CS1001" i="1"/>
  <c r="R1001" i="1"/>
  <c r="K766" i="5" s="1"/>
  <c r="CC999" i="1"/>
  <c r="BY999" i="1"/>
  <c r="F993" i="1"/>
  <c r="F985" i="1"/>
  <c r="F977" i="1"/>
  <c r="F969" i="1"/>
  <c r="AU965" i="1"/>
  <c r="F961" i="1"/>
  <c r="F953" i="1"/>
  <c r="F945" i="1"/>
  <c r="F937" i="1"/>
  <c r="AS931" i="1"/>
  <c r="Y931" i="1"/>
  <c r="F925" i="1"/>
  <c r="F917" i="1"/>
  <c r="F909" i="1"/>
  <c r="F901" i="1"/>
  <c r="AU897" i="1"/>
  <c r="CI864" i="1"/>
  <c r="BD864" i="1"/>
  <c r="CS862" i="1"/>
  <c r="I862" i="1"/>
  <c r="U749" i="5" s="1"/>
  <c r="I752" i="5" s="1"/>
  <c r="CQ861" i="1"/>
  <c r="F855" i="1"/>
  <c r="F847" i="1"/>
  <c r="F839" i="1"/>
  <c r="F831" i="1"/>
  <c r="AS825" i="1"/>
  <c r="CG792" i="1"/>
  <c r="BB792" i="1"/>
  <c r="AT792" i="1"/>
  <c r="CQ790" i="1"/>
  <c r="CS789" i="1"/>
  <c r="R789" i="1"/>
  <c r="CS788" i="1"/>
  <c r="I788" i="1"/>
  <c r="U718" i="5" s="1"/>
  <c r="CQ787" i="1"/>
  <c r="CS786" i="1"/>
  <c r="I786" i="1"/>
  <c r="CQ785" i="1"/>
  <c r="CQ784" i="1"/>
  <c r="CQ783" i="1"/>
  <c r="CQ782" i="1"/>
  <c r="CQ781" i="1"/>
  <c r="CQ780" i="1"/>
  <c r="CM778" i="1"/>
  <c r="F766" i="1"/>
  <c r="F758" i="1"/>
  <c r="F750" i="1"/>
  <c r="AS744" i="1"/>
  <c r="BB711" i="1"/>
  <c r="CQ709" i="1"/>
  <c r="CR708" i="1"/>
  <c r="AD708" i="1"/>
  <c r="AB708" i="1" s="1"/>
  <c r="CR707" i="1"/>
  <c r="AD707" i="1"/>
  <c r="AB707" i="1" s="1"/>
  <c r="CQ706" i="1"/>
  <c r="U706" i="1"/>
  <c r="I662" i="5" s="1"/>
  <c r="AB705" i="1"/>
  <c r="CQ704" i="1"/>
  <c r="I702" i="1"/>
  <c r="V702" i="1" s="1"/>
  <c r="T701" i="1"/>
  <c r="CX269" i="3"/>
  <c r="CX273" i="3"/>
  <c r="CX277" i="3"/>
  <c r="CX270" i="3"/>
  <c r="CX274" i="3"/>
  <c r="CX271" i="3"/>
  <c r="CX275" i="3"/>
  <c r="CX272" i="3"/>
  <c r="CX276" i="3"/>
  <c r="CX261" i="3"/>
  <c r="CX265" i="3"/>
  <c r="CX262" i="3"/>
  <c r="CX266" i="3"/>
  <c r="CX263" i="3"/>
  <c r="CX267" i="3"/>
  <c r="CX264" i="3"/>
  <c r="CX268" i="3"/>
  <c r="Q706" i="1"/>
  <c r="P701" i="1"/>
  <c r="CQ701" i="1"/>
  <c r="CQ664" i="1"/>
  <c r="R659" i="1"/>
  <c r="CS659" i="1"/>
  <c r="AD659" i="1"/>
  <c r="AB659" i="1" s="1"/>
  <c r="CD570" i="1"/>
  <c r="AU583" i="1"/>
  <c r="CZ499" i="1"/>
  <c r="Y499" i="1" s="1"/>
  <c r="CY499" i="1"/>
  <c r="X499" i="1" s="1"/>
  <c r="BZ376" i="1"/>
  <c r="AO1012" i="1"/>
  <c r="CL999" i="1"/>
  <c r="F970" i="1"/>
  <c r="T965" i="1"/>
  <c r="V931" i="1"/>
  <c r="F902" i="1"/>
  <c r="T897" i="1"/>
  <c r="AO864" i="1"/>
  <c r="V825" i="1"/>
  <c r="BC792" i="1"/>
  <c r="Q784" i="1"/>
  <c r="Q783" i="1"/>
  <c r="Q782" i="1"/>
  <c r="Q781" i="1"/>
  <c r="BX778" i="1"/>
  <c r="F759" i="1"/>
  <c r="F755" i="1"/>
  <c r="V744" i="1"/>
  <c r="BC711" i="1"/>
  <c r="S706" i="1"/>
  <c r="K654" i="5" s="1"/>
  <c r="CY705" i="1"/>
  <c r="X705" i="1" s="1"/>
  <c r="S704" i="1"/>
  <c r="I703" i="1"/>
  <c r="S645" i="5" s="1"/>
  <c r="I649" i="5" s="1"/>
  <c r="T702" i="1"/>
  <c r="CR701" i="1"/>
  <c r="Q701" i="1"/>
  <c r="BC666" i="1"/>
  <c r="CX325" i="3"/>
  <c r="CX329" i="3"/>
  <c r="CX326" i="3"/>
  <c r="CX330" i="3"/>
  <c r="CX327" i="3"/>
  <c r="CX328" i="3"/>
  <c r="CX317" i="3"/>
  <c r="CX321" i="3"/>
  <c r="CX318" i="3"/>
  <c r="CX322" i="3"/>
  <c r="CX319" i="3"/>
  <c r="CX323" i="3"/>
  <c r="CX320" i="3"/>
  <c r="CX324" i="3"/>
  <c r="CX313" i="3"/>
  <c r="CX314" i="3"/>
  <c r="CX315" i="3"/>
  <c r="CX312" i="3"/>
  <c r="CX316" i="3"/>
  <c r="CX301" i="3"/>
  <c r="CX302" i="3"/>
  <c r="CX303" i="3"/>
  <c r="CX300" i="3"/>
  <c r="CX304" i="3"/>
  <c r="CX285" i="3"/>
  <c r="CX289" i="3"/>
  <c r="CX286" i="3"/>
  <c r="CX290" i="3"/>
  <c r="CX287" i="3"/>
  <c r="CX284" i="3"/>
  <c r="CX288" i="3"/>
  <c r="CX278" i="3"/>
  <c r="CX279" i="3"/>
  <c r="S708" i="1"/>
  <c r="K666" i="5" s="1"/>
  <c r="CT708" i="1"/>
  <c r="S707" i="1"/>
  <c r="CT707" i="1"/>
  <c r="P702" i="1"/>
  <c r="CQ702" i="1"/>
  <c r="BX650" i="1"/>
  <c r="CG666" i="1"/>
  <c r="CS664" i="1"/>
  <c r="AD664" i="1"/>
  <c r="AB664" i="1" s="1"/>
  <c r="P663" i="1"/>
  <c r="CP663" i="1" s="1"/>
  <c r="O663" i="1" s="1"/>
  <c r="K614" i="5" s="1"/>
  <c r="CQ663" i="1"/>
  <c r="CQ662" i="1"/>
  <c r="P660" i="1"/>
  <c r="CQ660" i="1"/>
  <c r="AB660" i="1"/>
  <c r="CY654" i="1"/>
  <c r="X654" i="1" s="1"/>
  <c r="R576" i="5" s="1"/>
  <c r="K579" i="5" s="1"/>
  <c r="CY652" i="1"/>
  <c r="X652" i="1" s="1"/>
  <c r="R559" i="5" s="1"/>
  <c r="K564" i="5" s="1"/>
  <c r="BY570" i="1"/>
  <c r="CZ577" i="1"/>
  <c r="Y577" i="1" s="1"/>
  <c r="T529" i="5" s="1"/>
  <c r="CY577" i="1"/>
  <c r="X577" i="1" s="1"/>
  <c r="R529" i="5" s="1"/>
  <c r="CZ572" i="1"/>
  <c r="Y572" i="1" s="1"/>
  <c r="T509" i="5" s="1"/>
  <c r="K514" i="5" s="1"/>
  <c r="F519" i="1"/>
  <c r="BC490" i="1"/>
  <c r="AQ503" i="1"/>
  <c r="CG503" i="1"/>
  <c r="BZ490" i="1"/>
  <c r="BB864" i="1"/>
  <c r="AT864" i="1"/>
  <c r="AP864" i="1"/>
  <c r="BD711" i="1"/>
  <c r="AB704" i="1"/>
  <c r="R701" i="1"/>
  <c r="BX699" i="1"/>
  <c r="AO666" i="1"/>
  <c r="CP498" i="1"/>
  <c r="O498" i="1" s="1"/>
  <c r="CX260" i="3"/>
  <c r="Q705" i="1"/>
  <c r="CP705" i="1" s="1"/>
  <c r="O705" i="1" s="1"/>
  <c r="P703" i="1"/>
  <c r="CQ703" i="1"/>
  <c r="AZ666" i="1"/>
  <c r="CI650" i="1"/>
  <c r="AD663" i="1"/>
  <c r="AB663" i="1" s="1"/>
  <c r="R663" i="1"/>
  <c r="GK663" i="1" s="1"/>
  <c r="CS663" i="1"/>
  <c r="CS662" i="1"/>
  <c r="AD662" i="1"/>
  <c r="AB662" i="1" s="1"/>
  <c r="P661" i="1"/>
  <c r="K612" i="5" s="1"/>
  <c r="CQ661" i="1"/>
  <c r="BZ570" i="1"/>
  <c r="CG583" i="1"/>
  <c r="CZ500" i="1"/>
  <c r="Y500" i="1" s="1"/>
  <c r="T490" i="5" s="1"/>
  <c r="CY500" i="1"/>
  <c r="X500" i="1" s="1"/>
  <c r="R490" i="5" s="1"/>
  <c r="CZ498" i="1"/>
  <c r="Y498" i="1" s="1"/>
  <c r="CY498" i="1"/>
  <c r="X498" i="1" s="1"/>
  <c r="BY376" i="1"/>
  <c r="AP389" i="1"/>
  <c r="F1092" i="1"/>
  <c r="F1060" i="1"/>
  <c r="F1056" i="1"/>
  <c r="CT1008" i="1"/>
  <c r="CT1007" i="1"/>
  <c r="CT1006" i="1"/>
  <c r="CT1004" i="1"/>
  <c r="CT1003" i="1"/>
  <c r="CT1002" i="1"/>
  <c r="F980" i="1"/>
  <c r="F976" i="1"/>
  <c r="F944" i="1"/>
  <c r="F912" i="1"/>
  <c r="F908" i="1"/>
  <c r="BC864" i="1"/>
  <c r="CT861" i="1"/>
  <c r="CT790" i="1"/>
  <c r="CT787" i="1"/>
  <c r="CT785" i="1"/>
  <c r="CT784" i="1"/>
  <c r="CT783" i="1"/>
  <c r="CT782" i="1"/>
  <c r="CT781" i="1"/>
  <c r="CT780" i="1"/>
  <c r="CT709" i="1"/>
  <c r="R702" i="1"/>
  <c r="CC666" i="1"/>
  <c r="CX217" i="3"/>
  <c r="CX218" i="3"/>
  <c r="CX219" i="3"/>
  <c r="CX220" i="3"/>
  <c r="CX205" i="3"/>
  <c r="CX209" i="3"/>
  <c r="CX206" i="3"/>
  <c r="CX210" i="3"/>
  <c r="CX207" i="3"/>
  <c r="CX208" i="3"/>
  <c r="CX201" i="3"/>
  <c r="CX202" i="3"/>
  <c r="S386" i="1"/>
  <c r="K435" i="5" s="1"/>
  <c r="CT386" i="1"/>
  <c r="CX173" i="3"/>
  <c r="CX170" i="3"/>
  <c r="CX174" i="3"/>
  <c r="CX171" i="3"/>
  <c r="CX172" i="3"/>
  <c r="Q382" i="1"/>
  <c r="K415" i="5" s="1"/>
  <c r="S380" i="1"/>
  <c r="CT380" i="1"/>
  <c r="P379" i="1"/>
  <c r="CQ379" i="1"/>
  <c r="BD326" i="1"/>
  <c r="F368" i="1"/>
  <c r="CC326" i="1"/>
  <c r="AT343" i="1"/>
  <c r="CZ328" i="1"/>
  <c r="Y328" i="1" s="1"/>
  <c r="T318" i="5" s="1"/>
  <c r="K324" i="5" s="1"/>
  <c r="CY328" i="1"/>
  <c r="X328" i="1" s="1"/>
  <c r="R318" i="5" s="1"/>
  <c r="K323" i="5" s="1"/>
  <c r="P327" i="5" s="1"/>
  <c r="Q661" i="1"/>
  <c r="K610" i="5" s="1"/>
  <c r="Q660" i="1"/>
  <c r="CZ657" i="1"/>
  <c r="Y657" i="1" s="1"/>
  <c r="T583" i="5" s="1"/>
  <c r="Q657" i="1"/>
  <c r="CZ656" i="1"/>
  <c r="Y656" i="1" s="1"/>
  <c r="Q656" i="1"/>
  <c r="CP656" i="1" s="1"/>
  <c r="O656" i="1" s="1"/>
  <c r="CZ655" i="1"/>
  <c r="Y655" i="1" s="1"/>
  <c r="Q655" i="1"/>
  <c r="CP655" i="1" s="1"/>
  <c r="O655" i="1" s="1"/>
  <c r="P654" i="1"/>
  <c r="P653" i="1"/>
  <c r="P652" i="1"/>
  <c r="CM650" i="1"/>
  <c r="F638" i="1"/>
  <c r="F622" i="1"/>
  <c r="AS616" i="1"/>
  <c r="BB583" i="1"/>
  <c r="AT583" i="1"/>
  <c r="P581" i="1"/>
  <c r="CP581" i="1" s="1"/>
  <c r="O581" i="1" s="1"/>
  <c r="K547" i="5" s="1"/>
  <c r="I579" i="1"/>
  <c r="I538" i="5" s="1"/>
  <c r="X538" i="5" s="1"/>
  <c r="P578" i="1"/>
  <c r="P577" i="1"/>
  <c r="I575" i="1"/>
  <c r="P574" i="1"/>
  <c r="P573" i="1"/>
  <c r="F564" i="1"/>
  <c r="F548" i="1"/>
  <c r="AU536" i="1"/>
  <c r="CI503" i="1"/>
  <c r="BD503" i="1"/>
  <c r="I501" i="1"/>
  <c r="P500" i="1"/>
  <c r="P499" i="1"/>
  <c r="CZ494" i="1"/>
  <c r="Y494" i="1" s="1"/>
  <c r="T464" i="5" s="1"/>
  <c r="Q494" i="1"/>
  <c r="CP494" i="1" s="1"/>
  <c r="O494" i="1" s="1"/>
  <c r="CZ493" i="1"/>
  <c r="Y493" i="1" s="1"/>
  <c r="T458" i="5" s="1"/>
  <c r="K460" i="5" s="1"/>
  <c r="Q493" i="1"/>
  <c r="CP493" i="1" s="1"/>
  <c r="O493" i="1" s="1"/>
  <c r="K458" i="5" s="1"/>
  <c r="CL490" i="1"/>
  <c r="F485" i="1"/>
  <c r="F469" i="1"/>
  <c r="AR456" i="1"/>
  <c r="X456" i="1"/>
  <c r="F437" i="1"/>
  <c r="F433" i="1"/>
  <c r="AT422" i="1"/>
  <c r="BC389" i="1"/>
  <c r="W386" i="1"/>
  <c r="R386" i="1"/>
  <c r="CZ379" i="1"/>
  <c r="Y379" i="1" s="1"/>
  <c r="T405" i="5" s="1"/>
  <c r="K409" i="5" s="1"/>
  <c r="J411" i="5" s="1"/>
  <c r="CX245" i="3"/>
  <c r="CX249" i="3"/>
  <c r="CX253" i="3"/>
  <c r="CX246" i="3"/>
  <c r="CX250" i="3"/>
  <c r="CX254" i="3"/>
  <c r="CX247" i="3"/>
  <c r="CX251" i="3"/>
  <c r="CX248" i="3"/>
  <c r="CX252" i="3"/>
  <c r="CX229" i="3"/>
  <c r="CX233" i="3"/>
  <c r="CX230" i="3"/>
  <c r="CX234" i="3"/>
  <c r="CX231" i="3"/>
  <c r="CX235" i="3"/>
  <c r="CX228" i="3"/>
  <c r="CX232" i="3"/>
  <c r="CX186" i="3"/>
  <c r="CX187" i="3"/>
  <c r="CX188" i="3"/>
  <c r="CT387" i="1"/>
  <c r="CT385" i="1"/>
  <c r="S384" i="1"/>
  <c r="K426" i="5" s="1"/>
  <c r="CT384" i="1"/>
  <c r="CX169" i="3"/>
  <c r="Q381" i="1"/>
  <c r="F353" i="1"/>
  <c r="AQ326" i="1"/>
  <c r="CZ329" i="1"/>
  <c r="Y329" i="1" s="1"/>
  <c r="T328" i="5" s="1"/>
  <c r="K332" i="5" s="1"/>
  <c r="BB666" i="1"/>
  <c r="AP666" i="1"/>
  <c r="CS661" i="1"/>
  <c r="R661" i="1"/>
  <c r="CS660" i="1"/>
  <c r="R660" i="1"/>
  <c r="GK660" i="1" s="1"/>
  <c r="CQ659" i="1"/>
  <c r="P659" i="1"/>
  <c r="CQ658" i="1"/>
  <c r="CS657" i="1"/>
  <c r="AB657" i="1"/>
  <c r="R657" i="1"/>
  <c r="CS656" i="1"/>
  <c r="AB656" i="1"/>
  <c r="R656" i="1"/>
  <c r="GK656" i="1" s="1"/>
  <c r="CS655" i="1"/>
  <c r="AB655" i="1"/>
  <c r="R655" i="1"/>
  <c r="Q654" i="1"/>
  <c r="Q653" i="1"/>
  <c r="F639" i="1"/>
  <c r="V616" i="1"/>
  <c r="BC583" i="1"/>
  <c r="CT580" i="1"/>
  <c r="CT579" i="1"/>
  <c r="CT576" i="1"/>
  <c r="CT575" i="1"/>
  <c r="CT572" i="1"/>
  <c r="F561" i="1"/>
  <c r="F541" i="1"/>
  <c r="T536" i="1"/>
  <c r="AO503" i="1"/>
  <c r="CT501" i="1"/>
  <c r="Q499" i="1"/>
  <c r="CQ497" i="1"/>
  <c r="AD497" i="1"/>
  <c r="AB497" i="1" s="1"/>
  <c r="P497" i="1"/>
  <c r="CQ496" i="1"/>
  <c r="AD496" i="1"/>
  <c r="AB496" i="1" s="1"/>
  <c r="P496" i="1"/>
  <c r="CQ495" i="1"/>
  <c r="AD495" i="1"/>
  <c r="AB495" i="1" s="1"/>
  <c r="CS494" i="1"/>
  <c r="AB494" i="1"/>
  <c r="R494" i="1"/>
  <c r="GK494" i="1" s="1"/>
  <c r="CS493" i="1"/>
  <c r="AB493" i="1"/>
  <c r="R493" i="1"/>
  <c r="GK493" i="1" s="1"/>
  <c r="CQ492" i="1"/>
  <c r="AD492" i="1"/>
  <c r="AB492" i="1" s="1"/>
  <c r="P492" i="1"/>
  <c r="K457" i="5" s="1"/>
  <c r="F470" i="1"/>
  <c r="U456" i="1"/>
  <c r="F426" i="1"/>
  <c r="W422" i="1"/>
  <c r="BD389" i="1"/>
  <c r="AB387" i="1"/>
  <c r="AB385" i="1"/>
  <c r="P382" i="1"/>
  <c r="CP336" i="1"/>
  <c r="O336" i="1" s="1"/>
  <c r="CX221" i="3"/>
  <c r="CX222" i="3"/>
  <c r="CX223" i="3"/>
  <c r="CX213" i="3"/>
  <c r="CX214" i="3"/>
  <c r="CX211" i="3"/>
  <c r="CX215" i="3"/>
  <c r="CX212" i="3"/>
  <c r="CX216" i="3"/>
  <c r="CX203" i="3"/>
  <c r="CX204" i="3"/>
  <c r="CX197" i="3"/>
  <c r="CX198" i="3"/>
  <c r="CX195" i="3"/>
  <c r="CX199" i="3"/>
  <c r="CX196" i="3"/>
  <c r="CX200" i="3"/>
  <c r="CX181" i="3"/>
  <c r="CX178" i="3"/>
  <c r="CX179" i="3"/>
  <c r="CX180" i="3"/>
  <c r="Q386" i="1"/>
  <c r="K436" i="5" s="1"/>
  <c r="S382" i="1"/>
  <c r="K414" i="5" s="1"/>
  <c r="CT382" i="1"/>
  <c r="CY330" i="1"/>
  <c r="X330" i="1" s="1"/>
  <c r="R335" i="5" s="1"/>
  <c r="K340" i="5" s="1"/>
  <c r="AQ259" i="1"/>
  <c r="AB654" i="1"/>
  <c r="AB653" i="1"/>
  <c r="BY650" i="1"/>
  <c r="BD583" i="1"/>
  <c r="AB581" i="1"/>
  <c r="AB578" i="1"/>
  <c r="AB577" i="1"/>
  <c r="AB574" i="1"/>
  <c r="AB573" i="1"/>
  <c r="BB503" i="1"/>
  <c r="AT503" i="1"/>
  <c r="AP503" i="1"/>
  <c r="AB500" i="1"/>
  <c r="AB499" i="1"/>
  <c r="AB498" i="1"/>
  <c r="Q497" i="1"/>
  <c r="Q496" i="1"/>
  <c r="K476" i="5" s="1"/>
  <c r="Q492" i="1"/>
  <c r="K455" i="5" s="1"/>
  <c r="AO389" i="1"/>
  <c r="AB382" i="1"/>
  <c r="CP381" i="1"/>
  <c r="O381" i="1" s="1"/>
  <c r="CX237" i="3"/>
  <c r="CX241" i="3"/>
  <c r="CX238" i="3"/>
  <c r="CX242" i="3"/>
  <c r="CX239" i="3"/>
  <c r="CX243" i="3"/>
  <c r="CX236" i="3"/>
  <c r="CX240" i="3"/>
  <c r="CX244" i="3"/>
  <c r="CX189" i="3"/>
  <c r="CX190" i="3"/>
  <c r="CX191" i="3"/>
  <c r="CX185" i="3"/>
  <c r="CX182" i="3"/>
  <c r="CX183" i="3"/>
  <c r="CX184" i="3"/>
  <c r="CX177" i="3"/>
  <c r="CX175" i="3"/>
  <c r="CX176" i="3"/>
  <c r="Q384" i="1"/>
  <c r="CP384" i="1" s="1"/>
  <c r="O384" i="1" s="1"/>
  <c r="S383" i="1"/>
  <c r="CT383" i="1"/>
  <c r="S381" i="1"/>
  <c r="CT381" i="1"/>
  <c r="BC326" i="1"/>
  <c r="F359" i="1"/>
  <c r="AO326" i="1"/>
  <c r="F347" i="1"/>
  <c r="I664" i="1"/>
  <c r="I662" i="1"/>
  <c r="Q613" i="5" s="1"/>
  <c r="I658" i="1"/>
  <c r="Q589" i="5" s="1"/>
  <c r="CQ657" i="1"/>
  <c r="CQ656" i="1"/>
  <c r="CQ655" i="1"/>
  <c r="CT654" i="1"/>
  <c r="CT653" i="1"/>
  <c r="CT652" i="1"/>
  <c r="F629" i="1"/>
  <c r="F621" i="1"/>
  <c r="AO583" i="1"/>
  <c r="CT581" i="1"/>
  <c r="Q580" i="1"/>
  <c r="CT578" i="1"/>
  <c r="CT577" i="1"/>
  <c r="Q576" i="1"/>
  <c r="CP576" i="1" s="1"/>
  <c r="O576" i="1" s="1"/>
  <c r="CT574" i="1"/>
  <c r="CT573" i="1"/>
  <c r="Q572" i="1"/>
  <c r="F551" i="1"/>
  <c r="F547" i="1"/>
  <c r="CT500" i="1"/>
  <c r="CT499" i="1"/>
  <c r="CT498" i="1"/>
  <c r="CS497" i="1"/>
  <c r="CS496" i="1"/>
  <c r="CS495" i="1"/>
  <c r="I495" i="1"/>
  <c r="CQ494" i="1"/>
  <c r="CQ493" i="1"/>
  <c r="CS492" i="1"/>
  <c r="F468" i="1"/>
  <c r="F460" i="1"/>
  <c r="F444" i="1"/>
  <c r="F436" i="1"/>
  <c r="F428" i="1"/>
  <c r="BB389" i="1"/>
  <c r="I387" i="1"/>
  <c r="V439" i="5" s="1"/>
  <c r="P386" i="1"/>
  <c r="K438" i="5" s="1"/>
  <c r="W383" i="1"/>
  <c r="R383" i="1"/>
  <c r="GK383" i="1" s="1"/>
  <c r="GX382" i="1"/>
  <c r="W381" i="1"/>
  <c r="R381" i="1"/>
  <c r="GK381" i="1" s="1"/>
  <c r="CP380" i="1"/>
  <c r="O380" i="1" s="1"/>
  <c r="CX165" i="3"/>
  <c r="CX166" i="3"/>
  <c r="CX164" i="3"/>
  <c r="CX161" i="3"/>
  <c r="CX162" i="3"/>
  <c r="CX163" i="3"/>
  <c r="CX157" i="3"/>
  <c r="CX158" i="3"/>
  <c r="P257" i="1"/>
  <c r="CQ257" i="1"/>
  <c r="P256" i="1"/>
  <c r="K304" i="5" s="1"/>
  <c r="CQ256" i="1"/>
  <c r="P253" i="1"/>
  <c r="CQ253" i="1"/>
  <c r="CX122" i="3"/>
  <c r="P250" i="1"/>
  <c r="Q250" i="1"/>
  <c r="F230" i="1"/>
  <c r="BC200" i="1"/>
  <c r="AQ214" i="1"/>
  <c r="CG214" i="1"/>
  <c r="BZ200" i="1"/>
  <c r="GK205" i="1"/>
  <c r="BY156" i="1"/>
  <c r="AP167" i="1"/>
  <c r="CI167" i="1"/>
  <c r="CS379" i="1"/>
  <c r="R379" i="1"/>
  <c r="GK379" i="1" s="1"/>
  <c r="CS378" i="1"/>
  <c r="R378" i="1"/>
  <c r="K399" i="5" s="1"/>
  <c r="CG343" i="1"/>
  <c r="BB343" i="1"/>
  <c r="AP343" i="1"/>
  <c r="CQ341" i="1"/>
  <c r="AD341" i="1"/>
  <c r="AB341" i="1" s="1"/>
  <c r="CS340" i="1"/>
  <c r="R340" i="1"/>
  <c r="GK340" i="1" s="1"/>
  <c r="CS339" i="1"/>
  <c r="R339" i="1"/>
  <c r="GK339" i="1" s="1"/>
  <c r="CQ338" i="1"/>
  <c r="AD338" i="1"/>
  <c r="AB338" i="1" s="1"/>
  <c r="P338" i="1"/>
  <c r="CQ337" i="1"/>
  <c r="AD337" i="1"/>
  <c r="AB337" i="1" s="1"/>
  <c r="CS336" i="1"/>
  <c r="R336" i="1"/>
  <c r="GK336" i="1" s="1"/>
  <c r="CS335" i="1"/>
  <c r="CQ334" i="1"/>
  <c r="AD334" i="1"/>
  <c r="AB334" i="1" s="1"/>
  <c r="P334" i="1"/>
  <c r="CQ333" i="1"/>
  <c r="AD333" i="1"/>
  <c r="AB333" i="1" s="1"/>
  <c r="P333" i="1"/>
  <c r="CQ332" i="1"/>
  <c r="AD332" i="1"/>
  <c r="AB332" i="1" s="1"/>
  <c r="P332" i="1"/>
  <c r="CT331" i="1"/>
  <c r="S331" i="1"/>
  <c r="K347" i="5" s="1"/>
  <c r="CT330" i="1"/>
  <c r="CT329" i="1"/>
  <c r="CT328" i="1"/>
  <c r="CL326" i="1"/>
  <c r="BZ326" i="1"/>
  <c r="F317" i="1"/>
  <c r="F313" i="1"/>
  <c r="F297" i="1"/>
  <c r="X292" i="1"/>
  <c r="T292" i="1"/>
  <c r="BC259" i="1"/>
  <c r="CC259" i="1"/>
  <c r="AH167" i="1"/>
  <c r="BX247" i="1"/>
  <c r="R257" i="1"/>
  <c r="GK257" i="1" s="1"/>
  <c r="CS257" i="1"/>
  <c r="AD257" i="1"/>
  <c r="AB257" i="1" s="1"/>
  <c r="AD256" i="1"/>
  <c r="AB256" i="1" s="1"/>
  <c r="R256" i="1"/>
  <c r="CS256" i="1"/>
  <c r="R253" i="1"/>
  <c r="GK253" i="1" s="1"/>
  <c r="CS253" i="1"/>
  <c r="AD253" i="1"/>
  <c r="AB253" i="1" s="1"/>
  <c r="P251" i="1"/>
  <c r="CQ251" i="1"/>
  <c r="CZ249" i="1"/>
  <c r="Y249" i="1" s="1"/>
  <c r="T273" i="5" s="1"/>
  <c r="K277" i="5" s="1"/>
  <c r="F239" i="1"/>
  <c r="BD200" i="1"/>
  <c r="CY211" i="1"/>
  <c r="X211" i="1" s="1"/>
  <c r="R254" i="5" s="1"/>
  <c r="CY207" i="1"/>
  <c r="X207" i="1" s="1"/>
  <c r="R230" i="5" s="1"/>
  <c r="CZ204" i="1"/>
  <c r="Y204" i="1" s="1"/>
  <c r="T223" i="5" s="1"/>
  <c r="K227" i="5" s="1"/>
  <c r="CY204" i="1"/>
  <c r="X204" i="1" s="1"/>
  <c r="R223" i="5" s="1"/>
  <c r="K226" i="5" s="1"/>
  <c r="J229" i="5" s="1"/>
  <c r="Q338" i="1"/>
  <c r="Q334" i="1"/>
  <c r="K355" i="5" s="1"/>
  <c r="Q333" i="1"/>
  <c r="Q332" i="1"/>
  <c r="P331" i="1"/>
  <c r="CM326" i="1"/>
  <c r="AS292" i="1"/>
  <c r="AO259" i="1"/>
  <c r="CJ167" i="1"/>
  <c r="CX159" i="3"/>
  <c r="CX160" i="3"/>
  <c r="CX153" i="3"/>
  <c r="CX154" i="3"/>
  <c r="CX155" i="3"/>
  <c r="CX156" i="3"/>
  <c r="P255" i="1"/>
  <c r="CP255" i="1" s="1"/>
  <c r="O255" i="1" s="1"/>
  <c r="K293" i="5" s="1"/>
  <c r="CQ255" i="1"/>
  <c r="P254" i="1"/>
  <c r="CQ254" i="1"/>
  <c r="CY165" i="1"/>
  <c r="X165" i="1" s="1"/>
  <c r="R188" i="5" s="1"/>
  <c r="K194" i="5" s="1"/>
  <c r="CZ165" i="1"/>
  <c r="Y165" i="1" s="1"/>
  <c r="T188" i="5" s="1"/>
  <c r="K195" i="5" s="1"/>
  <c r="AD379" i="1"/>
  <c r="AB379" i="1" s="1"/>
  <c r="CQ378" i="1"/>
  <c r="AD378" i="1"/>
  <c r="AB378" i="1" s="1"/>
  <c r="CI343" i="1"/>
  <c r="CS341" i="1"/>
  <c r="I341" i="1"/>
  <c r="U383" i="5" s="1"/>
  <c r="CQ340" i="1"/>
  <c r="AD340" i="1"/>
  <c r="AB340" i="1" s="1"/>
  <c r="CQ339" i="1"/>
  <c r="AD339" i="1"/>
  <c r="AB339" i="1" s="1"/>
  <c r="CS338" i="1"/>
  <c r="CS337" i="1"/>
  <c r="I337" i="1"/>
  <c r="P337" i="1" s="1"/>
  <c r="CQ336" i="1"/>
  <c r="AD336" i="1"/>
  <c r="AB336" i="1" s="1"/>
  <c r="CQ335" i="1"/>
  <c r="AD335" i="1"/>
  <c r="AB335" i="1" s="1"/>
  <c r="CS334" i="1"/>
  <c r="CS333" i="1"/>
  <c r="CS332" i="1"/>
  <c r="Q331" i="1"/>
  <c r="Q329" i="1"/>
  <c r="BX326" i="1"/>
  <c r="F307" i="1"/>
  <c r="F303" i="1"/>
  <c r="CP252" i="1"/>
  <c r="O252" i="1" s="1"/>
  <c r="CP206" i="1"/>
  <c r="O206" i="1" s="1"/>
  <c r="CX149" i="3"/>
  <c r="CX147" i="3"/>
  <c r="CX148" i="3"/>
  <c r="CX145" i="3"/>
  <c r="CX143" i="3"/>
  <c r="CX144" i="3"/>
  <c r="AD255" i="1"/>
  <c r="AB255" i="1" s="1"/>
  <c r="R255" i="1"/>
  <c r="GK255" i="1" s="1"/>
  <c r="CS255" i="1"/>
  <c r="R254" i="1"/>
  <c r="CS254" i="1"/>
  <c r="AD254" i="1"/>
  <c r="AB254" i="1" s="1"/>
  <c r="CZ251" i="1"/>
  <c r="Y251" i="1" s="1"/>
  <c r="CY251" i="1"/>
  <c r="X251" i="1" s="1"/>
  <c r="S250" i="1"/>
  <c r="K282" i="5" s="1"/>
  <c r="CT250" i="1"/>
  <c r="CY210" i="1"/>
  <c r="X210" i="1" s="1"/>
  <c r="R248" i="5" s="1"/>
  <c r="CZ210" i="1"/>
  <c r="Y210" i="1" s="1"/>
  <c r="T248" i="5" s="1"/>
  <c r="CZ209" i="1"/>
  <c r="Y209" i="1" s="1"/>
  <c r="T242" i="5" s="1"/>
  <c r="CY209" i="1"/>
  <c r="X209" i="1" s="1"/>
  <c r="R242" i="5" s="1"/>
  <c r="CY206" i="1"/>
  <c r="X206" i="1" s="1"/>
  <c r="CZ206" i="1"/>
  <c r="Y206" i="1" s="1"/>
  <c r="CZ202" i="1"/>
  <c r="Y202" i="1" s="1"/>
  <c r="T206" i="5" s="1"/>
  <c r="K212" i="5" s="1"/>
  <c r="BZ156" i="1"/>
  <c r="CG167" i="1"/>
  <c r="AQ167" i="1"/>
  <c r="F304" i="1"/>
  <c r="Q257" i="1"/>
  <c r="Q256" i="1"/>
  <c r="K302" i="5" s="1"/>
  <c r="Q253" i="1"/>
  <c r="CY252" i="1"/>
  <c r="X252" i="1" s="1"/>
  <c r="AB250" i="1"/>
  <c r="BY259" i="1"/>
  <c r="CX137" i="3"/>
  <c r="CX141" i="3"/>
  <c r="CX134" i="3"/>
  <c r="CX138" i="3"/>
  <c r="CX142" i="3"/>
  <c r="CX135" i="3"/>
  <c r="CX139" i="3"/>
  <c r="CX136" i="3"/>
  <c r="CX140" i="3"/>
  <c r="F114" i="1"/>
  <c r="BD75" i="1"/>
  <c r="CZ77" i="1"/>
  <c r="Y77" i="1" s="1"/>
  <c r="T116" i="5" s="1"/>
  <c r="K122" i="5" s="1"/>
  <c r="CY77" i="1"/>
  <c r="X77" i="1" s="1"/>
  <c r="R116" i="5" s="1"/>
  <c r="K121" i="5" s="1"/>
  <c r="J125" i="5" s="1"/>
  <c r="BB259" i="1"/>
  <c r="CT252" i="1"/>
  <c r="CS251" i="1"/>
  <c r="R251" i="1"/>
  <c r="Q249" i="1"/>
  <c r="AO214" i="1"/>
  <c r="CT212" i="1"/>
  <c r="Q210" i="1"/>
  <c r="CP210" i="1" s="1"/>
  <c r="O210" i="1" s="1"/>
  <c r="K248" i="5" s="1"/>
  <c r="CT209" i="1"/>
  <c r="CT208" i="1"/>
  <c r="CQ205" i="1"/>
  <c r="AD205" i="1"/>
  <c r="AB205" i="1" s="1"/>
  <c r="P205" i="1"/>
  <c r="CT204" i="1"/>
  <c r="CT203" i="1"/>
  <c r="CT202" i="1"/>
  <c r="CL200" i="1"/>
  <c r="BC167" i="1"/>
  <c r="CT163" i="1"/>
  <c r="S163" i="1"/>
  <c r="CR162" i="1"/>
  <c r="T162" i="1"/>
  <c r="AG167" i="1" s="1"/>
  <c r="R162" i="1"/>
  <c r="GK162" i="1" s="1"/>
  <c r="CI89" i="1"/>
  <c r="CX117" i="3"/>
  <c r="CX118" i="3"/>
  <c r="CX119" i="3"/>
  <c r="CX120" i="3"/>
  <c r="CX101" i="3"/>
  <c r="CX105" i="3"/>
  <c r="CX102" i="3"/>
  <c r="CX106" i="3"/>
  <c r="CX103" i="3"/>
  <c r="CX107" i="3"/>
  <c r="CX100" i="3"/>
  <c r="CX104" i="3"/>
  <c r="CX89" i="3"/>
  <c r="CX90" i="3"/>
  <c r="CX91" i="3"/>
  <c r="CX88" i="3"/>
  <c r="CX92" i="3"/>
  <c r="AQ89" i="1"/>
  <c r="CY86" i="1"/>
  <c r="X86" i="1" s="1"/>
  <c r="R155" i="5" s="1"/>
  <c r="CZ86" i="1"/>
  <c r="Y86" i="1" s="1"/>
  <c r="T155" i="5" s="1"/>
  <c r="BB214" i="1"/>
  <c r="AT214" i="1"/>
  <c r="AB211" i="1"/>
  <c r="AB207" i="1"/>
  <c r="AB206" i="1"/>
  <c r="Q205" i="1"/>
  <c r="CM200" i="1"/>
  <c r="BD167" i="1"/>
  <c r="AB165" i="1"/>
  <c r="CX129" i="3"/>
  <c r="CX133" i="3"/>
  <c r="CX126" i="3"/>
  <c r="CX130" i="3"/>
  <c r="CX127" i="3"/>
  <c r="CX131" i="3"/>
  <c r="CX128" i="3"/>
  <c r="CX132" i="3"/>
  <c r="CY79" i="1"/>
  <c r="X79" i="1" s="1"/>
  <c r="CZ79" i="1"/>
  <c r="Y79" i="1" s="1"/>
  <c r="GK29" i="1"/>
  <c r="BD259" i="1"/>
  <c r="AD251" i="1"/>
  <c r="AB251" i="1" s="1"/>
  <c r="CT249" i="1"/>
  <c r="CT211" i="1"/>
  <c r="CT210" i="1"/>
  <c r="CT207" i="1"/>
  <c r="CT206" i="1"/>
  <c r="CS205" i="1"/>
  <c r="Q204" i="1"/>
  <c r="CP204" i="1" s="1"/>
  <c r="O204" i="1" s="1"/>
  <c r="Q203" i="1"/>
  <c r="AO167" i="1"/>
  <c r="CT165" i="1"/>
  <c r="CX109" i="3"/>
  <c r="CX113" i="3"/>
  <c r="CX110" i="3"/>
  <c r="CX114" i="3"/>
  <c r="CX111" i="3"/>
  <c r="CX115" i="3"/>
  <c r="CX108" i="3"/>
  <c r="CX112" i="3"/>
  <c r="CX116" i="3"/>
  <c r="CX93" i="3"/>
  <c r="CX94" i="3"/>
  <c r="CX95" i="3"/>
  <c r="S164" i="1"/>
  <c r="CT164" i="1"/>
  <c r="S162" i="1"/>
  <c r="CP162" i="1" s="1"/>
  <c r="O162" i="1" s="1"/>
  <c r="CT162" i="1"/>
  <c r="S161" i="1"/>
  <c r="CT161" i="1"/>
  <c r="CY85" i="1"/>
  <c r="X85" i="1" s="1"/>
  <c r="CZ85" i="1"/>
  <c r="Y85" i="1" s="1"/>
  <c r="CY80" i="1"/>
  <c r="X80" i="1" s="1"/>
  <c r="R136" i="5" s="1"/>
  <c r="K139" i="5" s="1"/>
  <c r="GK77" i="1"/>
  <c r="P249" i="1"/>
  <c r="CI214" i="1"/>
  <c r="I212" i="1"/>
  <c r="S260" i="5" s="1"/>
  <c r="I262" i="5" s="1"/>
  <c r="P211" i="1"/>
  <c r="I208" i="1"/>
  <c r="V236" i="5" s="1"/>
  <c r="K239" i="5" s="1"/>
  <c r="P207" i="1"/>
  <c r="BB167" i="1"/>
  <c r="AT167" i="1"/>
  <c r="P165" i="1"/>
  <c r="CP164" i="1"/>
  <c r="O164" i="1" s="1"/>
  <c r="CX33" i="3"/>
  <c r="CX37" i="3"/>
  <c r="CX41" i="3"/>
  <c r="CX34" i="3"/>
  <c r="CX38" i="3"/>
  <c r="CX42" i="3"/>
  <c r="CX35" i="3"/>
  <c r="CX39" i="3"/>
  <c r="CX32" i="3"/>
  <c r="CX36" i="3"/>
  <c r="CX40" i="3"/>
  <c r="S31" i="1"/>
  <c r="K69" i="5" s="1"/>
  <c r="CT31" i="1"/>
  <c r="CX13" i="3"/>
  <c r="CX17" i="3"/>
  <c r="CX14" i="3"/>
  <c r="CX15" i="3"/>
  <c r="Q30" i="1"/>
  <c r="K60" i="5" s="1"/>
  <c r="CX16" i="3"/>
  <c r="CZ28" i="1"/>
  <c r="Y28" i="1" s="1"/>
  <c r="T36" i="5" s="1"/>
  <c r="K43" i="5" s="1"/>
  <c r="CY28" i="1"/>
  <c r="X28" i="1" s="1"/>
  <c r="R36" i="5" s="1"/>
  <c r="K42" i="5" s="1"/>
  <c r="Q161" i="1"/>
  <c r="AD160" i="1"/>
  <c r="AB160" i="1" s="1"/>
  <c r="F143" i="1"/>
  <c r="F127" i="1"/>
  <c r="X122" i="1"/>
  <c r="T122" i="1"/>
  <c r="AO89" i="1"/>
  <c r="AB81" i="1"/>
  <c r="Q80" i="1"/>
  <c r="Q79" i="1"/>
  <c r="CP79" i="1" s="1"/>
  <c r="O79" i="1" s="1"/>
  <c r="AD78" i="1"/>
  <c r="AB78" i="1" s="1"/>
  <c r="AD77" i="1"/>
  <c r="AB77" i="1" s="1"/>
  <c r="CM75" i="1"/>
  <c r="CI42" i="1"/>
  <c r="BD42" i="1"/>
  <c r="CS40" i="1"/>
  <c r="CQ39" i="1"/>
  <c r="AD39" i="1"/>
  <c r="AB39" i="1" s="1"/>
  <c r="P39" i="1"/>
  <c r="CQ38" i="1"/>
  <c r="AD38" i="1"/>
  <c r="AB38" i="1" s="1"/>
  <c r="CS37" i="1"/>
  <c r="R37" i="1"/>
  <c r="CS36" i="1"/>
  <c r="R36" i="1"/>
  <c r="GK36" i="1" s="1"/>
  <c r="CS35" i="1"/>
  <c r="CQ34" i="1"/>
  <c r="AD34" i="1"/>
  <c r="AB34" i="1" s="1"/>
  <c r="P34" i="1"/>
  <c r="K79" i="5" s="1"/>
  <c r="CQ33" i="1"/>
  <c r="AD33" i="1"/>
  <c r="AB33" i="1" s="1"/>
  <c r="T31" i="1"/>
  <c r="W31" i="1"/>
  <c r="AB31" i="1"/>
  <c r="GX29" i="1"/>
  <c r="U29" i="1"/>
  <c r="I55" i="5" s="1"/>
  <c r="CX73" i="3"/>
  <c r="CX74" i="3"/>
  <c r="CX71" i="3"/>
  <c r="CX72" i="3"/>
  <c r="CX18" i="3"/>
  <c r="Q31" i="1"/>
  <c r="Q160" i="1"/>
  <c r="CP160" i="1" s="1"/>
  <c r="O160" i="1" s="1"/>
  <c r="BB89" i="1"/>
  <c r="AP89" i="1"/>
  <c r="AB79" i="1"/>
  <c r="AO42" i="1"/>
  <c r="Q39" i="1"/>
  <c r="K101" i="5" s="1"/>
  <c r="Q34" i="1"/>
  <c r="K77" i="5" s="1"/>
  <c r="CX53" i="3"/>
  <c r="CX54" i="3"/>
  <c r="CX55" i="3"/>
  <c r="CX52" i="3"/>
  <c r="CX49" i="3"/>
  <c r="CX50" i="3"/>
  <c r="CX47" i="3"/>
  <c r="CX51" i="3"/>
  <c r="CX48" i="3"/>
  <c r="CX45" i="3"/>
  <c r="CX46" i="3"/>
  <c r="CX43" i="3"/>
  <c r="CX44" i="3"/>
  <c r="CX21" i="3"/>
  <c r="CX25" i="3"/>
  <c r="CX29" i="3"/>
  <c r="CX22" i="3"/>
  <c r="CX26" i="3"/>
  <c r="CX30" i="3"/>
  <c r="CX23" i="3"/>
  <c r="CX27" i="3"/>
  <c r="CX24" i="3"/>
  <c r="CX28" i="3"/>
  <c r="S29" i="1"/>
  <c r="K49" i="5" s="1"/>
  <c r="CT29" i="1"/>
  <c r="CS160" i="1"/>
  <c r="Q159" i="1"/>
  <c r="Q158" i="1"/>
  <c r="AT122" i="1"/>
  <c r="BC89" i="1"/>
  <c r="CT86" i="1"/>
  <c r="CT85" i="1"/>
  <c r="Q84" i="1"/>
  <c r="Q83" i="1"/>
  <c r="CP83" i="1" s="1"/>
  <c r="O83" i="1" s="1"/>
  <c r="Q82" i="1"/>
  <c r="CP82" i="1" s="1"/>
  <c r="O82" i="1" s="1"/>
  <c r="CY81" i="1"/>
  <c r="X81" i="1" s="1"/>
  <c r="CQ81" i="1"/>
  <c r="CT80" i="1"/>
  <c r="BY75" i="1"/>
  <c r="BB42" i="1"/>
  <c r="AX42" i="1"/>
  <c r="AT42" i="1"/>
  <c r="AP42" i="1"/>
  <c r="CQ40" i="1"/>
  <c r="AD40" i="1"/>
  <c r="AB40" i="1" s="1"/>
  <c r="CS39" i="1"/>
  <c r="CS38" i="1"/>
  <c r="I38" i="1"/>
  <c r="I92" i="5" s="1"/>
  <c r="X92" i="5" s="1"/>
  <c r="CY37" i="1"/>
  <c r="X37" i="1" s="1"/>
  <c r="CQ37" i="1"/>
  <c r="AD37" i="1"/>
  <c r="AB37" i="1" s="1"/>
  <c r="CY36" i="1"/>
  <c r="X36" i="1" s="1"/>
  <c r="CQ36" i="1"/>
  <c r="AD36" i="1"/>
  <c r="AB36" i="1" s="1"/>
  <c r="CQ35" i="1"/>
  <c r="AD35" i="1"/>
  <c r="AB35" i="1" s="1"/>
  <c r="CS34" i="1"/>
  <c r="CS33" i="1"/>
  <c r="U31" i="1"/>
  <c r="I72" i="5" s="1"/>
  <c r="R31" i="1"/>
  <c r="GK31" i="1" s="1"/>
  <c r="W29" i="1"/>
  <c r="CX61" i="3"/>
  <c r="CX65" i="3"/>
  <c r="CX69" i="3"/>
  <c r="CX62" i="3"/>
  <c r="CX66" i="3"/>
  <c r="CX70" i="3"/>
  <c r="CX63" i="3"/>
  <c r="CX67" i="3"/>
  <c r="CX64" i="3"/>
  <c r="CX68" i="3"/>
  <c r="P32" i="1"/>
  <c r="CQ32" i="1"/>
  <c r="S30" i="1"/>
  <c r="K59" i="5" s="1"/>
  <c r="CT30" i="1"/>
  <c r="CX9" i="3"/>
  <c r="CX10" i="3"/>
  <c r="CX11" i="3"/>
  <c r="Q29" i="1"/>
  <c r="K50" i="5" s="1"/>
  <c r="CX12" i="3"/>
  <c r="CQ162" i="1"/>
  <c r="CQ161" i="1"/>
  <c r="CT160" i="1"/>
  <c r="CS159" i="1"/>
  <c r="CS158" i="1"/>
  <c r="F134" i="1"/>
  <c r="F126" i="1"/>
  <c r="CS87" i="1"/>
  <c r="I87" i="1"/>
  <c r="S161" i="5" s="1"/>
  <c r="CQ86" i="1"/>
  <c r="CQ85" i="1"/>
  <c r="CS84" i="1"/>
  <c r="CS83" i="1"/>
  <c r="CS82" i="1"/>
  <c r="CQ80" i="1"/>
  <c r="CQ79" i="1"/>
  <c r="CT78" i="1"/>
  <c r="CT77" i="1"/>
  <c r="BC42" i="1"/>
  <c r="AQ42" i="1"/>
  <c r="R33" i="1"/>
  <c r="GK33" i="1" s="1"/>
  <c r="CZ32" i="1"/>
  <c r="Y32" i="1" s="1"/>
  <c r="AB30" i="1"/>
  <c r="Q32" i="1"/>
  <c r="CQ30" i="1"/>
  <c r="CQ29" i="1"/>
  <c r="CQ28" i="1"/>
  <c r="CX8" i="3"/>
  <c r="CX4" i="3"/>
  <c r="CS32" i="1"/>
  <c r="R32" i="1"/>
  <c r="GK32" i="1" s="1"/>
  <c r="Q28" i="1"/>
  <c r="K39" i="5" s="1"/>
  <c r="CX7" i="3"/>
  <c r="CX3" i="3"/>
  <c r="CX6" i="3"/>
  <c r="CX2" i="3"/>
  <c r="CT28" i="1"/>
  <c r="CX5" i="3"/>
  <c r="E69" i="9" l="1"/>
  <c r="E311" i="9"/>
  <c r="E100" i="9"/>
  <c r="E143" i="9"/>
  <c r="U1347" i="1"/>
  <c r="AH1340" i="1"/>
  <c r="P463" i="5"/>
  <c r="P125" i="5"/>
  <c r="Q718" i="5"/>
  <c r="V161" i="5"/>
  <c r="K164" i="5" s="1"/>
  <c r="U366" i="5"/>
  <c r="V538" i="5"/>
  <c r="Q439" i="5"/>
  <c r="I440" i="5" s="1"/>
  <c r="S613" i="5"/>
  <c r="H807" i="5"/>
  <c r="CY338" i="1"/>
  <c r="X338" i="1" s="1"/>
  <c r="R371" i="5" s="1"/>
  <c r="CZ338" i="1"/>
  <c r="Y338" i="1" s="1"/>
  <c r="T371" i="5" s="1"/>
  <c r="J463" i="5"/>
  <c r="I163" i="5"/>
  <c r="W212" i="1"/>
  <c r="K250" i="5"/>
  <c r="CY203" i="1"/>
  <c r="X203" i="1" s="1"/>
  <c r="R216" i="5" s="1"/>
  <c r="K219" i="5" s="1"/>
  <c r="P229" i="5"/>
  <c r="S385" i="1"/>
  <c r="CG711" i="1"/>
  <c r="CY780" i="1"/>
  <c r="X780" i="1" s="1"/>
  <c r="R683" i="5" s="1"/>
  <c r="K686" i="5" s="1"/>
  <c r="P689" i="5" s="1"/>
  <c r="CP1302" i="1"/>
  <c r="O1302" i="1" s="1"/>
  <c r="O222" i="5"/>
  <c r="H568" i="5"/>
  <c r="W330" i="5"/>
  <c r="O135" i="5"/>
  <c r="H222" i="5"/>
  <c r="X344" i="5"/>
  <c r="H582" i="5"/>
  <c r="D11" i="9"/>
  <c r="O229" i="5"/>
  <c r="O279" i="5"/>
  <c r="V260" i="5"/>
  <c r="K263" i="5" s="1"/>
  <c r="I359" i="5"/>
  <c r="O344" i="5"/>
  <c r="I419" i="5"/>
  <c r="R385" i="1"/>
  <c r="GK385" i="1" s="1"/>
  <c r="D153" i="9"/>
  <c r="R216" i="10"/>
  <c r="S236" i="5"/>
  <c r="I238" i="5" s="1"/>
  <c r="I366" i="5"/>
  <c r="X366" i="5" s="1"/>
  <c r="S1151" i="1"/>
  <c r="O956" i="5"/>
  <c r="H958" i="5" s="1"/>
  <c r="T327" i="10"/>
  <c r="M329" i="10"/>
  <c r="F241" i="9"/>
  <c r="D77" i="9"/>
  <c r="V635" i="5"/>
  <c r="K642" i="5" s="1"/>
  <c r="S103" i="5"/>
  <c r="I105" i="5" s="1"/>
  <c r="I161" i="5"/>
  <c r="X161" i="5" s="1"/>
  <c r="M154" i="10"/>
  <c r="R707" i="1"/>
  <c r="GK707" i="1" s="1"/>
  <c r="O709" i="5"/>
  <c r="Q749" i="5"/>
  <c r="I750" i="5" s="1"/>
  <c r="D301" i="9"/>
  <c r="M327" i="10"/>
  <c r="M272" i="10"/>
  <c r="R1155" i="1"/>
  <c r="GK1155" i="1" s="1"/>
  <c r="T328" i="10"/>
  <c r="O784" i="5"/>
  <c r="V846" i="5"/>
  <c r="K95" i="5"/>
  <c r="CP29" i="1"/>
  <c r="O29" i="1" s="1"/>
  <c r="P46" i="5"/>
  <c r="CP203" i="1"/>
  <c r="O203" i="1" s="1"/>
  <c r="AH259" i="1"/>
  <c r="CP332" i="1"/>
  <c r="O332" i="1" s="1"/>
  <c r="CP580" i="1"/>
  <c r="O580" i="1" s="1"/>
  <c r="CY580" i="1"/>
  <c r="X580" i="1" s="1"/>
  <c r="R543" i="5" s="1"/>
  <c r="K548" i="5" s="1"/>
  <c r="K530" i="5"/>
  <c r="BZ699" i="1"/>
  <c r="CP780" i="1"/>
  <c r="O780" i="1" s="1"/>
  <c r="GK1300" i="1"/>
  <c r="O198" i="5"/>
  <c r="X135" i="5"/>
  <c r="H229" i="5"/>
  <c r="O378" i="5"/>
  <c r="I428" i="5"/>
  <c r="X428" i="5" s="1"/>
  <c r="X46" i="5"/>
  <c r="F278" i="9"/>
  <c r="U236" i="5"/>
  <c r="I239" i="5" s="1"/>
  <c r="Q80" i="5"/>
  <c r="I81" i="5" s="1"/>
  <c r="I152" i="5"/>
  <c r="H56" i="5"/>
  <c r="F33" i="9"/>
  <c r="F52" i="9"/>
  <c r="E53" i="9" s="1"/>
  <c r="M192" i="10"/>
  <c r="D20" i="9"/>
  <c r="H198" i="5"/>
  <c r="D113" i="9"/>
  <c r="Q92" i="5"/>
  <c r="AJ167" i="1"/>
  <c r="V428" i="5"/>
  <c r="V385" i="1"/>
  <c r="U613" i="5"/>
  <c r="CI792" i="1"/>
  <c r="T216" i="10"/>
  <c r="I955" i="5"/>
  <c r="K673" i="5"/>
  <c r="V1151" i="1"/>
  <c r="I909" i="5"/>
  <c r="I906" i="5"/>
  <c r="X906" i="5" s="1"/>
  <c r="V92" i="5"/>
  <c r="I367" i="5"/>
  <c r="O370" i="5" s="1"/>
  <c r="V366" i="5"/>
  <c r="O404" i="5"/>
  <c r="M162" i="10"/>
  <c r="I639" i="5"/>
  <c r="W639" i="5" s="1"/>
  <c r="F305" i="9"/>
  <c r="D18" i="9"/>
  <c r="CZ83" i="1"/>
  <c r="Y83" i="1" s="1"/>
  <c r="P411" i="5"/>
  <c r="V645" i="5"/>
  <c r="U658" i="5"/>
  <c r="I661" i="5" s="1"/>
  <c r="I671" i="5"/>
  <c r="U845" i="5"/>
  <c r="U1151" i="1"/>
  <c r="AH1157" i="1" s="1"/>
  <c r="GX1301" i="1"/>
  <c r="F286" i="9"/>
  <c r="I260" i="5"/>
  <c r="X260" i="5" s="1"/>
  <c r="O327" i="5"/>
  <c r="I549" i="5"/>
  <c r="O551" i="5" s="1"/>
  <c r="W707" i="1"/>
  <c r="U857" i="5"/>
  <c r="U260" i="5"/>
  <c r="I263" i="5" s="1"/>
  <c r="K771" i="5"/>
  <c r="I768" i="5"/>
  <c r="X768" i="5" s="1"/>
  <c r="S857" i="5"/>
  <c r="I859" i="5" s="1"/>
  <c r="T707" i="1"/>
  <c r="T385" i="1"/>
  <c r="GX1151" i="1"/>
  <c r="CJ1157" i="1" s="1"/>
  <c r="CY205" i="1"/>
  <c r="X205" i="1" s="1"/>
  <c r="CZ205" i="1"/>
  <c r="Y205" i="1" s="1"/>
  <c r="CY333" i="1"/>
  <c r="X333" i="1" s="1"/>
  <c r="CZ333" i="1"/>
  <c r="Y333" i="1" s="1"/>
  <c r="CP31" i="1"/>
  <c r="O31" i="1" s="1"/>
  <c r="CP30" i="1"/>
  <c r="O30" i="1" s="1"/>
  <c r="CP78" i="1"/>
  <c r="O78" i="1" s="1"/>
  <c r="CZ78" i="1"/>
  <c r="Y78" i="1" s="1"/>
  <c r="T126" i="5" s="1"/>
  <c r="K132" i="5" s="1"/>
  <c r="K249" i="5"/>
  <c r="T703" i="1"/>
  <c r="CZ574" i="1"/>
  <c r="Y574" i="1" s="1"/>
  <c r="T517" i="5" s="1"/>
  <c r="CZ580" i="1"/>
  <c r="Y580" i="1" s="1"/>
  <c r="T543" i="5" s="1"/>
  <c r="K549" i="5" s="1"/>
  <c r="AE864" i="1"/>
  <c r="AT389" i="1"/>
  <c r="CZ1302" i="1"/>
  <c r="Y1302" i="1" s="1"/>
  <c r="T912" i="5" s="1"/>
  <c r="O334" i="5"/>
  <c r="O489" i="5"/>
  <c r="O634" i="5"/>
  <c r="H489" i="5"/>
  <c r="X606" i="5"/>
  <c r="S366" i="5"/>
  <c r="I368" i="5" s="1"/>
  <c r="H370" i="5" s="1"/>
  <c r="U161" i="5"/>
  <c r="I164" i="5" s="1"/>
  <c r="CJ259" i="1"/>
  <c r="J327" i="5"/>
  <c r="X351" i="5"/>
  <c r="F78" i="9"/>
  <c r="E82" i="9" s="1"/>
  <c r="U428" i="5"/>
  <c r="S538" i="5"/>
  <c r="I540" i="5" s="1"/>
  <c r="O582" i="5"/>
  <c r="K307" i="5"/>
  <c r="J310" i="5" s="1"/>
  <c r="X634" i="5"/>
  <c r="T154" i="10"/>
  <c r="I250" i="5"/>
  <c r="H253" i="5" s="1"/>
  <c r="AG259" i="1"/>
  <c r="T259" i="1" s="1"/>
  <c r="I308" i="5"/>
  <c r="S1002" i="1"/>
  <c r="R1301" i="1"/>
  <c r="GK1301" i="1" s="1"/>
  <c r="O142" i="5"/>
  <c r="T1155" i="1"/>
  <c r="I953" i="5"/>
  <c r="X956" i="5" s="1"/>
  <c r="T329" i="10"/>
  <c r="R856" i="5"/>
  <c r="P551" i="5"/>
  <c r="J551" i="5"/>
  <c r="W167" i="1"/>
  <c r="AJ156" i="1"/>
  <c r="P253" i="5"/>
  <c r="I590" i="5"/>
  <c r="AG247" i="1"/>
  <c r="O310" i="5"/>
  <c r="X310" i="5"/>
  <c r="CZ1305" i="1"/>
  <c r="Y1305" i="1" s="1"/>
  <c r="T930" i="5" s="1"/>
  <c r="CY1305" i="1"/>
  <c r="X1305" i="1" s="1"/>
  <c r="R930" i="5" s="1"/>
  <c r="H956" i="5"/>
  <c r="GP81" i="1"/>
  <c r="GM85" i="1"/>
  <c r="R149" i="5"/>
  <c r="V495" i="1"/>
  <c r="I138" i="10"/>
  <c r="O138" i="10" s="1"/>
  <c r="D75" i="6"/>
  <c r="D86" i="7"/>
  <c r="E468" i="5"/>
  <c r="V664" i="1"/>
  <c r="I190" i="10"/>
  <c r="D184" i="9" s="1"/>
  <c r="D113" i="7"/>
  <c r="D102" i="6"/>
  <c r="E615" i="5"/>
  <c r="W501" i="1"/>
  <c r="I145" i="10"/>
  <c r="D146" i="9" s="1"/>
  <c r="D79" i="6"/>
  <c r="D90" i="7"/>
  <c r="E496" i="5"/>
  <c r="V575" i="1"/>
  <c r="I149" i="10"/>
  <c r="O149" i="10" s="1"/>
  <c r="D95" i="7"/>
  <c r="D84" i="6"/>
  <c r="E520" i="5"/>
  <c r="U501" i="1"/>
  <c r="U786" i="1"/>
  <c r="I215" i="10"/>
  <c r="D219" i="9" s="1"/>
  <c r="D118" i="6"/>
  <c r="D129" i="7"/>
  <c r="E716" i="5"/>
  <c r="R1005" i="1"/>
  <c r="GK1005" i="1" s="1"/>
  <c r="I251" i="10"/>
  <c r="D255" i="9" s="1"/>
  <c r="D142" i="7"/>
  <c r="D131" i="6"/>
  <c r="E791" i="5"/>
  <c r="T1005" i="1"/>
  <c r="T798" i="5"/>
  <c r="K804" i="5" s="1"/>
  <c r="CP1194" i="1"/>
  <c r="O1194" i="1" s="1"/>
  <c r="K884" i="5"/>
  <c r="CP1304" i="1"/>
  <c r="O1304" i="1" s="1"/>
  <c r="K927" i="5"/>
  <c r="CP1342" i="1"/>
  <c r="O1342" i="1" s="1"/>
  <c r="K946" i="5"/>
  <c r="R887" i="5"/>
  <c r="P575" i="5"/>
  <c r="J46" i="5"/>
  <c r="X516" i="5"/>
  <c r="O253" i="5"/>
  <c r="GK34" i="1"/>
  <c r="K78" i="5"/>
  <c r="GK84" i="1"/>
  <c r="K147" i="5"/>
  <c r="E56" i="9"/>
  <c r="O60" i="10"/>
  <c r="F56" i="9" s="1"/>
  <c r="CY254" i="1"/>
  <c r="X254" i="1" s="1"/>
  <c r="R287" i="5" s="1"/>
  <c r="K289" i="5"/>
  <c r="CZ254" i="1"/>
  <c r="Y254" i="1" s="1"/>
  <c r="T287" i="5" s="1"/>
  <c r="E105" i="9"/>
  <c r="O98" i="10"/>
  <c r="F105" i="9" s="1"/>
  <c r="GK334" i="1"/>
  <c r="K356" i="5"/>
  <c r="K145" i="5"/>
  <c r="CZ84" i="1"/>
  <c r="Y84" i="1" s="1"/>
  <c r="T143" i="5" s="1"/>
  <c r="CY84" i="1"/>
  <c r="X84" i="1" s="1"/>
  <c r="R143" i="5" s="1"/>
  <c r="K150" i="5" s="1"/>
  <c r="F24" i="9"/>
  <c r="U80" i="5"/>
  <c r="I83" i="5" s="1"/>
  <c r="V35" i="1"/>
  <c r="GK86" i="1"/>
  <c r="K159" i="5"/>
  <c r="GK211" i="1"/>
  <c r="K258" i="5"/>
  <c r="E108" i="9"/>
  <c r="O106" i="10"/>
  <c r="F108" i="9" s="1"/>
  <c r="E146" i="9"/>
  <c r="GK652" i="1"/>
  <c r="K563" i="5"/>
  <c r="GK708" i="1"/>
  <c r="K668" i="5"/>
  <c r="CX280" i="3"/>
  <c r="D113" i="6"/>
  <c r="E690" i="5"/>
  <c r="D124" i="7"/>
  <c r="C691" i="5"/>
  <c r="S781" i="1"/>
  <c r="CP781" i="1" s="1"/>
  <c r="O781" i="1" s="1"/>
  <c r="GK785" i="1"/>
  <c r="K714" i="5"/>
  <c r="E250" i="9"/>
  <c r="O252" i="10"/>
  <c r="F250" i="9" s="1"/>
  <c r="CP1007" i="1"/>
  <c r="O1007" i="1" s="1"/>
  <c r="K802" i="5"/>
  <c r="V918" i="5"/>
  <c r="K921" i="5" s="1"/>
  <c r="GK1304" i="1"/>
  <c r="K928" i="5"/>
  <c r="GK207" i="1"/>
  <c r="K234" i="5"/>
  <c r="V357" i="5"/>
  <c r="K360" i="5" s="1"/>
  <c r="V383" i="5"/>
  <c r="V615" i="5"/>
  <c r="Q716" i="5"/>
  <c r="I719" i="5" s="1"/>
  <c r="Q875" i="5"/>
  <c r="I876" i="5" s="1"/>
  <c r="F280" i="9"/>
  <c r="D134" i="9"/>
  <c r="K442" i="5"/>
  <c r="S496" i="5"/>
  <c r="I498" i="5" s="1"/>
  <c r="S615" i="5"/>
  <c r="U690" i="5"/>
  <c r="F153" i="9"/>
  <c r="I93" i="5"/>
  <c r="X97" i="5" s="1"/>
  <c r="I357" i="5"/>
  <c r="X357" i="5" s="1"/>
  <c r="U335" i="1"/>
  <c r="E147" i="9"/>
  <c r="O136" i="10"/>
  <c r="V520" i="5"/>
  <c r="E181" i="9"/>
  <c r="O181" i="10"/>
  <c r="F181" i="9" s="1"/>
  <c r="M190" i="10"/>
  <c r="CP785" i="1"/>
  <c r="O785" i="1" s="1"/>
  <c r="K715" i="5"/>
  <c r="R215" i="10"/>
  <c r="E225" i="9"/>
  <c r="R251" i="10"/>
  <c r="E272" i="9"/>
  <c r="K854" i="5"/>
  <c r="CZ1153" i="1"/>
  <c r="Y1153" i="1" s="1"/>
  <c r="T852" i="5" s="1"/>
  <c r="CY1153" i="1"/>
  <c r="X1153" i="1" s="1"/>
  <c r="R852" i="5" s="1"/>
  <c r="D287" i="9"/>
  <c r="U875" i="5"/>
  <c r="E284" i="9"/>
  <c r="O293" i="10"/>
  <c r="F284" i="9" s="1"/>
  <c r="E313" i="9"/>
  <c r="O327" i="10"/>
  <c r="F313" i="9" s="1"/>
  <c r="E88" i="9"/>
  <c r="V496" i="5"/>
  <c r="K499" i="5" s="1"/>
  <c r="I730" i="5"/>
  <c r="X730" i="5" s="1"/>
  <c r="D244" i="9"/>
  <c r="Q791" i="5"/>
  <c r="I793" i="5" s="1"/>
  <c r="CZ1194" i="1"/>
  <c r="Y1194" i="1" s="1"/>
  <c r="T881" i="5" s="1"/>
  <c r="K889" i="5" s="1"/>
  <c r="K883" i="5"/>
  <c r="P892" i="5" s="1"/>
  <c r="CY1194" i="1"/>
  <c r="X1194" i="1" s="1"/>
  <c r="R881" i="5" s="1"/>
  <c r="K888" i="5" s="1"/>
  <c r="S930" i="5"/>
  <c r="I932" i="5" s="1"/>
  <c r="P35" i="1"/>
  <c r="M87" i="10"/>
  <c r="V730" i="5"/>
  <c r="K733" i="5" s="1"/>
  <c r="U790" i="1"/>
  <c r="E255" i="9"/>
  <c r="I875" i="5"/>
  <c r="X875" i="5" s="1"/>
  <c r="GX1305" i="1"/>
  <c r="CZ1344" i="1"/>
  <c r="Y1344" i="1" s="1"/>
  <c r="T950" i="5" s="1"/>
  <c r="K953" i="5" s="1"/>
  <c r="CY1344" i="1"/>
  <c r="X1344" i="1" s="1"/>
  <c r="R950" i="5" s="1"/>
  <c r="CG1347" i="1"/>
  <c r="GX335" i="1"/>
  <c r="V790" i="1"/>
  <c r="CP159" i="1"/>
  <c r="O159" i="1" s="1"/>
  <c r="AT89" i="1"/>
  <c r="F107" i="1" s="1"/>
  <c r="R35" i="1"/>
  <c r="GK35" i="1" s="1"/>
  <c r="GK37" i="1"/>
  <c r="K90" i="5"/>
  <c r="R40" i="1"/>
  <c r="GK40" i="1" s="1"/>
  <c r="CP80" i="1"/>
  <c r="O80" i="1" s="1"/>
  <c r="CP161" i="1"/>
  <c r="O161" i="1" s="1"/>
  <c r="CP86" i="1"/>
  <c r="O86" i="1" s="1"/>
  <c r="I90" i="10"/>
  <c r="D88" i="9" s="1"/>
  <c r="D41" i="6"/>
  <c r="D52" i="7"/>
  <c r="E260" i="5"/>
  <c r="CZ80" i="1"/>
  <c r="Y80" i="1" s="1"/>
  <c r="T136" i="5" s="1"/>
  <c r="K140" i="5" s="1"/>
  <c r="P142" i="5" s="1"/>
  <c r="CP77" i="1"/>
  <c r="O77" i="1" s="1"/>
  <c r="AP214" i="1"/>
  <c r="CY78" i="1"/>
  <c r="X78" i="1" s="1"/>
  <c r="R126" i="5" s="1"/>
  <c r="K131" i="5" s="1"/>
  <c r="P135" i="5" s="1"/>
  <c r="CG89" i="1"/>
  <c r="AX89" i="1" s="1"/>
  <c r="GK254" i="1"/>
  <c r="K291" i="5"/>
  <c r="CP209" i="1"/>
  <c r="O209" i="1" s="1"/>
  <c r="CP254" i="1"/>
  <c r="O254" i="1" s="1"/>
  <c r="GN254" i="1" s="1"/>
  <c r="K292" i="5"/>
  <c r="CZ211" i="1"/>
  <c r="Y211" i="1" s="1"/>
  <c r="T254" i="5" s="1"/>
  <c r="AF259" i="1"/>
  <c r="CP251" i="1"/>
  <c r="O251" i="1" s="1"/>
  <c r="R335" i="1"/>
  <c r="GK335" i="1" s="1"/>
  <c r="GX387" i="1"/>
  <c r="I130" i="10"/>
  <c r="D132" i="9" s="1"/>
  <c r="D70" i="6"/>
  <c r="D81" i="7"/>
  <c r="E439" i="5"/>
  <c r="CZ330" i="1"/>
  <c r="Y330" i="1" s="1"/>
  <c r="T335" i="5" s="1"/>
  <c r="K341" i="5" s="1"/>
  <c r="J344" i="5" s="1"/>
  <c r="CP378" i="1"/>
  <c r="O378" i="1" s="1"/>
  <c r="CY329" i="1"/>
  <c r="X329" i="1" s="1"/>
  <c r="R328" i="5" s="1"/>
  <c r="K331" i="5" s="1"/>
  <c r="P334" i="5" s="1"/>
  <c r="CP577" i="1"/>
  <c r="O577" i="1" s="1"/>
  <c r="K529" i="5" s="1"/>
  <c r="CI389" i="1"/>
  <c r="CI376" i="1" s="1"/>
  <c r="CP708" i="1"/>
  <c r="O708" i="1" s="1"/>
  <c r="CY574" i="1"/>
  <c r="X574" i="1" s="1"/>
  <c r="R517" i="5" s="1"/>
  <c r="CI583" i="1"/>
  <c r="CZ654" i="1"/>
  <c r="Y654" i="1" s="1"/>
  <c r="T576" i="5" s="1"/>
  <c r="K580" i="5" s="1"/>
  <c r="J582" i="5" s="1"/>
  <c r="F676" i="1"/>
  <c r="W703" i="1"/>
  <c r="D106" i="6"/>
  <c r="D117" i="7"/>
  <c r="E645" i="5"/>
  <c r="C646" i="5"/>
  <c r="CP784" i="1"/>
  <c r="O784" i="1" s="1"/>
  <c r="AQ389" i="1"/>
  <c r="F399" i="1" s="1"/>
  <c r="U702" i="1"/>
  <c r="I643" i="5" s="1"/>
  <c r="I192" i="10"/>
  <c r="D190" i="9" s="1"/>
  <c r="D105" i="6"/>
  <c r="D116" i="7"/>
  <c r="C636" i="5"/>
  <c r="I638" i="5"/>
  <c r="E635" i="5"/>
  <c r="GK789" i="1"/>
  <c r="K728" i="5"/>
  <c r="I231" i="10"/>
  <c r="D234" i="9" s="1"/>
  <c r="D125" i="6"/>
  <c r="E749" i="5"/>
  <c r="D136" i="7"/>
  <c r="CZ578" i="1"/>
  <c r="Y578" i="1" s="1"/>
  <c r="T534" i="5" s="1"/>
  <c r="CY861" i="1"/>
  <c r="X861" i="1" s="1"/>
  <c r="R743" i="5" s="1"/>
  <c r="BZ859" i="1"/>
  <c r="GX702" i="1"/>
  <c r="CP1003" i="1"/>
  <c r="O1003" i="1" s="1"/>
  <c r="CY1302" i="1"/>
  <c r="X1302" i="1" s="1"/>
  <c r="R912" i="5" s="1"/>
  <c r="AP1347" i="1"/>
  <c r="CG1157" i="1"/>
  <c r="AX1157" i="1" s="1"/>
  <c r="W871" i="5"/>
  <c r="W88" i="5"/>
  <c r="X689" i="5"/>
  <c r="X125" i="5"/>
  <c r="X73" i="5"/>
  <c r="W945" i="5"/>
  <c r="H784" i="5"/>
  <c r="X551" i="5"/>
  <c r="H516" i="5"/>
  <c r="O286" i="5"/>
  <c r="X807" i="5"/>
  <c r="W571" i="5"/>
  <c r="X404" i="5"/>
  <c r="H344" i="5"/>
  <c r="H125" i="5"/>
  <c r="H46" i="5"/>
  <c r="X229" i="5"/>
  <c r="X784" i="5"/>
  <c r="H351" i="5"/>
  <c r="O807" i="5"/>
  <c r="X568" i="5"/>
  <c r="O482" i="5"/>
  <c r="O46" i="5"/>
  <c r="H551" i="5"/>
  <c r="X423" i="5"/>
  <c r="H73" i="5"/>
  <c r="D13" i="9"/>
  <c r="M98" i="10"/>
  <c r="GK382" i="1"/>
  <c r="K416" i="5"/>
  <c r="Q161" i="5"/>
  <c r="I162" i="5" s="1"/>
  <c r="F176" i="9"/>
  <c r="F244" i="9"/>
  <c r="T35" i="1"/>
  <c r="U40" i="1"/>
  <c r="D44" i="9"/>
  <c r="T60" i="10"/>
  <c r="R87" i="10"/>
  <c r="T98" i="10"/>
  <c r="T335" i="1"/>
  <c r="E120" i="9"/>
  <c r="F112" i="9"/>
  <c r="F159" i="9"/>
  <c r="F175" i="9"/>
  <c r="R192" i="10"/>
  <c r="F279" i="9"/>
  <c r="F301" i="9"/>
  <c r="F180" i="9"/>
  <c r="GK39" i="1"/>
  <c r="K102" i="5"/>
  <c r="E87" i="9"/>
  <c r="O79" i="10"/>
  <c r="F87" i="9" s="1"/>
  <c r="CY336" i="1"/>
  <c r="X336" i="1" s="1"/>
  <c r="R363" i="5" s="1"/>
  <c r="K365" i="5"/>
  <c r="CZ336" i="1"/>
  <c r="Y336" i="1" s="1"/>
  <c r="T363" i="5" s="1"/>
  <c r="CY339" i="1"/>
  <c r="X339" i="1" s="1"/>
  <c r="R374" i="5" s="1"/>
  <c r="K375" i="5" s="1"/>
  <c r="CZ339" i="1"/>
  <c r="Y339" i="1" s="1"/>
  <c r="T374" i="5" s="1"/>
  <c r="K376" i="5" s="1"/>
  <c r="CY496" i="1"/>
  <c r="X496" i="1" s="1"/>
  <c r="R473" i="5" s="1"/>
  <c r="K478" i="5" s="1"/>
  <c r="K475" i="5"/>
  <c r="CZ496" i="1"/>
  <c r="Y496" i="1" s="1"/>
  <c r="T473" i="5" s="1"/>
  <c r="K479" i="5" s="1"/>
  <c r="CY659" i="1"/>
  <c r="X659" i="1" s="1"/>
  <c r="R595" i="5" s="1"/>
  <c r="K602" i="5" s="1"/>
  <c r="K597" i="5"/>
  <c r="CZ659" i="1"/>
  <c r="Y659" i="1" s="1"/>
  <c r="T595" i="5" s="1"/>
  <c r="K603" i="5" s="1"/>
  <c r="T189" i="10"/>
  <c r="I637" i="5"/>
  <c r="E204" i="9"/>
  <c r="S690" i="5"/>
  <c r="I694" i="5" s="1"/>
  <c r="W781" i="1"/>
  <c r="S790" i="1"/>
  <c r="V749" i="5"/>
  <c r="K752" i="5" s="1"/>
  <c r="T241" i="10"/>
  <c r="CP1006" i="1"/>
  <c r="O1006" i="1" s="1"/>
  <c r="R272" i="10"/>
  <c r="I878" i="5"/>
  <c r="S906" i="5"/>
  <c r="I908" i="5" s="1"/>
  <c r="E303" i="9"/>
  <c r="Q385" i="1"/>
  <c r="I127" i="10"/>
  <c r="O127" i="10" s="1"/>
  <c r="D68" i="6"/>
  <c r="D79" i="7"/>
  <c r="E428" i="5"/>
  <c r="P385" i="1"/>
  <c r="I539" i="5"/>
  <c r="D172" i="9"/>
  <c r="V589" i="5"/>
  <c r="K592" i="5" s="1"/>
  <c r="U615" i="5"/>
  <c r="I618" i="5" s="1"/>
  <c r="T207" i="10"/>
  <c r="P781" i="1"/>
  <c r="Q1151" i="1"/>
  <c r="CP1151" i="1" s="1"/>
  <c r="O1151" i="1" s="1"/>
  <c r="I273" i="10"/>
  <c r="D271" i="9" s="1"/>
  <c r="D151" i="7"/>
  <c r="E845" i="5"/>
  <c r="D140" i="6"/>
  <c r="R1151" i="1"/>
  <c r="GK1151" i="1" s="1"/>
  <c r="W1151" i="1"/>
  <c r="I888" i="5"/>
  <c r="D84" i="9"/>
  <c r="U385" i="1"/>
  <c r="I439" i="5"/>
  <c r="X439" i="5" s="1"/>
  <c r="Q496" i="5"/>
  <c r="I497" i="5" s="1"/>
  <c r="E157" i="9"/>
  <c r="O148" i="10"/>
  <c r="R154" i="10"/>
  <c r="I613" i="5"/>
  <c r="X613" i="5" s="1"/>
  <c r="E185" i="9"/>
  <c r="O189" i="10"/>
  <c r="F185" i="9" s="1"/>
  <c r="GK706" i="1"/>
  <c r="K656" i="5"/>
  <c r="V690" i="5"/>
  <c r="I716" i="5"/>
  <c r="X716" i="5" s="1"/>
  <c r="F11" i="9"/>
  <c r="Q103" i="5"/>
  <c r="I104" i="5" s="1"/>
  <c r="R106" i="10"/>
  <c r="CP340" i="1"/>
  <c r="O340" i="1" s="1"/>
  <c r="GN340" i="1" s="1"/>
  <c r="K382" i="5"/>
  <c r="W385" i="1"/>
  <c r="M136" i="10"/>
  <c r="R148" i="10"/>
  <c r="R149" i="10"/>
  <c r="E156" i="9"/>
  <c r="O154" i="10"/>
  <c r="F156" i="9" s="1"/>
  <c r="E182" i="9"/>
  <c r="M181" i="10"/>
  <c r="U645" i="5"/>
  <c r="M207" i="10"/>
  <c r="V716" i="5"/>
  <c r="R790" i="1"/>
  <c r="GK790" i="1" s="1"/>
  <c r="S749" i="5"/>
  <c r="I751" i="5" s="1"/>
  <c r="X754" i="5" s="1"/>
  <c r="Q768" i="5"/>
  <c r="I769" i="5" s="1"/>
  <c r="T251" i="10"/>
  <c r="CZ1150" i="1"/>
  <c r="Y1150" i="1" s="1"/>
  <c r="T844" i="5" s="1"/>
  <c r="CY1150" i="1"/>
  <c r="X1150" i="1" s="1"/>
  <c r="R844" i="5" s="1"/>
  <c r="V845" i="5"/>
  <c r="K849" i="5" s="1"/>
  <c r="M276" i="10"/>
  <c r="I277" i="10"/>
  <c r="R277" i="10" s="1"/>
  <c r="D155" i="7"/>
  <c r="E857" i="5"/>
  <c r="D144" i="6"/>
  <c r="P1155" i="1"/>
  <c r="D286" i="9"/>
  <c r="D285" i="9"/>
  <c r="GK1194" i="1"/>
  <c r="K885" i="5"/>
  <c r="CP1195" i="1"/>
  <c r="O1195" i="1" s="1"/>
  <c r="K887" i="5" s="1"/>
  <c r="D305" i="9"/>
  <c r="D292" i="9"/>
  <c r="D293" i="9"/>
  <c r="T1301" i="1"/>
  <c r="GK1302" i="1"/>
  <c r="K916" i="5"/>
  <c r="CZ1304" i="1"/>
  <c r="Y1304" i="1" s="1"/>
  <c r="T924" i="5" s="1"/>
  <c r="K932" i="5" s="1"/>
  <c r="K926" i="5"/>
  <c r="CY1304" i="1"/>
  <c r="X1304" i="1" s="1"/>
  <c r="R924" i="5" s="1"/>
  <c r="K931" i="5" s="1"/>
  <c r="F84" i="9"/>
  <c r="GK78" i="1"/>
  <c r="K130" i="5"/>
  <c r="CY255" i="1"/>
  <c r="X255" i="1" s="1"/>
  <c r="R293" i="5" s="1"/>
  <c r="CZ255" i="1"/>
  <c r="Y255" i="1" s="1"/>
  <c r="T293" i="5" s="1"/>
  <c r="R145" i="10"/>
  <c r="Q520" i="5"/>
  <c r="I521" i="5" s="1"/>
  <c r="T181" i="10"/>
  <c r="Q645" i="5"/>
  <c r="I648" i="5" s="1"/>
  <c r="E234" i="9"/>
  <c r="O231" i="10"/>
  <c r="F234" i="9" s="1"/>
  <c r="E237" i="9" s="1"/>
  <c r="D241" i="9"/>
  <c r="S791" i="5"/>
  <c r="I794" i="5" s="1"/>
  <c r="E274" i="9"/>
  <c r="O272" i="10"/>
  <c r="F274" i="9" s="1"/>
  <c r="R276" i="10"/>
  <c r="V857" i="5"/>
  <c r="I80" i="5"/>
  <c r="X80" i="5" s="1"/>
  <c r="E85" i="9"/>
  <c r="O87" i="10"/>
  <c r="F85" i="9" s="1"/>
  <c r="CX150" i="3"/>
  <c r="D64" i="7"/>
  <c r="D53" i="6"/>
  <c r="E345" i="5"/>
  <c r="C346" i="5"/>
  <c r="R331" i="1"/>
  <c r="GK331" i="1" s="1"/>
  <c r="T1151" i="1"/>
  <c r="S1155" i="1"/>
  <c r="R329" i="10"/>
  <c r="CP211" i="1"/>
  <c r="O211" i="1" s="1"/>
  <c r="K259" i="5"/>
  <c r="R86" i="5"/>
  <c r="CP207" i="1"/>
  <c r="O207" i="1" s="1"/>
  <c r="K235" i="5"/>
  <c r="T341" i="1"/>
  <c r="I118" i="10"/>
  <c r="D120" i="9" s="1"/>
  <c r="D72" i="7"/>
  <c r="D61" i="6"/>
  <c r="E383" i="5"/>
  <c r="GK256" i="1"/>
  <c r="K303" i="5"/>
  <c r="T658" i="1"/>
  <c r="I173" i="10"/>
  <c r="D182" i="9" s="1"/>
  <c r="D107" i="7"/>
  <c r="D96" i="6"/>
  <c r="E589" i="5"/>
  <c r="CP382" i="1"/>
  <c r="O382" i="1" s="1"/>
  <c r="K417" i="5"/>
  <c r="CP385" i="1"/>
  <c r="O385" i="1" s="1"/>
  <c r="K428" i="5" s="1"/>
  <c r="CP578" i="1"/>
  <c r="O578" i="1" s="1"/>
  <c r="K537" i="5"/>
  <c r="CP657" i="1"/>
  <c r="O657" i="1" s="1"/>
  <c r="K586" i="5"/>
  <c r="GK659" i="1"/>
  <c r="K599" i="5"/>
  <c r="CP706" i="1"/>
  <c r="O706" i="1" s="1"/>
  <c r="K655" i="5"/>
  <c r="W786" i="1"/>
  <c r="GX1193" i="1"/>
  <c r="CJ1197" i="1" s="1"/>
  <c r="CJ1190" i="1" s="1"/>
  <c r="I286" i="10"/>
  <c r="D283" i="9" s="1"/>
  <c r="D147" i="6"/>
  <c r="E875" i="5"/>
  <c r="D158" i="7"/>
  <c r="T1303" i="1"/>
  <c r="I312" i="10"/>
  <c r="R312" i="10" s="1"/>
  <c r="D166" i="7"/>
  <c r="E918" i="5"/>
  <c r="D154" i="6"/>
  <c r="T856" i="5"/>
  <c r="H378" i="5"/>
  <c r="X370" i="5"/>
  <c r="I30" i="10"/>
  <c r="D34" i="9" s="1"/>
  <c r="D26" i="7"/>
  <c r="D15" i="6"/>
  <c r="E80" i="5"/>
  <c r="S35" i="1"/>
  <c r="CP37" i="1"/>
  <c r="O37" i="1" s="1"/>
  <c r="GM37" i="1" s="1"/>
  <c r="K91" i="5"/>
  <c r="I115" i="10"/>
  <c r="R115" i="10" s="1"/>
  <c r="D66" i="7"/>
  <c r="D55" i="6"/>
  <c r="E357" i="5"/>
  <c r="S335" i="1"/>
  <c r="E133" i="9"/>
  <c r="O125" i="10"/>
  <c r="I461" i="5"/>
  <c r="O463" i="5" s="1"/>
  <c r="E38" i="9"/>
  <c r="T87" i="10"/>
  <c r="M118" i="10"/>
  <c r="CY378" i="1"/>
  <c r="X378" i="1" s="1"/>
  <c r="R395" i="5" s="1"/>
  <c r="K400" i="5" s="1"/>
  <c r="K397" i="5"/>
  <c r="CZ378" i="1"/>
  <c r="Y378" i="1" s="1"/>
  <c r="T395" i="5" s="1"/>
  <c r="K401" i="5" s="1"/>
  <c r="I468" i="5"/>
  <c r="X468" i="5" s="1"/>
  <c r="I496" i="5"/>
  <c r="X496" i="5" s="1"/>
  <c r="R189" i="10"/>
  <c r="I692" i="5"/>
  <c r="Q790" i="1"/>
  <c r="I225" i="10"/>
  <c r="D222" i="9" s="1"/>
  <c r="D122" i="6"/>
  <c r="D133" i="7"/>
  <c r="E730" i="5"/>
  <c r="W790" i="1"/>
  <c r="K840" i="5"/>
  <c r="CY1149" i="1"/>
  <c r="X1149" i="1" s="1"/>
  <c r="R838" i="5" s="1"/>
  <c r="CZ1149" i="1"/>
  <c r="Y1149" i="1" s="1"/>
  <c r="T838" i="5" s="1"/>
  <c r="M277" i="10"/>
  <c r="E315" i="9"/>
  <c r="O328" i="10"/>
  <c r="F315" i="9" s="1"/>
  <c r="U357" i="5"/>
  <c r="I360" i="5" s="1"/>
  <c r="V335" i="1"/>
  <c r="T118" i="10"/>
  <c r="Q468" i="5"/>
  <c r="I469" i="5" s="1"/>
  <c r="X472" i="5" s="1"/>
  <c r="U589" i="5"/>
  <c r="I592" i="5" s="1"/>
  <c r="T190" i="10"/>
  <c r="E302" i="9"/>
  <c r="CY33" i="1"/>
  <c r="X33" i="1" s="1"/>
  <c r="GM33" i="1" s="1"/>
  <c r="CZ33" i="1"/>
  <c r="Y33" i="1" s="1"/>
  <c r="D80" i="9"/>
  <c r="Q383" i="5"/>
  <c r="I384" i="5" s="1"/>
  <c r="I520" i="5"/>
  <c r="X520" i="5" s="1"/>
  <c r="S589" i="5"/>
  <c r="I591" i="5" s="1"/>
  <c r="E186" i="9"/>
  <c r="M189" i="10"/>
  <c r="M215" i="10"/>
  <c r="S80" i="5"/>
  <c r="I82" i="5" s="1"/>
  <c r="CY39" i="1"/>
  <c r="X39" i="1" s="1"/>
  <c r="R98" i="5" s="1"/>
  <c r="K100" i="5"/>
  <c r="CZ39" i="1"/>
  <c r="Y39" i="1" s="1"/>
  <c r="T98" i="5" s="1"/>
  <c r="I43" i="10"/>
  <c r="R43" i="10" s="1"/>
  <c r="D30" i="7"/>
  <c r="E103" i="5"/>
  <c r="D19" i="6"/>
  <c r="S40" i="1"/>
  <c r="GX40" i="1"/>
  <c r="T106" i="10"/>
  <c r="E119" i="9"/>
  <c r="O115" i="10"/>
  <c r="V468" i="5"/>
  <c r="T149" i="10"/>
  <c r="I615" i="5"/>
  <c r="X615" i="5" s="1"/>
  <c r="E207" i="9"/>
  <c r="O207" i="10"/>
  <c r="F207" i="9" s="1"/>
  <c r="U716" i="5"/>
  <c r="I721" i="5" s="1"/>
  <c r="H723" i="5" s="1"/>
  <c r="T790" i="1"/>
  <c r="U791" i="5"/>
  <c r="I795" i="5" s="1"/>
  <c r="D280" i="9"/>
  <c r="D279" i="9"/>
  <c r="R286" i="10"/>
  <c r="S520" i="5"/>
  <c r="I522" i="5" s="1"/>
  <c r="R181" i="10"/>
  <c r="E222" i="9"/>
  <c r="Q1305" i="1"/>
  <c r="CP1305" i="1" s="1"/>
  <c r="O1305" i="1" s="1"/>
  <c r="I322" i="10"/>
  <c r="D303" i="9" s="1"/>
  <c r="D168" i="7"/>
  <c r="D156" i="6"/>
  <c r="E930" i="5"/>
  <c r="R1305" i="1"/>
  <c r="GK1305" i="1" s="1"/>
  <c r="V1305" i="1"/>
  <c r="I791" i="5"/>
  <c r="X791" i="5" s="1"/>
  <c r="E283" i="9"/>
  <c r="R781" i="1"/>
  <c r="GK781" i="1" s="1"/>
  <c r="T87" i="1"/>
  <c r="AG89" i="1" s="1"/>
  <c r="I63" i="10"/>
  <c r="D59" i="9" s="1"/>
  <c r="D38" i="7"/>
  <c r="D27" i="6"/>
  <c r="E161" i="5"/>
  <c r="GX38" i="1"/>
  <c r="I40" i="10"/>
  <c r="O40" i="10" s="1"/>
  <c r="D28" i="7"/>
  <c r="E92" i="5"/>
  <c r="D17" i="6"/>
  <c r="CP84" i="1"/>
  <c r="O84" i="1" s="1"/>
  <c r="GN84" i="1" s="1"/>
  <c r="K146" i="5"/>
  <c r="V38" i="1"/>
  <c r="AI42" i="1" s="1"/>
  <c r="CP165" i="1"/>
  <c r="O165" i="1" s="1"/>
  <c r="GM165" i="1" s="1"/>
  <c r="K193" i="5"/>
  <c r="T208" i="1"/>
  <c r="I79" i="10"/>
  <c r="D87" i="9" s="1"/>
  <c r="D37" i="6"/>
  <c r="D48" i="7"/>
  <c r="E236" i="5"/>
  <c r="GN85" i="1"/>
  <c r="T149" i="5"/>
  <c r="CY202" i="1"/>
  <c r="X202" i="1" s="1"/>
  <c r="R206" i="5" s="1"/>
  <c r="K211" i="5" s="1"/>
  <c r="J215" i="5" s="1"/>
  <c r="CP202" i="1"/>
  <c r="O202" i="1" s="1"/>
  <c r="V337" i="1"/>
  <c r="I116" i="10"/>
  <c r="T116" i="10" s="1"/>
  <c r="D68" i="7"/>
  <c r="D57" i="6"/>
  <c r="E366" i="5"/>
  <c r="CZ203" i="1"/>
  <c r="Y203" i="1" s="1"/>
  <c r="T216" i="5" s="1"/>
  <c r="K220" i="5" s="1"/>
  <c r="P222" i="5" s="1"/>
  <c r="CZ207" i="1"/>
  <c r="Y207" i="1" s="1"/>
  <c r="T230" i="5" s="1"/>
  <c r="CY249" i="1"/>
  <c r="X249" i="1" s="1"/>
  <c r="R273" i="5" s="1"/>
  <c r="K276" i="5" s="1"/>
  <c r="CG259" i="1"/>
  <c r="CP328" i="1"/>
  <c r="O328" i="1" s="1"/>
  <c r="I188" i="10"/>
  <c r="D186" i="9" s="1"/>
  <c r="D111" i="7"/>
  <c r="D100" i="6"/>
  <c r="E613" i="5"/>
  <c r="CP330" i="1"/>
  <c r="O330" i="1" s="1"/>
  <c r="GN330" i="1" s="1"/>
  <c r="GK657" i="1"/>
  <c r="K587" i="5"/>
  <c r="CP659" i="1"/>
  <c r="O659" i="1" s="1"/>
  <c r="K600" i="5"/>
  <c r="GK661" i="1"/>
  <c r="K611" i="5"/>
  <c r="GK386" i="1"/>
  <c r="K437" i="5"/>
  <c r="CP500" i="1"/>
  <c r="O500" i="1" s="1"/>
  <c r="K495" i="5"/>
  <c r="CP574" i="1"/>
  <c r="O574" i="1" s="1"/>
  <c r="U579" i="1"/>
  <c r="I159" i="10"/>
  <c r="D155" i="9" s="1"/>
  <c r="D99" i="7"/>
  <c r="D88" i="6"/>
  <c r="E538" i="5"/>
  <c r="GK702" i="1"/>
  <c r="K639" i="5"/>
  <c r="CY572" i="1"/>
  <c r="X572" i="1" s="1"/>
  <c r="R509" i="5" s="1"/>
  <c r="K513" i="5" s="1"/>
  <c r="CZ652" i="1"/>
  <c r="Y652" i="1" s="1"/>
  <c r="T559" i="5" s="1"/>
  <c r="K565" i="5" s="1"/>
  <c r="J568" i="5" s="1"/>
  <c r="GK492" i="1"/>
  <c r="W788" i="1"/>
  <c r="I217" i="10"/>
  <c r="D225" i="9" s="1"/>
  <c r="D120" i="6"/>
  <c r="D131" i="7"/>
  <c r="E718" i="5"/>
  <c r="CZ576" i="1"/>
  <c r="Y576" i="1" s="1"/>
  <c r="T525" i="5" s="1"/>
  <c r="K531" i="5" s="1"/>
  <c r="J533" i="5" s="1"/>
  <c r="GX786" i="1"/>
  <c r="CY785" i="1"/>
  <c r="X785" i="1" s="1"/>
  <c r="CI1157" i="1"/>
  <c r="AZ1157" i="1" s="1"/>
  <c r="CY1007" i="1"/>
  <c r="X1007" i="1" s="1"/>
  <c r="R798" i="5" s="1"/>
  <c r="K803" i="5" s="1"/>
  <c r="AD1157" i="1"/>
  <c r="AD1147" i="1" s="1"/>
  <c r="CP1344" i="1"/>
  <c r="O1344" i="1" s="1"/>
  <c r="K950" i="5" s="1"/>
  <c r="CY701" i="1"/>
  <c r="X701" i="1" s="1"/>
  <c r="R628" i="5" s="1"/>
  <c r="K631" i="5" s="1"/>
  <c r="P634" i="5" s="1"/>
  <c r="CZ780" i="1"/>
  <c r="Y780" i="1" s="1"/>
  <c r="T683" i="5" s="1"/>
  <c r="K687" i="5" s="1"/>
  <c r="J689" i="5" s="1"/>
  <c r="CZ784" i="1"/>
  <c r="Y784" i="1" s="1"/>
  <c r="T703" i="5" s="1"/>
  <c r="K707" i="5" s="1"/>
  <c r="P709" i="5" s="1"/>
  <c r="CZ1003" i="1"/>
  <c r="Y1003" i="1" s="1"/>
  <c r="T774" i="5" s="1"/>
  <c r="K781" i="5" s="1"/>
  <c r="P784" i="5" s="1"/>
  <c r="AF1347" i="1"/>
  <c r="AF1340" i="1" s="1"/>
  <c r="W320" i="5"/>
  <c r="X851" i="5"/>
  <c r="H286" i="5"/>
  <c r="X187" i="5"/>
  <c r="X575" i="5"/>
  <c r="O66" i="5"/>
  <c r="H709" i="5"/>
  <c r="O516" i="5"/>
  <c r="W397" i="5"/>
  <c r="H187" i="5"/>
  <c r="X56" i="5"/>
  <c r="H404" i="5"/>
  <c r="H310" i="5"/>
  <c r="H634" i="5"/>
  <c r="O180" i="5"/>
  <c r="X482" i="5"/>
  <c r="O187" i="5"/>
  <c r="U103" i="5"/>
  <c r="I106" i="5" s="1"/>
  <c r="I296" i="5"/>
  <c r="F20" i="9"/>
  <c r="GK28" i="1"/>
  <c r="K40" i="5"/>
  <c r="W35" i="1"/>
  <c r="P40" i="1"/>
  <c r="D51" i="9"/>
  <c r="M60" i="10"/>
  <c r="Q357" i="5"/>
  <c r="I358" i="5" s="1"/>
  <c r="M127" i="10"/>
  <c r="I383" i="5"/>
  <c r="X383" i="5" s="1"/>
  <c r="I151" i="5"/>
  <c r="H154" i="5" s="1"/>
  <c r="F113" i="9"/>
  <c r="O192" i="10"/>
  <c r="F190" i="9" s="1"/>
  <c r="E199" i="9" s="1"/>
  <c r="D12" i="9"/>
  <c r="Q40" i="1"/>
  <c r="CZ159" i="1"/>
  <c r="Y159" i="1" s="1"/>
  <c r="T181" i="5" s="1"/>
  <c r="K185" i="5" s="1"/>
  <c r="K183" i="5"/>
  <c r="CY159" i="1"/>
  <c r="X159" i="1" s="1"/>
  <c r="R181" i="5" s="1"/>
  <c r="K184" i="5" s="1"/>
  <c r="R79" i="10"/>
  <c r="CP339" i="1"/>
  <c r="O339" i="1" s="1"/>
  <c r="F292" i="9"/>
  <c r="E298" i="9" s="1"/>
  <c r="F300" i="9"/>
  <c r="F304" i="9"/>
  <c r="F158" i="9"/>
  <c r="V80" i="5"/>
  <c r="K83" i="5" s="1"/>
  <c r="Q35" i="1"/>
  <c r="S92" i="5"/>
  <c r="I94" i="5" s="1"/>
  <c r="V103" i="5"/>
  <c r="K106" i="5" s="1"/>
  <c r="Q260" i="5"/>
  <c r="I261" i="5" s="1"/>
  <c r="H265" i="5" s="1"/>
  <c r="M106" i="10"/>
  <c r="GK330" i="1"/>
  <c r="K339" i="5"/>
  <c r="U439" i="5"/>
  <c r="I442" i="5" s="1"/>
  <c r="D148" i="9"/>
  <c r="CY494" i="1"/>
  <c r="X494" i="1" s="1"/>
  <c r="R464" i="5" s="1"/>
  <c r="K466" i="5"/>
  <c r="M145" i="10"/>
  <c r="D154" i="9"/>
  <c r="Q538" i="5"/>
  <c r="V613" i="5"/>
  <c r="K618" i="5" s="1"/>
  <c r="Q635" i="5"/>
  <c r="I640" i="5" s="1"/>
  <c r="I199" i="10"/>
  <c r="D204" i="9" s="1"/>
  <c r="D108" i="6"/>
  <c r="D119" i="7"/>
  <c r="E658" i="5"/>
  <c r="U707" i="1"/>
  <c r="P707" i="1"/>
  <c r="Q707" i="1"/>
  <c r="Q690" i="5"/>
  <c r="I693" i="5" s="1"/>
  <c r="S718" i="5"/>
  <c r="Q730" i="5"/>
  <c r="I731" i="5" s="1"/>
  <c r="CZ1001" i="1"/>
  <c r="Y1001" i="1" s="1"/>
  <c r="T762" i="5" s="1"/>
  <c r="K764" i="5"/>
  <c r="CY1001" i="1"/>
  <c r="X1001" i="1" s="1"/>
  <c r="R762" i="5" s="1"/>
  <c r="E271" i="9"/>
  <c r="O273" i="10"/>
  <c r="F271" i="9" s="1"/>
  <c r="CY1152" i="1"/>
  <c r="X1152" i="1" s="1"/>
  <c r="R846" i="5" s="1"/>
  <c r="CZ1152" i="1"/>
  <c r="Y1152" i="1" s="1"/>
  <c r="T846" i="5" s="1"/>
  <c r="O277" i="10"/>
  <c r="Q1301" i="1"/>
  <c r="I306" i="10"/>
  <c r="R306" i="10" s="1"/>
  <c r="D164" i="7"/>
  <c r="E906" i="5"/>
  <c r="D152" i="6"/>
  <c r="W1301" i="1"/>
  <c r="U918" i="5"/>
  <c r="I921" i="5" s="1"/>
  <c r="K933" i="5"/>
  <c r="I930" i="5"/>
  <c r="X930" i="5" s="1"/>
  <c r="Q236" i="5"/>
  <c r="I237" i="5" s="1"/>
  <c r="H241" i="5" s="1"/>
  <c r="R118" i="10"/>
  <c r="S468" i="5"/>
  <c r="I470" i="5" s="1"/>
  <c r="I530" i="5"/>
  <c r="X533" i="5" s="1"/>
  <c r="R190" i="10"/>
  <c r="Q658" i="5"/>
  <c r="I659" i="5" s="1"/>
  <c r="S716" i="5"/>
  <c r="I720" i="5" s="1"/>
  <c r="I274" i="10"/>
  <c r="M274" i="10" s="1"/>
  <c r="D152" i="7"/>
  <c r="E846" i="5"/>
  <c r="D141" i="6"/>
  <c r="P1152" i="1"/>
  <c r="CP1152" i="1" s="1"/>
  <c r="O1152" i="1" s="1"/>
  <c r="S875" i="5"/>
  <c r="I877" i="5" s="1"/>
  <c r="X880" i="5" s="1"/>
  <c r="P1301" i="1"/>
  <c r="I918" i="5"/>
  <c r="X918" i="5" s="1"/>
  <c r="W1305" i="1"/>
  <c r="E314" i="9"/>
  <c r="O329" i="10"/>
  <c r="F314" i="9" s="1"/>
  <c r="F22" i="9"/>
  <c r="U92" i="5"/>
  <c r="I95" i="5" s="1"/>
  <c r="D81" i="9"/>
  <c r="R116" i="10"/>
  <c r="S383" i="5"/>
  <c r="I385" i="5" s="1"/>
  <c r="H387" i="5" s="1"/>
  <c r="E132" i="9"/>
  <c r="D147" i="9"/>
  <c r="GK496" i="1"/>
  <c r="K477" i="5"/>
  <c r="M149" i="10"/>
  <c r="U538" i="5"/>
  <c r="O162" i="10"/>
  <c r="K604" i="5"/>
  <c r="Q615" i="5"/>
  <c r="I616" i="5" s="1"/>
  <c r="U635" i="5"/>
  <c r="I642" i="5" s="1"/>
  <c r="U781" i="1"/>
  <c r="I695" i="5" s="1"/>
  <c r="E219" i="9"/>
  <c r="O215" i="10"/>
  <c r="F219" i="9" s="1"/>
  <c r="E226" i="9"/>
  <c r="O216" i="10"/>
  <c r="F226" i="9" s="1"/>
  <c r="E59" i="9"/>
  <c r="AI259" i="1"/>
  <c r="CY332" i="1"/>
  <c r="X332" i="1" s="1"/>
  <c r="CZ332" i="1"/>
  <c r="Y332" i="1" s="1"/>
  <c r="GP332" i="1" s="1"/>
  <c r="P335" i="1"/>
  <c r="CP335" i="1" s="1"/>
  <c r="O335" i="1" s="1"/>
  <c r="K357" i="5" s="1"/>
  <c r="Q428" i="5"/>
  <c r="I429" i="5" s="1"/>
  <c r="S439" i="5"/>
  <c r="I441" i="5" s="1"/>
  <c r="U468" i="5"/>
  <c r="U520" i="5"/>
  <c r="E155" i="9"/>
  <c r="O159" i="10"/>
  <c r="R162" i="10"/>
  <c r="I589" i="5"/>
  <c r="X589" i="5" s="1"/>
  <c r="CY663" i="1"/>
  <c r="X663" i="1" s="1"/>
  <c r="R614" i="5" s="1"/>
  <c r="CZ663" i="1"/>
  <c r="Y663" i="1" s="1"/>
  <c r="T614" i="5" s="1"/>
  <c r="E184" i="9"/>
  <c r="O190" i="10"/>
  <c r="F184" i="9" s="1"/>
  <c r="V658" i="5"/>
  <c r="K661" i="5" s="1"/>
  <c r="V707" i="1"/>
  <c r="CP709" i="1"/>
  <c r="O709" i="1" s="1"/>
  <c r="T781" i="1"/>
  <c r="T215" i="10"/>
  <c r="I718" i="5"/>
  <c r="X718" i="5" s="1"/>
  <c r="GK861" i="1"/>
  <c r="GM861" i="1" s="1"/>
  <c r="K747" i="5"/>
  <c r="Q1002" i="1"/>
  <c r="CP1002" i="1" s="1"/>
  <c r="O1002" i="1" s="1"/>
  <c r="I241" i="10"/>
  <c r="D256" i="9" s="1"/>
  <c r="D139" i="7"/>
  <c r="D128" i="6"/>
  <c r="E768" i="5"/>
  <c r="R1002" i="1"/>
  <c r="GK1002" i="1" s="1"/>
  <c r="W1002" i="1"/>
  <c r="V791" i="5"/>
  <c r="K795" i="5" s="1"/>
  <c r="T273" i="10"/>
  <c r="I846" i="5"/>
  <c r="X846" i="5" s="1"/>
  <c r="W1152" i="1"/>
  <c r="D278" i="9"/>
  <c r="M293" i="10"/>
  <c r="D296" i="9"/>
  <c r="D300" i="9"/>
  <c r="S918" i="5"/>
  <c r="I920" i="5" s="1"/>
  <c r="U930" i="5"/>
  <c r="I933" i="5" s="1"/>
  <c r="U1305" i="1"/>
  <c r="GX35" i="1"/>
  <c r="CJ42" i="1" s="1"/>
  <c r="U496" i="5"/>
  <c r="I499" i="5" s="1"/>
  <c r="I647" i="5"/>
  <c r="P790" i="1"/>
  <c r="CP790" i="1" s="1"/>
  <c r="O790" i="1" s="1"/>
  <c r="K730" i="5" s="1"/>
  <c r="I749" i="5"/>
  <c r="X749" i="5" s="1"/>
  <c r="T1002" i="1"/>
  <c r="E257" i="9"/>
  <c r="T277" i="10"/>
  <c r="R293" i="10"/>
  <c r="Q930" i="5"/>
  <c r="I931" i="5" s="1"/>
  <c r="K945" i="5"/>
  <c r="CY1342" i="1"/>
  <c r="X1342" i="1" s="1"/>
  <c r="R328" i="10"/>
  <c r="F253" i="9"/>
  <c r="F293" i="9"/>
  <c r="E34" i="9"/>
  <c r="V718" i="5"/>
  <c r="K726" i="5"/>
  <c r="CY789" i="1"/>
  <c r="X789" i="1" s="1"/>
  <c r="R724" i="5" s="1"/>
  <c r="CZ789" i="1"/>
  <c r="Y789" i="1" s="1"/>
  <c r="T724" i="5" s="1"/>
  <c r="U730" i="5"/>
  <c r="I733" i="5" s="1"/>
  <c r="I771" i="5"/>
  <c r="E256" i="9"/>
  <c r="O241" i="10"/>
  <c r="F256" i="9" s="1"/>
  <c r="M251" i="10"/>
  <c r="U846" i="5"/>
  <c r="I849" i="5" s="1"/>
  <c r="H851" i="5" s="1"/>
  <c r="V1152" i="1"/>
  <c r="AI1157" i="1" s="1"/>
  <c r="V1157" i="1" s="1"/>
  <c r="Q857" i="5"/>
  <c r="I858" i="5" s="1"/>
  <c r="K902" i="5"/>
  <c r="CY1300" i="1"/>
  <c r="X1300" i="1" s="1"/>
  <c r="R900" i="5" s="1"/>
  <c r="K907" i="5" s="1"/>
  <c r="V906" i="5"/>
  <c r="K909" i="5" s="1"/>
  <c r="T1305" i="1"/>
  <c r="W40" i="1"/>
  <c r="GX385" i="1"/>
  <c r="CJ389" i="1" s="1"/>
  <c r="V781" i="1"/>
  <c r="T1152" i="1"/>
  <c r="GX781" i="1"/>
  <c r="H702" i="5"/>
  <c r="CP783" i="1"/>
  <c r="O783" i="1" s="1"/>
  <c r="GP783" i="1" s="1"/>
  <c r="K701" i="5"/>
  <c r="CP782" i="1"/>
  <c r="O782" i="1" s="1"/>
  <c r="GP782" i="1" s="1"/>
  <c r="K698" i="5"/>
  <c r="O675" i="5"/>
  <c r="X166" i="5"/>
  <c r="J253" i="5"/>
  <c r="H675" i="5"/>
  <c r="P533" i="5"/>
  <c r="H423" i="5"/>
  <c r="X675" i="5"/>
  <c r="O423" i="5"/>
  <c r="O851" i="5"/>
  <c r="X253" i="5"/>
  <c r="T89" i="1"/>
  <c r="AG75" i="1"/>
  <c r="AI26" i="1"/>
  <c r="V42" i="1"/>
  <c r="GN204" i="1"/>
  <c r="GM204" i="1"/>
  <c r="GM580" i="1"/>
  <c r="GN580" i="1"/>
  <c r="GM705" i="1"/>
  <c r="GP705" i="1"/>
  <c r="GM782" i="1"/>
  <c r="GM1344" i="1"/>
  <c r="GM83" i="1"/>
  <c r="GP83" i="1"/>
  <c r="GM203" i="1"/>
  <c r="GN210" i="1"/>
  <c r="GM210" i="1"/>
  <c r="GN493" i="1"/>
  <c r="GM493" i="1"/>
  <c r="GN657" i="1"/>
  <c r="GM657" i="1"/>
  <c r="BA1197" i="1"/>
  <c r="GM82" i="1"/>
  <c r="GP82" i="1"/>
  <c r="GN80" i="1"/>
  <c r="GN79" i="1"/>
  <c r="GM79" i="1"/>
  <c r="GM576" i="1"/>
  <c r="GN576" i="1"/>
  <c r="GN494" i="1"/>
  <c r="GM494" i="1"/>
  <c r="GP656" i="1"/>
  <c r="GM656" i="1"/>
  <c r="GM783" i="1"/>
  <c r="GN1194" i="1"/>
  <c r="GN1304" i="1"/>
  <c r="GN1342" i="1"/>
  <c r="GM1342" i="1"/>
  <c r="CI26" i="1"/>
  <c r="AZ42" i="1"/>
  <c r="CZ30" i="1"/>
  <c r="Y30" i="1" s="1"/>
  <c r="T57" i="5" s="1"/>
  <c r="K63" i="5" s="1"/>
  <c r="CY30" i="1"/>
  <c r="X30" i="1" s="1"/>
  <c r="R57" i="5" s="1"/>
  <c r="K62" i="5" s="1"/>
  <c r="P66" i="5" s="1"/>
  <c r="BB26" i="1"/>
  <c r="F55" i="1"/>
  <c r="BB1514" i="1"/>
  <c r="CZ29" i="1"/>
  <c r="Y29" i="1" s="1"/>
  <c r="T47" i="5" s="1"/>
  <c r="K53" i="5" s="1"/>
  <c r="CY29" i="1"/>
  <c r="X29" i="1" s="1"/>
  <c r="R47" i="5" s="1"/>
  <c r="K52" i="5" s="1"/>
  <c r="BD26" i="1"/>
  <c r="F67" i="1"/>
  <c r="BD1514" i="1"/>
  <c r="AO75" i="1"/>
  <c r="F93" i="1"/>
  <c r="CZ31" i="1"/>
  <c r="Y31" i="1" s="1"/>
  <c r="T67" i="5" s="1"/>
  <c r="K71" i="5" s="1"/>
  <c r="CY31" i="1"/>
  <c r="X31" i="1" s="1"/>
  <c r="GM78" i="1"/>
  <c r="BB156" i="1"/>
  <c r="F180" i="1"/>
  <c r="R212" i="1"/>
  <c r="GK212" i="1" s="1"/>
  <c r="GX212" i="1"/>
  <c r="Q212" i="1"/>
  <c r="P212" i="1"/>
  <c r="CY161" i="1"/>
  <c r="X161" i="1" s="1"/>
  <c r="AF167" i="1"/>
  <c r="CZ161" i="1"/>
  <c r="Y161" i="1" s="1"/>
  <c r="CY164" i="1"/>
  <c r="X164" i="1" s="1"/>
  <c r="CZ164" i="1"/>
  <c r="Y164" i="1" s="1"/>
  <c r="F223" i="1"/>
  <c r="CG75" i="1"/>
  <c r="AZ89" i="1"/>
  <c r="CI75" i="1"/>
  <c r="CZ163" i="1"/>
  <c r="Y163" i="1" s="1"/>
  <c r="CY163" i="1"/>
  <c r="X163" i="1" s="1"/>
  <c r="GK251" i="1"/>
  <c r="AE259" i="1"/>
  <c r="CI259" i="1"/>
  <c r="BY247" i="1"/>
  <c r="AP259" i="1"/>
  <c r="CG156" i="1"/>
  <c r="AX167" i="1"/>
  <c r="CY250" i="1"/>
  <c r="X250" i="1" s="1"/>
  <c r="R280" i="5" s="1"/>
  <c r="K283" i="5" s="1"/>
  <c r="CZ250" i="1"/>
  <c r="Y250" i="1" s="1"/>
  <c r="T280" i="5" s="1"/>
  <c r="K284" i="5" s="1"/>
  <c r="P286" i="5" s="1"/>
  <c r="GM254" i="1"/>
  <c r="AI156" i="1"/>
  <c r="V167" i="1"/>
  <c r="AO247" i="1"/>
  <c r="F263" i="1"/>
  <c r="W156" i="1"/>
  <c r="F191" i="1"/>
  <c r="CC247" i="1"/>
  <c r="AT259" i="1"/>
  <c r="CZ331" i="1"/>
  <c r="Y331" i="1" s="1"/>
  <c r="T345" i="5" s="1"/>
  <c r="K349" i="5" s="1"/>
  <c r="CY331" i="1"/>
  <c r="X331" i="1" s="1"/>
  <c r="R345" i="5" s="1"/>
  <c r="K348" i="5" s="1"/>
  <c r="P351" i="5" s="1"/>
  <c r="F352" i="1"/>
  <c r="AP326" i="1"/>
  <c r="CI156" i="1"/>
  <c r="AZ167" i="1"/>
  <c r="CG376" i="1"/>
  <c r="AX389" i="1"/>
  <c r="U662" i="1"/>
  <c r="S662" i="1"/>
  <c r="Q662" i="1"/>
  <c r="AP490" i="1"/>
  <c r="F512" i="1"/>
  <c r="BD570" i="1"/>
  <c r="F608" i="1"/>
  <c r="CZ382" i="1"/>
  <c r="Y382" i="1" s="1"/>
  <c r="T412" i="5" s="1"/>
  <c r="CY382" i="1"/>
  <c r="X382" i="1" s="1"/>
  <c r="R412" i="5" s="1"/>
  <c r="CP492" i="1"/>
  <c r="O492" i="1" s="1"/>
  <c r="AO490" i="1"/>
  <c r="F507" i="1"/>
  <c r="AP650" i="1"/>
  <c r="F675" i="1"/>
  <c r="CI490" i="1"/>
  <c r="AZ503" i="1"/>
  <c r="CP573" i="1"/>
  <c r="O573" i="1" s="1"/>
  <c r="K512" i="5" s="1"/>
  <c r="GN578" i="1"/>
  <c r="F596" i="1"/>
  <c r="BB570" i="1"/>
  <c r="F880" i="1"/>
  <c r="BC859" i="1"/>
  <c r="AP376" i="1"/>
  <c r="F398" i="1"/>
  <c r="AP859" i="1"/>
  <c r="F873" i="1"/>
  <c r="CG490" i="1"/>
  <c r="AX503" i="1"/>
  <c r="CZ708" i="1"/>
  <c r="Y708" i="1" s="1"/>
  <c r="T664" i="5" s="1"/>
  <c r="K672" i="5" s="1"/>
  <c r="CY708" i="1"/>
  <c r="X708" i="1" s="1"/>
  <c r="R664" i="5" s="1"/>
  <c r="K671" i="5" s="1"/>
  <c r="CZ704" i="1"/>
  <c r="Y704" i="1" s="1"/>
  <c r="CY704" i="1"/>
  <c r="X704" i="1" s="1"/>
  <c r="F808" i="1"/>
  <c r="BC778" i="1"/>
  <c r="BB778" i="1"/>
  <c r="F805" i="1"/>
  <c r="Q862" i="1"/>
  <c r="AD864" i="1" s="1"/>
  <c r="P862" i="1"/>
  <c r="S862" i="1"/>
  <c r="AP1147" i="1"/>
  <c r="F1166" i="1"/>
  <c r="F1372" i="1"/>
  <c r="BD1340" i="1"/>
  <c r="AZ792" i="1"/>
  <c r="CI778" i="1"/>
  <c r="F874" i="1"/>
  <c r="AQ859" i="1"/>
  <c r="BC1298" i="1"/>
  <c r="F1323" i="1"/>
  <c r="GN789" i="1"/>
  <c r="F883" i="1"/>
  <c r="AU859" i="1"/>
  <c r="F1351" i="1"/>
  <c r="AO1340" i="1"/>
  <c r="F729" i="1"/>
  <c r="AT699" i="1"/>
  <c r="AI1147" i="1"/>
  <c r="AU1340" i="1"/>
  <c r="F1366" i="1"/>
  <c r="CI1340" i="1"/>
  <c r="AZ1347" i="1"/>
  <c r="W1347" i="1"/>
  <c r="AJ1340" i="1"/>
  <c r="AU1190" i="1"/>
  <c r="F1216" i="1"/>
  <c r="T1347" i="1"/>
  <c r="AG1340" i="1"/>
  <c r="AQ1147" i="1"/>
  <c r="F1167" i="1"/>
  <c r="AU1298" i="1"/>
  <c r="F1326" i="1"/>
  <c r="CI1298" i="1"/>
  <c r="AZ1307" i="1"/>
  <c r="AD167" i="1"/>
  <c r="R38" i="1"/>
  <c r="GK38" i="1" s="1"/>
  <c r="CP158" i="1"/>
  <c r="O158" i="1" s="1"/>
  <c r="GP33" i="1"/>
  <c r="S212" i="1"/>
  <c r="CP163" i="1"/>
  <c r="O163" i="1" s="1"/>
  <c r="CP334" i="1"/>
  <c r="O334" i="1" s="1"/>
  <c r="CP338" i="1"/>
  <c r="O338" i="1" s="1"/>
  <c r="CP257" i="1"/>
  <c r="O257" i="1" s="1"/>
  <c r="K305" i="5" s="1"/>
  <c r="V341" i="1"/>
  <c r="AI343" i="1" s="1"/>
  <c r="CP386" i="1"/>
  <c r="O386" i="1" s="1"/>
  <c r="U387" i="1"/>
  <c r="AH389" i="1" s="1"/>
  <c r="GX341" i="1"/>
  <c r="CP496" i="1"/>
  <c r="O496" i="1" s="1"/>
  <c r="P658" i="1"/>
  <c r="CP329" i="1"/>
  <c r="O329" i="1" s="1"/>
  <c r="U337" i="1"/>
  <c r="CP499" i="1"/>
  <c r="O499" i="1" s="1"/>
  <c r="V579" i="1"/>
  <c r="W579" i="1"/>
  <c r="R664" i="1"/>
  <c r="GK664" i="1" s="1"/>
  <c r="T495" i="1"/>
  <c r="T501" i="1"/>
  <c r="T662" i="1"/>
  <c r="AG666" i="1" s="1"/>
  <c r="S575" i="1"/>
  <c r="R703" i="1"/>
  <c r="GK703" i="1" s="1"/>
  <c r="GX862" i="1"/>
  <c r="CJ864" i="1" s="1"/>
  <c r="U1005" i="1"/>
  <c r="V788" i="1"/>
  <c r="W1005" i="1"/>
  <c r="AL1347" i="1"/>
  <c r="GM1195" i="1"/>
  <c r="Q87" i="1"/>
  <c r="P87" i="1"/>
  <c r="S87" i="1"/>
  <c r="BC26" i="1"/>
  <c r="F58" i="1"/>
  <c r="BC1514" i="1"/>
  <c r="CP32" i="1"/>
  <c r="O32" i="1" s="1"/>
  <c r="S38" i="1"/>
  <c r="AF42" i="1" s="1"/>
  <c r="Q38" i="1"/>
  <c r="AX26" i="1"/>
  <c r="F49" i="1"/>
  <c r="AO26" i="1"/>
  <c r="F46" i="1"/>
  <c r="AO1514" i="1"/>
  <c r="BB75" i="1"/>
  <c r="F102" i="1"/>
  <c r="AT156" i="1"/>
  <c r="F185" i="1"/>
  <c r="GM211" i="1"/>
  <c r="AO156" i="1"/>
  <c r="F171" i="1"/>
  <c r="GN77" i="1"/>
  <c r="GM77" i="1"/>
  <c r="CP205" i="1"/>
  <c r="O205" i="1" s="1"/>
  <c r="BB247" i="1"/>
  <c r="F272" i="1"/>
  <c r="AH247" i="1"/>
  <c r="U259" i="1"/>
  <c r="AQ156" i="1"/>
  <c r="F177" i="1"/>
  <c r="GN209" i="1"/>
  <c r="GM209" i="1"/>
  <c r="AZ343" i="1"/>
  <c r="CI326" i="1"/>
  <c r="CJ156" i="1"/>
  <c r="BA167" i="1"/>
  <c r="AJ247" i="1"/>
  <c r="W259" i="1"/>
  <c r="CP331" i="1"/>
  <c r="O331" i="1" s="1"/>
  <c r="GN251" i="1"/>
  <c r="AH156" i="1"/>
  <c r="U167" i="1"/>
  <c r="GK378" i="1"/>
  <c r="AQ200" i="1"/>
  <c r="F224" i="1"/>
  <c r="BB376" i="1"/>
  <c r="F402" i="1"/>
  <c r="S658" i="1"/>
  <c r="U658" i="1"/>
  <c r="Q658" i="1"/>
  <c r="CZ381" i="1"/>
  <c r="Y381" i="1" s="1"/>
  <c r="CY381" i="1"/>
  <c r="X381" i="1" s="1"/>
  <c r="BD376" i="1"/>
  <c r="F414" i="1"/>
  <c r="GK655" i="1"/>
  <c r="GM655" i="1" s="1"/>
  <c r="CZ384" i="1"/>
  <c r="Y384" i="1" s="1"/>
  <c r="T424" i="5" s="1"/>
  <c r="CY384" i="1"/>
  <c r="X384" i="1" s="1"/>
  <c r="BC376" i="1"/>
  <c r="F405" i="1"/>
  <c r="BD490" i="1"/>
  <c r="F528" i="1"/>
  <c r="GN577" i="1"/>
  <c r="GM577" i="1"/>
  <c r="F601" i="1"/>
  <c r="AT570" i="1"/>
  <c r="F361" i="1"/>
  <c r="AT326" i="1"/>
  <c r="CP379" i="1"/>
  <c r="O379" i="1" s="1"/>
  <c r="AZ389" i="1"/>
  <c r="F593" i="1"/>
  <c r="AQ570" i="1"/>
  <c r="AZ650" i="1"/>
  <c r="F677" i="1"/>
  <c r="AO650" i="1"/>
  <c r="F670" i="1"/>
  <c r="BD699" i="1"/>
  <c r="F736" i="1"/>
  <c r="CI570" i="1"/>
  <c r="AZ583" i="1"/>
  <c r="CX258" i="3"/>
  <c r="Q703" i="1"/>
  <c r="GX703" i="1"/>
  <c r="CJ711" i="1" s="1"/>
  <c r="BC699" i="1"/>
  <c r="F727" i="1"/>
  <c r="F868" i="1"/>
  <c r="AO859" i="1"/>
  <c r="AQ376" i="1"/>
  <c r="CX257" i="3"/>
  <c r="CX256" i="3"/>
  <c r="Q702" i="1"/>
  <c r="CG699" i="1"/>
  <c r="AX711" i="1"/>
  <c r="Q786" i="1"/>
  <c r="P786" i="1"/>
  <c r="S786" i="1"/>
  <c r="AT778" i="1"/>
  <c r="F810" i="1"/>
  <c r="CI859" i="1"/>
  <c r="AZ864" i="1"/>
  <c r="Q1005" i="1"/>
  <c r="P1005" i="1"/>
  <c r="I1008" i="1"/>
  <c r="S1005" i="1"/>
  <c r="CI999" i="1"/>
  <c r="AZ1012" i="1"/>
  <c r="F1332" i="1"/>
  <c r="BD1298" i="1"/>
  <c r="AP778" i="1"/>
  <c r="F801" i="1"/>
  <c r="CG859" i="1"/>
  <c r="AX864" i="1"/>
  <c r="GN1004" i="1"/>
  <c r="GM1004" i="1"/>
  <c r="AU999" i="1"/>
  <c r="F1031" i="1"/>
  <c r="CI1147" i="1"/>
  <c r="F1360" i="1"/>
  <c r="BB1340" i="1"/>
  <c r="GN861" i="1"/>
  <c r="CP1149" i="1"/>
  <c r="O1149" i="1" s="1"/>
  <c r="BC1147" i="1"/>
  <c r="F1173" i="1"/>
  <c r="F802" i="1"/>
  <c r="AQ778" i="1"/>
  <c r="AQ999" i="1"/>
  <c r="F1022" i="1"/>
  <c r="AT1340" i="1"/>
  <c r="F1365" i="1"/>
  <c r="S1347" i="1"/>
  <c r="GN1345" i="1"/>
  <c r="GM1345" i="1"/>
  <c r="AZ1197" i="1"/>
  <c r="CI1190" i="1"/>
  <c r="AQ1190" i="1"/>
  <c r="F1207" i="1"/>
  <c r="AE1340" i="1"/>
  <c r="R1347" i="1"/>
  <c r="CP34" i="1"/>
  <c r="O34" i="1" s="1"/>
  <c r="P38" i="1"/>
  <c r="W87" i="1"/>
  <c r="AJ89" i="1" s="1"/>
  <c r="T38" i="1"/>
  <c r="GX87" i="1"/>
  <c r="CJ89" i="1" s="1"/>
  <c r="GM81" i="1"/>
  <c r="U87" i="1"/>
  <c r="AH89" i="1" s="1"/>
  <c r="AD259" i="1"/>
  <c r="AC167" i="1"/>
  <c r="AL259" i="1"/>
  <c r="V212" i="1"/>
  <c r="CP250" i="1"/>
  <c r="O250" i="1" s="1"/>
  <c r="R341" i="1"/>
  <c r="GK341" i="1" s="1"/>
  <c r="GX337" i="1"/>
  <c r="CJ343" i="1" s="1"/>
  <c r="CP383" i="1"/>
  <c r="O383" i="1" s="1"/>
  <c r="K418" i="5" s="1"/>
  <c r="CP497" i="1"/>
  <c r="O497" i="1" s="1"/>
  <c r="S387" i="1"/>
  <c r="CP654" i="1"/>
  <c r="O654" i="1" s="1"/>
  <c r="U495" i="1"/>
  <c r="AH503" i="1" s="1"/>
  <c r="V662" i="1"/>
  <c r="CP661" i="1"/>
  <c r="O661" i="1" s="1"/>
  <c r="S579" i="1"/>
  <c r="CP660" i="1"/>
  <c r="O660" i="1" s="1"/>
  <c r="K601" i="5" s="1"/>
  <c r="V387" i="1"/>
  <c r="AI389" i="1" s="1"/>
  <c r="W658" i="1"/>
  <c r="P664" i="1"/>
  <c r="GX658" i="1"/>
  <c r="R658" i="1"/>
  <c r="GK658" i="1" s="1"/>
  <c r="V862" i="1"/>
  <c r="AI864" i="1" s="1"/>
  <c r="S702" i="1"/>
  <c r="K637" i="5" s="1"/>
  <c r="R788" i="1"/>
  <c r="GK788" i="1" s="1"/>
  <c r="V703" i="1"/>
  <c r="AI711" i="1" s="1"/>
  <c r="GX788" i="1"/>
  <c r="S703" i="1"/>
  <c r="K647" i="5" s="1"/>
  <c r="AD1347" i="1"/>
  <c r="CP1150" i="1"/>
  <c r="O1150" i="1" s="1"/>
  <c r="K844" i="5" s="1"/>
  <c r="U1193" i="1"/>
  <c r="AH1197" i="1" s="1"/>
  <c r="GX1303" i="1"/>
  <c r="CJ1307" i="1" s="1"/>
  <c r="W1193" i="1"/>
  <c r="AJ1197" i="1" s="1"/>
  <c r="U1303" i="1"/>
  <c r="AH1307" i="1" s="1"/>
  <c r="AQ26" i="1"/>
  <c r="F52" i="1"/>
  <c r="AT26" i="1"/>
  <c r="F60" i="1"/>
  <c r="F105" i="1"/>
  <c r="BC75" i="1"/>
  <c r="AT75" i="1"/>
  <c r="GN86" i="1"/>
  <c r="GN165" i="1"/>
  <c r="R208" i="1"/>
  <c r="GX208" i="1"/>
  <c r="Q208" i="1"/>
  <c r="AD214" i="1" s="1"/>
  <c r="P208" i="1"/>
  <c r="CP249" i="1"/>
  <c r="O249" i="1" s="1"/>
  <c r="AC259" i="1"/>
  <c r="CY162" i="1"/>
  <c r="X162" i="1" s="1"/>
  <c r="CZ162" i="1"/>
  <c r="Y162" i="1" s="1"/>
  <c r="F227" i="1"/>
  <c r="BB200" i="1"/>
  <c r="AG156" i="1"/>
  <c r="T167" i="1"/>
  <c r="BC156" i="1"/>
  <c r="F183" i="1"/>
  <c r="AO200" i="1"/>
  <c r="F218" i="1"/>
  <c r="GP206" i="1"/>
  <c r="GM206" i="1"/>
  <c r="S337" i="1"/>
  <c r="Q337" i="1"/>
  <c r="AF247" i="1"/>
  <c r="S259" i="1"/>
  <c r="GM332" i="1"/>
  <c r="CG326" i="1"/>
  <c r="AX343" i="1"/>
  <c r="CG200" i="1"/>
  <c r="AX214" i="1"/>
  <c r="GN328" i="1"/>
  <c r="GM328" i="1"/>
  <c r="F587" i="1"/>
  <c r="AO570" i="1"/>
  <c r="BB490" i="1"/>
  <c r="F516" i="1"/>
  <c r="GM382" i="1"/>
  <c r="BC570" i="1"/>
  <c r="F599" i="1"/>
  <c r="GN659" i="1"/>
  <c r="Q501" i="1"/>
  <c r="P501" i="1"/>
  <c r="R501" i="1"/>
  <c r="GK501" i="1" s="1"/>
  <c r="GX501" i="1"/>
  <c r="Q575" i="1"/>
  <c r="P575" i="1"/>
  <c r="R575" i="1"/>
  <c r="GX575" i="1"/>
  <c r="GN581" i="1"/>
  <c r="GM581" i="1"/>
  <c r="CG570" i="1"/>
  <c r="AX583" i="1"/>
  <c r="GM708" i="1"/>
  <c r="BB859" i="1"/>
  <c r="F877" i="1"/>
  <c r="CZ707" i="1"/>
  <c r="Y707" i="1" s="1"/>
  <c r="T658" i="5" s="1"/>
  <c r="CY707" i="1"/>
  <c r="X707" i="1" s="1"/>
  <c r="R658" i="5" s="1"/>
  <c r="BC650" i="1"/>
  <c r="F682" i="1"/>
  <c r="CZ706" i="1"/>
  <c r="Y706" i="1" s="1"/>
  <c r="T652" i="5" s="1"/>
  <c r="K660" i="5" s="1"/>
  <c r="CY706" i="1"/>
  <c r="X706" i="1" s="1"/>
  <c r="R864" i="1"/>
  <c r="AE859" i="1"/>
  <c r="F1016" i="1"/>
  <c r="AO999" i="1"/>
  <c r="AC711" i="1"/>
  <c r="CP701" i="1"/>
  <c r="O701" i="1" s="1"/>
  <c r="F724" i="1"/>
  <c r="BB699" i="1"/>
  <c r="Q788" i="1"/>
  <c r="AD792" i="1" s="1"/>
  <c r="P788" i="1"/>
  <c r="S788" i="1"/>
  <c r="BD859" i="1"/>
  <c r="F889" i="1"/>
  <c r="GK1001" i="1"/>
  <c r="BD999" i="1"/>
  <c r="F1037" i="1"/>
  <c r="F1170" i="1"/>
  <c r="BB1147" i="1"/>
  <c r="GN787" i="1"/>
  <c r="GM787" i="1"/>
  <c r="GN1003" i="1"/>
  <c r="BC1340" i="1"/>
  <c r="F1363" i="1"/>
  <c r="CI699" i="1"/>
  <c r="AZ711" i="1"/>
  <c r="P1193" i="1"/>
  <c r="S1193" i="1"/>
  <c r="Q1193" i="1"/>
  <c r="AD1197" i="1" s="1"/>
  <c r="CG1190" i="1"/>
  <c r="AX1197" i="1"/>
  <c r="P1303" i="1"/>
  <c r="S1303" i="1"/>
  <c r="Q1303" i="1"/>
  <c r="AD1307" i="1" s="1"/>
  <c r="F1320" i="1"/>
  <c r="BB1298" i="1"/>
  <c r="F1176" i="1"/>
  <c r="AU1147" i="1"/>
  <c r="AT1190" i="1"/>
  <c r="F1215" i="1"/>
  <c r="AT1298" i="1"/>
  <c r="F1325" i="1"/>
  <c r="U1340" i="1"/>
  <c r="F1369" i="1"/>
  <c r="F1356" i="1"/>
  <c r="AP1340" i="1"/>
  <c r="CG1147" i="1"/>
  <c r="F1206" i="1"/>
  <c r="AP1190" i="1"/>
  <c r="GN1343" i="1"/>
  <c r="GM1343" i="1"/>
  <c r="F1316" i="1"/>
  <c r="AP1298" i="1"/>
  <c r="AD42" i="1"/>
  <c r="CP28" i="1"/>
  <c r="O28" i="1" s="1"/>
  <c r="CP39" i="1"/>
  <c r="O39" i="1" s="1"/>
  <c r="U38" i="1"/>
  <c r="AE167" i="1"/>
  <c r="V87" i="1"/>
  <c r="AI89" i="1" s="1"/>
  <c r="W38" i="1"/>
  <c r="W208" i="1"/>
  <c r="AJ214" i="1" s="1"/>
  <c r="T212" i="1"/>
  <c r="U212" i="1"/>
  <c r="V208" i="1"/>
  <c r="AI214" i="1" s="1"/>
  <c r="CP253" i="1"/>
  <c r="O253" i="1" s="1"/>
  <c r="CP256" i="1"/>
  <c r="O256" i="1" s="1"/>
  <c r="T337" i="1"/>
  <c r="AG343" i="1" s="1"/>
  <c r="W337" i="1"/>
  <c r="W387" i="1"/>
  <c r="R337" i="1"/>
  <c r="GK337" i="1" s="1"/>
  <c r="CP653" i="1"/>
  <c r="O653" i="1" s="1"/>
  <c r="GM340" i="1"/>
  <c r="R662" i="1"/>
  <c r="GK662" i="1" s="1"/>
  <c r="V501" i="1"/>
  <c r="AI503" i="1" s="1"/>
  <c r="U575" i="1"/>
  <c r="S501" i="1"/>
  <c r="T575" i="1"/>
  <c r="V658" i="1"/>
  <c r="AI666" i="1" s="1"/>
  <c r="AG711" i="1"/>
  <c r="W662" i="1"/>
  <c r="T788" i="1"/>
  <c r="U862" i="1"/>
  <c r="AH864" i="1" s="1"/>
  <c r="U788" i="1"/>
  <c r="W862" i="1"/>
  <c r="AJ864" i="1" s="1"/>
  <c r="W702" i="1"/>
  <c r="CP704" i="1"/>
  <c r="O704" i="1" s="1"/>
  <c r="V786" i="1"/>
  <c r="T862" i="1"/>
  <c r="AG864" i="1" s="1"/>
  <c r="GX1005" i="1"/>
  <c r="GN785" i="1"/>
  <c r="V1303" i="1"/>
  <c r="AI1307" i="1" s="1"/>
  <c r="CP1300" i="1"/>
  <c r="O1300" i="1" s="1"/>
  <c r="W1303" i="1"/>
  <c r="V1193" i="1"/>
  <c r="AI1197" i="1" s="1"/>
  <c r="AP26" i="1"/>
  <c r="F51" i="1"/>
  <c r="AP75" i="1"/>
  <c r="F98" i="1"/>
  <c r="GM30" i="1"/>
  <c r="AZ214" i="1"/>
  <c r="CI200" i="1"/>
  <c r="F284" i="1"/>
  <c r="BD247" i="1"/>
  <c r="GN160" i="1"/>
  <c r="GM160" i="1"/>
  <c r="BD156" i="1"/>
  <c r="F192" i="1"/>
  <c r="AT200" i="1"/>
  <c r="F232" i="1"/>
  <c r="AQ75" i="1"/>
  <c r="F99" i="1"/>
  <c r="GM36" i="1"/>
  <c r="GP36" i="1"/>
  <c r="GN202" i="1"/>
  <c r="GM252" i="1"/>
  <c r="GP252" i="1"/>
  <c r="S341" i="1"/>
  <c r="Q341" i="1"/>
  <c r="CG247" i="1"/>
  <c r="AX259" i="1"/>
  <c r="BC247" i="1"/>
  <c r="F275" i="1"/>
  <c r="F356" i="1"/>
  <c r="BB326" i="1"/>
  <c r="AP156" i="1"/>
  <c r="F176" i="1"/>
  <c r="Q387" i="1"/>
  <c r="AD389" i="1" s="1"/>
  <c r="T387" i="1"/>
  <c r="AG389" i="1" s="1"/>
  <c r="R387" i="1"/>
  <c r="GK387" i="1" s="1"/>
  <c r="P387" i="1"/>
  <c r="Q495" i="1"/>
  <c r="AD503" i="1" s="1"/>
  <c r="S495" i="1"/>
  <c r="W664" i="1"/>
  <c r="U664" i="1"/>
  <c r="S664" i="1"/>
  <c r="Q664" i="1"/>
  <c r="CZ383" i="1"/>
  <c r="Y383" i="1" s="1"/>
  <c r="T418" i="5" s="1"/>
  <c r="CY383" i="1"/>
  <c r="X383" i="1" s="1"/>
  <c r="R418" i="5" s="1"/>
  <c r="AO376" i="1"/>
  <c r="F393" i="1"/>
  <c r="F521" i="1"/>
  <c r="AT490" i="1"/>
  <c r="AQ247" i="1"/>
  <c r="F269" i="1"/>
  <c r="GM336" i="1"/>
  <c r="GN336" i="1"/>
  <c r="GM378" i="1"/>
  <c r="BB650" i="1"/>
  <c r="F679" i="1"/>
  <c r="CZ385" i="1"/>
  <c r="Y385" i="1" s="1"/>
  <c r="T428" i="5" s="1"/>
  <c r="CY385" i="1"/>
  <c r="X385" i="1" s="1"/>
  <c r="CJ247" i="1"/>
  <c r="BA259" i="1"/>
  <c r="GN500" i="1"/>
  <c r="GM500" i="1"/>
  <c r="GN574" i="1"/>
  <c r="Q579" i="1"/>
  <c r="AD583" i="1" s="1"/>
  <c r="P579" i="1"/>
  <c r="R579" i="1"/>
  <c r="GK579" i="1" s="1"/>
  <c r="GX579" i="1"/>
  <c r="CP652" i="1"/>
  <c r="O652" i="1" s="1"/>
  <c r="CZ380" i="1"/>
  <c r="Y380" i="1" s="1"/>
  <c r="CY380" i="1"/>
  <c r="X380" i="1" s="1"/>
  <c r="CZ386" i="1"/>
  <c r="Y386" i="1" s="1"/>
  <c r="T433" i="5" s="1"/>
  <c r="CY386" i="1"/>
  <c r="X386" i="1" s="1"/>
  <c r="R433" i="5" s="1"/>
  <c r="CC650" i="1"/>
  <c r="AT666" i="1"/>
  <c r="GM498" i="1"/>
  <c r="GP498" i="1"/>
  <c r="GK701" i="1"/>
  <c r="AT859" i="1"/>
  <c r="F882" i="1"/>
  <c r="AQ490" i="1"/>
  <c r="F513" i="1"/>
  <c r="F592" i="1"/>
  <c r="AP570" i="1"/>
  <c r="GM663" i="1"/>
  <c r="CG650" i="1"/>
  <c r="AX666" i="1"/>
  <c r="AU570" i="1"/>
  <c r="F602" i="1"/>
  <c r="CG778" i="1"/>
  <c r="AX792" i="1"/>
  <c r="AT376" i="1"/>
  <c r="F407" i="1"/>
  <c r="F1175" i="1"/>
  <c r="AT1147" i="1"/>
  <c r="AO1147" i="1"/>
  <c r="F1161" i="1"/>
  <c r="P1347" i="1"/>
  <c r="CE1347" i="1"/>
  <c r="CH1347" i="1"/>
  <c r="AC1340" i="1"/>
  <c r="CF1347" i="1"/>
  <c r="AP699" i="1"/>
  <c r="F720" i="1"/>
  <c r="AQ699" i="1"/>
  <c r="F721" i="1"/>
  <c r="GN780" i="1"/>
  <c r="GM780" i="1"/>
  <c r="BB999" i="1"/>
  <c r="F1025" i="1"/>
  <c r="GK1149" i="1"/>
  <c r="AE1157" i="1"/>
  <c r="AX1012" i="1"/>
  <c r="CG999" i="1"/>
  <c r="AO1190" i="1"/>
  <c r="F1201" i="1"/>
  <c r="F1311" i="1"/>
  <c r="AO1298" i="1"/>
  <c r="GN1153" i="1"/>
  <c r="GM1153" i="1"/>
  <c r="U1157" i="1"/>
  <c r="AH1147" i="1"/>
  <c r="GN1192" i="1"/>
  <c r="GM1192" i="1"/>
  <c r="AQ1298" i="1"/>
  <c r="F1317" i="1"/>
  <c r="CJ1147" i="1"/>
  <c r="BA1157" i="1"/>
  <c r="GN1302" i="1"/>
  <c r="CJ1340" i="1"/>
  <c r="BA1347" i="1"/>
  <c r="AQ1340" i="1"/>
  <c r="F1357" i="1"/>
  <c r="GN1154" i="1"/>
  <c r="GM1154" i="1"/>
  <c r="AI1340" i="1"/>
  <c r="V1347" i="1"/>
  <c r="AX1298" i="1"/>
  <c r="F1314" i="1"/>
  <c r="AD89" i="1"/>
  <c r="R87" i="1"/>
  <c r="S208" i="1"/>
  <c r="U208" i="1"/>
  <c r="CP333" i="1"/>
  <c r="O333" i="1" s="1"/>
  <c r="P341" i="1"/>
  <c r="U341" i="1"/>
  <c r="P495" i="1"/>
  <c r="CP495" i="1" s="1"/>
  <c r="O495" i="1" s="1"/>
  <c r="K468" i="5" s="1"/>
  <c r="W341" i="1"/>
  <c r="R495" i="1"/>
  <c r="GK495" i="1" s="1"/>
  <c r="T579" i="1"/>
  <c r="GX662" i="1"/>
  <c r="P662" i="1"/>
  <c r="GX495" i="1"/>
  <c r="CP572" i="1"/>
  <c r="O572" i="1" s="1"/>
  <c r="GX664" i="1"/>
  <c r="W495" i="1"/>
  <c r="AJ503" i="1" s="1"/>
  <c r="W575" i="1"/>
  <c r="T664" i="1"/>
  <c r="T786" i="1"/>
  <c r="U703" i="1"/>
  <c r="R786" i="1"/>
  <c r="V1005" i="1"/>
  <c r="R1303" i="1"/>
  <c r="T1193" i="1"/>
  <c r="AG1197" i="1" s="1"/>
  <c r="R1193" i="1"/>
  <c r="O663" i="5" l="1"/>
  <c r="X663" i="5"/>
  <c r="X911" i="5"/>
  <c r="H911" i="5"/>
  <c r="F280" i="1"/>
  <c r="T247" i="1"/>
  <c r="O85" i="5"/>
  <c r="GM207" i="1"/>
  <c r="M115" i="10"/>
  <c r="T274" i="10"/>
  <c r="GM86" i="1"/>
  <c r="AB1347" i="1"/>
  <c r="GM1194" i="1"/>
  <c r="GM162" i="1"/>
  <c r="GN29" i="1"/>
  <c r="GN164" i="1"/>
  <c r="GN784" i="1"/>
  <c r="H472" i="5"/>
  <c r="K770" i="5"/>
  <c r="M159" i="10"/>
  <c r="T159" i="10"/>
  <c r="T63" i="10"/>
  <c r="T217" i="10"/>
  <c r="AP1514" i="1"/>
  <c r="GN37" i="1"/>
  <c r="M273" i="10"/>
  <c r="E109" i="9"/>
  <c r="P310" i="5"/>
  <c r="CZ1002" i="1"/>
  <c r="Y1002" i="1" s="1"/>
  <c r="T768" i="5" s="1"/>
  <c r="CY1002" i="1"/>
  <c r="X1002" i="1" s="1"/>
  <c r="R768" i="5" s="1"/>
  <c r="CZ1151" i="1"/>
  <c r="Y1151" i="1" s="1"/>
  <c r="T845" i="5" s="1"/>
  <c r="CY1151" i="1"/>
  <c r="X1151" i="1" s="1"/>
  <c r="R845" i="5" s="1"/>
  <c r="CP662" i="1"/>
  <c r="O662" i="1" s="1"/>
  <c r="K613" i="5" s="1"/>
  <c r="CP703" i="1"/>
  <c r="O703" i="1" s="1"/>
  <c r="AD666" i="1"/>
  <c r="AG503" i="1"/>
  <c r="J286" i="5"/>
  <c r="CP1301" i="1"/>
  <c r="O1301" i="1" s="1"/>
  <c r="CP707" i="1"/>
  <c r="O707" i="1" s="1"/>
  <c r="O97" i="5"/>
  <c r="AJ792" i="1"/>
  <c r="O286" i="10"/>
  <c r="F283" i="9" s="1"/>
  <c r="E289" i="9" s="1"/>
  <c r="R40" i="10"/>
  <c r="T79" i="10"/>
  <c r="GN382" i="1"/>
  <c r="R127" i="10"/>
  <c r="GM1003" i="1"/>
  <c r="O217" i="10"/>
  <c r="F225" i="9" s="1"/>
  <c r="I617" i="5"/>
  <c r="E281" i="9"/>
  <c r="GN1195" i="1"/>
  <c r="GM1304" i="1"/>
  <c r="J784" i="5"/>
  <c r="O735" i="5"/>
  <c r="AH214" i="1"/>
  <c r="GN207" i="1"/>
  <c r="AJ42" i="1"/>
  <c r="GM381" i="1"/>
  <c r="GM255" i="1"/>
  <c r="J56" i="5"/>
  <c r="H754" i="5"/>
  <c r="X265" i="5"/>
  <c r="T286" i="10"/>
  <c r="T40" i="10"/>
  <c r="K769" i="5"/>
  <c r="M40" i="10"/>
  <c r="H200" i="5"/>
  <c r="GM202" i="1"/>
  <c r="M130" i="10"/>
  <c r="H594" i="5"/>
  <c r="R241" i="10"/>
  <c r="M199" i="10"/>
  <c r="R30" i="10"/>
  <c r="O797" i="5"/>
  <c r="M225" i="10"/>
  <c r="GN78" i="1"/>
  <c r="CP1155" i="1"/>
  <c r="O1155" i="1" s="1"/>
  <c r="O754" i="5"/>
  <c r="H756" i="5" s="1"/>
  <c r="R199" i="10"/>
  <c r="T138" i="10"/>
  <c r="R159" i="10"/>
  <c r="O118" i="10"/>
  <c r="F120" i="9" s="1"/>
  <c r="P215" i="5"/>
  <c r="GM251" i="1"/>
  <c r="O880" i="5"/>
  <c r="K295" i="5"/>
  <c r="K846" i="5"/>
  <c r="GN1152" i="1"/>
  <c r="GM1152" i="1"/>
  <c r="O524" i="5"/>
  <c r="H524" i="5"/>
  <c r="H773" i="5"/>
  <c r="X773" i="5"/>
  <c r="O773" i="5"/>
  <c r="K845" i="5"/>
  <c r="GM1151" i="1"/>
  <c r="GN1151" i="1"/>
  <c r="X935" i="5"/>
  <c r="H935" i="5"/>
  <c r="O935" i="5"/>
  <c r="O923" i="5"/>
  <c r="H923" i="5"/>
  <c r="X923" i="5"/>
  <c r="K768" i="5"/>
  <c r="P773" i="5" s="1"/>
  <c r="GM1002" i="1"/>
  <c r="GN1002" i="1"/>
  <c r="O432" i="5"/>
  <c r="H432" i="5"/>
  <c r="X432" i="5"/>
  <c r="O620" i="5"/>
  <c r="H620" i="5"/>
  <c r="X620" i="5"/>
  <c r="X444" i="5"/>
  <c r="K857" i="5"/>
  <c r="O594" i="5"/>
  <c r="AH711" i="1"/>
  <c r="AH699" i="1" s="1"/>
  <c r="I650" i="5"/>
  <c r="K430" i="5"/>
  <c r="K420" i="5"/>
  <c r="GN31" i="1"/>
  <c r="R67" i="5"/>
  <c r="K70" i="5" s="1"/>
  <c r="V259" i="1"/>
  <c r="AI247" i="1"/>
  <c r="H298" i="5"/>
  <c r="X298" i="5"/>
  <c r="P279" i="5"/>
  <c r="J279" i="5"/>
  <c r="H735" i="5"/>
  <c r="CZ40" i="1"/>
  <c r="Y40" i="1" s="1"/>
  <c r="T103" i="5" s="1"/>
  <c r="CY40" i="1"/>
  <c r="X40" i="1" s="1"/>
  <c r="CZ35" i="1"/>
  <c r="Y35" i="1" s="1"/>
  <c r="T80" i="5" s="1"/>
  <c r="K82" i="5" s="1"/>
  <c r="CY35" i="1"/>
  <c r="X35" i="1" s="1"/>
  <c r="CY1155" i="1"/>
  <c r="X1155" i="1" s="1"/>
  <c r="R857" i="5" s="1"/>
  <c r="CZ1155" i="1"/>
  <c r="Y1155" i="1" s="1"/>
  <c r="AF1157" i="1"/>
  <c r="K721" i="5"/>
  <c r="E31" i="9"/>
  <c r="H501" i="5"/>
  <c r="X501" i="5"/>
  <c r="AJ1157" i="1"/>
  <c r="O542" i="5"/>
  <c r="H542" i="5"/>
  <c r="X542" i="5"/>
  <c r="O322" i="10"/>
  <c r="F303" i="9" s="1"/>
  <c r="T30" i="10"/>
  <c r="M43" i="10"/>
  <c r="H463" i="5"/>
  <c r="O90" i="10"/>
  <c r="F88" i="9" s="1"/>
  <c r="E89" i="9" s="1"/>
  <c r="R322" i="10"/>
  <c r="J222" i="5"/>
  <c r="O501" i="5"/>
  <c r="O241" i="5"/>
  <c r="J142" i="5"/>
  <c r="X108" i="5"/>
  <c r="H108" i="5"/>
  <c r="O108" i="5"/>
  <c r="X735" i="5"/>
  <c r="P344" i="5"/>
  <c r="AG792" i="1"/>
  <c r="CP341" i="1"/>
  <c r="O341" i="1" s="1"/>
  <c r="K383" i="5" s="1"/>
  <c r="GM1302" i="1"/>
  <c r="GN663" i="1"/>
  <c r="GN707" i="1"/>
  <c r="GM574" i="1"/>
  <c r="GP381" i="1"/>
  <c r="GM164" i="1"/>
  <c r="AI792" i="1"/>
  <c r="AH792" i="1"/>
  <c r="U792" i="1" s="1"/>
  <c r="AH583" i="1"/>
  <c r="AH42" i="1"/>
  <c r="U42" i="1" s="1"/>
  <c r="GM1001" i="1"/>
  <c r="CJ214" i="1"/>
  <c r="BA214" i="1" s="1"/>
  <c r="AQ1514" i="1"/>
  <c r="GM29" i="1"/>
  <c r="CJ792" i="1"/>
  <c r="CP38" i="1"/>
  <c r="O38" i="1" s="1"/>
  <c r="K92" i="5" s="1"/>
  <c r="GN211" i="1"/>
  <c r="AI583" i="1"/>
  <c r="V583" i="1" s="1"/>
  <c r="GM330" i="1"/>
  <c r="AP200" i="1"/>
  <c r="GM80" i="1"/>
  <c r="GN203" i="1"/>
  <c r="GN1344" i="1"/>
  <c r="GM84" i="1"/>
  <c r="GM159" i="1"/>
  <c r="H861" i="5"/>
  <c r="O861" i="5"/>
  <c r="H863" i="5" s="1"/>
  <c r="O30" i="10"/>
  <c r="F34" i="9" s="1"/>
  <c r="W647" i="5"/>
  <c r="H651" i="5"/>
  <c r="X651" i="5"/>
  <c r="O651" i="5"/>
  <c r="O63" i="10"/>
  <c r="F59" i="9" s="1"/>
  <c r="E60" i="9" s="1"/>
  <c r="D272" i="9"/>
  <c r="R173" i="10"/>
  <c r="R231" i="10"/>
  <c r="M138" i="10"/>
  <c r="P187" i="5"/>
  <c r="J200" i="5" s="1"/>
  <c r="J187" i="5"/>
  <c r="O911" i="5"/>
  <c r="H937" i="5" s="1"/>
  <c r="P516" i="5"/>
  <c r="J516" i="5"/>
  <c r="P198" i="5"/>
  <c r="J198" i="5"/>
  <c r="D38" i="9"/>
  <c r="R217" i="10"/>
  <c r="K105" i="5"/>
  <c r="O116" i="10"/>
  <c r="F119" i="9" s="1"/>
  <c r="E121" i="9" s="1"/>
  <c r="K848" i="5"/>
  <c r="J404" i="5"/>
  <c r="P404" i="5"/>
  <c r="T43" i="10"/>
  <c r="F133" i="9"/>
  <c r="O43" i="10"/>
  <c r="P568" i="5"/>
  <c r="AG1307" i="1"/>
  <c r="R274" i="10"/>
  <c r="T322" i="10"/>
  <c r="O173" i="10"/>
  <c r="F182" i="9" s="1"/>
  <c r="M312" i="10"/>
  <c r="O199" i="10"/>
  <c r="F204" i="9" s="1"/>
  <c r="E208" i="9" s="1"/>
  <c r="T188" i="10"/>
  <c r="T130" i="10"/>
  <c r="E116" i="9"/>
  <c r="H880" i="5"/>
  <c r="CG1340" i="1"/>
  <c r="AX1347" i="1"/>
  <c r="M241" i="10"/>
  <c r="CP35" i="1"/>
  <c r="O35" i="1" s="1"/>
  <c r="M231" i="10"/>
  <c r="O274" i="10"/>
  <c r="F272" i="9" s="1"/>
  <c r="R138" i="10"/>
  <c r="O312" i="10"/>
  <c r="T173" i="10"/>
  <c r="K692" i="5"/>
  <c r="CY781" i="1"/>
  <c r="X781" i="1" s="1"/>
  <c r="CZ781" i="1"/>
  <c r="Y781" i="1" s="1"/>
  <c r="T690" i="5" s="1"/>
  <c r="K694" i="5" s="1"/>
  <c r="K151" i="5"/>
  <c r="J351" i="5"/>
  <c r="GM1007" i="1"/>
  <c r="P56" i="5"/>
  <c r="X594" i="5"/>
  <c r="O444" i="5"/>
  <c r="H446" i="5" s="1"/>
  <c r="J709" i="5"/>
  <c r="X85" i="5"/>
  <c r="J634" i="5"/>
  <c r="P582" i="5"/>
  <c r="J334" i="5"/>
  <c r="AF343" i="1"/>
  <c r="I260" i="10"/>
  <c r="D240" i="9" s="1"/>
  <c r="I258" i="10"/>
  <c r="D259" i="9" s="1"/>
  <c r="I259" i="10"/>
  <c r="D247" i="9" s="1"/>
  <c r="D145" i="7"/>
  <c r="D134" i="6"/>
  <c r="C809" i="5"/>
  <c r="I811" i="5"/>
  <c r="E808" i="5"/>
  <c r="V808" i="5"/>
  <c r="I810" i="5"/>
  <c r="M258" i="10"/>
  <c r="R259" i="10"/>
  <c r="R258" i="10"/>
  <c r="U808" i="5"/>
  <c r="Q808" i="5"/>
  <c r="O258" i="10"/>
  <c r="F259" i="9" s="1"/>
  <c r="T259" i="10"/>
  <c r="T260" i="10"/>
  <c r="I812" i="5"/>
  <c r="W812" i="5" s="1"/>
  <c r="I813" i="5"/>
  <c r="O259" i="10"/>
  <c r="F247" i="9" s="1"/>
  <c r="M260" i="10"/>
  <c r="R260" i="10"/>
  <c r="S808" i="5"/>
  <c r="M259" i="10"/>
  <c r="O260" i="10"/>
  <c r="F240" i="9" s="1"/>
  <c r="T258" i="10"/>
  <c r="CP702" i="1"/>
  <c r="O702" i="1" s="1"/>
  <c r="K638" i="5"/>
  <c r="CP337" i="1"/>
  <c r="O337" i="1" s="1"/>
  <c r="K366" i="5" s="1"/>
  <c r="AK259" i="1"/>
  <c r="X259" i="1" s="1"/>
  <c r="GM31" i="1"/>
  <c r="Q1157" i="1"/>
  <c r="F1169" i="1" s="1"/>
  <c r="GN159" i="1"/>
  <c r="R943" i="5"/>
  <c r="K952" i="5" s="1"/>
  <c r="J956" i="5" s="1"/>
  <c r="AK1347" i="1"/>
  <c r="K670" i="5"/>
  <c r="J675" i="5" s="1"/>
  <c r="GN709" i="1"/>
  <c r="GM709" i="1"/>
  <c r="M188" i="10"/>
  <c r="H533" i="5"/>
  <c r="O533" i="5"/>
  <c r="D302" i="9"/>
  <c r="K374" i="5"/>
  <c r="J378" i="5" s="1"/>
  <c r="GN339" i="1"/>
  <c r="CP40" i="1"/>
  <c r="O40" i="1" s="1"/>
  <c r="GM339" i="1"/>
  <c r="M30" i="10"/>
  <c r="X524" i="5"/>
  <c r="X387" i="5"/>
  <c r="K930" i="5"/>
  <c r="GM1305" i="1"/>
  <c r="GN1305" i="1"/>
  <c r="K847" i="5"/>
  <c r="R188" i="10"/>
  <c r="T90" i="10"/>
  <c r="F38" i="9"/>
  <c r="X241" i="5"/>
  <c r="P675" i="5"/>
  <c r="AG1157" i="1"/>
  <c r="F157" i="9"/>
  <c r="M306" i="10"/>
  <c r="T312" i="10"/>
  <c r="CY790" i="1"/>
  <c r="X790" i="1" s="1"/>
  <c r="CZ790" i="1"/>
  <c r="Y790" i="1" s="1"/>
  <c r="T730" i="5" s="1"/>
  <c r="K732" i="5" s="1"/>
  <c r="R90" i="10"/>
  <c r="J66" i="5"/>
  <c r="H444" i="5"/>
  <c r="H663" i="5"/>
  <c r="K858" i="5"/>
  <c r="F147" i="9"/>
  <c r="M63" i="10"/>
  <c r="P807" i="5"/>
  <c r="J807" i="5"/>
  <c r="T231" i="10"/>
  <c r="R130" i="10"/>
  <c r="J154" i="5"/>
  <c r="P154" i="5"/>
  <c r="K294" i="5"/>
  <c r="P298" i="5" s="1"/>
  <c r="X463" i="5"/>
  <c r="H85" i="5"/>
  <c r="AJ583" i="1"/>
  <c r="AJ570" i="1" s="1"/>
  <c r="CJ503" i="1"/>
  <c r="AE711" i="1"/>
  <c r="GN385" i="1"/>
  <c r="R428" i="5"/>
  <c r="GN378" i="1"/>
  <c r="CP387" i="1"/>
  <c r="O387" i="1" s="1"/>
  <c r="GN30" i="1"/>
  <c r="AJ1307" i="1"/>
  <c r="AJ711" i="1"/>
  <c r="W711" i="1" s="1"/>
  <c r="AJ389" i="1"/>
  <c r="AG214" i="1"/>
  <c r="T214" i="1" s="1"/>
  <c r="AE42" i="1"/>
  <c r="GM706" i="1"/>
  <c r="R652" i="5"/>
  <c r="K659" i="5" s="1"/>
  <c r="GN708" i="1"/>
  <c r="CP575" i="1"/>
  <c r="O575" i="1" s="1"/>
  <c r="K520" i="5" s="1"/>
  <c r="GM659" i="1"/>
  <c r="AD343" i="1"/>
  <c r="AG42" i="1"/>
  <c r="T42" i="1" s="1"/>
  <c r="AC1157" i="1"/>
  <c r="GN384" i="1"/>
  <c r="R424" i="5"/>
  <c r="K429" i="5" s="1"/>
  <c r="GM789" i="1"/>
  <c r="GM578" i="1"/>
  <c r="K419" i="5"/>
  <c r="GN255" i="1"/>
  <c r="GM161" i="1"/>
  <c r="GM784" i="1"/>
  <c r="CD89" i="1"/>
  <c r="O265" i="5"/>
  <c r="X861" i="5"/>
  <c r="P956" i="5"/>
  <c r="J958" i="5" s="1"/>
  <c r="M90" i="10"/>
  <c r="F155" i="9"/>
  <c r="O130" i="10"/>
  <c r="F132" i="9" s="1"/>
  <c r="E135" i="9" s="1"/>
  <c r="E275" i="9"/>
  <c r="J773" i="5"/>
  <c r="O362" i="5"/>
  <c r="H389" i="5" s="1"/>
  <c r="H362" i="5"/>
  <c r="X362" i="5"/>
  <c r="O387" i="5"/>
  <c r="GM785" i="1"/>
  <c r="R710" i="5"/>
  <c r="T306" i="10"/>
  <c r="T225" i="10"/>
  <c r="O225" i="10"/>
  <c r="F222" i="9" s="1"/>
  <c r="E228" i="9" s="1"/>
  <c r="T145" i="10"/>
  <c r="O188" i="10"/>
  <c r="F186" i="9" s="1"/>
  <c r="E187" i="9" s="1"/>
  <c r="O306" i="10"/>
  <c r="F302" i="9" s="1"/>
  <c r="E306" i="9" s="1"/>
  <c r="O472" i="5"/>
  <c r="H503" i="5" s="1"/>
  <c r="W692" i="5"/>
  <c r="H696" i="5"/>
  <c r="O696" i="5"/>
  <c r="X696" i="5"/>
  <c r="T127" i="10"/>
  <c r="M79" i="10"/>
  <c r="CY335" i="1"/>
  <c r="X335" i="1" s="1"/>
  <c r="CZ335" i="1"/>
  <c r="Y335" i="1" s="1"/>
  <c r="T357" i="5" s="1"/>
  <c r="K359" i="5" s="1"/>
  <c r="D119" i="9"/>
  <c r="M286" i="10"/>
  <c r="R225" i="10"/>
  <c r="J935" i="5"/>
  <c r="P935" i="5"/>
  <c r="M217" i="10"/>
  <c r="D133" i="9"/>
  <c r="H892" i="5"/>
  <c r="X892" i="5"/>
  <c r="M116" i="10"/>
  <c r="K792" i="5"/>
  <c r="GN1006" i="1"/>
  <c r="GM1006" i="1"/>
  <c r="X644" i="5"/>
  <c r="H644" i="5"/>
  <c r="W637" i="5"/>
  <c r="O644" i="5"/>
  <c r="H677" i="5" s="1"/>
  <c r="J606" i="5"/>
  <c r="P606" i="5"/>
  <c r="J482" i="5"/>
  <c r="P482" i="5"/>
  <c r="E178" i="9"/>
  <c r="H166" i="5"/>
  <c r="O166" i="5"/>
  <c r="R63" i="10"/>
  <c r="X154" i="5"/>
  <c r="O154" i="5"/>
  <c r="D157" i="9"/>
  <c r="O251" i="10"/>
  <c r="F255" i="9" s="1"/>
  <c r="J892" i="5"/>
  <c r="H797" i="5"/>
  <c r="X797" i="5"/>
  <c r="R273" i="10"/>
  <c r="T199" i="10"/>
  <c r="M173" i="10"/>
  <c r="H97" i="5"/>
  <c r="O723" i="5"/>
  <c r="X723" i="5"/>
  <c r="T115" i="10"/>
  <c r="M322" i="10"/>
  <c r="GN1007" i="1"/>
  <c r="O145" i="10"/>
  <c r="F146" i="9" s="1"/>
  <c r="E150" i="9" s="1"/>
  <c r="O892" i="5"/>
  <c r="H894" i="5" s="1"/>
  <c r="J135" i="5"/>
  <c r="AK1157" i="1"/>
  <c r="O298" i="5"/>
  <c r="H312" i="5" s="1"/>
  <c r="J702" i="5"/>
  <c r="P702" i="5"/>
  <c r="P699" i="5"/>
  <c r="J699" i="5"/>
  <c r="U711" i="1"/>
  <c r="Q583" i="1"/>
  <c r="AD570" i="1"/>
  <c r="AF326" i="1"/>
  <c r="S343" i="1"/>
  <c r="AD650" i="1"/>
  <c r="Q666" i="1"/>
  <c r="AF26" i="1"/>
  <c r="S42" i="1"/>
  <c r="T666" i="1"/>
  <c r="AG650" i="1"/>
  <c r="CD75" i="1"/>
  <c r="AU89" i="1"/>
  <c r="AJ376" i="1"/>
  <c r="W389" i="1"/>
  <c r="Q343" i="1"/>
  <c r="AD326" i="1"/>
  <c r="AG26" i="1"/>
  <c r="AD376" i="1"/>
  <c r="Q389" i="1"/>
  <c r="V503" i="1"/>
  <c r="AI490" i="1"/>
  <c r="AD778" i="1"/>
  <c r="Q792" i="1"/>
  <c r="AI699" i="1"/>
  <c r="V711" i="1"/>
  <c r="AI326" i="1"/>
  <c r="V343" i="1"/>
  <c r="AH778" i="1"/>
  <c r="AJ26" i="1"/>
  <c r="W42" i="1"/>
  <c r="AH26" i="1"/>
  <c r="AD1298" i="1"/>
  <c r="Q1307" i="1"/>
  <c r="BA792" i="1"/>
  <c r="CJ778" i="1"/>
  <c r="CJ699" i="1"/>
  <c r="BA711" i="1"/>
  <c r="AI570" i="1"/>
  <c r="GK1193" i="1"/>
  <c r="AE1197" i="1"/>
  <c r="AH200" i="1"/>
  <c r="U214" i="1"/>
  <c r="R1157" i="1"/>
  <c r="AE1147" i="1"/>
  <c r="CJ376" i="1"/>
  <c r="BA389" i="1"/>
  <c r="GK87" i="1"/>
  <c r="AE89" i="1"/>
  <c r="GK1303" i="1"/>
  <c r="AE1307" i="1"/>
  <c r="AG778" i="1"/>
  <c r="T792" i="1"/>
  <c r="W503" i="1"/>
  <c r="AJ490" i="1"/>
  <c r="CZ208" i="1"/>
  <c r="Y208" i="1" s="1"/>
  <c r="T236" i="5" s="1"/>
  <c r="K238" i="5" s="1"/>
  <c r="CY208" i="1"/>
  <c r="X208" i="1" s="1"/>
  <c r="R236" i="5" s="1"/>
  <c r="K237" i="5" s="1"/>
  <c r="AF214" i="1"/>
  <c r="CY664" i="1"/>
  <c r="X664" i="1" s="1"/>
  <c r="R615" i="5" s="1"/>
  <c r="CZ664" i="1"/>
  <c r="Y664" i="1" s="1"/>
  <c r="T615" i="5" s="1"/>
  <c r="AI1298" i="1"/>
  <c r="V1307" i="1"/>
  <c r="AG859" i="1"/>
  <c r="T864" i="1"/>
  <c r="W864" i="1"/>
  <c r="AJ859" i="1"/>
  <c r="U583" i="1"/>
  <c r="AH570" i="1"/>
  <c r="AZ699" i="1"/>
  <c r="F722" i="1"/>
  <c r="CZ788" i="1"/>
  <c r="Y788" i="1" s="1"/>
  <c r="T718" i="5" s="1"/>
  <c r="CY788" i="1"/>
  <c r="X788" i="1" s="1"/>
  <c r="R718" i="5" s="1"/>
  <c r="AX326" i="1"/>
  <c r="F350" i="1"/>
  <c r="S247" i="1"/>
  <c r="F274" i="1"/>
  <c r="P259" i="1"/>
  <c r="CE259" i="1"/>
  <c r="AC247" i="1"/>
  <c r="CH259" i="1"/>
  <c r="CF259" i="1"/>
  <c r="CJ200" i="1"/>
  <c r="CJ1298" i="1"/>
  <c r="BA1307" i="1"/>
  <c r="CY703" i="1"/>
  <c r="X703" i="1" s="1"/>
  <c r="CZ703" i="1"/>
  <c r="Y703" i="1" s="1"/>
  <c r="T645" i="5" s="1"/>
  <c r="K649" i="5" s="1"/>
  <c r="CY702" i="1"/>
  <c r="X702" i="1" s="1"/>
  <c r="CZ702" i="1"/>
  <c r="Y702" i="1" s="1"/>
  <c r="AF711" i="1"/>
  <c r="CZ579" i="1"/>
  <c r="Y579" i="1" s="1"/>
  <c r="T538" i="5" s="1"/>
  <c r="K540" i="5" s="1"/>
  <c r="P542" i="5" s="1"/>
  <c r="CY579" i="1"/>
  <c r="X579" i="1" s="1"/>
  <c r="R538" i="5" s="1"/>
  <c r="K539" i="5" s="1"/>
  <c r="GN654" i="1"/>
  <c r="GM654" i="1"/>
  <c r="BA343" i="1"/>
  <c r="CJ326" i="1"/>
  <c r="AL247" i="1"/>
  <c r="Y259" i="1"/>
  <c r="AH75" i="1"/>
  <c r="U89" i="1"/>
  <c r="GN34" i="1"/>
  <c r="GM34" i="1"/>
  <c r="AZ999" i="1"/>
  <c r="F1023" i="1"/>
  <c r="CP1005" i="1"/>
  <c r="O1005" i="1" s="1"/>
  <c r="K791" i="5" s="1"/>
  <c r="GN379" i="1"/>
  <c r="GM379" i="1"/>
  <c r="W247" i="1"/>
  <c r="F283" i="1"/>
  <c r="CZ87" i="1"/>
  <c r="Y87" i="1" s="1"/>
  <c r="CY87" i="1"/>
  <c r="X87" i="1" s="1"/>
  <c r="AF89" i="1"/>
  <c r="CJ859" i="1"/>
  <c r="BA864" i="1"/>
  <c r="AH376" i="1"/>
  <c r="U389" i="1"/>
  <c r="GN257" i="1"/>
  <c r="GM257" i="1"/>
  <c r="GM163" i="1"/>
  <c r="GN163" i="1"/>
  <c r="AD156" i="1"/>
  <c r="Q167" i="1"/>
  <c r="F1358" i="1"/>
  <c r="AZ1340" i="1"/>
  <c r="CZ862" i="1"/>
  <c r="Y862" i="1" s="1"/>
  <c r="CY862" i="1"/>
  <c r="X862" i="1" s="1"/>
  <c r="AF864" i="1"/>
  <c r="GN573" i="1"/>
  <c r="GM573" i="1"/>
  <c r="AX376" i="1"/>
  <c r="F396" i="1"/>
  <c r="AZ156" i="1"/>
  <c r="F178" i="1"/>
  <c r="V156" i="1"/>
  <c r="F190" i="1"/>
  <c r="AX156" i="1"/>
  <c r="F174" i="1"/>
  <c r="CI247" i="1"/>
  <c r="AZ259" i="1"/>
  <c r="BD22" i="1"/>
  <c r="F1539" i="1"/>
  <c r="BD1544" i="1"/>
  <c r="AC666" i="1"/>
  <c r="CP579" i="1"/>
  <c r="O579" i="1" s="1"/>
  <c r="K538" i="5" s="1"/>
  <c r="AE503" i="1"/>
  <c r="CP664" i="1"/>
  <c r="O664" i="1" s="1"/>
  <c r="K615" i="5" s="1"/>
  <c r="AE389" i="1"/>
  <c r="AC42" i="1"/>
  <c r="AC503" i="1"/>
  <c r="CP212" i="1"/>
  <c r="O212" i="1" s="1"/>
  <c r="K260" i="5" s="1"/>
  <c r="CB1347" i="1"/>
  <c r="GN706" i="1"/>
  <c r="AG1190" i="1"/>
  <c r="T1197" i="1"/>
  <c r="W583" i="1"/>
  <c r="CJ490" i="1"/>
  <c r="BA503" i="1"/>
  <c r="AD200" i="1"/>
  <c r="Q214" i="1"/>
  <c r="AX999" i="1"/>
  <c r="F1019" i="1"/>
  <c r="CF1340" i="1"/>
  <c r="AW1347" i="1"/>
  <c r="F1350" i="1"/>
  <c r="P1340" i="1"/>
  <c r="AE699" i="1"/>
  <c r="R711" i="1"/>
  <c r="CZ495" i="1"/>
  <c r="Y495" i="1" s="1"/>
  <c r="T468" i="5" s="1"/>
  <c r="K470" i="5" s="1"/>
  <c r="AF503" i="1"/>
  <c r="CY495" i="1"/>
  <c r="X495" i="1" s="1"/>
  <c r="R468" i="5" s="1"/>
  <c r="K469" i="5" s="1"/>
  <c r="AG376" i="1"/>
  <c r="T389" i="1"/>
  <c r="AX247" i="1"/>
  <c r="F266" i="1"/>
  <c r="GN1300" i="1"/>
  <c r="GM1300" i="1"/>
  <c r="AJ699" i="1"/>
  <c r="AG326" i="1"/>
  <c r="T343" i="1"/>
  <c r="AI200" i="1"/>
  <c r="V214" i="1"/>
  <c r="AE156" i="1"/>
  <c r="R167" i="1"/>
  <c r="AD26" i="1"/>
  <c r="Q42" i="1"/>
  <c r="F1204" i="1"/>
  <c r="AX1190" i="1"/>
  <c r="CP1193" i="1"/>
  <c r="O1193" i="1" s="1"/>
  <c r="K875" i="5" s="1"/>
  <c r="AC1197" i="1"/>
  <c r="CZ337" i="1"/>
  <c r="Y337" i="1" s="1"/>
  <c r="T366" i="5" s="1"/>
  <c r="K368" i="5" s="1"/>
  <c r="CY337" i="1"/>
  <c r="X337" i="1" s="1"/>
  <c r="AJ1190" i="1"/>
  <c r="W1197" i="1"/>
  <c r="GN660" i="1"/>
  <c r="GM660" i="1"/>
  <c r="U503" i="1"/>
  <c r="AH490" i="1"/>
  <c r="GM383" i="1"/>
  <c r="GN383" i="1"/>
  <c r="AD247" i="1"/>
  <c r="Q259" i="1"/>
  <c r="CJ75" i="1"/>
  <c r="BA89" i="1"/>
  <c r="AZ1190" i="1"/>
  <c r="F1208" i="1"/>
  <c r="S1340" i="1"/>
  <c r="F1362" i="1"/>
  <c r="GN1149" i="1"/>
  <c r="AB1157" i="1"/>
  <c r="GM1149" i="1"/>
  <c r="CX333" i="3"/>
  <c r="CX334" i="3"/>
  <c r="CX331" i="3"/>
  <c r="CX335" i="3"/>
  <c r="CX332" i="3"/>
  <c r="R1008" i="1"/>
  <c r="K812" i="5" s="1"/>
  <c r="Q1008" i="1"/>
  <c r="K811" i="5" s="1"/>
  <c r="I1009" i="1"/>
  <c r="I1010" i="1"/>
  <c r="U1008" i="1"/>
  <c r="I818" i="5" s="1"/>
  <c r="S1008" i="1"/>
  <c r="K810" i="5" s="1"/>
  <c r="P1008" i="1"/>
  <c r="W1008" i="1"/>
  <c r="T1008" i="1"/>
  <c r="V1008" i="1"/>
  <c r="GX1008" i="1"/>
  <c r="CP786" i="1"/>
  <c r="O786" i="1" s="1"/>
  <c r="K716" i="5" s="1"/>
  <c r="AC792" i="1"/>
  <c r="AZ570" i="1"/>
  <c r="F594" i="1"/>
  <c r="CY658" i="1"/>
  <c r="X658" i="1" s="1"/>
  <c r="R589" i="5" s="1"/>
  <c r="K590" i="5" s="1"/>
  <c r="CZ658" i="1"/>
  <c r="Y658" i="1" s="1"/>
  <c r="AF666" i="1"/>
  <c r="GM205" i="1"/>
  <c r="GP205" i="1"/>
  <c r="CD214" i="1" s="1"/>
  <c r="AO22" i="1"/>
  <c r="F1518" i="1"/>
  <c r="AO1544" i="1"/>
  <c r="GN32" i="1"/>
  <c r="GM32" i="1"/>
  <c r="GN329" i="1"/>
  <c r="GM329" i="1"/>
  <c r="AK247" i="1"/>
  <c r="GN158" i="1"/>
  <c r="GM158" i="1"/>
  <c r="CA167" i="1" s="1"/>
  <c r="AB167" i="1"/>
  <c r="CJ26" i="1"/>
  <c r="BA42" i="1"/>
  <c r="F1368" i="1"/>
  <c r="T1340" i="1"/>
  <c r="AZ778" i="1"/>
  <c r="F803" i="1"/>
  <c r="F510" i="1"/>
  <c r="AX490" i="1"/>
  <c r="GN492" i="1"/>
  <c r="GM492" i="1"/>
  <c r="AB503" i="1"/>
  <c r="AX75" i="1"/>
  <c r="F96" i="1"/>
  <c r="AZ26" i="1"/>
  <c r="F53" i="1"/>
  <c r="AZ1514" i="1"/>
  <c r="O1347" i="1"/>
  <c r="AB1340" i="1"/>
  <c r="Q1147" i="1"/>
  <c r="AG583" i="1"/>
  <c r="CP501" i="1"/>
  <c r="O501" i="1" s="1"/>
  <c r="K496" i="5" s="1"/>
  <c r="CJ666" i="1"/>
  <c r="GN1001" i="1"/>
  <c r="AC389" i="1"/>
  <c r="AC343" i="1"/>
  <c r="AD711" i="1"/>
  <c r="AC583" i="1"/>
  <c r="AK167" i="1"/>
  <c r="GP655" i="1"/>
  <c r="CD666" i="1" s="1"/>
  <c r="GM385" i="1"/>
  <c r="GK786" i="1"/>
  <c r="AE792" i="1"/>
  <c r="CE1340" i="1"/>
  <c r="AV1347" i="1"/>
  <c r="AX778" i="1"/>
  <c r="F799" i="1"/>
  <c r="AX650" i="1"/>
  <c r="F673" i="1"/>
  <c r="AT650" i="1"/>
  <c r="F684" i="1"/>
  <c r="BA247" i="1"/>
  <c r="F279" i="1"/>
  <c r="CZ341" i="1"/>
  <c r="Y341" i="1" s="1"/>
  <c r="CY341" i="1"/>
  <c r="X341" i="1" s="1"/>
  <c r="AP22" i="1"/>
  <c r="F1523" i="1"/>
  <c r="AP1544" i="1"/>
  <c r="W1307" i="1"/>
  <c r="AJ1298" i="1"/>
  <c r="GM704" i="1"/>
  <c r="GP704" i="1"/>
  <c r="CD711" i="1" s="1"/>
  <c r="AH859" i="1"/>
  <c r="U864" i="1"/>
  <c r="V666" i="1"/>
  <c r="AI650" i="1"/>
  <c r="Q503" i="1"/>
  <c r="AD490" i="1"/>
  <c r="GP253" i="1"/>
  <c r="CD259" i="1" s="1"/>
  <c r="GM253" i="1"/>
  <c r="AJ200" i="1"/>
  <c r="W214" i="1"/>
  <c r="AE26" i="1"/>
  <c r="R42" i="1"/>
  <c r="GM28" i="1"/>
  <c r="GN28" i="1"/>
  <c r="AB42" i="1"/>
  <c r="F1164" i="1"/>
  <c r="AX1147" i="1"/>
  <c r="CP1303" i="1"/>
  <c r="O1303" i="1" s="1"/>
  <c r="K918" i="5" s="1"/>
  <c r="AC1307" i="1"/>
  <c r="CY1193" i="1"/>
  <c r="X1193" i="1" s="1"/>
  <c r="CZ1193" i="1"/>
  <c r="Y1193" i="1" s="1"/>
  <c r="AF1197" i="1"/>
  <c r="AC699" i="1"/>
  <c r="CF711" i="1"/>
  <c r="P711" i="1"/>
  <c r="CE711" i="1"/>
  <c r="CH711" i="1"/>
  <c r="R859" i="1"/>
  <c r="F878" i="1"/>
  <c r="GK575" i="1"/>
  <c r="AE583" i="1"/>
  <c r="F221" i="1"/>
  <c r="AX200" i="1"/>
  <c r="T156" i="1"/>
  <c r="F188" i="1"/>
  <c r="AH1298" i="1"/>
  <c r="U1307" i="1"/>
  <c r="GN1150" i="1"/>
  <c r="GM1150" i="1"/>
  <c r="AI376" i="1"/>
  <c r="V389" i="1"/>
  <c r="GN497" i="1"/>
  <c r="GM497" i="1"/>
  <c r="GM250" i="1"/>
  <c r="GN250" i="1"/>
  <c r="R1340" i="1"/>
  <c r="F1361" i="1"/>
  <c r="AC1147" i="1"/>
  <c r="CF1157" i="1"/>
  <c r="P1157" i="1"/>
  <c r="CE1157" i="1"/>
  <c r="CH1157" i="1"/>
  <c r="AX859" i="1"/>
  <c r="F871" i="1"/>
  <c r="CZ1005" i="1"/>
  <c r="Y1005" i="1" s="1"/>
  <c r="T791" i="5" s="1"/>
  <c r="K794" i="5" s="1"/>
  <c r="CY1005" i="1"/>
  <c r="X1005" i="1" s="1"/>
  <c r="R791" i="5" s="1"/>
  <c r="K793" i="5" s="1"/>
  <c r="F875" i="1"/>
  <c r="AZ859" i="1"/>
  <c r="CZ786" i="1"/>
  <c r="Y786" i="1" s="1"/>
  <c r="CY786" i="1"/>
  <c r="X786" i="1" s="1"/>
  <c r="AF792" i="1"/>
  <c r="U156" i="1"/>
  <c r="F189" i="1"/>
  <c r="GN331" i="1"/>
  <c r="GM331" i="1"/>
  <c r="BA156" i="1"/>
  <c r="F187" i="1"/>
  <c r="U247" i="1"/>
  <c r="F281" i="1"/>
  <c r="CZ38" i="1"/>
  <c r="Y38" i="1" s="1"/>
  <c r="CY38" i="1"/>
  <c r="X38" i="1" s="1"/>
  <c r="AL1340" i="1"/>
  <c r="Y1347" i="1"/>
  <c r="CZ575" i="1"/>
  <c r="Y575" i="1" s="1"/>
  <c r="CY575" i="1"/>
  <c r="X575" i="1" s="1"/>
  <c r="AF583" i="1"/>
  <c r="AG490" i="1"/>
  <c r="T503" i="1"/>
  <c r="GN496" i="1"/>
  <c r="GM496" i="1"/>
  <c r="GM386" i="1"/>
  <c r="GN386" i="1"/>
  <c r="GN334" i="1"/>
  <c r="GM334" i="1"/>
  <c r="CZ212" i="1"/>
  <c r="Y212" i="1" s="1"/>
  <c r="T260" i="5" s="1"/>
  <c r="K262" i="5" s="1"/>
  <c r="CY212" i="1"/>
  <c r="X212" i="1" s="1"/>
  <c r="R260" i="5" s="1"/>
  <c r="K261" i="5" s="1"/>
  <c r="F1318" i="1"/>
  <c r="AZ1298" i="1"/>
  <c r="AD859" i="1"/>
  <c r="Q864" i="1"/>
  <c r="CY662" i="1"/>
  <c r="X662" i="1" s="1"/>
  <c r="CZ662" i="1"/>
  <c r="Y662" i="1" s="1"/>
  <c r="T613" i="5" s="1"/>
  <c r="AT247" i="1"/>
  <c r="F277" i="1"/>
  <c r="AP247" i="1"/>
  <c r="F268" i="1"/>
  <c r="AZ75" i="1"/>
  <c r="F100" i="1"/>
  <c r="AF156" i="1"/>
  <c r="S167" i="1"/>
  <c r="BB22" i="1"/>
  <c r="BB1544" i="1"/>
  <c r="F1527" i="1"/>
  <c r="AJ778" i="1"/>
  <c r="W792" i="1"/>
  <c r="BA1190" i="1"/>
  <c r="F1217" i="1"/>
  <c r="F110" i="1"/>
  <c r="T75" i="1"/>
  <c r="GM380" i="1"/>
  <c r="CP208" i="1"/>
  <c r="O208" i="1" s="1"/>
  <c r="K236" i="5" s="1"/>
  <c r="AT1514" i="1"/>
  <c r="AH666" i="1"/>
  <c r="AC214" i="1"/>
  <c r="AX1514" i="1"/>
  <c r="AH343" i="1"/>
  <c r="CA1347" i="1"/>
  <c r="GM384" i="1"/>
  <c r="GP162" i="1"/>
  <c r="GM572" i="1"/>
  <c r="GN572" i="1"/>
  <c r="AD75" i="1"/>
  <c r="Q89" i="1"/>
  <c r="GM333" i="1"/>
  <c r="GP333" i="1"/>
  <c r="CD343" i="1" s="1"/>
  <c r="V1340" i="1"/>
  <c r="F1370" i="1"/>
  <c r="F1367" i="1"/>
  <c r="BA1340" i="1"/>
  <c r="BA1147" i="1"/>
  <c r="F1177" i="1"/>
  <c r="U1147" i="1"/>
  <c r="F1179" i="1"/>
  <c r="CH1340" i="1"/>
  <c r="AY1347" i="1"/>
  <c r="GN652" i="1"/>
  <c r="GM652" i="1"/>
  <c r="AZ200" i="1"/>
  <c r="F225" i="1"/>
  <c r="AI1190" i="1"/>
  <c r="V1197" i="1"/>
  <c r="AI778" i="1"/>
  <c r="V792" i="1"/>
  <c r="AG699" i="1"/>
  <c r="T711" i="1"/>
  <c r="CZ501" i="1"/>
  <c r="Y501" i="1" s="1"/>
  <c r="T496" i="5" s="1"/>
  <c r="K498" i="5" s="1"/>
  <c r="CY501" i="1"/>
  <c r="X501" i="1" s="1"/>
  <c r="R496" i="5" s="1"/>
  <c r="K497" i="5" s="1"/>
  <c r="GN653" i="1"/>
  <c r="GM653" i="1"/>
  <c r="GN256" i="1"/>
  <c r="GM256" i="1"/>
  <c r="V89" i="1"/>
  <c r="AI75" i="1"/>
  <c r="GN39" i="1"/>
  <c r="GM39" i="1"/>
  <c r="CY1303" i="1"/>
  <c r="X1303" i="1" s="1"/>
  <c r="CZ1303" i="1"/>
  <c r="Y1303" i="1" s="1"/>
  <c r="AF1307" i="1"/>
  <c r="AD1190" i="1"/>
  <c r="Q1197" i="1"/>
  <c r="GM701" i="1"/>
  <c r="GN701" i="1"/>
  <c r="AB711" i="1"/>
  <c r="AX570" i="1"/>
  <c r="F590" i="1"/>
  <c r="GM249" i="1"/>
  <c r="CA259" i="1" s="1"/>
  <c r="AB259" i="1"/>
  <c r="GN249" i="1"/>
  <c r="GK208" i="1"/>
  <c r="AE214" i="1"/>
  <c r="AQ22" i="1"/>
  <c r="AQ1544" i="1"/>
  <c r="F1524" i="1"/>
  <c r="AH1190" i="1"/>
  <c r="U1197" i="1"/>
  <c r="AD1340" i="1"/>
  <c r="Q1347" i="1"/>
  <c r="V864" i="1"/>
  <c r="AI859" i="1"/>
  <c r="GN661" i="1"/>
  <c r="GM661" i="1"/>
  <c r="CZ387" i="1"/>
  <c r="Y387" i="1" s="1"/>
  <c r="CY387" i="1"/>
  <c r="X387" i="1" s="1"/>
  <c r="AC156" i="1"/>
  <c r="CF167" i="1"/>
  <c r="P167" i="1"/>
  <c r="CE167" i="1"/>
  <c r="CH167" i="1"/>
  <c r="W89" i="1"/>
  <c r="AJ75" i="1"/>
  <c r="AZ1147" i="1"/>
  <c r="F1168" i="1"/>
  <c r="AX699" i="1"/>
  <c r="F718" i="1"/>
  <c r="AZ376" i="1"/>
  <c r="F400" i="1"/>
  <c r="AZ326" i="1"/>
  <c r="F354" i="1"/>
  <c r="BC22" i="1"/>
  <c r="F1530" i="1"/>
  <c r="BC1544" i="1"/>
  <c r="CP87" i="1"/>
  <c r="O87" i="1" s="1"/>
  <c r="K161" i="5" s="1"/>
  <c r="AC89" i="1"/>
  <c r="GM499" i="1"/>
  <c r="GP499" i="1"/>
  <c r="CD503" i="1" s="1"/>
  <c r="GN338" i="1"/>
  <c r="GM338" i="1"/>
  <c r="W1340" i="1"/>
  <c r="F1371" i="1"/>
  <c r="V1147" i="1"/>
  <c r="F1180" i="1"/>
  <c r="CP862" i="1"/>
  <c r="O862" i="1" s="1"/>
  <c r="K749" i="5" s="1"/>
  <c r="AC864" i="1"/>
  <c r="AZ490" i="1"/>
  <c r="F514" i="1"/>
  <c r="AE247" i="1"/>
  <c r="R259" i="1"/>
  <c r="V26" i="1"/>
  <c r="F65" i="1"/>
  <c r="AJ343" i="1"/>
  <c r="CP788" i="1"/>
  <c r="O788" i="1" s="1"/>
  <c r="K718" i="5" s="1"/>
  <c r="CJ583" i="1"/>
  <c r="GP380" i="1"/>
  <c r="CD389" i="1" s="1"/>
  <c r="AJ666" i="1"/>
  <c r="AE666" i="1"/>
  <c r="CP658" i="1"/>
  <c r="O658" i="1" s="1"/>
  <c r="AE343" i="1"/>
  <c r="CD42" i="1"/>
  <c r="AL167" i="1"/>
  <c r="GP161" i="1"/>
  <c r="AF389" i="1"/>
  <c r="CD792" i="1"/>
  <c r="K658" i="5" l="1"/>
  <c r="J663" i="5" s="1"/>
  <c r="GM707" i="1"/>
  <c r="J241" i="5"/>
  <c r="K906" i="5"/>
  <c r="GM1301" i="1"/>
  <c r="GN1301" i="1"/>
  <c r="P663" i="5"/>
  <c r="E160" i="9"/>
  <c r="J298" i="5"/>
  <c r="J501" i="5"/>
  <c r="J542" i="5"/>
  <c r="AG200" i="1"/>
  <c r="H737" i="5"/>
  <c r="AB343" i="1"/>
  <c r="H622" i="5"/>
  <c r="J472" i="5"/>
  <c r="P472" i="5"/>
  <c r="J265" i="5"/>
  <c r="P265" i="5"/>
  <c r="AL389" i="1"/>
  <c r="T439" i="5"/>
  <c r="K441" i="5" s="1"/>
  <c r="GM662" i="1"/>
  <c r="R613" i="5"/>
  <c r="K616" i="5" s="1"/>
  <c r="AK42" i="1"/>
  <c r="R92" i="5"/>
  <c r="K93" i="5" s="1"/>
  <c r="CD167" i="1"/>
  <c r="CD156" i="1" s="1"/>
  <c r="AB666" i="1"/>
  <c r="AB650" i="1" s="1"/>
  <c r="K589" i="5"/>
  <c r="AK1307" i="1"/>
  <c r="R918" i="5"/>
  <c r="K919" i="5" s="1"/>
  <c r="AL1197" i="1"/>
  <c r="AL1190" i="1" s="1"/>
  <c r="T875" i="5"/>
  <c r="K877" i="5" s="1"/>
  <c r="GN341" i="1"/>
  <c r="R383" i="5"/>
  <c r="K384" i="5" s="1"/>
  <c r="AL666" i="1"/>
  <c r="Y666" i="1" s="1"/>
  <c r="T589" i="5"/>
  <c r="K591" i="5" s="1"/>
  <c r="J594" i="5" s="1"/>
  <c r="AK864" i="1"/>
  <c r="AK859" i="1" s="1"/>
  <c r="R749" i="5"/>
  <c r="K750" i="5" s="1"/>
  <c r="AL89" i="1"/>
  <c r="T161" i="5"/>
  <c r="K163" i="5" s="1"/>
  <c r="GM703" i="1"/>
  <c r="R645" i="5"/>
  <c r="K648" i="5" s="1"/>
  <c r="J423" i="5"/>
  <c r="P423" i="5"/>
  <c r="K103" i="5"/>
  <c r="GM40" i="1"/>
  <c r="AK1340" i="1"/>
  <c r="X1347" i="1"/>
  <c r="GM790" i="1"/>
  <c r="P378" i="5"/>
  <c r="T857" i="5"/>
  <c r="K859" i="5" s="1"/>
  <c r="J861" i="5" s="1"/>
  <c r="AL1157" i="1"/>
  <c r="GN40" i="1"/>
  <c r="R103" i="5"/>
  <c r="K104" i="5" s="1"/>
  <c r="GM1155" i="1"/>
  <c r="GN781" i="1"/>
  <c r="GM387" i="1"/>
  <c r="CA389" i="1" s="1"/>
  <c r="R439" i="5"/>
  <c r="K440" i="5" s="1"/>
  <c r="K617" i="5"/>
  <c r="AK792" i="1"/>
  <c r="AK778" i="1" s="1"/>
  <c r="R716" i="5"/>
  <c r="P797" i="5"/>
  <c r="J797" i="5"/>
  <c r="AK1197" i="1"/>
  <c r="AK1190" i="1" s="1"/>
  <c r="R875" i="5"/>
  <c r="K876" i="5" s="1"/>
  <c r="GM341" i="1"/>
  <c r="T383" i="5"/>
  <c r="K385" i="5" s="1"/>
  <c r="I265" i="10"/>
  <c r="D243" i="9" s="1"/>
  <c r="I263" i="10"/>
  <c r="D254" i="9" s="1"/>
  <c r="I264" i="10"/>
  <c r="D246" i="9" s="1"/>
  <c r="I262" i="10"/>
  <c r="D262" i="9" s="1"/>
  <c r="E820" i="5"/>
  <c r="D147" i="7"/>
  <c r="D136" i="6"/>
  <c r="I823" i="5"/>
  <c r="C821" i="5"/>
  <c r="I822" i="5"/>
  <c r="V820" i="5"/>
  <c r="K828" i="5" s="1"/>
  <c r="R263" i="10"/>
  <c r="O262" i="10"/>
  <c r="F262" i="9" s="1"/>
  <c r="T265" i="10"/>
  <c r="S820" i="5"/>
  <c r="I827" i="5" s="1"/>
  <c r="I824" i="5"/>
  <c r="W824" i="5" s="1"/>
  <c r="T263" i="10"/>
  <c r="M262" i="10"/>
  <c r="O263" i="10"/>
  <c r="F254" i="9" s="1"/>
  <c r="R262" i="10"/>
  <c r="I825" i="5"/>
  <c r="O264" i="10"/>
  <c r="F246" i="9" s="1"/>
  <c r="O265" i="10"/>
  <c r="F243" i="9" s="1"/>
  <c r="E248" i="9" s="1"/>
  <c r="R264" i="10"/>
  <c r="M263" i="10"/>
  <c r="T262" i="10"/>
  <c r="M264" i="10"/>
  <c r="Q820" i="5"/>
  <c r="I826" i="5" s="1"/>
  <c r="U820" i="5"/>
  <c r="I828" i="5" s="1"/>
  <c r="M265" i="10"/>
  <c r="T264" i="10"/>
  <c r="R265" i="10"/>
  <c r="GN337" i="1"/>
  <c r="R366" i="5"/>
  <c r="K367" i="5" s="1"/>
  <c r="AL864" i="1"/>
  <c r="AL859" i="1" s="1"/>
  <c r="T749" i="5"/>
  <c r="K751" i="5" s="1"/>
  <c r="AL711" i="1"/>
  <c r="AL699" i="1" s="1"/>
  <c r="T635" i="5"/>
  <c r="K641" i="5" s="1"/>
  <c r="K719" i="5"/>
  <c r="P861" i="5"/>
  <c r="R730" i="5"/>
  <c r="K731" i="5" s="1"/>
  <c r="GN790" i="1"/>
  <c r="T1157" i="1"/>
  <c r="AG1147" i="1"/>
  <c r="AX1340" i="1"/>
  <c r="F1354" i="1"/>
  <c r="E39" i="9"/>
  <c r="P501" i="5"/>
  <c r="AJ1147" i="1"/>
  <c r="W1157" i="1"/>
  <c r="J312" i="5"/>
  <c r="P73" i="5"/>
  <c r="J73" i="5"/>
  <c r="AK583" i="1"/>
  <c r="X583" i="1" s="1"/>
  <c r="R520" i="5"/>
  <c r="K521" i="5" s="1"/>
  <c r="AL792" i="1"/>
  <c r="AL778" i="1" s="1"/>
  <c r="T716" i="5"/>
  <c r="K720" i="5" s="1"/>
  <c r="CP1008" i="1"/>
  <c r="O1008" i="1" s="1"/>
  <c r="K813" i="5"/>
  <c r="I261" i="10"/>
  <c r="D146" i="7"/>
  <c r="D135" i="6"/>
  <c r="E814" i="5"/>
  <c r="I814" i="5"/>
  <c r="X814" i="5" s="1"/>
  <c r="U814" i="5"/>
  <c r="Q814" i="5"/>
  <c r="I815" i="5" s="1"/>
  <c r="V814" i="5"/>
  <c r="K817" i="5" s="1"/>
  <c r="S814" i="5"/>
  <c r="I816" i="5" s="1"/>
  <c r="AK711" i="1"/>
  <c r="R635" i="5"/>
  <c r="K640" i="5" s="1"/>
  <c r="P644" i="5" s="1"/>
  <c r="X1157" i="1"/>
  <c r="AK1147" i="1"/>
  <c r="R357" i="5"/>
  <c r="K358" i="5" s="1"/>
  <c r="GN335" i="1"/>
  <c r="P851" i="5"/>
  <c r="J851" i="5"/>
  <c r="H267" i="5"/>
  <c r="GN35" i="1"/>
  <c r="R80" i="5"/>
  <c r="K81" i="5" s="1"/>
  <c r="V247" i="1"/>
  <c r="F282" i="1"/>
  <c r="H110" i="5"/>
  <c r="H553" i="5"/>
  <c r="AL1307" i="1"/>
  <c r="T918" i="5"/>
  <c r="K920" i="5" s="1"/>
  <c r="AB583" i="1"/>
  <c r="O583" i="1" s="1"/>
  <c r="AL583" i="1"/>
  <c r="Y583" i="1" s="1"/>
  <c r="T520" i="5"/>
  <c r="K522" i="5" s="1"/>
  <c r="AL42" i="1"/>
  <c r="Y42" i="1" s="1"/>
  <c r="T92" i="5"/>
  <c r="K94" i="5" s="1"/>
  <c r="AK89" i="1"/>
  <c r="X89" i="1" s="1"/>
  <c r="R161" i="5"/>
  <c r="K162" i="5" s="1"/>
  <c r="P241" i="5"/>
  <c r="J267" i="5" s="1"/>
  <c r="H168" i="5"/>
  <c r="GM335" i="1"/>
  <c r="P432" i="5"/>
  <c r="J432" i="5"/>
  <c r="AB389" i="1"/>
  <c r="K439" i="5"/>
  <c r="I817" i="5"/>
  <c r="W810" i="5"/>
  <c r="R690" i="5"/>
  <c r="K693" i="5" s="1"/>
  <c r="P696" i="5" s="1"/>
  <c r="GM781" i="1"/>
  <c r="K80" i="5"/>
  <c r="GM35" i="1"/>
  <c r="T1307" i="1"/>
  <c r="AG1298" i="1"/>
  <c r="AF1147" i="1"/>
  <c r="S1157" i="1"/>
  <c r="GN1155" i="1"/>
  <c r="CB1157" i="1" s="1"/>
  <c r="G16" i="2"/>
  <c r="J26" i="5"/>
  <c r="AU343" i="1"/>
  <c r="CD326" i="1"/>
  <c r="O666" i="1"/>
  <c r="AU503" i="1"/>
  <c r="CD490" i="1"/>
  <c r="AL376" i="1"/>
  <c r="Y389" i="1"/>
  <c r="CD247" i="1"/>
  <c r="AU259" i="1"/>
  <c r="AL156" i="1"/>
  <c r="Y167" i="1"/>
  <c r="AE200" i="1"/>
  <c r="R214" i="1"/>
  <c r="T490" i="1"/>
  <c r="F524" i="1"/>
  <c r="CH699" i="1"/>
  <c r="AY711" i="1"/>
  <c r="GM579" i="1"/>
  <c r="GN579" i="1"/>
  <c r="Y247" i="1"/>
  <c r="F286" i="1"/>
  <c r="S711" i="1"/>
  <c r="AF699" i="1"/>
  <c r="CE247" i="1"/>
  <c r="AV259" i="1"/>
  <c r="V1298" i="1"/>
  <c r="F1330" i="1"/>
  <c r="AF200" i="1"/>
  <c r="S214" i="1"/>
  <c r="F527" i="1"/>
  <c r="W490" i="1"/>
  <c r="V570" i="1"/>
  <c r="F606" i="1"/>
  <c r="U26" i="1"/>
  <c r="F64" i="1"/>
  <c r="F814" i="1"/>
  <c r="U778" i="1"/>
  <c r="V699" i="1"/>
  <c r="F734" i="1"/>
  <c r="Q326" i="1"/>
  <c r="F355" i="1"/>
  <c r="F687" i="1"/>
  <c r="T650" i="1"/>
  <c r="U699" i="1"/>
  <c r="F733" i="1"/>
  <c r="GN703" i="1"/>
  <c r="V859" i="1"/>
  <c r="F887" i="1"/>
  <c r="F876" i="1"/>
  <c r="Q859" i="1"/>
  <c r="P1307" i="1"/>
  <c r="CE1307" i="1"/>
  <c r="CH1307" i="1"/>
  <c r="AC1298" i="1"/>
  <c r="CF1307" i="1"/>
  <c r="AJ650" i="1"/>
  <c r="W666" i="1"/>
  <c r="CE156" i="1"/>
  <c r="AV167" i="1"/>
  <c r="U1190" i="1"/>
  <c r="F1219" i="1"/>
  <c r="AB699" i="1"/>
  <c r="O711" i="1"/>
  <c r="Y792" i="1"/>
  <c r="CH1147" i="1"/>
  <c r="AY1157" i="1"/>
  <c r="X1197" i="1"/>
  <c r="R26" i="1"/>
  <c r="F56" i="1"/>
  <c r="CF583" i="1"/>
  <c r="P583" i="1"/>
  <c r="CE583" i="1"/>
  <c r="CH583" i="1"/>
  <c r="AC570" i="1"/>
  <c r="T583" i="1"/>
  <c r="AG570" i="1"/>
  <c r="O1340" i="1"/>
  <c r="F1349" i="1"/>
  <c r="AL650" i="1"/>
  <c r="GK1008" i="1"/>
  <c r="AC490" i="1"/>
  <c r="CH503" i="1"/>
  <c r="CF503" i="1"/>
  <c r="P503" i="1"/>
  <c r="CE503" i="1"/>
  <c r="AF376" i="1"/>
  <c r="S389" i="1"/>
  <c r="AE326" i="1"/>
  <c r="R343" i="1"/>
  <c r="CJ570" i="1"/>
  <c r="BA583" i="1"/>
  <c r="GM862" i="1"/>
  <c r="CA864" i="1" s="1"/>
  <c r="GN862" i="1"/>
  <c r="CB864" i="1" s="1"/>
  <c r="AB864" i="1"/>
  <c r="CH156" i="1"/>
  <c r="AY167" i="1"/>
  <c r="AQ18" i="1"/>
  <c r="F1554" i="1"/>
  <c r="Q1190" i="1"/>
  <c r="F1209" i="1"/>
  <c r="X1307" i="1"/>
  <c r="AK1298" i="1"/>
  <c r="V75" i="1"/>
  <c r="F112" i="1"/>
  <c r="AY1340" i="1"/>
  <c r="F1355" i="1"/>
  <c r="Q75" i="1"/>
  <c r="F101" i="1"/>
  <c r="U343" i="1"/>
  <c r="AH326" i="1"/>
  <c r="AH650" i="1"/>
  <c r="U666" i="1"/>
  <c r="S156" i="1"/>
  <c r="F182" i="1"/>
  <c r="AF570" i="1"/>
  <c r="S583" i="1"/>
  <c r="X792" i="1"/>
  <c r="CF1147" i="1"/>
  <c r="AW1157" i="1"/>
  <c r="V376" i="1"/>
  <c r="F412" i="1"/>
  <c r="U1298" i="1"/>
  <c r="F1329" i="1"/>
  <c r="P699" i="1"/>
  <c r="F714" i="1"/>
  <c r="Q490" i="1"/>
  <c r="F515" i="1"/>
  <c r="W1298" i="1"/>
  <c r="F1331" i="1"/>
  <c r="AE778" i="1"/>
  <c r="R792" i="1"/>
  <c r="AK156" i="1"/>
  <c r="X167" i="1"/>
  <c r="AC326" i="1"/>
  <c r="CF343" i="1"/>
  <c r="P343" i="1"/>
  <c r="CE343" i="1"/>
  <c r="CH343" i="1"/>
  <c r="GM501" i="1"/>
  <c r="GN501" i="1"/>
  <c r="BA26" i="1"/>
  <c r="F62" i="1"/>
  <c r="AF650" i="1"/>
  <c r="S666" i="1"/>
  <c r="CZ1008" i="1"/>
  <c r="Y1008" i="1" s="1"/>
  <c r="T808" i="5" s="1"/>
  <c r="CY1008" i="1"/>
  <c r="X1008" i="1" s="1"/>
  <c r="R808" i="5" s="1"/>
  <c r="AB1147" i="1"/>
  <c r="O1157" i="1"/>
  <c r="BA75" i="1"/>
  <c r="F109" i="1"/>
  <c r="AC1190" i="1"/>
  <c r="P1197" i="1"/>
  <c r="CE1197" i="1"/>
  <c r="CH1197" i="1"/>
  <c r="CF1197" i="1"/>
  <c r="Q26" i="1"/>
  <c r="F54" i="1"/>
  <c r="F237" i="1"/>
  <c r="V200" i="1"/>
  <c r="W699" i="1"/>
  <c r="F735" i="1"/>
  <c r="F725" i="1"/>
  <c r="R699" i="1"/>
  <c r="AW1340" i="1"/>
  <c r="F1353" i="1"/>
  <c r="Q200" i="1"/>
  <c r="F226" i="1"/>
  <c r="BA490" i="1"/>
  <c r="F523" i="1"/>
  <c r="F1218" i="1"/>
  <c r="T1190" i="1"/>
  <c r="GN212" i="1"/>
  <c r="GM212" i="1"/>
  <c r="AE376" i="1"/>
  <c r="R389" i="1"/>
  <c r="R503" i="1"/>
  <c r="AE490" i="1"/>
  <c r="BD18" i="1"/>
  <c r="F1569" i="1"/>
  <c r="Q156" i="1"/>
  <c r="F179" i="1"/>
  <c r="F884" i="1"/>
  <c r="BA859" i="1"/>
  <c r="AL75" i="1"/>
  <c r="Y89" i="1"/>
  <c r="BA326" i="1"/>
  <c r="F363" i="1"/>
  <c r="BA200" i="1"/>
  <c r="F234" i="1"/>
  <c r="F605" i="1"/>
  <c r="U570" i="1"/>
  <c r="AE1298" i="1"/>
  <c r="R1307" i="1"/>
  <c r="BA376" i="1"/>
  <c r="F409" i="1"/>
  <c r="U200" i="1"/>
  <c r="F236" i="1"/>
  <c r="W376" i="1"/>
  <c r="F413" i="1"/>
  <c r="Q650" i="1"/>
  <c r="F678" i="1"/>
  <c r="S326" i="1"/>
  <c r="F358" i="1"/>
  <c r="AL343" i="1"/>
  <c r="AK503" i="1"/>
  <c r="CB259" i="1"/>
  <c r="GN387" i="1"/>
  <c r="CB389" i="1" s="1"/>
  <c r="AK389" i="1"/>
  <c r="CB167" i="1"/>
  <c r="AK343" i="1"/>
  <c r="GM337" i="1"/>
  <c r="GN87" i="1"/>
  <c r="CB89" i="1" s="1"/>
  <c r="GM87" i="1"/>
  <c r="CA89" i="1" s="1"/>
  <c r="AB89" i="1"/>
  <c r="CA247" i="1"/>
  <c r="AR259" i="1"/>
  <c r="AT22" i="1"/>
  <c r="F1532" i="1"/>
  <c r="AT1544" i="1"/>
  <c r="AL26" i="1"/>
  <c r="AB26" i="1"/>
  <c r="O42" i="1"/>
  <c r="GN658" i="1"/>
  <c r="GM658" i="1"/>
  <c r="GM788" i="1"/>
  <c r="GN788" i="1"/>
  <c r="P89" i="1"/>
  <c r="CE89" i="1"/>
  <c r="AC75" i="1"/>
  <c r="CH89" i="1"/>
  <c r="CF89" i="1"/>
  <c r="AB247" i="1"/>
  <c r="O259" i="1"/>
  <c r="V778" i="1"/>
  <c r="F815" i="1"/>
  <c r="AX22" i="1"/>
  <c r="F1521" i="1"/>
  <c r="AX1544" i="1"/>
  <c r="F816" i="1"/>
  <c r="W778" i="1"/>
  <c r="AK26" i="1"/>
  <c r="X42" i="1"/>
  <c r="AW711" i="1"/>
  <c r="CF699" i="1"/>
  <c r="CD699" i="1"/>
  <c r="AU711" i="1"/>
  <c r="AP18" i="1"/>
  <c r="F1553" i="1"/>
  <c r="AC376" i="1"/>
  <c r="CF389" i="1"/>
  <c r="P389" i="1"/>
  <c r="CE389" i="1"/>
  <c r="CH389" i="1"/>
  <c r="CF792" i="1"/>
  <c r="AC778" i="1"/>
  <c r="P792" i="1"/>
  <c r="CE792" i="1"/>
  <c r="CH792" i="1"/>
  <c r="GN1193" i="1"/>
  <c r="CB1197" i="1" s="1"/>
  <c r="GM1193" i="1"/>
  <c r="CA1197" i="1" s="1"/>
  <c r="AB1197" i="1"/>
  <c r="CD778" i="1"/>
  <c r="AU792" i="1"/>
  <c r="CD26" i="1"/>
  <c r="AU42" i="1"/>
  <c r="R666" i="1"/>
  <c r="AE650" i="1"/>
  <c r="CD376" i="1"/>
  <c r="AU389" i="1"/>
  <c r="R247" i="1"/>
  <c r="F273" i="1"/>
  <c r="CH864" i="1"/>
  <c r="AC859" i="1"/>
  <c r="CF864" i="1"/>
  <c r="P864" i="1"/>
  <c r="CE864" i="1"/>
  <c r="BC18" i="1"/>
  <c r="F1560" i="1"/>
  <c r="F113" i="1"/>
  <c r="W75" i="1"/>
  <c r="CF156" i="1"/>
  <c r="AW167" i="1"/>
  <c r="F1359" i="1"/>
  <c r="Q1340" i="1"/>
  <c r="AL1298" i="1"/>
  <c r="Y1307" i="1"/>
  <c r="F732" i="1"/>
  <c r="T699" i="1"/>
  <c r="F1220" i="1"/>
  <c r="V1190" i="1"/>
  <c r="CA1340" i="1"/>
  <c r="AR1347" i="1"/>
  <c r="AC200" i="1"/>
  <c r="P214" i="1"/>
  <c r="CE214" i="1"/>
  <c r="CH214" i="1"/>
  <c r="CF214" i="1"/>
  <c r="GN208" i="1"/>
  <c r="CB214" i="1" s="1"/>
  <c r="GM208" i="1"/>
  <c r="CA214" i="1" s="1"/>
  <c r="AB214" i="1"/>
  <c r="Y1340" i="1"/>
  <c r="F1374" i="1"/>
  <c r="AF778" i="1"/>
  <c r="S792" i="1"/>
  <c r="P1147" i="1"/>
  <c r="F1160" i="1"/>
  <c r="CE699" i="1"/>
  <c r="AV711" i="1"/>
  <c r="AF1190" i="1"/>
  <c r="S1197" i="1"/>
  <c r="GN1303" i="1"/>
  <c r="CB1307" i="1" s="1"/>
  <c r="GM1303" i="1"/>
  <c r="F238" i="1"/>
  <c r="W200" i="1"/>
  <c r="U859" i="1"/>
  <c r="F886" i="1"/>
  <c r="CD650" i="1"/>
  <c r="AU666" i="1"/>
  <c r="CJ650" i="1"/>
  <c r="BA666" i="1"/>
  <c r="O503" i="1"/>
  <c r="AB490" i="1"/>
  <c r="CA156" i="1"/>
  <c r="AR167" i="1"/>
  <c r="AO18" i="1"/>
  <c r="F1548" i="1"/>
  <c r="Q1009" i="1"/>
  <c r="P1009" i="1"/>
  <c r="S1009" i="1"/>
  <c r="T1009" i="1"/>
  <c r="V1009" i="1"/>
  <c r="U1009" i="1"/>
  <c r="GX1009" i="1"/>
  <c r="W1009" i="1"/>
  <c r="R1009" i="1"/>
  <c r="GK1009" i="1" s="1"/>
  <c r="U490" i="1"/>
  <c r="F525" i="1"/>
  <c r="T376" i="1"/>
  <c r="F410" i="1"/>
  <c r="CB1340" i="1"/>
  <c r="AS1347" i="1"/>
  <c r="AC26" i="1"/>
  <c r="CH42" i="1"/>
  <c r="CF42" i="1"/>
  <c r="P42" i="1"/>
  <c r="CE42" i="1"/>
  <c r="AZ247" i="1"/>
  <c r="F270" i="1"/>
  <c r="S864" i="1"/>
  <c r="AF859" i="1"/>
  <c r="AK75" i="1"/>
  <c r="U75" i="1"/>
  <c r="F111" i="1"/>
  <c r="AK699" i="1"/>
  <c r="X711" i="1"/>
  <c r="CH247" i="1"/>
  <c r="AY259" i="1"/>
  <c r="T859" i="1"/>
  <c r="F885" i="1"/>
  <c r="F1171" i="1"/>
  <c r="R1147" i="1"/>
  <c r="F731" i="1"/>
  <c r="BA699" i="1"/>
  <c r="F1319" i="1"/>
  <c r="Q1298" i="1"/>
  <c r="W26" i="1"/>
  <c r="F66" i="1"/>
  <c r="V326" i="1"/>
  <c r="F366" i="1"/>
  <c r="Q778" i="1"/>
  <c r="F804" i="1"/>
  <c r="Q376" i="1"/>
  <c r="F401" i="1"/>
  <c r="F595" i="1"/>
  <c r="Q570" i="1"/>
  <c r="CA1157" i="1"/>
  <c r="GN38" i="1"/>
  <c r="GM575" i="1"/>
  <c r="AB1307" i="1"/>
  <c r="AL503" i="1"/>
  <c r="AL214" i="1"/>
  <c r="GN495" i="1"/>
  <c r="CB503" i="1" s="1"/>
  <c r="GN662" i="1"/>
  <c r="GN702" i="1"/>
  <c r="AJ326" i="1"/>
  <c r="W343" i="1"/>
  <c r="P156" i="1"/>
  <c r="F170" i="1"/>
  <c r="S1307" i="1"/>
  <c r="AF1298" i="1"/>
  <c r="AB570" i="1"/>
  <c r="BB18" i="1"/>
  <c r="F1557" i="1"/>
  <c r="AV1157" i="1"/>
  <c r="CE1147" i="1"/>
  <c r="AE570" i="1"/>
  <c r="R583" i="1"/>
  <c r="V650" i="1"/>
  <c r="F689" i="1"/>
  <c r="F1352" i="1"/>
  <c r="AV1340" i="1"/>
  <c r="AD699" i="1"/>
  <c r="Q711" i="1"/>
  <c r="AZ22" i="1"/>
  <c r="AZ1544" i="1"/>
  <c r="F1525" i="1"/>
  <c r="AB156" i="1"/>
  <c r="O167" i="1"/>
  <c r="X247" i="1"/>
  <c r="F285" i="1"/>
  <c r="AU214" i="1"/>
  <c r="CD200" i="1"/>
  <c r="GM786" i="1"/>
  <c r="GN786" i="1"/>
  <c r="AB792" i="1"/>
  <c r="CX337" i="3"/>
  <c r="CX338" i="3"/>
  <c r="CX339" i="3"/>
  <c r="CX336" i="3"/>
  <c r="CX340" i="3"/>
  <c r="Q1010" i="1"/>
  <c r="K823" i="5" s="1"/>
  <c r="P1010" i="1"/>
  <c r="S1010" i="1"/>
  <c r="K822" i="5" s="1"/>
  <c r="R1010" i="1"/>
  <c r="V1010" i="1"/>
  <c r="W1010" i="1"/>
  <c r="AJ1012" i="1" s="1"/>
  <c r="U1010" i="1"/>
  <c r="GX1010" i="1"/>
  <c r="T1010" i="1"/>
  <c r="AG1012" i="1" s="1"/>
  <c r="Q247" i="1"/>
  <c r="F271" i="1"/>
  <c r="F1221" i="1"/>
  <c r="W1190" i="1"/>
  <c r="R156" i="1"/>
  <c r="F181" i="1"/>
  <c r="T326" i="1"/>
  <c r="F364" i="1"/>
  <c r="S503" i="1"/>
  <c r="AF490" i="1"/>
  <c r="W570" i="1"/>
  <c r="F607" i="1"/>
  <c r="GN664" i="1"/>
  <c r="GM664" i="1"/>
  <c r="P666" i="1"/>
  <c r="CE666" i="1"/>
  <c r="AC650" i="1"/>
  <c r="CF666" i="1"/>
  <c r="CH666" i="1"/>
  <c r="U376" i="1"/>
  <c r="F411" i="1"/>
  <c r="S89" i="1"/>
  <c r="AF75" i="1"/>
  <c r="GM1005" i="1"/>
  <c r="GN1005" i="1"/>
  <c r="Y711" i="1"/>
  <c r="F1327" i="1"/>
  <c r="BA1298" i="1"/>
  <c r="CF247" i="1"/>
  <c r="AW259" i="1"/>
  <c r="P247" i="1"/>
  <c r="F262" i="1"/>
  <c r="F888" i="1"/>
  <c r="W859" i="1"/>
  <c r="F813" i="1"/>
  <c r="T778" i="1"/>
  <c r="R89" i="1"/>
  <c r="AE75" i="1"/>
  <c r="AE1190" i="1"/>
  <c r="R1197" i="1"/>
  <c r="BA778" i="1"/>
  <c r="F812" i="1"/>
  <c r="F526" i="1"/>
  <c r="V490" i="1"/>
  <c r="T26" i="1"/>
  <c r="F63" i="1"/>
  <c r="F235" i="1"/>
  <c r="T200" i="1"/>
  <c r="F108" i="1"/>
  <c r="AU75" i="1"/>
  <c r="S26" i="1"/>
  <c r="F57" i="1"/>
  <c r="AK666" i="1"/>
  <c r="GM38" i="1"/>
  <c r="GN575" i="1"/>
  <c r="CA1307" i="1"/>
  <c r="AK214" i="1"/>
  <c r="GM495" i="1"/>
  <c r="GM702" i="1"/>
  <c r="CA711" i="1" s="1"/>
  <c r="AR389" i="1" l="1"/>
  <c r="CA376" i="1"/>
  <c r="CB666" i="1"/>
  <c r="GN1008" i="1"/>
  <c r="CA343" i="1"/>
  <c r="AL570" i="1"/>
  <c r="Y864" i="1"/>
  <c r="O343" i="1"/>
  <c r="AB326" i="1"/>
  <c r="CB343" i="1"/>
  <c r="AS343" i="1" s="1"/>
  <c r="CB42" i="1"/>
  <c r="CB711" i="1"/>
  <c r="CB699" i="1" s="1"/>
  <c r="CA666" i="1"/>
  <c r="P620" i="5"/>
  <c r="P594" i="5"/>
  <c r="J622" i="5" s="1"/>
  <c r="P911" i="5"/>
  <c r="J911" i="5"/>
  <c r="AS1157" i="1"/>
  <c r="F1174" i="1" s="1"/>
  <c r="CB1147" i="1"/>
  <c r="X819" i="5"/>
  <c r="H819" i="5"/>
  <c r="O819" i="5"/>
  <c r="P735" i="5"/>
  <c r="J737" i="5" s="1"/>
  <c r="J735" i="5"/>
  <c r="P651" i="5"/>
  <c r="J677" i="5" s="1"/>
  <c r="J651" i="5"/>
  <c r="J754" i="5"/>
  <c r="P754" i="5"/>
  <c r="J756" i="5" s="1"/>
  <c r="AH1012" i="1"/>
  <c r="I829" i="5"/>
  <c r="O389" i="1"/>
  <c r="AB376" i="1"/>
  <c r="J863" i="5"/>
  <c r="J620" i="5"/>
  <c r="J387" i="5"/>
  <c r="P387" i="5"/>
  <c r="P923" i="5"/>
  <c r="J923" i="5"/>
  <c r="J644" i="5"/>
  <c r="CA42" i="1"/>
  <c r="CB792" i="1"/>
  <c r="CB778" i="1" s="1"/>
  <c r="GM1008" i="1"/>
  <c r="AU167" i="1"/>
  <c r="AU156" i="1" s="1"/>
  <c r="X864" i="1"/>
  <c r="X859" i="1" s="1"/>
  <c r="Y1197" i="1"/>
  <c r="AK570" i="1"/>
  <c r="CB326" i="1"/>
  <c r="F1172" i="1"/>
  <c r="S1147" i="1"/>
  <c r="J362" i="5"/>
  <c r="P362" i="5"/>
  <c r="W1147" i="1"/>
  <c r="F1181" i="1"/>
  <c r="F1178" i="1"/>
  <c r="T1147" i="1"/>
  <c r="J723" i="5"/>
  <c r="P723" i="5"/>
  <c r="P444" i="5"/>
  <c r="J446" i="5" s="1"/>
  <c r="J444" i="5"/>
  <c r="J108" i="5"/>
  <c r="P108" i="5"/>
  <c r="J696" i="5"/>
  <c r="X1340" i="1"/>
  <c r="F1373" i="1"/>
  <c r="J97" i="5"/>
  <c r="P97" i="5"/>
  <c r="J503" i="5"/>
  <c r="GK1010" i="1"/>
  <c r="K824" i="5"/>
  <c r="X1147" i="1"/>
  <c r="F1183" i="1"/>
  <c r="P524" i="5"/>
  <c r="J553" i="5" s="1"/>
  <c r="J524" i="5"/>
  <c r="AL1147" i="1"/>
  <c r="Y1157" i="1"/>
  <c r="CB583" i="1"/>
  <c r="F1328" i="1"/>
  <c r="T1298" i="1"/>
  <c r="CA503" i="1"/>
  <c r="CA490" i="1" s="1"/>
  <c r="CP1010" i="1"/>
  <c r="O1010" i="1" s="1"/>
  <c r="K825" i="5"/>
  <c r="CA583" i="1"/>
  <c r="J166" i="5"/>
  <c r="P166" i="5"/>
  <c r="J168" i="5" s="1"/>
  <c r="J85" i="5"/>
  <c r="P85" i="5"/>
  <c r="D257" i="9"/>
  <c r="O261" i="10"/>
  <c r="F257" i="9" s="1"/>
  <c r="E264" i="9" s="1"/>
  <c r="M261" i="10"/>
  <c r="R261" i="10"/>
  <c r="T261" i="10"/>
  <c r="P370" i="5"/>
  <c r="J370" i="5"/>
  <c r="O830" i="5"/>
  <c r="X830" i="5"/>
  <c r="W822" i="5"/>
  <c r="I28" i="5" s="1"/>
  <c r="H830" i="5"/>
  <c r="P880" i="5"/>
  <c r="J894" i="5" s="1"/>
  <c r="J880" i="5"/>
  <c r="G18" i="2"/>
  <c r="F24" i="8"/>
  <c r="F25" i="8" s="1"/>
  <c r="F16" i="2"/>
  <c r="J25" i="5"/>
  <c r="CA26" i="1"/>
  <c r="AR42" i="1"/>
  <c r="CB26" i="1"/>
  <c r="AS42" i="1"/>
  <c r="AG999" i="1"/>
  <c r="T1012" i="1"/>
  <c r="CA570" i="1"/>
  <c r="AR583" i="1"/>
  <c r="CB1298" i="1"/>
  <c r="AS1307" i="1"/>
  <c r="AJ999" i="1"/>
  <c r="W1012" i="1"/>
  <c r="CA699" i="1"/>
  <c r="AR711" i="1"/>
  <c r="CB570" i="1"/>
  <c r="AS583" i="1"/>
  <c r="AH999" i="1"/>
  <c r="U1012" i="1"/>
  <c r="U1514" i="1" s="1"/>
  <c r="AS711" i="1"/>
  <c r="AR666" i="1"/>
  <c r="CA650" i="1"/>
  <c r="AR343" i="1"/>
  <c r="CA326" i="1"/>
  <c r="CB376" i="1"/>
  <c r="AS389" i="1"/>
  <c r="X666" i="1"/>
  <c r="AK650" i="1"/>
  <c r="F518" i="1"/>
  <c r="S490" i="1"/>
  <c r="R1190" i="1"/>
  <c r="F1211" i="1"/>
  <c r="F104" i="1"/>
  <c r="S75" i="1"/>
  <c r="CF650" i="1"/>
  <c r="AW666" i="1"/>
  <c r="CZ1010" i="1"/>
  <c r="Y1010" i="1" s="1"/>
  <c r="T820" i="5" s="1"/>
  <c r="K827" i="5" s="1"/>
  <c r="CY1010" i="1"/>
  <c r="X1010" i="1" s="1"/>
  <c r="R820" i="5" s="1"/>
  <c r="K826" i="5" s="1"/>
  <c r="AB778" i="1"/>
  <c r="O792" i="1"/>
  <c r="AU200" i="1"/>
  <c r="F233" i="1"/>
  <c r="Q699" i="1"/>
  <c r="F723" i="1"/>
  <c r="F585" i="1"/>
  <c r="O570" i="1"/>
  <c r="Y503" i="1"/>
  <c r="AL490" i="1"/>
  <c r="CA1147" i="1"/>
  <c r="AR1157" i="1"/>
  <c r="X699" i="1"/>
  <c r="F737" i="1"/>
  <c r="CF26" i="1"/>
  <c r="AW42" i="1"/>
  <c r="F685" i="1"/>
  <c r="AU650" i="1"/>
  <c r="S1190" i="1"/>
  <c r="F1212" i="1"/>
  <c r="CB200" i="1"/>
  <c r="AS214" i="1"/>
  <c r="P200" i="1"/>
  <c r="F217" i="1"/>
  <c r="Y1298" i="1"/>
  <c r="F1334" i="1"/>
  <c r="AW156" i="1"/>
  <c r="F173" i="1"/>
  <c r="CF859" i="1"/>
  <c r="AW864" i="1"/>
  <c r="R650" i="1"/>
  <c r="F680" i="1"/>
  <c r="AS1147" i="1"/>
  <c r="P778" i="1"/>
  <c r="F795" i="1"/>
  <c r="CE376" i="1"/>
  <c r="AV389" i="1"/>
  <c r="AV89" i="1"/>
  <c r="CE75" i="1"/>
  <c r="O26" i="1"/>
  <c r="F44" i="1"/>
  <c r="AT18" i="1"/>
  <c r="F1562" i="1"/>
  <c r="AY1197" i="1"/>
  <c r="CH1190" i="1"/>
  <c r="AW343" i="1"/>
  <c r="CF326" i="1"/>
  <c r="R778" i="1"/>
  <c r="F806" i="1"/>
  <c r="F818" i="1"/>
  <c r="X778" i="1"/>
  <c r="O864" i="1"/>
  <c r="AB859" i="1"/>
  <c r="AY503" i="1"/>
  <c r="CH490" i="1"/>
  <c r="Y650" i="1"/>
  <c r="F693" i="1"/>
  <c r="CE570" i="1"/>
  <c r="AV583" i="1"/>
  <c r="AY1147" i="1"/>
  <c r="F1165" i="1"/>
  <c r="W650" i="1"/>
  <c r="F690" i="1"/>
  <c r="CH1298" i="1"/>
  <c r="AY1307" i="1"/>
  <c r="Y570" i="1"/>
  <c r="F610" i="1"/>
  <c r="S699" i="1"/>
  <c r="F726" i="1"/>
  <c r="AU247" i="1"/>
  <c r="F278" i="1"/>
  <c r="AU326" i="1"/>
  <c r="F362" i="1"/>
  <c r="CP1009" i="1"/>
  <c r="O1009" i="1" s="1"/>
  <c r="K814" i="5" s="1"/>
  <c r="CH650" i="1"/>
  <c r="AY666" i="1"/>
  <c r="O156" i="1"/>
  <c r="F169" i="1"/>
  <c r="AL200" i="1"/>
  <c r="Y214" i="1"/>
  <c r="P26" i="1"/>
  <c r="F45" i="1"/>
  <c r="CZ1009" i="1"/>
  <c r="Y1009" i="1" s="1"/>
  <c r="CY1009" i="1"/>
  <c r="X1009" i="1" s="1"/>
  <c r="R814" i="5" s="1"/>
  <c r="K815" i="5" s="1"/>
  <c r="AF1012" i="1"/>
  <c r="AR214" i="1"/>
  <c r="CA200" i="1"/>
  <c r="AV214" i="1"/>
  <c r="CE200" i="1"/>
  <c r="F867" i="1"/>
  <c r="P859" i="1"/>
  <c r="AU778" i="1"/>
  <c r="F811" i="1"/>
  <c r="CB1190" i="1"/>
  <c r="AS1197" i="1"/>
  <c r="AV792" i="1"/>
  <c r="CE778" i="1"/>
  <c r="CH376" i="1"/>
  <c r="AY389" i="1"/>
  <c r="O247" i="1"/>
  <c r="F261" i="1"/>
  <c r="AR247" i="1"/>
  <c r="F287" i="1"/>
  <c r="F288" i="1" s="1"/>
  <c r="J315" i="5" s="1"/>
  <c r="CB75" i="1"/>
  <c r="AS89" i="1"/>
  <c r="CB156" i="1"/>
  <c r="AS167" i="1"/>
  <c r="Y343" i="1"/>
  <c r="AL326" i="1"/>
  <c r="CF1190" i="1"/>
  <c r="AW1197" i="1"/>
  <c r="P326" i="1"/>
  <c r="F346" i="1"/>
  <c r="F603" i="1"/>
  <c r="BA570" i="1"/>
  <c r="S376" i="1"/>
  <c r="F404" i="1"/>
  <c r="CF490" i="1"/>
  <c r="AW503" i="1"/>
  <c r="CH570" i="1"/>
  <c r="AY583" i="1"/>
  <c r="Y859" i="1"/>
  <c r="F891" i="1"/>
  <c r="AY699" i="1"/>
  <c r="F719" i="1"/>
  <c r="R200" i="1"/>
  <c r="F228" i="1"/>
  <c r="CJ1012" i="1"/>
  <c r="R75" i="1"/>
  <c r="F103" i="1"/>
  <c r="S1298" i="1"/>
  <c r="F1322" i="1"/>
  <c r="CB650" i="1"/>
  <c r="AS666" i="1"/>
  <c r="F879" i="1"/>
  <c r="S859" i="1"/>
  <c r="F1364" i="1"/>
  <c r="AS1340" i="1"/>
  <c r="CA1298" i="1"/>
  <c r="AR1307" i="1"/>
  <c r="AW247" i="1"/>
  <c r="F265" i="1"/>
  <c r="Y699" i="1"/>
  <c r="F738" i="1"/>
  <c r="AV666" i="1"/>
  <c r="CE650" i="1"/>
  <c r="AZ18" i="1"/>
  <c r="F1555" i="1"/>
  <c r="F597" i="1"/>
  <c r="R570" i="1"/>
  <c r="W326" i="1"/>
  <c r="F367" i="1"/>
  <c r="AY247" i="1"/>
  <c r="F267" i="1"/>
  <c r="CE26" i="1"/>
  <c r="AV42" i="1"/>
  <c r="AR156" i="1"/>
  <c r="F195" i="1"/>
  <c r="F196" i="1" s="1"/>
  <c r="J203" i="5" s="1"/>
  <c r="BA650" i="1"/>
  <c r="F686" i="1"/>
  <c r="F716" i="1"/>
  <c r="AV699" i="1"/>
  <c r="S778" i="1"/>
  <c r="F807" i="1"/>
  <c r="AB200" i="1"/>
  <c r="O214" i="1"/>
  <c r="AY214" i="1"/>
  <c r="CH200" i="1"/>
  <c r="F1375" i="1"/>
  <c r="F1376" i="1" s="1"/>
  <c r="J961" i="5" s="1"/>
  <c r="AR1340" i="1"/>
  <c r="CE859" i="1"/>
  <c r="AV864" i="1"/>
  <c r="CH859" i="1"/>
  <c r="AY864" i="1"/>
  <c r="AR1197" i="1"/>
  <c r="CA1190" i="1"/>
  <c r="CH778" i="1"/>
  <c r="AY792" i="1"/>
  <c r="AW792" i="1"/>
  <c r="CF778" i="1"/>
  <c r="CF376" i="1"/>
  <c r="AW389" i="1"/>
  <c r="AU699" i="1"/>
  <c r="F730" i="1"/>
  <c r="X26" i="1"/>
  <c r="F68" i="1"/>
  <c r="AX18" i="1"/>
  <c r="F1551" i="1"/>
  <c r="CH75" i="1"/>
  <c r="AY89" i="1"/>
  <c r="F186" i="1"/>
  <c r="Y26" i="1"/>
  <c r="F69" i="1"/>
  <c r="AR89" i="1"/>
  <c r="CA75" i="1"/>
  <c r="AK326" i="1"/>
  <c r="X343" i="1"/>
  <c r="AK376" i="1"/>
  <c r="X389" i="1"/>
  <c r="AK490" i="1"/>
  <c r="X503" i="1"/>
  <c r="R1298" i="1"/>
  <c r="F1321" i="1"/>
  <c r="Y75" i="1"/>
  <c r="F116" i="1"/>
  <c r="R376" i="1"/>
  <c r="F403" i="1"/>
  <c r="P1190" i="1"/>
  <c r="F1200" i="1"/>
  <c r="F1159" i="1"/>
  <c r="O1147" i="1"/>
  <c r="F681" i="1"/>
  <c r="S650" i="1"/>
  <c r="AV343" i="1"/>
  <c r="CE326" i="1"/>
  <c r="X156" i="1"/>
  <c r="F193" i="1"/>
  <c r="Y1190" i="1"/>
  <c r="F1224" i="1"/>
  <c r="AW1147" i="1"/>
  <c r="F1163" i="1"/>
  <c r="S570" i="1"/>
  <c r="F598" i="1"/>
  <c r="U650" i="1"/>
  <c r="F688" i="1"/>
  <c r="AY156" i="1"/>
  <c r="F175" i="1"/>
  <c r="CA859" i="1"/>
  <c r="AR864" i="1"/>
  <c r="P490" i="1"/>
  <c r="F506" i="1"/>
  <c r="CF570" i="1"/>
  <c r="AW583" i="1"/>
  <c r="X1190" i="1"/>
  <c r="F1223" i="1"/>
  <c r="Y778" i="1"/>
  <c r="F819" i="1"/>
  <c r="O699" i="1"/>
  <c r="F713" i="1"/>
  <c r="AV156" i="1"/>
  <c r="F172" i="1"/>
  <c r="CF1298" i="1"/>
  <c r="AW1307" i="1"/>
  <c r="F1310" i="1"/>
  <c r="P1298" i="1"/>
  <c r="Y376" i="1"/>
  <c r="F416" i="1"/>
  <c r="AR376" i="1"/>
  <c r="F417" i="1"/>
  <c r="F418" i="1" s="1"/>
  <c r="J449" i="5" s="1"/>
  <c r="CA792" i="1"/>
  <c r="AE1012" i="1"/>
  <c r="AC1012" i="1"/>
  <c r="P650" i="1"/>
  <c r="F669" i="1"/>
  <c r="AK200" i="1"/>
  <c r="X214" i="1"/>
  <c r="AS792" i="1"/>
  <c r="AV1147" i="1"/>
  <c r="F1162" i="1"/>
  <c r="O1307" i="1"/>
  <c r="AB1298" i="1"/>
  <c r="CB490" i="1"/>
  <c r="AS503" i="1"/>
  <c r="X75" i="1"/>
  <c r="F115" i="1"/>
  <c r="CH26" i="1"/>
  <c r="AY42" i="1"/>
  <c r="O490" i="1"/>
  <c r="F505" i="1"/>
  <c r="CF200" i="1"/>
  <c r="AW214" i="1"/>
  <c r="AU376" i="1"/>
  <c r="F408" i="1"/>
  <c r="AU26" i="1"/>
  <c r="F61" i="1"/>
  <c r="AB1190" i="1"/>
  <c r="O1197" i="1"/>
  <c r="P376" i="1"/>
  <c r="F392" i="1"/>
  <c r="AW699" i="1"/>
  <c r="F717" i="1"/>
  <c r="CF75" i="1"/>
  <c r="AW89" i="1"/>
  <c r="P75" i="1"/>
  <c r="F92" i="1"/>
  <c r="O89" i="1"/>
  <c r="AB75" i="1"/>
  <c r="CB247" i="1"/>
  <c r="AS259" i="1"/>
  <c r="F517" i="1"/>
  <c r="R490" i="1"/>
  <c r="AV1197" i="1"/>
  <c r="CE1190" i="1"/>
  <c r="AY343" i="1"/>
  <c r="CH326" i="1"/>
  <c r="U326" i="1"/>
  <c r="F365" i="1"/>
  <c r="X1298" i="1"/>
  <c r="F1333" i="1"/>
  <c r="CB859" i="1"/>
  <c r="AS864" i="1"/>
  <c r="F357" i="1"/>
  <c r="R326" i="1"/>
  <c r="CE490" i="1"/>
  <c r="AV503" i="1"/>
  <c r="T570" i="1"/>
  <c r="F604" i="1"/>
  <c r="P570" i="1"/>
  <c r="F586" i="1"/>
  <c r="X570" i="1"/>
  <c r="F609" i="1"/>
  <c r="CE1298" i="1"/>
  <c r="AV1307" i="1"/>
  <c r="S200" i="1"/>
  <c r="F229" i="1"/>
  <c r="F264" i="1"/>
  <c r="AV247" i="1"/>
  <c r="Y156" i="1"/>
  <c r="F194" i="1"/>
  <c r="AS326" i="1"/>
  <c r="F360" i="1"/>
  <c r="F522" i="1"/>
  <c r="AU490" i="1"/>
  <c r="O650" i="1"/>
  <c r="F668" i="1"/>
  <c r="AI1012" i="1"/>
  <c r="AD1012" i="1"/>
  <c r="F345" i="1" l="1"/>
  <c r="O326" i="1"/>
  <c r="AU1514" i="1"/>
  <c r="GM1010" i="1"/>
  <c r="J830" i="5"/>
  <c r="J110" i="5"/>
  <c r="F890" i="1"/>
  <c r="AR503" i="1"/>
  <c r="F531" i="1" s="1"/>
  <c r="F532" i="1" s="1"/>
  <c r="J506" i="5" s="1"/>
  <c r="J937" i="5"/>
  <c r="I24" i="5"/>
  <c r="Y1147" i="1"/>
  <c r="F1184" i="1"/>
  <c r="P830" i="5"/>
  <c r="J389" i="5"/>
  <c r="O376" i="1"/>
  <c r="F391" i="1"/>
  <c r="H966" i="5"/>
  <c r="H832" i="5"/>
  <c r="I23" i="5"/>
  <c r="GN1010" i="1"/>
  <c r="AL1012" i="1"/>
  <c r="T814" i="5"/>
  <c r="K816" i="5" s="1"/>
  <c r="J819" i="5" s="1"/>
  <c r="F18" i="2"/>
  <c r="E24" i="8"/>
  <c r="E25" i="8" s="1"/>
  <c r="AU22" i="1"/>
  <c r="F1533" i="1"/>
  <c r="AU1544" i="1"/>
  <c r="O1298" i="1"/>
  <c r="F1309" i="1"/>
  <c r="AS859" i="1"/>
  <c r="F881" i="1"/>
  <c r="O1190" i="1"/>
  <c r="F1199" i="1"/>
  <c r="AV326" i="1"/>
  <c r="F348" i="1"/>
  <c r="AI999" i="1"/>
  <c r="V1012" i="1"/>
  <c r="AY326" i="1"/>
  <c r="F351" i="1"/>
  <c r="O75" i="1"/>
  <c r="F91" i="1"/>
  <c r="AW200" i="1"/>
  <c r="F220" i="1"/>
  <c r="AY26" i="1"/>
  <c r="F50" i="1"/>
  <c r="AS490" i="1"/>
  <c r="F520" i="1"/>
  <c r="AR792" i="1"/>
  <c r="CA778" i="1"/>
  <c r="AW1298" i="1"/>
  <c r="F1313" i="1"/>
  <c r="X376" i="1"/>
  <c r="F415" i="1"/>
  <c r="AW376" i="1"/>
  <c r="F395" i="1"/>
  <c r="F800" i="1"/>
  <c r="AY778" i="1"/>
  <c r="F872" i="1"/>
  <c r="AY859" i="1"/>
  <c r="O200" i="1"/>
  <c r="F216" i="1"/>
  <c r="F683" i="1"/>
  <c r="AS650" i="1"/>
  <c r="AR200" i="1"/>
  <c r="F242" i="1"/>
  <c r="F243" i="1" s="1"/>
  <c r="J270" i="5" s="1"/>
  <c r="AY1298" i="1"/>
  <c r="F1315" i="1"/>
  <c r="Y490" i="1"/>
  <c r="F530" i="1"/>
  <c r="X650" i="1"/>
  <c r="F692" i="1"/>
  <c r="U22" i="1"/>
  <c r="U1544" i="1"/>
  <c r="F1536" i="1"/>
  <c r="F1034" i="1"/>
  <c r="U999" i="1"/>
  <c r="AR699" i="1"/>
  <c r="F739" i="1"/>
  <c r="F740" i="1" s="1"/>
  <c r="J680" i="5" s="1"/>
  <c r="AR490" i="1"/>
  <c r="AE999" i="1"/>
  <c r="R1012" i="1"/>
  <c r="F97" i="1"/>
  <c r="AY75" i="1"/>
  <c r="AR1190" i="1"/>
  <c r="F1225" i="1"/>
  <c r="F1226" i="1" s="1"/>
  <c r="J897" i="5" s="1"/>
  <c r="AL999" i="1"/>
  <c r="Y1012" i="1"/>
  <c r="Y1514" i="1" s="1"/>
  <c r="Y200" i="1"/>
  <c r="F241" i="1"/>
  <c r="AY650" i="1"/>
  <c r="F674" i="1"/>
  <c r="F511" i="1"/>
  <c r="AY490" i="1"/>
  <c r="AW326" i="1"/>
  <c r="F349" i="1"/>
  <c r="AV376" i="1"/>
  <c r="F394" i="1"/>
  <c r="AW859" i="1"/>
  <c r="F870" i="1"/>
  <c r="AS200" i="1"/>
  <c r="F231" i="1"/>
  <c r="F794" i="1"/>
  <c r="O778" i="1"/>
  <c r="AW650" i="1"/>
  <c r="F672" i="1"/>
  <c r="AR650" i="1"/>
  <c r="F694" i="1"/>
  <c r="F695" i="1" s="1"/>
  <c r="J625" i="5" s="1"/>
  <c r="AS699" i="1"/>
  <c r="F728" i="1"/>
  <c r="F1324" i="1"/>
  <c r="AS1298" i="1"/>
  <c r="T999" i="1"/>
  <c r="F1033" i="1"/>
  <c r="T1514" i="1"/>
  <c r="AR26" i="1"/>
  <c r="F70" i="1"/>
  <c r="F71" i="1" s="1"/>
  <c r="J113" i="5" s="1"/>
  <c r="AW75" i="1"/>
  <c r="F95" i="1"/>
  <c r="AS778" i="1"/>
  <c r="F809" i="1"/>
  <c r="F798" i="1"/>
  <c r="AW778" i="1"/>
  <c r="F222" i="1"/>
  <c r="AY200" i="1"/>
  <c r="AW490" i="1"/>
  <c r="F509" i="1"/>
  <c r="AW1190" i="1"/>
  <c r="F1203" i="1"/>
  <c r="AS156" i="1"/>
  <c r="F184" i="1"/>
  <c r="AY376" i="1"/>
  <c r="F397" i="1"/>
  <c r="AS1190" i="1"/>
  <c r="F1214" i="1"/>
  <c r="F1202" i="1"/>
  <c r="AV1190" i="1"/>
  <c r="X200" i="1"/>
  <c r="F240" i="1"/>
  <c r="CH1012" i="1"/>
  <c r="CF1012" i="1"/>
  <c r="AC999" i="1"/>
  <c r="P1012" i="1"/>
  <c r="CE1012" i="1"/>
  <c r="F589" i="1"/>
  <c r="AW570" i="1"/>
  <c r="F892" i="1"/>
  <c r="F893" i="1" s="1"/>
  <c r="J759" i="5" s="1"/>
  <c r="AR859" i="1"/>
  <c r="X490" i="1"/>
  <c r="F529" i="1"/>
  <c r="F369" i="1"/>
  <c r="X326" i="1"/>
  <c r="AV859" i="1"/>
  <c r="F869" i="1"/>
  <c r="AV26" i="1"/>
  <c r="F47" i="1"/>
  <c r="F1335" i="1"/>
  <c r="F1336" i="1" s="1"/>
  <c r="J940" i="5" s="1"/>
  <c r="AR1298" i="1"/>
  <c r="CJ999" i="1"/>
  <c r="BA1012" i="1"/>
  <c r="Y326" i="1"/>
  <c r="F370" i="1"/>
  <c r="F797" i="1"/>
  <c r="AV778" i="1"/>
  <c r="F219" i="1"/>
  <c r="AV200" i="1"/>
  <c r="GM1009" i="1"/>
  <c r="GN1009" i="1"/>
  <c r="AB1012" i="1"/>
  <c r="AV570" i="1"/>
  <c r="F588" i="1"/>
  <c r="F94" i="1"/>
  <c r="AV75" i="1"/>
  <c r="AS376" i="1"/>
  <c r="F406" i="1"/>
  <c r="F600" i="1"/>
  <c r="AS570" i="1"/>
  <c r="F1036" i="1"/>
  <c r="W999" i="1"/>
  <c r="W1514" i="1"/>
  <c r="AK1012" i="1"/>
  <c r="AD999" i="1"/>
  <c r="Q1012" i="1"/>
  <c r="F1312" i="1"/>
  <c r="AV1298" i="1"/>
  <c r="AV490" i="1"/>
  <c r="F508" i="1"/>
  <c r="F276" i="1"/>
  <c r="AS247" i="1"/>
  <c r="F117" i="1"/>
  <c r="F118" i="1" s="1"/>
  <c r="J171" i="5" s="1"/>
  <c r="AR75" i="1"/>
  <c r="F671" i="1"/>
  <c r="AV650" i="1"/>
  <c r="AY570" i="1"/>
  <c r="F591" i="1"/>
  <c r="F106" i="1"/>
  <c r="AS75" i="1"/>
  <c r="AF999" i="1"/>
  <c r="S1012" i="1"/>
  <c r="F866" i="1"/>
  <c r="O859" i="1"/>
  <c r="F1205" i="1"/>
  <c r="AY1190" i="1"/>
  <c r="AW26" i="1"/>
  <c r="F48" i="1"/>
  <c r="AR1147" i="1"/>
  <c r="F1185" i="1"/>
  <c r="F1186" i="1" s="1"/>
  <c r="J866" i="5" s="1"/>
  <c r="AR326" i="1"/>
  <c r="F371" i="1"/>
  <c r="F372" i="1" s="1"/>
  <c r="J392" i="5" s="1"/>
  <c r="AR570" i="1"/>
  <c r="F611" i="1"/>
  <c r="F612" i="1" s="1"/>
  <c r="J556" i="5" s="1"/>
  <c r="AS26" i="1"/>
  <c r="F59" i="1"/>
  <c r="CA1012" i="1" l="1"/>
  <c r="P819" i="5"/>
  <c r="CB1012" i="1"/>
  <c r="AK999" i="1"/>
  <c r="X1012" i="1"/>
  <c r="P999" i="1"/>
  <c r="F1015" i="1"/>
  <c r="P1514" i="1"/>
  <c r="Y999" i="1"/>
  <c r="F1039" i="1"/>
  <c r="AR778" i="1"/>
  <c r="F820" i="1"/>
  <c r="F821" i="1" s="1"/>
  <c r="J740" i="5" s="1"/>
  <c r="V999" i="1"/>
  <c r="F1035" i="1"/>
  <c r="V1514" i="1"/>
  <c r="CA999" i="1"/>
  <c r="AR1012" i="1"/>
  <c r="CE999" i="1"/>
  <c r="AV1012" i="1"/>
  <c r="AY1012" i="1"/>
  <c r="CH999" i="1"/>
  <c r="U18" i="1"/>
  <c r="F1566" i="1"/>
  <c r="W22" i="1"/>
  <c r="F1538" i="1"/>
  <c r="W1544" i="1"/>
  <c r="CB999" i="1"/>
  <c r="AS1012" i="1"/>
  <c r="F1032" i="1"/>
  <c r="BA999" i="1"/>
  <c r="BA1514" i="1"/>
  <c r="CF999" i="1"/>
  <c r="AW1012" i="1"/>
  <c r="R999" i="1"/>
  <c r="F1026" i="1"/>
  <c r="R1514" i="1"/>
  <c r="AU18" i="1"/>
  <c r="F1563" i="1"/>
  <c r="S999" i="1"/>
  <c r="F1027" i="1"/>
  <c r="S1514" i="1"/>
  <c r="F1024" i="1"/>
  <c r="Q999" i="1"/>
  <c r="Q1514" i="1"/>
  <c r="Y22" i="1"/>
  <c r="Y1544" i="1"/>
  <c r="F1541" i="1"/>
  <c r="AB999" i="1"/>
  <c r="O1012" i="1"/>
  <c r="T22" i="1"/>
  <c r="T1544" i="1"/>
  <c r="F1535" i="1"/>
  <c r="J832" i="5" l="1"/>
  <c r="J966" i="5"/>
  <c r="BA22" i="1"/>
  <c r="BA1544" i="1"/>
  <c r="F1534" i="1"/>
  <c r="F1020" i="1"/>
  <c r="AY999" i="1"/>
  <c r="AY1514" i="1"/>
  <c r="R22" i="1"/>
  <c r="R1544" i="1"/>
  <c r="F1528" i="1"/>
  <c r="AS999" i="1"/>
  <c r="F1029" i="1"/>
  <c r="AS1514" i="1"/>
  <c r="AR999" i="1"/>
  <c r="F1040" i="1"/>
  <c r="F1041" i="1" s="1"/>
  <c r="J835" i="5" s="1"/>
  <c r="AR1514" i="1"/>
  <c r="X999" i="1"/>
  <c r="F1038" i="1"/>
  <c r="X1514" i="1"/>
  <c r="T18" i="1"/>
  <c r="F1565" i="1"/>
  <c r="P22" i="1"/>
  <c r="F1517" i="1"/>
  <c r="P1544" i="1"/>
  <c r="Q22" i="1"/>
  <c r="F1526" i="1"/>
  <c r="Q1544" i="1"/>
  <c r="O999" i="1"/>
  <c r="F1014" i="1"/>
  <c r="O1514" i="1"/>
  <c r="S22" i="1"/>
  <c r="F1529" i="1"/>
  <c r="S1544" i="1"/>
  <c r="F1018" i="1"/>
  <c r="AW999" i="1"/>
  <c r="AW1514" i="1"/>
  <c r="Y18" i="1"/>
  <c r="F1571" i="1"/>
  <c r="W18" i="1"/>
  <c r="F1568" i="1"/>
  <c r="AV999" i="1"/>
  <c r="F1017" i="1"/>
  <c r="AV1514" i="1"/>
  <c r="V22" i="1"/>
  <c r="V1544" i="1"/>
  <c r="F1537" i="1"/>
  <c r="J16" i="2" l="1"/>
  <c r="J28" i="5"/>
  <c r="H16" i="2"/>
  <c r="J27" i="5"/>
  <c r="AV22" i="1"/>
  <c r="AV1544" i="1"/>
  <c r="F1519" i="1"/>
  <c r="Q18" i="1"/>
  <c r="F1556" i="1"/>
  <c r="O22" i="1"/>
  <c r="F1516" i="1"/>
  <c r="O1544" i="1"/>
  <c r="X22" i="1"/>
  <c r="X1544" i="1"/>
  <c r="F1540" i="1"/>
  <c r="AY22" i="1"/>
  <c r="F1522" i="1"/>
  <c r="AY1544" i="1"/>
  <c r="BA18" i="1"/>
  <c r="F1564" i="1"/>
  <c r="P18" i="1"/>
  <c r="F1547" i="1"/>
  <c r="AW22" i="1"/>
  <c r="F1520" i="1"/>
  <c r="AW1544" i="1"/>
  <c r="AR22" i="1"/>
  <c r="F1542" i="1"/>
  <c r="J23" i="5" s="1"/>
  <c r="AR1544" i="1"/>
  <c r="V18" i="1"/>
  <c r="F1567" i="1"/>
  <c r="S18" i="1"/>
  <c r="F1559" i="1"/>
  <c r="AS22" i="1"/>
  <c r="F1531" i="1"/>
  <c r="AS1544" i="1"/>
  <c r="R18" i="1"/>
  <c r="F1558" i="1"/>
  <c r="J18" i="2" l="1"/>
  <c r="I24" i="8"/>
  <c r="I25" i="8" s="1"/>
  <c r="H18" i="2"/>
  <c r="G24" i="8"/>
  <c r="G25" i="8" s="1"/>
  <c r="E16" i="2"/>
  <c r="D24" i="8" s="1"/>
  <c r="D25" i="8" s="1"/>
  <c r="J24" i="5"/>
  <c r="AR18" i="1"/>
  <c r="F1572" i="1"/>
  <c r="O18" i="1"/>
  <c r="F1546" i="1"/>
  <c r="AW18" i="1"/>
  <c r="F1550" i="1"/>
  <c r="E18" i="2"/>
  <c r="I16" i="2"/>
  <c r="AY18" i="1"/>
  <c r="F1552" i="1"/>
  <c r="X18" i="1"/>
  <c r="F1570" i="1"/>
  <c r="AV18" i="1"/>
  <c r="F1549" i="1"/>
  <c r="AS18" i="1"/>
  <c r="F1561" i="1"/>
  <c r="I18" i="2" l="1"/>
  <c r="H24" i="8"/>
  <c r="F1573" i="1"/>
  <c r="J24" i="8" l="1"/>
  <c r="H25" i="8"/>
  <c r="F1574" i="1"/>
  <c r="J972" i="5" s="1"/>
  <c r="J971" i="5"/>
</calcChain>
</file>

<file path=xl/sharedStrings.xml><?xml version="1.0" encoding="utf-8"?>
<sst xmlns="http://schemas.openxmlformats.org/spreadsheetml/2006/main" count="17116" uniqueCount="1079">
  <si>
    <t>Smeta.RU  (495) 974-1589</t>
  </si>
  <si>
    <t>_PS_</t>
  </si>
  <si>
    <t>Smeta.RU</t>
  </si>
  <si>
    <t/>
  </si>
  <si>
    <t>Новый объект_(Копия)</t>
  </si>
  <si>
    <t>5.03.2021_КВАРТАЛ Таганка  без грунта</t>
  </si>
  <si>
    <t>Сметные нормы списания</t>
  </si>
  <si>
    <t>Коды ОКП для ТСН-2001 МГЭ</t>
  </si>
  <si>
    <t>ТСН-2001 (МГЭ) - Новое строительство</t>
  </si>
  <si>
    <t>Типовой расчет для ТСН-2001 МГЭ, Новая методика с выпуска доп. 43 (Строительство), Доп 58</t>
  </si>
  <si>
    <t>Территориальные сметные нормативы для Москвы ТСН-2001 (МГЭ)</t>
  </si>
  <si>
    <t>Поправки для ТСН-2001 от 21.10.2020 г. доп.58</t>
  </si>
  <si>
    <t>Новая локальная смета</t>
  </si>
  <si>
    <t>Новый раздел</t>
  </si>
  <si>
    <t>1.1. Текущий ремонт мелкозернистого а/б покрытия (фрезеровка) -11416 м2</t>
  </si>
  <si>
    <t>1</t>
  </si>
  <si>
    <t>6.68-84-1</t>
  </si>
  <si>
    <t>Срезка поверхностного слоя асфальтобетонных покрытий методом холодного фрезерования при ширине барабана фрезы 2000 (2100) мм толщиной 6 см, без препятствий</t>
  </si>
  <si>
    <t>100 м2</t>
  </si>
  <si>
    <t>ТСН-2001.6. Доп. 1-42. Сб. 68, т. 84, поз. 1</t>
  </si>
  <si>
    <t>Ремонтно-строительные работы</t>
  </si>
  <si>
    <t>ТСН-2001.6-68. 68-84…68-88 (доп. 30)</t>
  </si>
  <si>
    <t>ТСН-2001.6-68-37</t>
  </si>
  <si>
    <t>2</t>
  </si>
  <si>
    <t>6.68-85-1</t>
  </si>
  <si>
    <t>Разборка асфальтобетона вдоль бортового камня при срезке методом холодного фрезерования</t>
  </si>
  <si>
    <t>100 м бортового камня</t>
  </si>
  <si>
    <t>ТСН-2001.6. Доп. 1-42. Сб. 68, т. 85, поз. 1</t>
  </si>
  <si>
    <t>3</t>
  </si>
  <si>
    <t>6.68-51-4</t>
  </si>
  <si>
    <t>Разборка покрытий и оснований асфальтобетонных</t>
  </si>
  <si>
    <t>100 м3 конструкций</t>
  </si>
  <si>
    <t>ТСН-2001.6. Доп. 1-42. Сб. 68, т. 51, поз. 4</t>
  </si>
  <si>
    <t>ТСН-2001.6-68. 68-51...68-53</t>
  </si>
  <si>
    <t>ТСН-2001.6-68-21</t>
  </si>
  <si>
    <t>4</t>
  </si>
  <si>
    <t>6.69-19-1</t>
  </si>
  <si>
    <t>Погрузка и выгрузка вручную строительного мусора на транспортные средства</t>
  </si>
  <si>
    <t>1 Т</t>
  </si>
  <si>
    <t>ТСН-2001.6. Доп. 1-42. Сб. 69, т. 19, поз. 1</t>
  </si>
  <si>
    <t>ТСН-2001.6-69. 69-1...69-49</t>
  </si>
  <si>
    <t>ТСН-2001.6-69-1</t>
  </si>
  <si>
    <t>5</t>
  </si>
  <si>
    <t>6.68-13-1</t>
  </si>
  <si>
    <t>Механизированная погрузка строительного мусора в автомобили-самосвалы</t>
  </si>
  <si>
    <t>ТСН-2001.6. Доп. 1-42. Сб. 68, т. 13, поз. 1</t>
  </si>
  <si>
    <t>ТСН-2001.6-68. 68-13</t>
  </si>
  <si>
    <t>ТСН-2001.6-68-5</t>
  </si>
  <si>
    <t>6</t>
  </si>
  <si>
    <t>15.2-52-11</t>
  </si>
  <si>
    <t>Перевозка строительного мусора на расстояние до 52 км автосамосвалами грузоподъемностью до 20 т</t>
  </si>
  <si>
    <t>т</t>
  </si>
  <si>
    <t>ТСН-2001.15 Доп. 54, Сб. 2, т. 52, поз. 11</t>
  </si>
  <si>
    <t>Транспортные затраты</t>
  </si>
  <si>
    <t>ТСН-2001.15-1. Перевозка строительного мусора</t>
  </si>
  <si>
    <t>ТСН-2001.15-1-5</t>
  </si>
  <si>
    <t>7</t>
  </si>
  <si>
    <t>6.68-27-1</t>
  </si>
  <si>
    <t>Исправление профиля щебеночных оснований с добавлением нового материала</t>
  </si>
  <si>
    <t>1000 м2 площади основания</t>
  </si>
  <si>
    <t>ТСН-2001.6 Доп. 56, Сб. 68, т. 27, поз. 1</t>
  </si>
  <si>
    <t>ТСН-2001.6-68. 68-26, 68-27</t>
  </si>
  <si>
    <t>ТСН-2001.6-68-10</t>
  </si>
  <si>
    <t>7,1</t>
  </si>
  <si>
    <t>1.1-1-1550</t>
  </si>
  <si>
    <t>Щебень из естественного камня для дорожных работ, марка 600 - 400, фракция 20-40 мм</t>
  </si>
  <si>
    <t>м3</t>
  </si>
  <si>
    <t>ТСН-2001.1. Доп. 1-42. Р. 1, о. 1, поз. 1550</t>
  </si>
  <si>
    <t>8</t>
  </si>
  <si>
    <t>15.1-1300-02</t>
  </si>
  <si>
    <t>Лом асфальтовых и асфальтобетонных покрытий малоопасный</t>
  </si>
  <si>
    <t>ТСН-2001.15 Доп. 56, Сб. 1, т. 1300, поз. 2</t>
  </si>
  <si>
    <t>9</t>
  </si>
  <si>
    <t>3.27-42-1</t>
  </si>
  <si>
    <t>Устройство покрытий из горячих асфальтобетонных смесей толщиной 4 см комплектом машин</t>
  </si>
  <si>
    <t>100 м2 покрытия</t>
  </si>
  <si>
    <t>ТСН-2001.3 Доп. 56, Сб. 27, т. 42, поз. 1</t>
  </si>
  <si>
    <t>Строительные работы</t>
  </si>
  <si>
    <t>ТСН-2001.3-27. 27-42...27-46</t>
  </si>
  <si>
    <t>ТСН-2001.3-27-13</t>
  </si>
  <si>
    <t>9,1</t>
  </si>
  <si>
    <t>1.3-3-8</t>
  </si>
  <si>
    <t>Смеси асфальтобетонные дорожные горячие мелкозернистые, марка I, тип Б</t>
  </si>
  <si>
    <t>ТСН-2001.1. Доп. 1-42. Р. 3, о. 3, поз. 8</t>
  </si>
  <si>
    <t>10</t>
  </si>
  <si>
    <t>3.27-43-1</t>
  </si>
  <si>
    <t>Добавляется на каждый 1 см изменения толщины слоя сверх 4 см к позиции 3.27-42-1</t>
  </si>
  <si>
    <t>ТСН-2001.3. Доп. 1-42. Сб. 27, т. 43, поз. 1</t>
  </si>
  <si>
    <t>10,1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</si>
  <si>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</si>
  <si>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</si>
  <si>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</si>
  <si>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</si>
  <si>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</si>
  <si>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</si>
  <si>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</si>
  <si>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</si>
  <si>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</si>
  <si>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</si>
  <si>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</si>
  <si>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</si>
  <si>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</si>
  <si>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</si>
  <si>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</si>
  <si>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</si>
  <si>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</si>
  <si>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</si>
  <si>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</si>
  <si>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</si>
  <si>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</si>
  <si>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</si>
  <si>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</si>
  <si>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</si>
  <si>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</si>
  <si>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</si>
  <si>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</si>
  <si>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</si>
  <si>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</si>
  <si>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</si>
  <si>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</si>
  <si>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</si>
  <si>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</si>
  <si>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</si>
  <si>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</si>
  <si>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</si>
  <si>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</si>
  <si>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</si>
  <si>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</si>
  <si>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</si>
  <si>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</si>
  <si>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</si>
  <si>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</si>
  <si>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</si>
  <si>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</si>
  <si>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</si>
  <si>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</si>
  <si>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</si>
  <si>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</si>
  <si>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</si>
  <si>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</si>
  <si>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</si>
  <si>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</si>
  <si>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</si>
  <si>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С ндс</t>
  </si>
  <si>
    <t>3. А/б покрытие пешеходных тротуаров на существующее основание</t>
  </si>
  <si>
    <t>11</t>
  </si>
  <si>
    <t>12</t>
  </si>
  <si>
    <t>6.68-51-2</t>
  </si>
  <si>
    <t>Разборка покрытий и оснований щебеночных</t>
  </si>
  <si>
    <t>ТСН-2001.6. Доп. 1-42. Сб. 68, т. 51, поз. 2</t>
  </si>
  <si>
    <t>13</t>
  </si>
  <si>
    <t>14</t>
  </si>
  <si>
    <t>15</t>
  </si>
  <si>
    <t>16</t>
  </si>
  <si>
    <t>17</t>
  </si>
  <si>
    <t>15.1-1106-02</t>
  </si>
  <si>
    <t>Отходы строительного щебня незагрязненные  практически неопасные</t>
  </si>
  <si>
    <t>ТСН-2001.15 Доп. 56, Сб. 1, т. 1106, поз. 2</t>
  </si>
  <si>
    <t>18</t>
  </si>
  <si>
    <t>18,1</t>
  </si>
  <si>
    <t>19</t>
  </si>
  <si>
    <t>3.27-47-4</t>
  </si>
  <si>
    <t>Устройство асфальтобетонных покрытий дорожек и тротуаров двухслойных верхний слой из песчаной асфальтобетонной смеси толщиной 3 см</t>
  </si>
  <si>
    <t>ТСН-2001.3 Доп. 51, Сб. 27, т. 47, поз. 4</t>
  </si>
  <si>
    <t>ТСН-2001.3-27. 27-47</t>
  </si>
  <si>
    <t>ТСН-2001.3-27-14</t>
  </si>
  <si>
    <t>19,1</t>
  </si>
  <si>
    <t>1.3-3-51</t>
  </si>
  <si>
    <t>Смеси асфальтобетонные дорожные горячие песчаные, тип Д, марка II</t>
  </si>
  <si>
    <t>ТСН-2001.1. Доп. 1-42. Р. 3, о. 3, поз. 51</t>
  </si>
  <si>
    <t>с ндс</t>
  </si>
  <si>
    <t>4. А/б покрытие пешеходных тротуаров на новое основание (АТ-1)</t>
  </si>
  <si>
    <t>5.1. Установка дорожного бортового камня БР 100.30.15 с разборкой</t>
  </si>
  <si>
    <t>20</t>
  </si>
  <si>
    <t>6.68-53-1</t>
  </si>
  <si>
    <t>Разборка бортовых камней на бетонном основании</t>
  </si>
  <si>
    <t>100 м</t>
  </si>
  <si>
    <t>ТСН-2001.6. Доп. 1-42. Сб. 68, т. 53, поз. 1</t>
  </si>
  <si>
    <t>21</t>
  </si>
  <si>
    <t>22</t>
  </si>
  <si>
    <t>23</t>
  </si>
  <si>
    <t>24</t>
  </si>
  <si>
    <t>25</t>
  </si>
  <si>
    <t>3.27-12-1</t>
  </si>
  <si>
    <t>Устройство подстилающих и выравнивающих слоев оснований из песка</t>
  </si>
  <si>
    <t>100 м3 материала основания (в плотном теле)</t>
  </si>
  <si>
    <t>ТСН-2001.3. Доп. 1-42. Сб. 27, т. 12, поз. 1</t>
  </si>
  <si>
    <t>ТСН-2001.3-27. 27-1...27-21</t>
  </si>
  <si>
    <t>ТСН-2001.3-27-1</t>
  </si>
  <si>
    <t>25,1</t>
  </si>
  <si>
    <t>1.1-1-766</t>
  </si>
  <si>
    <t>Песок для строительных работ, рядовой</t>
  </si>
  <si>
    <t>ТСН-2001.1. Доп. 1-42. Р. 1, о. 1, поз. 766</t>
  </si>
  <si>
    <t>26</t>
  </si>
  <si>
    <t>3.27-26-2</t>
  </si>
  <si>
    <t>Установка бортовых камней бетонных при других видах покрытий</t>
  </si>
  <si>
    <t>ТСН-2001.3 Доп. 53, Сб. 27, т. 26, поз. 2</t>
  </si>
  <si>
    <t>ТСН-2001.3-27. 27-26-2</t>
  </si>
  <si>
    <t>ТСН-2001.3-27-4</t>
  </si>
  <si>
    <t>с НДС</t>
  </si>
  <si>
    <t>10.1. Устройство новых оснований площадок (детские, спортивные, воркаут)</t>
  </si>
  <si>
    <t>27</t>
  </si>
  <si>
    <t>3.1-6-10</t>
  </si>
  <si>
    <t>Разработка грунта с погрузкой на автомобили-самосвалы экскаваторами с ковшом вместимостью 0,5 м3 группа грунтов 1-3</t>
  </si>
  <si>
    <t>100 м3 грунта</t>
  </si>
  <si>
    <t>ТСН-2001.3. Доп. 1-42. Сб. 1, т. 6, поз. 10</t>
  </si>
  <si>
    <t>ТСН-2001.3-1. 1-1...1-7</t>
  </si>
  <si>
    <t>ТСН-2001.3-1-1</t>
  </si>
  <si>
    <t>28</t>
  </si>
  <si>
    <t>3.1-51-1</t>
  </si>
  <si>
    <t>Разработка грунта вручную в траншеях глубиной до 2 м без креплений с откосами группа грунтов 1-3</t>
  </si>
  <si>
    <t>ТСН-2001.3. Доп. 1-42. Сб. 1, т. 51, поз. 1</t>
  </si>
  <si>
    <t>ТСН-2001.3-1. 1-49...1-55</t>
  </si>
  <si>
    <t>ТСН-2001.3-1-15</t>
  </si>
  <si>
    <t>29</t>
  </si>
  <si>
    <t>6.51-6-1</t>
  </si>
  <si>
    <t>Погрузка грунта вручную в автомобили-самосвалы с выгрузкой</t>
  </si>
  <si>
    <t>ТСН-2001.6. Доп. 1-42. Сб. 51, т. 6, поз. 1</t>
  </si>
  <si>
    <t>ТСН-2001.6-51. 51-6</t>
  </si>
  <si>
    <t>ТСН-2001.6-51-4</t>
  </si>
  <si>
    <t>30</t>
  </si>
  <si>
    <t>15.2-52-2</t>
  </si>
  <si>
    <t>Перевозка грунтов растительного слоя и торфов на расстояние до 52 км автосамосвалами грузоподъемностью до 20 т</t>
  </si>
  <si>
    <t>ТСН-2001.15 Доп. 54, Сб. 2, т. 52, поз. 2</t>
  </si>
  <si>
    <t>ТСН-2001.15-1. Перевозка грунта</t>
  </si>
  <si>
    <t>ТСН-2001.15-1-3</t>
  </si>
  <si>
    <t>31</t>
  </si>
  <si>
    <t>15.1-1102-01</t>
  </si>
  <si>
    <t>Отходы грунта при проведении открытых земляных работ практически неопасные</t>
  </si>
  <si>
    <t>ТСН-2001.15 Доп. 56, Сб. 1, т. 1102, поз. 1</t>
  </si>
  <si>
    <t>32</t>
  </si>
  <si>
    <t>32,1</t>
  </si>
  <si>
    <t>33</t>
  </si>
  <si>
    <t>3.27-12-2</t>
  </si>
  <si>
    <t>Устройство подстилающих и выравнивающих слоев оснований из щебня</t>
  </si>
  <si>
    <t>ТСН-2001.3. Доп. 1-42. Сб. 27, т. 12, поз. 2</t>
  </si>
  <si>
    <t>33,1</t>
  </si>
  <si>
    <t>34</t>
  </si>
  <si>
    <t>34,1</t>
  </si>
  <si>
    <t>ндс</t>
  </si>
  <si>
    <t>11. Камень бетонный садовый 2093м</t>
  </si>
  <si>
    <t>35</t>
  </si>
  <si>
    <t>36</t>
  </si>
  <si>
    <t>37</t>
  </si>
  <si>
    <t>38</t>
  </si>
  <si>
    <t>39</t>
  </si>
  <si>
    <t>40</t>
  </si>
  <si>
    <t>40,1</t>
  </si>
  <si>
    <t>41</t>
  </si>
  <si>
    <t>3.27-26-6</t>
  </si>
  <si>
    <t>Установка бортовых камней бетонных газонных и садовых при других видах покрытий</t>
  </si>
  <si>
    <t>ТСН-2001.3 Доп. 53, Сб. 27, т. 26, поз. 6</t>
  </si>
  <si>
    <t>ТСН-2001.3-27. 27-26-5, 27-26-6 (доп. 29)</t>
  </si>
  <si>
    <t>ТСН-2001.3-27-40</t>
  </si>
  <si>
    <t>41,1</t>
  </si>
  <si>
    <t>1.5-3-499</t>
  </si>
  <si>
    <t>Камни бетонные бортовые, марка БР 100.20.8</t>
  </si>
  <si>
    <t>ТСН-2001.1. Доп. 1-42. Р. 5, о. 3, поз. 499</t>
  </si>
  <si>
    <t>20.1. Газон посевной 15см</t>
  </si>
  <si>
    <t>20.2. Газон посевной 10см</t>
  </si>
  <si>
    <t>42</t>
  </si>
  <si>
    <t>43</t>
  </si>
  <si>
    <t>3.47-23-1</t>
  </si>
  <si>
    <t>Устройство корыта под газоны и цветники с планировкой дна в грунтах 1 и 2 группы</t>
  </si>
  <si>
    <t>1 м3</t>
  </si>
  <si>
    <t>ТСН-2001.3. Доп. 1-42. Сб. 47, т. 23, поз. 1</t>
  </si>
  <si>
    <t>ТСН-2001.3-47. 47-23...47-33</t>
  </si>
  <si>
    <t>ТСН-2001.3-47-4</t>
  </si>
  <si>
    <t>44</t>
  </si>
  <si>
    <t>45</t>
  </si>
  <si>
    <t>46</t>
  </si>
  <si>
    <t>15.2-55-2</t>
  </si>
  <si>
    <t>Перевозка грунтов растительного слоя и торфов на расстояние до 55 км автосамосвалами грузоподъемностью до 20 т</t>
  </si>
  <si>
    <t>ТСН-2001.15 Доп. 54, Сб. 2, т. 55, поз. 2</t>
  </si>
  <si>
    <t>47</t>
  </si>
  <si>
    <t>48</t>
  </si>
  <si>
    <t>3.47-26-3</t>
  </si>
  <si>
    <t>Подготовка почвы для устройства партерного и обыкновенного газонов с внесением растительной земли слоем 15 см механизированным способом</t>
  </si>
  <si>
    <t>ТСН-2001.3. Доп. 1-42. Сб. 47, т. 26, поз. 3</t>
  </si>
  <si>
    <t>48,1</t>
  </si>
  <si>
    <t>1.4-6-1</t>
  </si>
  <si>
    <t>Земля растительная</t>
  </si>
  <si>
    <t>ТСН-2001.1. Доп. 1-42. Р. 4, о. 6, поз. 1</t>
  </si>
  <si>
    <t>49</t>
  </si>
  <si>
    <t>3.47-26-4</t>
  </si>
  <si>
    <t>Подготовка почвы для устройства партерного и обыкновенного газонов с внесением растительной земли слоем 15 см вручную</t>
  </si>
  <si>
    <t>ТСН-2001.3. Доп. 1-42. Сб. 47, т. 26, поз. 4</t>
  </si>
  <si>
    <t>49,1</t>
  </si>
  <si>
    <t>50</t>
  </si>
  <si>
    <t>3.47-26-5</t>
  </si>
  <si>
    <t>Подготовка почвы для устройства партерного и обыкновенного газонов на каждые 5 см изменения толщины слоя добавлять или исключать</t>
  </si>
  <si>
    <t>ТСН-2001.3. Доп. 1-42. Сб. 47, т. 26, поз. 5</t>
  </si>
  <si>
    <t>50,1</t>
  </si>
  <si>
    <t>51</t>
  </si>
  <si>
    <t>3.47-26-6</t>
  </si>
  <si>
    <t>Посев газонов партерных, мавританских, и обыкновенных вручную</t>
  </si>
  <si>
    <t>ТСН-2001.3. Доп. 1-42. Сб. 47, т. 26, поз. 6</t>
  </si>
  <si>
    <t>51,1</t>
  </si>
  <si>
    <t>1.4-6-6</t>
  </si>
  <si>
    <t>Семена (смесь универсальная) газонных трав</t>
  </si>
  <si>
    <t>кг</t>
  </si>
  <si>
    <t>ТСН-2001.1. Доп. 1-42. Р. 4, о. 6, поз. 6</t>
  </si>
  <si>
    <t>21.1. Посадка кустарников (h=0,7 м)</t>
  </si>
  <si>
    <t>52</t>
  </si>
  <si>
    <t>53</t>
  </si>
  <si>
    <t>54</t>
  </si>
  <si>
    <t>55</t>
  </si>
  <si>
    <t>56</t>
  </si>
  <si>
    <t>3.47-2-10</t>
  </si>
  <si>
    <t>Подготовка стандартных посадочных мест для деревьев и кустарников механизированным способом, с круглым комом земли размером 0,3х0,3 м с добавлением растительной земли до 100%</t>
  </si>
  <si>
    <t>10 ям</t>
  </si>
  <si>
    <t>ТСН-2001.3. Доп. 1-42. Сб. 47, т. 2, поз. 10</t>
  </si>
  <si>
    <t>ТСН-2001.3-47. 47-1...47-8</t>
  </si>
  <si>
    <t>ТСН-2001.3-47-1</t>
  </si>
  <si>
    <t>56,1</t>
  </si>
  <si>
    <t>57</t>
  </si>
  <si>
    <t>3.47-4-10</t>
  </si>
  <si>
    <t>Подготовка стандартных посадочных мест вручную, с круглым комом земли размером 0,3х0,3 м с добавлением растительной земли до 100%</t>
  </si>
  <si>
    <t>ТСН-2001.3. Доп. 1-42. Сб. 47, т. 4, поз. 10</t>
  </si>
  <si>
    <t>57,1</t>
  </si>
  <si>
    <t>58</t>
  </si>
  <si>
    <t>3.47-7-2</t>
  </si>
  <si>
    <t>Посадка деревьев и кустарников с комом земли, диаметром 0,3 м и высотой 0,3 м</t>
  </si>
  <si>
    <t>10 деревьев или кустарников</t>
  </si>
  <si>
    <t>ТСН-2001.3. Доп. 1-42. Сб. 47, т. 7, поз. 2</t>
  </si>
  <si>
    <t>58,1</t>
  </si>
  <si>
    <t>1.4-2-40</t>
  </si>
  <si>
    <t>Кустарники декоративные с комом земли, калина обыкновенная, высота 0,3 м, диаметр 0,3 м</t>
  </si>
  <si>
    <t>шт.</t>
  </si>
  <si>
    <t>ТСН-2001.1. Доп. 1-42. Р. 4, о. 2, поз. 40</t>
  </si>
  <si>
    <t>21.2. Однорядная живая изгородь</t>
  </si>
  <si>
    <t>21.4. Пересадка кустарников без кома, в двухрядную живую изгородь</t>
  </si>
  <si>
    <t>22.1 Посадка деревьев с комом 0,8х0,6 м, высотой от 3 м</t>
  </si>
  <si>
    <t>59</t>
  </si>
  <si>
    <t>3.47-2-20</t>
  </si>
  <si>
    <t>Подготовка стандартных посадочных мест для деревьев и кустарников механизированным способом, с круглым комом земли размером 0,8х0,6 м с добавлением растительной земли до 100%</t>
  </si>
  <si>
    <t>ТСН-2001.3. Доп. 1-42. Сб. 47, т. 2, поз. 20</t>
  </si>
  <si>
    <t>59,1</t>
  </si>
  <si>
    <t>60</t>
  </si>
  <si>
    <t>3.47-4-20</t>
  </si>
  <si>
    <t>Подготовка стандартных посадочных мест вручную, с круглым комом земли размером 0,8х0,6 м с добавлением растительной земли до 100%</t>
  </si>
  <si>
    <t>ТСН-2001.3. Доп. 1-42. Сб. 47, т. 4, поз. 20</t>
  </si>
  <si>
    <t>60,1</t>
  </si>
  <si>
    <t>61</t>
  </si>
  <si>
    <t>62</t>
  </si>
  <si>
    <t>63</t>
  </si>
  <si>
    <t>64</t>
  </si>
  <si>
    <t>65</t>
  </si>
  <si>
    <t>3.47-7-4</t>
  </si>
  <si>
    <t>Посадка деревьев и кустарников с комом земли, диаметром 0,8 м и высотой 0,6 м</t>
  </si>
  <si>
    <t>ТСН-2001.3 Доп. 53, Сб. 47, т. 7, поз. 4</t>
  </si>
  <si>
    <t>65,1</t>
  </si>
  <si>
    <t>1.4-1-6</t>
  </si>
  <si>
    <t>Деревья декоративные лиственных пород с комом земли, порода: бархат амурский, вяз, дуб, каштан, клен, липа, орех, ясень, размер кома: диаметр - 0,8 м, высота - 0,6 м</t>
  </si>
  <si>
    <t>ТСН-2001.1. Доп. 1-42. Р. 4, о. 1, поз. 6</t>
  </si>
  <si>
    <t>22.2 Пересадка деревьев с комом 0,8х0,6 м, высотой от 3 м</t>
  </si>
  <si>
    <t>23.1. Устройство цветников (многолетники)</t>
  </si>
  <si>
    <t>66</t>
  </si>
  <si>
    <t>3.47-29-1</t>
  </si>
  <si>
    <t>Подготовка почвы под цветники толщиной слоя насыпки 20 см</t>
  </si>
  <si>
    <t>100 м2 цветников</t>
  </si>
  <si>
    <t>ТСН-2001.3. Доп. 1-42. Сб. 47, т. 29, поз. 1</t>
  </si>
  <si>
    <t>66,1</t>
  </si>
  <si>
    <t>67</t>
  </si>
  <si>
    <t>3.47-29-2</t>
  </si>
  <si>
    <t>Добавлять или исключать на каждые 5 см изменения толщины слоя почвы под цветники к позиции 3.47-29-1</t>
  </si>
  <si>
    <t>ТСН-2001.3. Доп. 1-42. Сб. 47, т. 29, поз. 2</t>
  </si>
  <si>
    <t>*4</t>
  </si>
  <si>
    <t>67,1</t>
  </si>
  <si>
    <t>68</t>
  </si>
  <si>
    <t>3.47-31-1</t>
  </si>
  <si>
    <t>Посадка многолетних цветников при густоте посадки 1,6 тыс. шт. цветов</t>
  </si>
  <si>
    <t>ТСН-2001.3 Доп. 45, Сб. 47, т. 31, поз. 1</t>
  </si>
  <si>
    <t>68,1</t>
  </si>
  <si>
    <t>1.4-3-85</t>
  </si>
  <si>
    <t>Посадочный материал многолетних цветочных культур, хоста</t>
  </si>
  <si>
    <t>ТСН-2001.1. Доп. 1-42. Р. 4, о. 3, поз. 85</t>
  </si>
  <si>
    <t>69</t>
  </si>
  <si>
    <t>69,1</t>
  </si>
  <si>
    <t>1.4-3-56</t>
  </si>
  <si>
    <t>Посадочный материал многолетних цветочных культур, астильба</t>
  </si>
  <si>
    <t>ТСН-2001.1. Доп. 1-42. Р. 4, о. 3, поз. 56</t>
  </si>
  <si>
    <t>70</t>
  </si>
  <si>
    <t>3.47-31-2</t>
  </si>
  <si>
    <t>Добавлять или исключать на каждые 1000 шт. высаживаемых цветов к позиции 3.47-31-1</t>
  </si>
  <si>
    <t>ТСН-2001.3 Доп. 45, Сб. 47, т. 31, поз. 2</t>
  </si>
  <si>
    <t>70,1</t>
  </si>
  <si>
    <t>26.1. Текущий ремонт пешеходного покрытия из бетонной плитки</t>
  </si>
  <si>
    <t>27.1. Капитальный ремонт пешеходного покрытия из бетонной плитки 1503 м2</t>
  </si>
  <si>
    <t>71</t>
  </si>
  <si>
    <t>72</t>
  </si>
  <si>
    <t>73</t>
  </si>
  <si>
    <t>74</t>
  </si>
  <si>
    <t>75</t>
  </si>
  <si>
    <t>76</t>
  </si>
  <si>
    <t>76,1</t>
  </si>
  <si>
    <t>77</t>
  </si>
  <si>
    <t>77,1</t>
  </si>
  <si>
    <t>78</t>
  </si>
  <si>
    <t>3.47-69-1</t>
  </si>
  <si>
    <t>Устройство покрытий тротуаров из бетонной плитки типа "Брусчатка" рядовым или паркетным мощением</t>
  </si>
  <si>
    <t>ТСН-2001.3 Доп. 53, Сб. 47, т. 69, поз. 1</t>
  </si>
  <si>
    <t>ТСН-2001.3-47. 47-69</t>
  </si>
  <si>
    <t>ТСН-2001.3-47-14</t>
  </si>
  <si>
    <t>78,1</t>
  </si>
  <si>
    <t>1.7-3-75</t>
  </si>
  <si>
    <t>Диск отрезной с алмазным покрытием, диаметр 230 мм, высота сегмента 7 мм</t>
  </si>
  <si>
    <t>ТСН-2001.1. Доп. 1-42. Р. 7, о. 3, поз. 75</t>
  </si>
  <si>
    <t>78,2</t>
  </si>
  <si>
    <t>1.5-3-421</t>
  </si>
  <si>
    <t>Брусчатка бетонная овальная, марка 4ПБ 15.10.7, цвет светло-серый</t>
  </si>
  <si>
    <t>м2</t>
  </si>
  <si>
    <t>ТСН-2001.1. Доп. 1-42. Р. 5, о. 3, поз. 421</t>
  </si>
  <si>
    <t>78,3</t>
  </si>
  <si>
    <t>1.3-2-18</t>
  </si>
  <si>
    <t>Смеси сухие монтажно-кладочные цементно-песчаные, В7,5 (М100), F50, крупность заполнителя не более 3,5 мм</t>
  </si>
  <si>
    <t>ТСН-2001.1. Доп. 1-42. Р. 3, о. 2, поз. 18</t>
  </si>
  <si>
    <t>28. Камень бортовой садовый</t>
  </si>
  <si>
    <t>79</t>
  </si>
  <si>
    <t>80</t>
  </si>
  <si>
    <t>6.66-86-1</t>
  </si>
  <si>
    <t>Погрузка вручную строительного мусора в самосвал</t>
  </si>
  <si>
    <t>ТСН-2001.6 Доп. 50, Сб. 66, т. 86, поз. 1</t>
  </si>
  <si>
    <t>ТСН-2001.6-66. 66-86, 66-87</t>
  </si>
  <si>
    <t>ТСН-2001.6-66-15</t>
  </si>
  <si>
    <t>81</t>
  </si>
  <si>
    <t>82</t>
  </si>
  <si>
    <t>83</t>
  </si>
  <si>
    <t>15.1-1201-03</t>
  </si>
  <si>
    <t>Лом бетонных изделий, отходы бетона в кусковой форме, практически неопасные</t>
  </si>
  <si>
    <t>ТСН-2001.15 Доп. 56, Сб. 1, т. 1201, поз. 3</t>
  </si>
  <si>
    <t>84</t>
  </si>
  <si>
    <t>84,1</t>
  </si>
  <si>
    <t>85</t>
  </si>
  <si>
    <t>85,1</t>
  </si>
  <si>
    <t>29. Устройство покрытия площадок для выгула домашних животных</t>
  </si>
  <si>
    <t>30.2. Окраска подпорной стенки по штукатурке с расчисткой</t>
  </si>
  <si>
    <t>86</t>
  </si>
  <si>
    <t>6.61-26-1</t>
  </si>
  <si>
    <t>Отбивка штукатурки по кирпичу и бетону стен, потолков площадью до 5 м2</t>
  </si>
  <si>
    <t>ТСН-2001.6. Доп. 1-42. Сб. 61, т. 26, поз. 1</t>
  </si>
  <si>
    <t>ТСН-2001.6-61. 61-26</t>
  </si>
  <si>
    <t>ТСН-2001.6-61-3</t>
  </si>
  <si>
    <t>87</t>
  </si>
  <si>
    <t>88</t>
  </si>
  <si>
    <t>15.2-27-11</t>
  </si>
  <si>
    <t>Перевозка строительного мусора на расстояние до 27 км автосамосвалами грузоподъемностью до 20 т</t>
  </si>
  <si>
    <t>ТСН-2001.15 Доп. 54, Сб. 2, т. 27, поз. 11</t>
  </si>
  <si>
    <t>89</t>
  </si>
  <si>
    <t>15.1-1201-02</t>
  </si>
  <si>
    <t>Отходы цемента в кусковой форме практически неопасные</t>
  </si>
  <si>
    <t>ТСН-2001.15 Доп. 56, Сб. 1, т. 1201, поз. 2</t>
  </si>
  <si>
    <t>90</t>
  </si>
  <si>
    <t>6.62-31-1</t>
  </si>
  <si>
    <t>Расчистка поверхностей от старых покрасок (шпателем, щетками и т.д.)</t>
  </si>
  <si>
    <t>1 м2 поверхности</t>
  </si>
  <si>
    <t>ТСН-2001.6. Доп. 1-42. Сб. 62, т. 31, поз. 1</t>
  </si>
  <si>
    <t>ТСН-2001.6-62. 62-31...62-41</t>
  </si>
  <si>
    <t>ТСН-2001.6-62-13</t>
  </si>
  <si>
    <t>91</t>
  </si>
  <si>
    <t>3.15-41-1</t>
  </si>
  <si>
    <t>Улучшенная штукатурка цементно-известковым раствором по камню стен</t>
  </si>
  <si>
    <t>100 м2 оштукатуриваемой поверхности</t>
  </si>
  <si>
    <t>ТСН-2001.3. Доп. 1-42. Сб. 15, т. 41, поз. 1</t>
  </si>
  <si>
    <t>ТСН-2001.3-15. 15-30...15-50</t>
  </si>
  <si>
    <t>ТСН-2001.3-15-6</t>
  </si>
  <si>
    <t>91,1</t>
  </si>
  <si>
    <t>1.1-1-118</t>
  </si>
  <si>
    <t>Вода</t>
  </si>
  <si>
    <t>ТСН-2001.1. Доп. 1-42. Р. 1, о. 1, поз. 118</t>
  </si>
  <si>
    <t>91,2</t>
  </si>
  <si>
    <t>1.3-2-24</t>
  </si>
  <si>
    <t>Смеси сухие штукатурные цементно-песчаные для внутренних и наружных работ, бездобавочные, В12,5 (М150), F50, крупность заполнителя не более 0,5 мм</t>
  </si>
  <si>
    <t>ТСН-2001.1. Доп. 1-42. Р. 3, о. 2, поз. 24</t>
  </si>
  <si>
    <t>91,3</t>
  </si>
  <si>
    <t>1.3-2-13</t>
  </si>
  <si>
    <t>Растворы цементно-известковые, марка 75</t>
  </si>
  <si>
    <t>ТСН-2001.1. Доп. 1-42. Р. 3, о. 2, поз. 13</t>
  </si>
  <si>
    <t>92</t>
  </si>
  <si>
    <t>3.15-83-1</t>
  </si>
  <si>
    <t>Перхлорвиниловая окраска фасадов с лесов с подготовкой поверхности по штукатурке или бетону</t>
  </si>
  <si>
    <t>100 м2 окрашиваемой поверхности</t>
  </si>
  <si>
    <t>ТСН-2001.3 Доп. 47, Сб. 15, т. 83, поз. 1</t>
  </si>
  <si>
    <t>ТСН-2001.3-15. 15-82...15-90, 15-91-1, 15-91-2</t>
  </si>
  <si>
    <t>ТСН-2001.3-15-8</t>
  </si>
  <si>
    <t>92,1</t>
  </si>
  <si>
    <t>1.1-1-450</t>
  </si>
  <si>
    <t>Краски фасадные перхлорвиниловые, марка ХВ161 "А" (цветная)</t>
  </si>
  <si>
    <t>ТСН-2001.1. Доп. 1-42. Р. 1, о. 1, поз. 450</t>
  </si>
  <si>
    <t>31.4. Накрывные элементы на подпорные стены (бетонные)</t>
  </si>
  <si>
    <t>31.5. Накрывные элементы на подпорные стены (природный камень)</t>
  </si>
  <si>
    <t>93</t>
  </si>
  <si>
    <t>3.11-18-1</t>
  </si>
  <si>
    <t>Устройство покрытий на цементном растворе из плиток бетонных, цементных или мозаичных</t>
  </si>
  <si>
    <t>ТСН-2001.3. Доп. 1-42. Сб. 11, т. 18, поз. 1</t>
  </si>
  <si>
    <t>ТСН-2001.3-11. 11-13...11-35 (доп. 11)</t>
  </si>
  <si>
    <t>ТСН-2001.3-11-4</t>
  </si>
  <si>
    <t>93,1</t>
  </si>
  <si>
    <t>1.11-3-9</t>
  </si>
  <si>
    <t>Плиты из известняка полированные, толщина 40 мм, месторождение: Мелехово-Федотовское</t>
  </si>
  <si>
    <t>ТСН-2001.1. Доп. 1-42. Р. 11, о. 3, поз. 9</t>
  </si>
  <si>
    <t>33. Устройство подпорной стенки (облицовочная плитка)</t>
  </si>
  <si>
    <t>34. Устройство лестничных маршей</t>
  </si>
  <si>
    <t>35. Установка ограждения газонного высотой 0,7 м</t>
  </si>
  <si>
    <t>36. Установка ограждения детской площадки 1,2 м</t>
  </si>
  <si>
    <t>94</t>
  </si>
  <si>
    <t>6.68-72-1</t>
  </si>
  <si>
    <t>Изготовление стоек металлического ограждения газонов из трубы, масса стоек до 5 кг</t>
  </si>
  <si>
    <t>10 шт.</t>
  </si>
  <si>
    <t>ТСН-2001.6. Доп. 1-42. Сб. 68, т. 72, поз. 1</t>
  </si>
  <si>
    <t>ТСН-2001.6-68. 68-72, 68-73 (доп. 8)</t>
  </si>
  <si>
    <t>ТСН-2001.6-68-31</t>
  </si>
  <si>
    <t>94,1</t>
  </si>
  <si>
    <t>1.1-1-2350</t>
  </si>
  <si>
    <t>Профили стальные электросварные прямоугольного сечения трубчатые, размер 40х60 мм, толщина стенки 3,5 мм</t>
  </si>
  <si>
    <t>ТСН-2001.1. Доп. 1-42. Р. 1, о. 1, поз. 2350</t>
  </si>
  <si>
    <t>95</t>
  </si>
  <si>
    <t>6.68-72-2</t>
  </si>
  <si>
    <t>Установка стоек металлического ограждения газонов из трубы, масса стоек до 5 кг</t>
  </si>
  <si>
    <t>ТСН-2001.6 Доп. 47, Сб. 68, т. 72, поз. 2</t>
  </si>
  <si>
    <t>96</t>
  </si>
  <si>
    <t>6.68-73-1</t>
  </si>
  <si>
    <t>Изготовление секций металлического ограждения газонов из профилированной трубы, масса секции до 10 кг</t>
  </si>
  <si>
    <t>1 м2</t>
  </si>
  <si>
    <t>ТСН-2001.6. Доп. 1-42. Сб. 68, т. 73, поз. 1</t>
  </si>
  <si>
    <t>96,1</t>
  </si>
  <si>
    <t>1.1-1-2303</t>
  </si>
  <si>
    <t>Профили стальные электросварные прямоугольного сечения трубчатые, размер 20х40 мм, толщина стенки 2,0 мм</t>
  </si>
  <si>
    <t>ТСН-2001.1. Доп. 1-42. Р. 1, о. 1, поз. 2303</t>
  </si>
  <si>
    <t>96,2</t>
  </si>
  <si>
    <t>1.1-1-1080</t>
  </si>
  <si>
    <t>Круг, квадрат горячекатаный из стали углеродистой обыкновенного качества, кипящей, размер 5-12 мм</t>
  </si>
  <si>
    <t>ТСН-2001.1 Доп. 48, Р. 1, о. 1, поз. 1080</t>
  </si>
  <si>
    <t>97</t>
  </si>
  <si>
    <t>6.68-73-2</t>
  </si>
  <si>
    <t>Установка секций металлического ограждения газонов из профилированной трубы, масса секции до 10 кг</t>
  </si>
  <si>
    <t>ТСН-2001.6 Доп. 47, Сб. 68, т. 73, поз. 2</t>
  </si>
  <si>
    <t>98</t>
  </si>
  <si>
    <t>3.13-9-2</t>
  </si>
  <si>
    <t>Огрунтовка металлических поверхностей грунтовкой ГФ-021 за один раз</t>
  </si>
  <si>
    <t>ТСН-2001.3. Доп. 1-42. Сб. 13, т. 9, поз. 2</t>
  </si>
  <si>
    <t>ТСН-2001.3-13. 13-1...13-16, 13-17-1...13-17-4</t>
  </si>
  <si>
    <t>ТСН-2001.3-13-1</t>
  </si>
  <si>
    <t>98,1</t>
  </si>
  <si>
    <t>1.1-1-3205</t>
  </si>
  <si>
    <t>Грунтовка глифталевая, ГФ-032</t>
  </si>
  <si>
    <t>ТСН-2001.1. Доп. 1-42. Р. 1, о. 1, поз. 3205</t>
  </si>
  <si>
    <t>99</t>
  </si>
  <si>
    <t>3.13-11-8</t>
  </si>
  <si>
    <t>Окраска огрунтованных металлических поверхностей эмалями ПФ-115</t>
  </si>
  <si>
    <t>ТСН-2001.3 Доп. 47, Сб. 13, т. 11, поз. 8</t>
  </si>
  <si>
    <t>37.2. Установка ограждения паркового высота 2,5 м</t>
  </si>
  <si>
    <t>38. Монтаж поликарбоната на ограждение</t>
  </si>
  <si>
    <t>39. Установка металлического ограждениядворовой территории высотой 3 м</t>
  </si>
  <si>
    <t>41. Установка информационных и дорожных знаков</t>
  </si>
  <si>
    <t>100</t>
  </si>
  <si>
    <t>3.27-71-1</t>
  </si>
  <si>
    <t>Установка дорожных знаков на металлических стойках</t>
  </si>
  <si>
    <t>100 знаков</t>
  </si>
  <si>
    <t>ТСН-2001.3. Доп. 1-42. Сб. 27, т. 71, поз. 1</t>
  </si>
  <si>
    <t>ТСН-2001.3-27. 27-71, 27-72</t>
  </si>
  <si>
    <t>ТСН-2001.3-27-22</t>
  </si>
  <si>
    <t>100,1</t>
  </si>
  <si>
    <t>1.7-13-5</t>
  </si>
  <si>
    <t>Знаки из тонколистовой оцинкованной стали со световозвращающей пленкой, круглой формы, диаметр 700 мм</t>
  </si>
  <si>
    <t>ТСН-2001.1. Доп. 1-42. Р. 7, о. 13, поз. 5</t>
  </si>
  <si>
    <t>100,2</t>
  </si>
  <si>
    <t>1.7-13-100</t>
  </si>
  <si>
    <t>Стойки из оцинкованной стали, диаметр 76 мм</t>
  </si>
  <si>
    <t>м</t>
  </si>
  <si>
    <t>ТСН-2001.1 Доп. 56, Р. 7, о. 13, поз. 100</t>
  </si>
  <si>
    <t>100,3</t>
  </si>
  <si>
    <t>1.7-13-101</t>
  </si>
  <si>
    <t>Хомуты из оцинкованной стали, диаметр 76 мм</t>
  </si>
  <si>
    <t>ТСН-2001.1. Доп. 1-42. Р. 7, о. 13, поз. 101</t>
  </si>
  <si>
    <t>101</t>
  </si>
  <si>
    <t>3.27-72-1</t>
  </si>
  <si>
    <t>Установка дополнительных щитков</t>
  </si>
  <si>
    <t>ТСН-2001.3. Доп. 1-42. Сб. 27, т. 72, поз. 1</t>
  </si>
  <si>
    <t>101,1</t>
  </si>
  <si>
    <t>101,2</t>
  </si>
  <si>
    <t>42. Установка ИДН  (3,5м)</t>
  </si>
  <si>
    <t>102</t>
  </si>
  <si>
    <t>3.27-106-4</t>
  </si>
  <si>
    <t>Монтаж искусственной дорожной неровности (ИДН) - элементов средней части</t>
  </si>
  <si>
    <t>1 м2 горизонтальной проекции уложенных ИДН</t>
  </si>
  <si>
    <t>ТСН-2001.3 Доп. 47, Сб. 27, т. 106, поз. 4</t>
  </si>
  <si>
    <t>ТСН-2001.3-27. 27-106-4...27-106-5 (доп. 46)</t>
  </si>
  <si>
    <t>ТСН-2001.3-27-46</t>
  </si>
  <si>
    <t>102,1</t>
  </si>
  <si>
    <t>1.1-1-2874</t>
  </si>
  <si>
    <t>Искусственная дорожная неровность из резины, средний элемент, размеры 900х500 мм</t>
  </si>
  <si>
    <t>ТСН-2001.1 Доп. 46, Р. 1, о. 1, поз. 2874</t>
  </si>
  <si>
    <t>103</t>
  </si>
  <si>
    <t>3.27-106-5</t>
  </si>
  <si>
    <t>Монтаж искусственной дорожной неровности (ИДН) - элементов концевой части</t>
  </si>
  <si>
    <t>ТСН-2001.3 Доп. 47, Сб. 27, т. 106, поз. 5</t>
  </si>
  <si>
    <t>103,1</t>
  </si>
  <si>
    <t>1.1-1-2875</t>
  </si>
  <si>
    <t>Искусственная дорожная неровность из резины, концевой элемент, размеры 900х250 мм</t>
  </si>
  <si>
    <t>ТСН-2001.1 Доп. 46, Р. 1, о. 1, поз. 2875</t>
  </si>
  <si>
    <t>43. Установка антипарковочных столбиков</t>
  </si>
  <si>
    <t>44. Разметка парковочного места</t>
  </si>
  <si>
    <t>47. Устройство покрытия на детской площадке для детей от 5 лет 4 см (3 см - резина, 1 см - EPDM)</t>
  </si>
  <si>
    <t>104</t>
  </si>
  <si>
    <t>3.47-75-1</t>
  </si>
  <si>
    <t>Устройство наливного полиуретанового покрытия спортивных площадок и беговых дорожек толщиной 10 мм</t>
  </si>
  <si>
    <t>ТСН-2001.3 Доп. 47, Сб. 47, т. 75, поз. 1</t>
  </si>
  <si>
    <t>ТСН-2001.3-47. 47-74, 47-75 (доп. 20)</t>
  </si>
  <si>
    <t>ТСН-2001.3-47-18</t>
  </si>
  <si>
    <t>104,1</t>
  </si>
  <si>
    <t>1.1-1-3462</t>
  </si>
  <si>
    <t>Крошка резиновая гранулированная, фракция 2-3 мм</t>
  </si>
  <si>
    <t>ТСН-2001.1. Доп. 1-42. Р. 1, о. 1, поз. 3462</t>
  </si>
  <si>
    <t>105</t>
  </si>
  <si>
    <t>3.47-75-2</t>
  </si>
  <si>
    <t>Устройство наливного полиуретанового покрытия спортивных площадок и беговых дорожек, добавляется на 2 мм толщины покрытия</t>
  </si>
  <si>
    <t>ТСН-2001.3 Доп. 47, Сб. 47, т. 75, поз. 2</t>
  </si>
  <si>
    <t>*10</t>
  </si>
  <si>
    <t>105,1</t>
  </si>
  <si>
    <t>106</t>
  </si>
  <si>
    <t>106,1</t>
  </si>
  <si>
    <t>1.1-1-3493</t>
  </si>
  <si>
    <t>Крошка каучуковая гранулированная, окрашенная в массе, фракция 2-3 мм</t>
  </si>
  <si>
    <t>ТСН-2001.1 Доп. 46, Р. 1, о. 1, поз. 3493</t>
  </si>
  <si>
    <t>54. Облицовка подпорной стенки мраморной штукатуркой</t>
  </si>
  <si>
    <t>107</t>
  </si>
  <si>
    <t>3.15-42-1</t>
  </si>
  <si>
    <t>Высококачественная штукатурка цементно-известковым раствором по камню стен гладких фасадов</t>
  </si>
  <si>
    <t>ТСН-2001.3. Доп. 1-42. Сб. 15, т. 42, поз. 1</t>
  </si>
  <si>
    <t>107,1</t>
  </si>
  <si>
    <t>107,2</t>
  </si>
  <si>
    <t>1.3-2-153</t>
  </si>
  <si>
    <t>Смесь сухая крупнозернистая, цементная, штукатурная, ручного нанесения, для создания паропроницаемой, атмосферостойкой, моющейся декоративной штукатурки с шероховатой структурой</t>
  </si>
  <si>
    <t>ТСН-2001.1 Доп. 53, Р. 3, о. 2, поз. 153</t>
  </si>
  <si>
    <t>107,3</t>
  </si>
  <si>
    <t>57. Гидроизоляция рулонная 1см</t>
  </si>
  <si>
    <t>58. Гидроизоляция рулонная 2 см</t>
  </si>
  <si>
    <t>59. Гидроизоляция обмазочная</t>
  </si>
  <si>
    <t>60. Установка поручней (м.п.)</t>
  </si>
  <si>
    <t>НДС 20%</t>
  </si>
  <si>
    <t>Текущий уровень цен</t>
  </si>
  <si>
    <t>Сборник индексов</t>
  </si>
  <si>
    <t>Коэффициенты к ТСН-2001 МГЭ</t>
  </si>
  <si>
    <t>169</t>
  </si>
  <si>
    <t>_OBSM_</t>
  </si>
  <si>
    <t>9999990008</t>
  </si>
  <si>
    <t>Трудозатраты рабочих</t>
  </si>
  <si>
    <t>чел.-ч.</t>
  </si>
  <si>
    <t>2.1-10-2</t>
  </si>
  <si>
    <t>ТСН-2001.2. Доп. 1-42, п. 1-10-2 (100102)</t>
  </si>
  <si>
    <t>Компрессоры автомобильные, производительность более 5 м3/мин</t>
  </si>
  <si>
    <t>маш.-ч.</t>
  </si>
  <si>
    <t>2.1-1-74</t>
  </si>
  <si>
    <t>ТСН-2001.2. Доп. 1-42, п. 1-1-74 (010809)</t>
  </si>
  <si>
    <t>Экскаваторы-погрузчики на пневмоколесном ходу гидравлические (при проведении ремонтных работ), грузоподъемность до 1,5 т, объем ковша 0,8-1,2 м3</t>
  </si>
  <si>
    <t>2.1-30-54</t>
  </si>
  <si>
    <t>ТСН-2001.2. Доп. 1-42, п. 1-30-54 (308901)</t>
  </si>
  <si>
    <t>Молотки отбойные</t>
  </si>
  <si>
    <t>2.1-5-103</t>
  </si>
  <si>
    <t>ТСН-2001.2. Доп. 1-42, п. 1-5-103 (054305)</t>
  </si>
  <si>
    <t>Фрезы дорожные самоходные, ширина фрезерования 2200 мм, глубина фрезерования до 320 мм</t>
  </si>
  <si>
    <t>2.1-5-97</t>
  </si>
  <si>
    <t>ТСН-2001.2. Доп. 1-42, п. 1-5-97 (058301)</t>
  </si>
  <si>
    <t>Машины дорожные для заправки спецтехники водой, емкость до 8 м3</t>
  </si>
  <si>
    <t>1.1-1-3790</t>
  </si>
  <si>
    <t>ТСН-2001.1. Доп. 1-42. Р. 1, о. 1, поз. 3790</t>
  </si>
  <si>
    <t>Резцы для дорожной фрезы W 2100 типа "Виртген"</t>
  </si>
  <si>
    <t>2.1-10-5</t>
  </si>
  <si>
    <t>ТСН-2001.2. Доп. 46. п.1-10-5 (101002)</t>
  </si>
  <si>
    <t>Компрессоры прицепные с двигателем внутреннего сгорания, производительность до 5 м3/мин, мощность двигателя до 29 кВт (39,4 л.с.)</t>
  </si>
  <si>
    <t>2.1-5-48</t>
  </si>
  <si>
    <t>ТСН-2001.2. Доп. 1-42, п. 1-5-48 (056003)</t>
  </si>
  <si>
    <t>Автогрейдеры, мощность 99-147 кВт (130-200 л.с.)</t>
  </si>
  <si>
    <t>9999990007</t>
  </si>
  <si>
    <t>Стоимость прочих машин (ЭСН)</t>
  </si>
  <si>
    <t>руб.</t>
  </si>
  <si>
    <t>2.1-18-42</t>
  </si>
  <si>
    <t>ТСН-2001.2. Доп. 43, п. 1-18-42 (184062)</t>
  </si>
  <si>
    <t>Автомобили-самосвалы для перевозки строительного мусора, грузоподъемность до 14 т</t>
  </si>
  <si>
    <t>2.1-18-7</t>
  </si>
  <si>
    <t>ТСН-2001.2. Доп. 47. п.1-18-7 (183001)</t>
  </si>
  <si>
    <t>Автомобили грузовые бортовые, грузоподъемность до 5 т</t>
  </si>
  <si>
    <t>2.1-2-1</t>
  </si>
  <si>
    <t>ТСН-2001.2. Доп. 1-42, п. 1-2-1 (020101)</t>
  </si>
  <si>
    <t>Тракторы на гусеничном ходу, мощность до 60 кВт (81 л.с.)</t>
  </si>
  <si>
    <t>2.1-5-18</t>
  </si>
  <si>
    <t>ТСН-2001.2. Доп. 56. п.1-5-18 (050902)</t>
  </si>
  <si>
    <t>Машины поливомоечные, емкость цистерны до 8 м3</t>
  </si>
  <si>
    <t>2.1-5-2</t>
  </si>
  <si>
    <t>ТСН-2001.2. Доп. 55. п.1-5-2 (050102)</t>
  </si>
  <si>
    <t>Катки самоходные вибрационные, масса до 8 т</t>
  </si>
  <si>
    <t>2.1-5-3</t>
  </si>
  <si>
    <t>ТСН-2001.2. Доп. 55. п.1-5-3 (050103)</t>
  </si>
  <si>
    <t>Катки самоходные вибрационные, масса до 14 т</t>
  </si>
  <si>
    <t>2.1-5-47</t>
  </si>
  <si>
    <t>ТСН-2001.2. Доп. 1-42, п. 1-5-47 (056001)</t>
  </si>
  <si>
    <t>Автогрейдеры, мощность 66-88 кВт (90-120 л.с.)</t>
  </si>
  <si>
    <t>1.1-1-1554</t>
  </si>
  <si>
    <t>ТСН-2001.1. Доп. 1-42. Р. 1, о. 1, поз. 1554</t>
  </si>
  <si>
    <t>Щебень из естественного камня для дорожных работ, марка 1200 - 800, фракция 10 - 20 мм</t>
  </si>
  <si>
    <t>2.1-4-3</t>
  </si>
  <si>
    <t>ТСН-2001.2. Доп. 1-42, п. 1-4-3 (040103)</t>
  </si>
  <si>
    <t>Погрузчики универсальные на пневмоколесном ходу, грузоподъемность до 3 т</t>
  </si>
  <si>
    <t>2.1-5-19</t>
  </si>
  <si>
    <t>ТСН-2001.2. Доп. 1-42, п. 1-5-19 (051001)</t>
  </si>
  <si>
    <t>Асфальтоукладчики, производительность до 350 т/ч</t>
  </si>
  <si>
    <t>2.1-5-35</t>
  </si>
  <si>
    <t>ТСН-2001.2. Доп. 1-42, п. 1-5-35 (053601)</t>
  </si>
  <si>
    <t>Автогудронаторы битумные, емкость до 3500 л</t>
  </si>
  <si>
    <t>2.1-5-6</t>
  </si>
  <si>
    <t>ТСН-2001.2. Доп. 55. п.1-5-6 (050203)</t>
  </si>
  <si>
    <t>Катки дорожные самоходные статические, масса до 13 т</t>
  </si>
  <si>
    <t>2.1-5-7</t>
  </si>
  <si>
    <t>ТСН-2001.2. Доп. 55. п.1-5-7 (050301)</t>
  </si>
  <si>
    <t>Катки дорожные самоходные на пневмоколесном ходу, масса до 16 т</t>
  </si>
  <si>
    <t>1.3-3-19</t>
  </si>
  <si>
    <t>ТСН-2001.1. Доп. 1-42. Р. 3, о. 3, поз. 19</t>
  </si>
  <si>
    <t>Эмульсии дорожные, битумные</t>
  </si>
  <si>
    <t>ТСН-2001.2. Доп. 1-42, п. 1-5-2 (050102)</t>
  </si>
  <si>
    <t>1.1-1-46</t>
  </si>
  <si>
    <t>ТСН-2001.1. Доп. 1-42. Р. 1, о. 1, поз. 46</t>
  </si>
  <si>
    <t>Битумы нефтяные, дорожные жидкие, марка МГ, СГ</t>
  </si>
  <si>
    <t>2.1-5-15</t>
  </si>
  <si>
    <t>ТСН-2001.2. Доп. 1-42, п. 1-5-15 (050703)</t>
  </si>
  <si>
    <t>Катки прицепные пневмоколесные, масса до 50 т</t>
  </si>
  <si>
    <t>ТСН-2001.2. Доп. 1-42, п. 1-5-18 (050902)</t>
  </si>
  <si>
    <t>Поливомоечные машины, емкость цистерны более 5000 л</t>
  </si>
  <si>
    <t>ТСН-2001.2. Доп. 1-42, п. 1-5-7 (050301)</t>
  </si>
  <si>
    <t>2.1-3-38</t>
  </si>
  <si>
    <t>ТСН-2001.2. Доп. 53. п.1-3-38 (032009)</t>
  </si>
  <si>
    <t>Краны на автомобильном ходу, грузоподъемность до 16 т</t>
  </si>
  <si>
    <t>1.3-1-38</t>
  </si>
  <si>
    <t>ТСН-2001.1. Доп. 1-42. Р. 3, о. 1, поз. 38</t>
  </si>
  <si>
    <t>Смеси бетонные, БСГ, тяжелого бетона на гранитном щебне, класс прочности В15 (М200); П3, фракция 5-20, F50-100, W0-2</t>
  </si>
  <si>
    <t>1.3-2-5</t>
  </si>
  <si>
    <t>ТСН-2001.1. Доп. 1-42. Р. 3, о. 2, поз. 5</t>
  </si>
  <si>
    <t>Растворы цементные, марка 100</t>
  </si>
  <si>
    <t>9999990006</t>
  </si>
  <si>
    <t>Стоимость прочих материалов (ЭСН)</t>
  </si>
  <si>
    <t>2.1-1-4</t>
  </si>
  <si>
    <t>ТСН-2001.2. Доп. 1-42, п. 1-1-4 (010105)</t>
  </si>
  <si>
    <t>Экскаваторы на гусеничном ходу гидравлические, объем ковша до 0,5 м3</t>
  </si>
  <si>
    <t>2.1-1-44</t>
  </si>
  <si>
    <t>ТСН-2001.2. Доп. 1-42, п. 1-1-44 (012103)</t>
  </si>
  <si>
    <t>Бульдозеры гусеничные, мощность до 79 кВт (108 л.с.)</t>
  </si>
  <si>
    <t>2.1-18-39</t>
  </si>
  <si>
    <t>ТСН-2001.2. Доп. 43, п. 1-18-39 (184052)</t>
  </si>
  <si>
    <t>Автомобили-самосвалы для перевозки грунта, грузоподъемность до 14 т</t>
  </si>
  <si>
    <t>2.1-1-43</t>
  </si>
  <si>
    <t>ТСН-2001.2. Доп. 1-42, п. 1-1-43 (012102)</t>
  </si>
  <si>
    <t>Бульдозеры гусеничные, мощность до 59 кВт (80 л.с.)</t>
  </si>
  <si>
    <t>ТСН-2001.2. Доп. 1-42, п. 1-5-3 (050103)</t>
  </si>
  <si>
    <t>Катки самоходные вибрационные, масса более 8 т</t>
  </si>
  <si>
    <t>2.1-4-12</t>
  </si>
  <si>
    <t>ТСН-2001.2. Доп. 1-42, п. 1-4-12 (040205)</t>
  </si>
  <si>
    <t>Погрузчики на автомобильном ходу, грузоподъемность до 5 т</t>
  </si>
  <si>
    <t>1.1-1-132</t>
  </si>
  <si>
    <t>ТСН-2001.1. Доп. 1-42. Р. 1, о. 1, поз. 132</t>
  </si>
  <si>
    <t>Гвозди строительные</t>
  </si>
  <si>
    <t>1.1-1-230</t>
  </si>
  <si>
    <t>ТСН-2001.1. Доп. 1-42. Р. 1, о. 1, поз. 230</t>
  </si>
  <si>
    <t>Доски хвойных пород, обрезные, длина 2-6,5 м, сорт IV, толщина 19-22 мм</t>
  </si>
  <si>
    <t>2.1-2-7</t>
  </si>
  <si>
    <t>ТСН-2001.2. Доп. 1-42, п. 1-2-7 (021003)</t>
  </si>
  <si>
    <t>Тракторы на пневмоколесном ходу, мощность до 60 кВт (81 л.с.)</t>
  </si>
  <si>
    <t>2.1-17-52</t>
  </si>
  <si>
    <t>ТСН-2001.2. Доп. 1-42, п. 1-17-52 (177001)</t>
  </si>
  <si>
    <t>Ямокопатели</t>
  </si>
  <si>
    <t>1.4-6-8</t>
  </si>
  <si>
    <t>ТСН-2001.1. Доп. 1-42. Р. 4, о. 6, поз. 8</t>
  </si>
  <si>
    <t>Торф</t>
  </si>
  <si>
    <t>2.1-1-24</t>
  </si>
  <si>
    <t>ТСН-2001.2. Доп. 1-42, п. 1-1-24 (010501)</t>
  </si>
  <si>
    <t>Экскаваторы на пневмоколесном тракторе гидравлические, объем ковша до 0,25 м3</t>
  </si>
  <si>
    <t>1.1-1-232</t>
  </si>
  <si>
    <t>ТСН-2001.1. Доп. 1-42. Р. 1, о. 1, поз. 232</t>
  </si>
  <si>
    <t>Доски хвойных пород, обрезные, длина 2-6,5 м, сорт IV, толщина 40-60 мм</t>
  </si>
  <si>
    <t>2.1-17-82</t>
  </si>
  <si>
    <t>ТСН-2001.2. Доп. 1-42, п. 1-17-82 (177201)</t>
  </si>
  <si>
    <t>Виброплиты для уплотнения песка, гравия и бетона</t>
  </si>
  <si>
    <t>2.1-30-27</t>
  </si>
  <si>
    <t>ТСН-2001.2. Доп. 1-42, п. 1-30-27 (306101)</t>
  </si>
  <si>
    <t>Пилы дисковые электрические для резки пиломатериалов</t>
  </si>
  <si>
    <t>2.1-18-24</t>
  </si>
  <si>
    <t>ТСН-2001.2. Доп. 50. п.1-18-24 (183102)</t>
  </si>
  <si>
    <t>Автомобили грузопассажирские, грузоподъемность до 2 т</t>
  </si>
  <si>
    <t>9999990001</t>
  </si>
  <si>
    <t>Масса мусора</t>
  </si>
  <si>
    <t>2.1-6-34</t>
  </si>
  <si>
    <t>ТСН-2001.2. Доп. 1-42, п. 1-6-34 (067502)</t>
  </si>
  <si>
    <t>Растворонасосы, производительность до 3 м3/ч</t>
  </si>
  <si>
    <t>2.1-4-30</t>
  </si>
  <si>
    <t>ТСН-2001.2. Доп. 1-42, п. 1-4-30 (042901)</t>
  </si>
  <si>
    <t>Лебедки электрические, грузоподъемность до 0,5 т</t>
  </si>
  <si>
    <t>1.1-1-115</t>
  </si>
  <si>
    <t>ТСН-2001.1. Доп. 1-42. Р. 1, о. 1, поз. 115</t>
  </si>
  <si>
    <t>Ветошь</t>
  </si>
  <si>
    <t>1.1-1-1486</t>
  </si>
  <si>
    <t>ТСН-2001.1. Доп. 1-42. Р. 1, о. 1, поз. 1486</t>
  </si>
  <si>
    <t>Шпатлевка перхлорвиниловая, марка ХВ</t>
  </si>
  <si>
    <t>1.1-1-166</t>
  </si>
  <si>
    <t>ТСН-2001.1. Доп. 1-42. Р. 1, о. 1, поз. 166</t>
  </si>
  <si>
    <t>Грунтовка перхлорвиниловая, ХВ</t>
  </si>
  <si>
    <t>1.1-1-758</t>
  </si>
  <si>
    <t>ТСН-2001.1. Доп. 1-42. Р. 1, о. 1, поз. 758</t>
  </si>
  <si>
    <t>Пемза шлаковая</t>
  </si>
  <si>
    <t>1.1-1-999</t>
  </si>
  <si>
    <t>ТСН-2001.1. Доп. 1-42. Р. 1, о. 1, поз. 999</t>
  </si>
  <si>
    <t>Растворитель "Уайт-спирит"</t>
  </si>
  <si>
    <t>1.3-2-6</t>
  </si>
  <si>
    <t>ТСН-2001.1. Доп. 1-42. Р. 3, о. 2, поз. 6</t>
  </si>
  <si>
    <t>Растворы цементные, марка 150</t>
  </si>
  <si>
    <t>2.1-13-15</t>
  </si>
  <si>
    <t>ТСН-2001.2. Доп. 1-42, п. 1-13-15 (136201)</t>
  </si>
  <si>
    <t>Аппараты сварочные</t>
  </si>
  <si>
    <t>2.1-13-16</t>
  </si>
  <si>
    <t>ТСН-2001.2. Доп. 1-42, п. 1-13-16 (136301)</t>
  </si>
  <si>
    <t>Аппараты для газовой сварки и резки</t>
  </si>
  <si>
    <t>2.1-30-19</t>
  </si>
  <si>
    <t>ТСН-2001.2. Доп. 1-42, п. 1-30-19 (305001)</t>
  </si>
  <si>
    <t>Машины шлифовальные электрические</t>
  </si>
  <si>
    <t>1.1-1-376</t>
  </si>
  <si>
    <t>ТСН-2001.1. Доп. 1-42. Р. 1, о. 1, поз. 376</t>
  </si>
  <si>
    <t>Кислород технический газообразный</t>
  </si>
  <si>
    <t>1.1-1-987</t>
  </si>
  <si>
    <t>ТСН-2001.1. Доп. 1-42. Р. 1, о. 1, поз. 987</t>
  </si>
  <si>
    <t>Пропан-бутан газообразный</t>
  </si>
  <si>
    <t>1.1-1-1329</t>
  </si>
  <si>
    <t>ТСН-2001.1. Доп. 1-42. Р. 1, о. 1, поз. 1329</t>
  </si>
  <si>
    <t>Цемент общестроительный, портландцемент общего назначения, марка 400</t>
  </si>
  <si>
    <t>2.1-30-43</t>
  </si>
  <si>
    <t>ТСН-2001.2. Доп. 1-42, п. 1-30-43 (307501)</t>
  </si>
  <si>
    <t>Станки трубоотрезные</t>
  </si>
  <si>
    <t>1.1-1-1566</t>
  </si>
  <si>
    <t>ТСН-2001.1. Доп. 1-42. Р. 1, о. 1, поз. 1566</t>
  </si>
  <si>
    <t>Электроды, тип Э-42, 46, 50, диаметр 4 - 6 мм</t>
  </si>
  <si>
    <t>1.7-3-52</t>
  </si>
  <si>
    <t>ТСН-2001.1 Доп. 51, Р. 7, о. 3, поз. 52</t>
  </si>
  <si>
    <t>Диск отрезной абразивный для резки облицовочных плит, диаметр 230 мм</t>
  </si>
  <si>
    <t>2.1-10-12</t>
  </si>
  <si>
    <t>ТСН-2001.2. Доп. 1-42, п. 1-10-12 (105001)</t>
  </si>
  <si>
    <t>Электрокомпрессоры прицепные, производительность до 3,5 м3/мин</t>
  </si>
  <si>
    <t>1.1-1-489</t>
  </si>
  <si>
    <t>ТСН-2001.1. Доп. 1-42. Р. 1, о. 1, поз. 489</t>
  </si>
  <si>
    <t>Ксилол нефтяной, марка А</t>
  </si>
  <si>
    <t>1.1-1-1577</t>
  </si>
  <si>
    <t>ТСН-2001.1. Доп. 1-42. Р. 1, о. 1, поз. 1577</t>
  </si>
  <si>
    <t>Эмаль, марка ПФ-115 (цветная), пентафталевая</t>
  </si>
  <si>
    <t>2.1-9-1</t>
  </si>
  <si>
    <t>ТСН-2001.2. Доп. 1-42, п. 1-9-1 (090101)</t>
  </si>
  <si>
    <t>Машины бурильно-крановые на базе трактора, глубина бурения до 5 м</t>
  </si>
  <si>
    <t>1.1-1-58</t>
  </si>
  <si>
    <t>ТСН-2001.1. Доп. 1-42. Р. 1, о. 1, поз. 58</t>
  </si>
  <si>
    <t>Болты строительные с гайками оцинкованные (10х100 мм)</t>
  </si>
  <si>
    <t>2.1-30-103</t>
  </si>
  <si>
    <t>ТСН-2001.2. Доп. 46. п.1-30-103 (304104)</t>
  </si>
  <si>
    <t>Перфораторы электрические, мощность до 1,2 кВт</t>
  </si>
  <si>
    <t>2.1-30-56</t>
  </si>
  <si>
    <t>ТСН-2001.2. Доп. 1-42, п. 1-30-56 (309101)</t>
  </si>
  <si>
    <t>Шуруповерты</t>
  </si>
  <si>
    <t>1.1-1-2876</t>
  </si>
  <si>
    <t>ТСН-2001.1. Доп. 1-42. Р. 1, о. 1, поз. 2876</t>
  </si>
  <si>
    <t>Клей полиуретановый двухкомпонентный</t>
  </si>
  <si>
    <t>1.7-3-73</t>
  </si>
  <si>
    <t>ТСН-2001.1 Доп. 44, Р. 7, о. 3, поз. 73</t>
  </si>
  <si>
    <t>Бур с наконечником из твердого сплава, с хвостовиком SDS-max, диаметр 16 мм, длина 340 мм</t>
  </si>
  <si>
    <t>1.7-5-229</t>
  </si>
  <si>
    <t>ТСН-2001.1. Доп. 1-42. Р. 7, о. 5, поз. 229</t>
  </si>
  <si>
    <t>Анкер-болт оцинкованный с пластиковой втулкой, для крепления искусственных дорожных неровностей, размеры 10х135 мм</t>
  </si>
  <si>
    <t>2.1-17-168</t>
  </si>
  <si>
    <t>ТСН-2001.2. Доп. 1-42, п. 1-17-168 (266501)</t>
  </si>
  <si>
    <t>Укладчики полимерных покрытий на игровых и спортивных площадках, производительность 10-50 м2/ч</t>
  </si>
  <si>
    <t>2.1-30-6</t>
  </si>
  <si>
    <t>ТСН-2001.2. Доп. 1-42, п. 1-30-6 (303701)</t>
  </si>
  <si>
    <t>Дрели электрические</t>
  </si>
  <si>
    <t>2.1-4-8</t>
  </si>
  <si>
    <t>ТСН-2001.2. Доп. 1-42, п. 1-4-8 (040201)</t>
  </si>
  <si>
    <t>Погрузчики на автомобильном ходу, грузоподъемность до 1 т</t>
  </si>
  <si>
    <t>2.1-6-68</t>
  </si>
  <si>
    <t>ТСН-2001.2. Доп. 1-42, п. 1-6-68 (067203)</t>
  </si>
  <si>
    <t>Растворосмесители стационарные, емкость до 250 л</t>
  </si>
  <si>
    <t>1.1-1-1032</t>
  </si>
  <si>
    <t>ТСН-2001.1. Доп. 1-42. Р. 1, о. 1, поз. 1032</t>
  </si>
  <si>
    <t>Скипидар живичный</t>
  </si>
  <si>
    <t>1.1-1-3461</t>
  </si>
  <si>
    <t>ТСН-2001.1. Доп. 1-42. Р. 1, о. 1, поз. 3461</t>
  </si>
  <si>
    <t>Средство связующее универсальное полиуретановое на основе резиновой и каучуковой крошки для устройства высокопрочных эластичных покрытий</t>
  </si>
  <si>
    <t>1.1-1-825</t>
  </si>
  <si>
    <t>ТСН-2001.1. Доп. 1-42. Р. 1, о. 1, поз. 825</t>
  </si>
  <si>
    <t>Пленка полиэтиленовая, толщина 0,12 - 0,15 мм</t>
  </si>
  <si>
    <t>5711100000</t>
  </si>
  <si>
    <t>Щебень из естественного камня для дорожных работ, марка 1200-800, фракция 20-40 мм</t>
  </si>
  <si>
    <t>5718400000</t>
  </si>
  <si>
    <t>Смеси асфальтобетонные</t>
  </si>
  <si>
    <t>5711400000</t>
  </si>
  <si>
    <t>Песок природный для строительных работ</t>
  </si>
  <si>
    <t>5898320000</t>
  </si>
  <si>
    <t>Камни бортовые</t>
  </si>
  <si>
    <t>Щебень для дорожных работ</t>
  </si>
  <si>
    <t>Камни бетонные бортовые садовые и газонные</t>
  </si>
  <si>
    <t>9797020000</t>
  </si>
  <si>
    <t>9749950000</t>
  </si>
  <si>
    <t>Семена газонных трав</t>
  </si>
  <si>
    <t>9797010000</t>
  </si>
  <si>
    <t>Деревья и кустарники с комом</t>
  </si>
  <si>
    <t>9763100000</t>
  </si>
  <si>
    <t>Посадочный материал цветочных культур</t>
  </si>
  <si>
    <t>3971790000</t>
  </si>
  <si>
    <t>Диски отрезные</t>
  </si>
  <si>
    <t>5745110000</t>
  </si>
  <si>
    <t>Смеси сухие цементно-песчаные</t>
  </si>
  <si>
    <t>5846302000</t>
  </si>
  <si>
    <t>Брусчатка бетонная, марка ПБ</t>
  </si>
  <si>
    <t>0131000000</t>
  </si>
  <si>
    <t>5745120000</t>
  </si>
  <si>
    <t>Смеси сухие для штукатурных работ</t>
  </si>
  <si>
    <t>5745520000</t>
  </si>
  <si>
    <t>Растворы тяжелые цементно-известковые, марки 75</t>
  </si>
  <si>
    <t>2329160000</t>
  </si>
  <si>
    <t>Краски фасадные перхлорвиниловые</t>
  </si>
  <si>
    <t>5846300000</t>
  </si>
  <si>
    <t>Плиты бетонные, цементные или (5898330000) мозаичные</t>
  </si>
  <si>
    <t>1308040000</t>
  </si>
  <si>
    <t>Трубы стальные бесшовные холоднодеформированные (112111), трубы профилированные</t>
  </si>
  <si>
    <t>5262154000</t>
  </si>
  <si>
    <t>Стойки ограждения</t>
  </si>
  <si>
    <t>1121110000</t>
  </si>
  <si>
    <t>Профили стальные электросварные трубчатые</t>
  </si>
  <si>
    <t>5262150000</t>
  </si>
  <si>
    <t>Секции оград</t>
  </si>
  <si>
    <t>2312130000</t>
  </si>
  <si>
    <t>Грунтовка ГФ-021 красно-коричневая</t>
  </si>
  <si>
    <t>5216100000</t>
  </si>
  <si>
    <t>Щитки металлические</t>
  </si>
  <si>
    <t>Стойки металлические</t>
  </si>
  <si>
    <t>2539902000</t>
  </si>
  <si>
    <t>Элементы средней части ИДН</t>
  </si>
  <si>
    <t>Элементы концевой части ИДН</t>
  </si>
  <si>
    <t>2322410000</t>
  </si>
  <si>
    <t>Пигменты сухие</t>
  </si>
  <si>
    <t>2511330000</t>
  </si>
  <si>
    <t>Крошка резиновая и каучуковая, фракция 2-3 мм</t>
  </si>
  <si>
    <t>"СОГЛАСОВАНО"</t>
  </si>
  <si>
    <t>"УТВЕРЖДАЮ"</t>
  </si>
  <si>
    <t>Форма № 1б</t>
  </si>
  <si>
    <t>"_____"________________ 2021 г.</t>
  </si>
  <si>
    <t>(наименование стройки)</t>
  </si>
  <si>
    <t>(локальный сметный расчет)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</si>
  <si>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</si>
  <si>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</si>
  <si>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</si>
  <si>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</si>
  <si>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Монтажные работы</t>
  </si>
  <si>
    <t>Оборудование</t>
  </si>
  <si>
    <t>Прочие работы</t>
  </si>
  <si>
    <t>Средства на оплату труда</t>
  </si>
  <si>
    <t xml:space="preserve">Кроме того: 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</si>
  <si>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</si>
  <si>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</si>
  <si>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</si>
  <si>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</si>
  <si>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</si>
  <si>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 руб.</t>
  </si>
  <si>
    <t>Попра-вочные коэфф.</t>
  </si>
  <si>
    <t>Коэфф. зимних удоро-жаний</t>
  </si>
  <si>
    <t>ВСЕГО в базисном уровне цен, руб.</t>
  </si>
  <si>
    <t>Коэфф. пересчета и нормы НР и СП</t>
  </si>
  <si>
    <t>Всего в текущем уровне цен, руб.</t>
  </si>
  <si>
    <t>Составлен(а) в уровне текущих (прогнозных) цен Коэффициенты к ТСН-2001 МГЭ №169 октябрь 2020 года</t>
  </si>
  <si>
    <t>ЗП</t>
  </si>
  <si>
    <t>ЭМ</t>
  </si>
  <si>
    <t>в т.ч. ЗПМ</t>
  </si>
  <si>
    <t>МР</t>
  </si>
  <si>
    <t>НР от ЗП</t>
  </si>
  <si>
    <t>%</t>
  </si>
  <si>
    <t>СП от ЗП</t>
  </si>
  <si>
    <t>НР и СП от ЗПМ</t>
  </si>
  <si>
    <t>ЗТР</t>
  </si>
  <si>
    <t>чел-ч</t>
  </si>
  <si>
    <t xml:space="preserve">   Итого по ТСН-2001.16</t>
  </si>
  <si>
    <t xml:space="preserve">   Итого возвратных сумм</t>
  </si>
  <si>
    <t>к нр *4</t>
  </si>
  <si>
    <t>к нр *10</t>
  </si>
  <si>
    <t xml:space="preserve">  тыс.руб</t>
  </si>
  <si>
    <t xml:space="preserve">Составил   </t>
  </si>
  <si>
    <t>[должность,подпись(инициалы,фамилия)]</t>
  </si>
  <si>
    <t xml:space="preserve">Проверил   </t>
  </si>
  <si>
    <t>№ п/п</t>
  </si>
  <si>
    <t>Количество</t>
  </si>
  <si>
    <t>Примечание</t>
  </si>
  <si>
    <t>Заказчик _________________</t>
  </si>
  <si>
    <t>Подрядчик _________________</t>
  </si>
  <si>
    <t>___________________________</t>
  </si>
  <si>
    <t>" ___ " ___________ 20 ___ г.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</si>
  <si>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</si>
  <si>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</si>
  <si>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</si>
  <si>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Форма 3</t>
  </si>
  <si>
    <t>(Наименование стройки)</t>
  </si>
  <si>
    <t>ОБЪЕКТНЫЙ СМЕТНЫЙ РАСЧЕТ №</t>
  </si>
  <si>
    <t>(объектная смета)</t>
  </si>
  <si>
    <t>на строительство (капитальный ремонт)</t>
  </si>
  <si>
    <t xml:space="preserve">  тыс.руб.</t>
  </si>
  <si>
    <t xml:space="preserve">Средства на оплату труда  </t>
  </si>
  <si>
    <t xml:space="preserve">Расчетный измеритель единичной стоимости  </t>
  </si>
  <si>
    <t>Номера сметных расчетов (смет)</t>
  </si>
  <si>
    <t>Показатели единичной стоимости</t>
  </si>
  <si>
    <t>строите-льных работ</t>
  </si>
  <si>
    <t>монтажных работ</t>
  </si>
  <si>
    <t>оборудо-вания, мебели, инвентаря</t>
  </si>
  <si>
    <t>прочих затрат</t>
  </si>
  <si>
    <t>Сметная стоимость, тыс.руб.</t>
  </si>
  <si>
    <t>Средства на оплату труда, тыс. руб.</t>
  </si>
  <si>
    <t xml:space="preserve">ИТОГО: </t>
  </si>
  <si>
    <t>Главный инженер проекта</t>
  </si>
  <si>
    <t>[подпись(инициалы,фамилия)]</t>
  </si>
  <si>
    <t xml:space="preserve">Начальник  </t>
  </si>
  <si>
    <t>отдела</t>
  </si>
  <si>
    <t xml:space="preserve">   (наименование)</t>
  </si>
  <si>
    <t xml:space="preserve">Составил  </t>
  </si>
  <si>
    <t xml:space="preserve">Проверил:  </t>
  </si>
  <si>
    <t>TYPE</t>
  </si>
  <si>
    <t>SOURCE_LINK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</si>
  <si>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</si>
  <si>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</si>
  <si>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</si>
  <si>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</si>
  <si>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</si>
  <si>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</si>
  <si>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</si>
  <si>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</si>
  <si>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</si>
  <si>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PRICE_ED</t>
  </si>
  <si>
    <t>STOIM_B</t>
  </si>
  <si>
    <t>PRICE_C</t>
  </si>
  <si>
    <t>STOIM_C</t>
  </si>
  <si>
    <t>ZPM_B</t>
  </si>
  <si>
    <t>ZPM_ED</t>
  </si>
  <si>
    <t>STOIM_ZPM_B</t>
  </si>
  <si>
    <t>ZPM_C</t>
  </si>
  <si>
    <t>STOIM_ZPM_C</t>
  </si>
  <si>
    <t>CRC_GR_RES</t>
  </si>
  <si>
    <t>CRC_B</t>
  </si>
  <si>
    <t>CRC_C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</si>
  <si>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</si>
  <si>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</si>
  <si>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</si>
  <si>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</si>
  <si>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</si>
  <si>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</si>
  <si>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</si>
  <si>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</si>
  <si>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</si>
  <si>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</si>
  <si>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UnionOneUchRes</t>
  </si>
  <si>
    <t>Ресурсная ведомость на</t>
  </si>
  <si>
    <t>Обоснование</t>
  </si>
  <si>
    <t>Наименование</t>
  </si>
  <si>
    <t>Объем</t>
  </si>
  <si>
    <t>Текущая</t>
  </si>
  <si>
    <t>цена</t>
  </si>
  <si>
    <t>стоимость</t>
  </si>
  <si>
    <t>Раздел: 1.1. Текущий ремонт мелкозернистого а/б покрытия (фрезеровка) -11416 м2</t>
  </si>
  <si>
    <t>Машины и механизмы (учтенные)</t>
  </si>
  <si>
    <t xml:space="preserve">Итого машины и механизмы </t>
  </si>
  <si>
    <t>Материальные ресурсы (учтенные)</t>
  </si>
  <si>
    <t xml:space="preserve">Итого материальные ресурсы </t>
  </si>
  <si>
    <t>Раздел: 3. А/б покрытие пешеходных тротуаров на существующее основание</t>
  </si>
  <si>
    <t>Раздел: 5.1. Установка дорожного бортового камня БР 100.30.15 с разборкой</t>
  </si>
  <si>
    <t>Раздел: 10.1. Устройство новых оснований площадок (детские, спортивные, воркаут)</t>
  </si>
  <si>
    <t>Раздел: 27.1. Капитальный ремонт пешеходного покрытия из бетонной плитки 1503 м2</t>
  </si>
  <si>
    <t>Раздел: 31.5. Накрывные элементы на подпорные стены (природный камень)</t>
  </si>
  <si>
    <t>Раздел: 47. Устройство покрытия на детской площадке для детей от 5 лет 4 см (3 см - резина, 1 см - EPDM)</t>
  </si>
  <si>
    <t>ЛОКАЛЬНАЯ СМЕТА №1</t>
  </si>
  <si>
    <t>Благоустройство дворовых территорий района Таганский</t>
  </si>
  <si>
    <t>Благоустройство дворовых территорий района ТаганскийSourceObSm!G6;ЕСЛИ(SourceObSm!G12&lt;&gt;"";SourceObSm!G12;" "))))))</t>
  </si>
  <si>
    <t>ГБУ "Жилищник Таганского района"</t>
  </si>
  <si>
    <t xml:space="preserve">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</si>
</sst>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\-\ #,##0.00"/>
    <numFmt numFmtId="165" formatCode="#,##0.00####;[Red]\-\ #,##0.00####"/>
  </numFmts>
  <fonts count="20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3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164" fontId="11" fillId="0" borderId="0" xfId="0" applyNumberFormat="1" applyFont="1"/>
    <xf numFmtId="0" fontId="11" fillId="0" borderId="0" xfId="0" applyFont="1" applyFill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164" fontId="17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5" xfId="0" applyBorder="1"/>
    <xf numFmtId="0" fontId="11" fillId="0" borderId="0" xfId="0" quotePrefix="1" applyFont="1" applyAlignment="1">
      <alignment horizontal="right" wrapText="1"/>
    </xf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1" fillId="0" borderId="1" xfId="0" applyFont="1" applyBorder="1"/>
    <xf numFmtId="0" fontId="18" fillId="0" borderId="0" xfId="0" applyFont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right" wrapText="1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right" wrapText="1"/>
    </xf>
    <xf numFmtId="0" fontId="11" fillId="0" borderId="4" xfId="0" applyFont="1" applyBorder="1" applyAlignment="1">
      <alignment horizontal="right"/>
    </xf>
    <xf numFmtId="0" fontId="12" fillId="0" borderId="2" xfId="0" applyFont="1" applyBorder="1" applyAlignment="1">
      <alignment horizontal="center" wrapText="1"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left" vertical="top"/>
    </xf>
    <xf numFmtId="0" fontId="18" fillId="0" borderId="0" xfId="0" applyFont="1" applyAlignment="1"/>
    <xf numFmtId="0" fontId="19" fillId="0" borderId="0" xfId="0" applyFont="1" applyAlignment="1">
      <alignment horizontal="right"/>
    </xf>
    <xf numFmtId="1" fontId="11" fillId="0" borderId="0" xfId="0" applyNumberFormat="1" applyFont="1"/>
    <xf numFmtId="0" fontId="11" fillId="0" borderId="0" xfId="0" applyFont="1" applyBorder="1" applyAlignment="1">
      <alignment vertical="center" wrapText="1"/>
    </xf>
    <xf numFmtId="1" fontId="18" fillId="0" borderId="0" xfId="0" applyNumberFormat="1" applyFont="1" applyAlignment="1">
      <alignment vertical="center" wrapText="1"/>
    </xf>
    <xf numFmtId="0" fontId="11" fillId="0" borderId="0" xfId="0" applyFont="1" applyBorder="1" applyAlignment="1"/>
    <xf numFmtId="0" fontId="11" fillId="0" borderId="0" xfId="0" applyFont="1" applyAlignment="1">
      <alignment horizontal="left" vertical="center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left"/>
    </xf>
    <xf numFmtId="0" fontId="11" fillId="0" borderId="0" xfId="0" applyFont="1" applyAlignment="1">
      <alignment horizontal="right" vertical="center"/>
    </xf>
    <xf numFmtId="0" fontId="11" fillId="0" borderId="0" xfId="0" applyFont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right" wrapText="1"/>
    </xf>
    <xf numFmtId="164" fontId="11" fillId="0" borderId="2" xfId="0" applyNumberFormat="1" applyFont="1" applyBorder="1" applyAlignment="1">
      <alignment horizontal="right" wrapText="1"/>
    </xf>
    <xf numFmtId="1" fontId="11" fillId="0" borderId="4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right" wrapText="1"/>
    </xf>
    <xf numFmtId="164" fontId="11" fillId="0" borderId="9" xfId="0" applyNumberFormat="1" applyFont="1" applyBorder="1" applyAlignment="1">
      <alignment horizontal="right" wrapText="1"/>
    </xf>
    <xf numFmtId="164" fontId="11" fillId="0" borderId="3" xfId="0" applyNumberFormat="1" applyFont="1" applyBorder="1" applyAlignment="1">
      <alignment horizontal="right" wrapText="1"/>
    </xf>
    <xf numFmtId="0" fontId="11" fillId="0" borderId="4" xfId="0" applyFont="1" applyBorder="1" applyAlignment="1">
      <alignment horizontal="center" wrapText="1"/>
    </xf>
    <xf numFmtId="164" fontId="11" fillId="0" borderId="4" xfId="0" applyNumberFormat="1" applyFont="1" applyBorder="1" applyAlignment="1">
      <alignment horizontal="right" wrapText="1"/>
    </xf>
    <xf numFmtId="0" fontId="18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left" wrapText="1"/>
    </xf>
    <xf numFmtId="164" fontId="18" fillId="0" borderId="3" xfId="0" applyNumberFormat="1" applyFont="1" applyBorder="1" applyAlignment="1">
      <alignment horizontal="right" wrapText="1"/>
    </xf>
    <xf numFmtId="164" fontId="11" fillId="0" borderId="1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3" xfId="0" quotePrefix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top" wrapText="1"/>
    </xf>
    <xf numFmtId="0" fontId="11" fillId="0" borderId="0" xfId="2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5" fillId="0" borderId="0" xfId="2" applyFont="1" applyAlignment="1">
      <alignment horizontal="center" wrapText="1"/>
    </xf>
    <xf numFmtId="0" fontId="15" fillId="0" borderId="1" xfId="2" applyFont="1" applyBorder="1" applyAlignment="1">
      <alignment horizontal="center" wrapText="1"/>
    </xf>
    <xf numFmtId="0" fontId="10" fillId="0" borderId="0" xfId="2" applyFont="1" applyAlignment="1">
      <alignment horizontal="center" wrapText="1"/>
    </xf>
    <xf numFmtId="0" fontId="9" fillId="0" borderId="0" xfId="2" applyAlignment="1"/>
    <xf numFmtId="0" fontId="13" fillId="0" borderId="1" xfId="2" applyFont="1" applyBorder="1" applyAlignment="1">
      <alignment horizontal="center" wrapText="1"/>
    </xf>
    <xf numFmtId="0" fontId="14" fillId="0" borderId="1" xfId="2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wrapText="1"/>
    </xf>
    <xf numFmtId="164" fontId="18" fillId="0" borderId="5" xfId="0" applyNumberFormat="1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2" fillId="0" borderId="4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Border="1" applyAlignment="1">
      <alignment horizontal="right"/>
    </xf>
    <xf numFmtId="0" fontId="11" fillId="0" borderId="6" xfId="0" applyFont="1" applyBorder="1" applyAlignment="1">
      <alignment horizontal="left" wrapText="1"/>
    </xf>
    <xf numFmtId="164" fontId="11" fillId="0" borderId="2" xfId="0" applyNumberFormat="1" applyFont="1" applyBorder="1" applyAlignment="1">
      <alignment horizontal="right" wrapText="1"/>
    </xf>
    <xf numFmtId="0" fontId="11" fillId="0" borderId="7" xfId="0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 wrapText="1"/>
    </xf>
    <xf numFmtId="1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0" xfId="0" applyFont="1"/>
    <xf numFmtId="0" fontId="1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right"/>
    </xf>
    <xf numFmtId="164" fontId="18" fillId="0" borderId="3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3">
    <cellStyle name="Обычный" xfId="0" builtinId="0"/>
    <cellStyle name="Обычный 2 2" xfId="2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BU/Downloads/&#8470;3_06.03.2021%20&#1050;&#1042;&#1040;&#1056;&#1058;&#1040;&#1051;%20&#1058;&#1072;&#1075;&#1072;&#1085;&#1082;&#1072;%20&#1042;&#1086;&#1079;&#1074;&#1088;&#1072;&#1090;&#1085;&#1099;&#1077;%20&#1084;&#1072;&#1090;&#1077;&#1088;&#1080;&#1072;&#1083;&#1099;%20&#1040;&#1089;&#1092;.%20&#1082;&#1088;&#1086;&#1096;&#1082;&#1072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по ТСН-2001"/>
      <sheetName val="Ведомость объемов работ"/>
      <sheetName val="Дефектная ведомость"/>
      <sheetName val="Объектная смета"/>
      <sheetName val="RV_DATA"/>
      <sheetName val="Расчет стоимости ресурсов"/>
      <sheetName val="Source"/>
      <sheetName val="SourceObSm"/>
      <sheetName val="SmtRes"/>
      <sheetName val="EtalonRes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H12" t="str">
            <v/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79"/>
  <sheetViews>
    <sheetView tabSelected="1" view="pageBreakPreview" zoomScale="94" zoomScaleSheetLayoutView="94" workbookViewId="0">
      <selection activeCell="AX8" sqref="AX8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6" width="11.7109375" customWidth="1"/>
    <col min="7" max="7" width="12.7109375" customWidth="1"/>
    <col min="8" max="8" width="10.7109375" customWidth="1"/>
    <col min="9" max="10" width="12.7109375" customWidth="1"/>
    <col min="11" max="11" width="14.7109375" customWidth="1"/>
    <col min="15" max="36" width="0" hidden="1" customWidth="1"/>
    <col min="37" max="37" width="150.7109375" hidden="1" customWidth="1"/>
    <col min="38" max="38" width="104.7109375" hidden="1" customWidth="1"/>
    <col min="39" max="42" width="0" hidden="1" customWidth="1"/>
  </cols>
  <sheetData>
    <row r="1" spans="1:11" x14ac:dyDescent="0.2">
      <c r="A1" s="9" t="str">
        <f>Source!B1</f>
        <v>Smeta.RU  (495) 974-1589</v>
      </c>
    </row>
    <row r="2" spans="1:11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1" t="s">
        <v>945</v>
      </c>
    </row>
    <row r="3" spans="1:11" ht="16.5" x14ac:dyDescent="0.25">
      <c r="A3" s="12"/>
      <c r="B3" s="109" t="s">
        <v>943</v>
      </c>
      <c r="C3" s="109"/>
      <c r="D3" s="109"/>
      <c r="E3" s="109"/>
      <c r="F3" s="11"/>
      <c r="G3" s="109" t="s">
        <v>944</v>
      </c>
      <c r="H3" s="109"/>
      <c r="I3" s="109"/>
      <c r="J3" s="109"/>
      <c r="K3" s="109"/>
    </row>
    <row r="4" spans="1:11" ht="14.25" x14ac:dyDescent="0.2">
      <c r="A4" s="11"/>
      <c r="B4" s="103"/>
      <c r="C4" s="103"/>
      <c r="D4" s="103"/>
      <c r="E4" s="103"/>
      <c r="F4" s="11"/>
      <c r="G4" s="103" t="s">
        <v>1077</v>
      </c>
      <c r="H4" s="103"/>
      <c r="I4" s="103"/>
      <c r="J4" s="103"/>
      <c r="K4" s="103"/>
    </row>
    <row r="5" spans="1:11" ht="14.25" x14ac:dyDescent="0.2">
      <c r="A5" s="13"/>
      <c r="B5" s="13"/>
      <c r="C5" s="14"/>
      <c r="D5" s="14"/>
      <c r="E5" s="14"/>
      <c r="F5" s="11"/>
      <c r="G5" s="87" t="s">
        <v>1078</v>
      </c>
      <c r="H5" s="14"/>
      <c r="I5" s="14"/>
      <c r="J5" s="14"/>
      <c r="K5" s="87"/>
    </row>
    <row r="6" spans="1:11" ht="14.25" x14ac:dyDescent="0.2">
      <c r="A6" s="15"/>
      <c r="B6" s="103" t="str">
        <f>CONCATENATE("______________________ ", IF(Source!AL12&lt;&gt;"", Source!AL12, ""))</f>
        <v xml:space="preserve">______________________ </v>
      </c>
      <c r="C6" s="103"/>
      <c r="D6" s="103"/>
      <c r="E6" s="103"/>
      <c r="F6" s="11"/>
      <c r="G6" s="103" t="str">
        <f>CONCATENATE("______________________Холопов С.В. ", IF([1]Source!AH12&lt;&gt;"", [1]Source!AH12, ""))</f>
        <v xml:space="preserve">______________________Холопов С.В. </v>
      </c>
      <c r="H6" s="103"/>
      <c r="I6" s="103"/>
      <c r="J6" s="103"/>
      <c r="K6" s="103"/>
    </row>
    <row r="7" spans="1:11" ht="14.25" customHeight="1" x14ac:dyDescent="0.2">
      <c r="A7" s="16"/>
      <c r="B7" s="107" t="s">
        <v>946</v>
      </c>
      <c r="C7" s="107"/>
      <c r="D7" s="107"/>
      <c r="E7" s="107"/>
      <c r="F7" s="11"/>
      <c r="G7" s="107" t="s">
        <v>946</v>
      </c>
      <c r="H7" s="107"/>
      <c r="I7" s="107"/>
      <c r="J7" s="107"/>
      <c r="K7" s="107"/>
    </row>
    <row r="9" spans="1:11" ht="14.25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5.75" x14ac:dyDescent="0.2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x14ac:dyDescent="0.2">
      <c r="A11" s="89" t="s">
        <v>947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14.25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5.6" customHeight="1" x14ac:dyDescent="0.25">
      <c r="A13" s="94" t="s">
        <v>1074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1" ht="13.15" customHeight="1" x14ac:dyDescent="0.2">
      <c r="A14" s="92" t="s">
        <v>948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1" ht="14.25" x14ac:dyDescent="0.2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17.45" hidden="1" customHeight="1" x14ac:dyDescent="0.25">
      <c r="A16" s="90" t="s">
        <v>3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1:11" ht="13.9" hidden="1" customHeight="1" x14ac:dyDescent="0.2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17.45" customHeight="1" x14ac:dyDescent="0.25">
      <c r="A18" s="91" t="s">
        <v>1075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1:11" ht="13.15" customHeight="1" x14ac:dyDescent="0.2">
      <c r="A19" s="92" t="s">
        <v>949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1:11" ht="14.25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4.25" x14ac:dyDescent="0.2">
      <c r="A21" s="96" t="str">
        <f>CONCATENATE( "Основание: чертежи № ", Source!J20)</f>
        <v xml:space="preserve">Основание: чертежи № 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28.5" x14ac:dyDescent="0.2">
      <c r="A22" s="11"/>
      <c r="B22" s="11"/>
      <c r="C22" s="11"/>
      <c r="D22" s="11"/>
      <c r="E22" s="11"/>
      <c r="F22" s="11"/>
      <c r="G22" s="11"/>
      <c r="H22" s="11"/>
      <c r="I22" s="17" t="s">
        <v>950</v>
      </c>
      <c r="J22" s="17" t="s">
        <v>951</v>
      </c>
      <c r="K22" s="11"/>
    </row>
    <row r="23" spans="1:11" ht="14.25" x14ac:dyDescent="0.2">
      <c r="A23" s="11"/>
      <c r="B23" s="11"/>
      <c r="C23" s="11"/>
      <c r="D23" s="11"/>
      <c r="E23" s="11"/>
      <c r="F23" s="103" t="s">
        <v>952</v>
      </c>
      <c r="G23" s="103"/>
      <c r="H23" s="103"/>
      <c r="I23" s="18">
        <f>SUM(O34:O968)/1000</f>
        <v>8088.7608199999986</v>
      </c>
      <c r="J23" s="18">
        <f>(Source!F1542/1000)</f>
        <v>56978.603320000002</v>
      </c>
      <c r="K23" s="11" t="s">
        <v>984</v>
      </c>
    </row>
    <row r="24" spans="1:11" ht="14.25" x14ac:dyDescent="0.2">
      <c r="A24" s="11"/>
      <c r="B24" s="11"/>
      <c r="C24" s="11"/>
      <c r="D24" s="11"/>
      <c r="E24" s="11"/>
      <c r="F24" s="103" t="s">
        <v>77</v>
      </c>
      <c r="G24" s="103"/>
      <c r="H24" s="103"/>
      <c r="I24" s="18">
        <f>SUM(X34:X968)/1000</f>
        <v>8088.7608199999986</v>
      </c>
      <c r="J24" s="18">
        <f>(Source!F1531)/1000</f>
        <v>56978.603320000002</v>
      </c>
      <c r="K24" s="11" t="s">
        <v>984</v>
      </c>
    </row>
    <row r="25" spans="1:11" ht="14.25" x14ac:dyDescent="0.2">
      <c r="A25" s="11"/>
      <c r="B25" s="11"/>
      <c r="C25" s="11"/>
      <c r="D25" s="11"/>
      <c r="E25" s="11"/>
      <c r="F25" s="103" t="s">
        <v>953</v>
      </c>
      <c r="G25" s="103"/>
      <c r="H25" s="103"/>
      <c r="I25" s="18">
        <f>SUM(Y34:Y968)/1000</f>
        <v>0</v>
      </c>
      <c r="J25" s="18">
        <f>(Source!F1532)/1000</f>
        <v>0</v>
      </c>
      <c r="K25" s="11" t="s">
        <v>984</v>
      </c>
    </row>
    <row r="26" spans="1:11" ht="14.25" x14ac:dyDescent="0.2">
      <c r="A26" s="11"/>
      <c r="B26" s="11"/>
      <c r="C26" s="11"/>
      <c r="D26" s="11"/>
      <c r="E26" s="11"/>
      <c r="F26" s="103" t="s">
        <v>954</v>
      </c>
      <c r="G26" s="103"/>
      <c r="H26" s="103"/>
      <c r="I26" s="18">
        <f>SUM(Z34:Z968)/1000</f>
        <v>0</v>
      </c>
      <c r="J26" s="18">
        <f>(Source!F1523)/1000</f>
        <v>0</v>
      </c>
      <c r="K26" s="11" t="s">
        <v>984</v>
      </c>
    </row>
    <row r="27" spans="1:11" ht="14.25" x14ac:dyDescent="0.2">
      <c r="A27" s="11"/>
      <c r="B27" s="11"/>
      <c r="C27" s="11"/>
      <c r="D27" s="11"/>
      <c r="E27" s="11"/>
      <c r="F27" s="103" t="s">
        <v>955</v>
      </c>
      <c r="G27" s="103"/>
      <c r="H27" s="103"/>
      <c r="I27" s="18">
        <f>SUM(AA34:AA968)/1000</f>
        <v>0</v>
      </c>
      <c r="J27" s="18">
        <f>(Source!F1533+Source!F1534)/1000</f>
        <v>0</v>
      </c>
      <c r="K27" s="11" t="s">
        <v>984</v>
      </c>
    </row>
    <row r="28" spans="1:11" ht="14.25" x14ac:dyDescent="0.2">
      <c r="A28" s="11"/>
      <c r="B28" s="11"/>
      <c r="C28" s="11"/>
      <c r="D28" s="11"/>
      <c r="E28" s="11"/>
      <c r="F28" s="103" t="s">
        <v>956</v>
      </c>
      <c r="G28" s="103"/>
      <c r="H28" s="103"/>
      <c r="I28" s="18">
        <f>SUM(W34:W968)/1000</f>
        <v>448.11505999999997</v>
      </c>
      <c r="J28" s="18">
        <f>(Source!F1529+ Source!F1528)/1000</f>
        <v>10992.262449999998</v>
      </c>
      <c r="K28" s="11" t="s">
        <v>984</v>
      </c>
    </row>
    <row r="29" spans="1:11" ht="14.25" hidden="1" x14ac:dyDescent="0.2">
      <c r="A29" s="11"/>
      <c r="B29" s="11"/>
      <c r="C29" s="11"/>
      <c r="D29" s="11"/>
      <c r="E29" s="11"/>
      <c r="F29" s="19" t="s">
        <v>957</v>
      </c>
      <c r="G29" s="19"/>
      <c r="H29" s="19"/>
      <c r="I29" s="18"/>
      <c r="J29" s="18"/>
      <c r="K29" s="11"/>
    </row>
    <row r="30" spans="1:11" ht="14.25" hidden="1" x14ac:dyDescent="0.2">
      <c r="A30" s="11"/>
      <c r="B30" s="11"/>
      <c r="C30" s="11"/>
      <c r="D30" s="11"/>
      <c r="E30" s="11"/>
      <c r="F30" s="104" t="s">
        <v>128</v>
      </c>
      <c r="G30" s="105"/>
      <c r="H30" s="105"/>
      <c r="I30" s="18">
        <f>SUM(AE34:AE968)/1000</f>
        <v>0</v>
      </c>
      <c r="J30" s="18">
        <f>SUM(AF34:AF968)/1000</f>
        <v>0</v>
      </c>
      <c r="K30" s="11" t="s">
        <v>984</v>
      </c>
    </row>
    <row r="31" spans="1:11" ht="14.25" x14ac:dyDescent="0.2">
      <c r="A31" s="106" t="s">
        <v>969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ht="57" x14ac:dyDescent="0.2">
      <c r="A32" s="20" t="s">
        <v>958</v>
      </c>
      <c r="B32" s="20" t="s">
        <v>959</v>
      </c>
      <c r="C32" s="20" t="s">
        <v>960</v>
      </c>
      <c r="D32" s="20" t="s">
        <v>961</v>
      </c>
      <c r="E32" s="20" t="s">
        <v>962</v>
      </c>
      <c r="F32" s="20" t="s">
        <v>963</v>
      </c>
      <c r="G32" s="21" t="s">
        <v>964</v>
      </c>
      <c r="H32" s="21" t="s">
        <v>965</v>
      </c>
      <c r="I32" s="20" t="s">
        <v>966</v>
      </c>
      <c r="J32" s="20" t="s">
        <v>967</v>
      </c>
      <c r="K32" s="20" t="s">
        <v>968</v>
      </c>
    </row>
    <row r="33" spans="1:27" ht="14.25" x14ac:dyDescent="0.2">
      <c r="A33" s="20">
        <v>1</v>
      </c>
      <c r="B33" s="20">
        <v>2</v>
      </c>
      <c r="C33" s="20">
        <v>3</v>
      </c>
      <c r="D33" s="20">
        <v>4</v>
      </c>
      <c r="E33" s="20">
        <v>5</v>
      </c>
      <c r="F33" s="20">
        <v>6</v>
      </c>
      <c r="G33" s="20">
        <v>7</v>
      </c>
      <c r="H33" s="20">
        <v>8</v>
      </c>
      <c r="I33" s="20">
        <v>9</v>
      </c>
      <c r="J33" s="20">
        <v>10</v>
      </c>
      <c r="K33" s="20">
        <v>11</v>
      </c>
    </row>
    <row r="35" spans="1:27" ht="16.5" x14ac:dyDescent="0.25">
      <c r="A35" s="102" t="str">
        <f>CONCATENATE("Раздел: ",IF(Source!G24&lt;&gt;"Новый раздел", Source!G24, ""))</f>
        <v>Раздел: 1.1. Текущий ремонт мелкозернистого а/б покрытия (фрезеровка) -11416 м2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27" ht="71.25" x14ac:dyDescent="0.2">
      <c r="A36" s="22" t="str">
        <f>Source!E28</f>
        <v>1</v>
      </c>
      <c r="B36" s="23" t="str">
        <f>Source!F28</f>
        <v>6.68-84-1</v>
      </c>
      <c r="C36" s="23" t="s">
        <v>17</v>
      </c>
      <c r="D36" s="25" t="str">
        <f>Source!H28</f>
        <v>100 м2</v>
      </c>
      <c r="E36" s="10">
        <f>Source!I28</f>
        <v>106.51128</v>
      </c>
      <c r="F36" s="27"/>
      <c r="G36" s="26"/>
      <c r="H36" s="10"/>
      <c r="I36" s="28"/>
      <c r="J36" s="10"/>
      <c r="K36" s="28"/>
      <c r="Q36">
        <f>ROUND((Source!DN28/100)*ROUND((ROUND((Source!AF28*Source!AV28*Source!I28),2)),2), 2)</f>
        <v>1385.29</v>
      </c>
      <c r="R36">
        <f>Source!X28</f>
        <v>27184.85</v>
      </c>
      <c r="S36">
        <f>ROUND((Source!DO28/100)*ROUND((ROUND((Source!AF28*Source!AV28*Source!I28),2)),2), 2)</f>
        <v>781.7</v>
      </c>
      <c r="T36">
        <f>Source!Y28</f>
        <v>9951.6</v>
      </c>
      <c r="U36">
        <f>ROUND((175/100)*ROUND((ROUND((Source!AE28*Source!AV28*Source!I28),2)),2), 2)</f>
        <v>3828.55</v>
      </c>
      <c r="V36">
        <f>ROUND((157/100)*ROUND(ROUND((ROUND((Source!AE28*Source!AV28*Source!I28),2)*Source!BS28),2), 2), 2)</f>
        <v>84254.46</v>
      </c>
    </row>
    <row r="37" spans="1:27" ht="25.5" x14ac:dyDescent="0.2">
      <c r="C37" s="29" t="str">
        <f>"Объем: "&amp;Source!I28&amp;"=(100-"&amp;"100/"&amp;"6*"&amp;"2*"&amp;"0,2-"&amp;"0,033333)*"&amp;"11416/"&amp;"100/"&amp;"100"</f>
        <v>Объем: 106,51128=(100-100/6*2*0,2-0,033333)*11416/100/100</v>
      </c>
    </row>
    <row r="38" spans="1:27" ht="14.25" x14ac:dyDescent="0.2">
      <c r="A38" s="22"/>
      <c r="B38" s="23"/>
      <c r="C38" s="23" t="s">
        <v>970</v>
      </c>
      <c r="D38" s="25"/>
      <c r="E38" s="10"/>
      <c r="F38" s="27">
        <f>Source!AO28</f>
        <v>9.2899999999999991</v>
      </c>
      <c r="G38" s="26" t="str">
        <f>Source!DG28</f>
        <v/>
      </c>
      <c r="H38" s="10">
        <f>Source!AV28</f>
        <v>1</v>
      </c>
      <c r="I38" s="28">
        <f>ROUND((ROUND((Source!AF28*Source!AV28*Source!I28),2)),2)</f>
        <v>989.49</v>
      </c>
      <c r="J38" s="10">
        <f>IF(Source!BA28&lt;&gt; 0, Source!BA28, 1)</f>
        <v>24.53</v>
      </c>
      <c r="K38" s="28">
        <f>Source!S28</f>
        <v>24272.19</v>
      </c>
      <c r="W38">
        <f>I38</f>
        <v>989.49</v>
      </c>
    </row>
    <row r="39" spans="1:27" ht="14.25" x14ac:dyDescent="0.2">
      <c r="A39" s="22"/>
      <c r="B39" s="23"/>
      <c r="C39" s="23" t="s">
        <v>971</v>
      </c>
      <c r="D39" s="25"/>
      <c r="E39" s="10"/>
      <c r="F39" s="27">
        <f>Source!AM28</f>
        <v>444.26</v>
      </c>
      <c r="G39" s="26" t="str">
        <f>Source!DE28</f>
        <v/>
      </c>
      <c r="H39" s="10">
        <f>Source!AV28</f>
        <v>1</v>
      </c>
      <c r="I39" s="28">
        <f>(ROUND((ROUND(((Source!ET28)*Source!AV28*Source!I28),2)),2)+ROUND((ROUND(((Source!AE28-(Source!EU28))*Source!AV28*Source!I28),2)),2))</f>
        <v>47318.7</v>
      </c>
      <c r="J39" s="10">
        <f>IF(Source!BB28&lt;&gt; 0, Source!BB28, 1)</f>
        <v>5.85</v>
      </c>
      <c r="K39" s="28">
        <f>Source!Q28</f>
        <v>276814.40000000002</v>
      </c>
    </row>
    <row r="40" spans="1:27" ht="14.25" x14ac:dyDescent="0.2">
      <c r="A40" s="22"/>
      <c r="B40" s="23"/>
      <c r="C40" s="23" t="s">
        <v>972</v>
      </c>
      <c r="D40" s="25"/>
      <c r="E40" s="10"/>
      <c r="F40" s="27">
        <f>Source!AN28</f>
        <v>20.54</v>
      </c>
      <c r="G40" s="26" t="str">
        <f>Source!DF28</f>
        <v/>
      </c>
      <c r="H40" s="10">
        <f>Source!AV28</f>
        <v>1</v>
      </c>
      <c r="I40" s="30">
        <f>ROUND((ROUND((Source!AE28*Source!AV28*Source!I28),2)),2)</f>
        <v>2187.7399999999998</v>
      </c>
      <c r="J40" s="10">
        <f>IF(Source!BS28&lt;&gt; 0, Source!BS28, 1)</f>
        <v>24.53</v>
      </c>
      <c r="K40" s="30">
        <f>Source!R28</f>
        <v>53665.26</v>
      </c>
      <c r="W40">
        <f>I40</f>
        <v>2187.7399999999998</v>
      </c>
    </row>
    <row r="41" spans="1:27" ht="14.25" x14ac:dyDescent="0.2">
      <c r="A41" s="22"/>
      <c r="B41" s="23"/>
      <c r="C41" s="23" t="s">
        <v>973</v>
      </c>
      <c r="D41" s="25"/>
      <c r="E41" s="10"/>
      <c r="F41" s="27">
        <f>Source!AL28</f>
        <v>139.21</v>
      </c>
      <c r="G41" s="26" t="str">
        <f>Source!DD28</f>
        <v/>
      </c>
      <c r="H41" s="10">
        <f>Source!AW28</f>
        <v>1</v>
      </c>
      <c r="I41" s="28">
        <f>ROUND((ROUND((Source!AC28*Source!AW28*Source!I28),2)),2)</f>
        <v>14827.44</v>
      </c>
      <c r="J41" s="10">
        <f>IF(Source!BC28&lt;&gt; 0, Source!BC28, 1)</f>
        <v>3.8</v>
      </c>
      <c r="K41" s="28">
        <f>Source!P28</f>
        <v>56344.27</v>
      </c>
    </row>
    <row r="42" spans="1:27" ht="14.25" x14ac:dyDescent="0.2">
      <c r="A42" s="22"/>
      <c r="B42" s="23"/>
      <c r="C42" s="23" t="s">
        <v>974</v>
      </c>
      <c r="D42" s="25" t="s">
        <v>975</v>
      </c>
      <c r="E42" s="10">
        <f>Source!DN28</f>
        <v>140</v>
      </c>
      <c r="F42" s="27"/>
      <c r="G42" s="26"/>
      <c r="H42" s="10"/>
      <c r="I42" s="28">
        <f>SUM(Q36:Q41)</f>
        <v>1385.29</v>
      </c>
      <c r="J42" s="10">
        <f>Source!BZ28</f>
        <v>112</v>
      </c>
      <c r="K42" s="28">
        <f>SUM(R36:R41)</f>
        <v>27184.85</v>
      </c>
    </row>
    <row r="43" spans="1:27" ht="14.25" x14ac:dyDescent="0.2">
      <c r="A43" s="22"/>
      <c r="B43" s="23"/>
      <c r="C43" s="23" t="s">
        <v>976</v>
      </c>
      <c r="D43" s="25" t="s">
        <v>975</v>
      </c>
      <c r="E43" s="10">
        <f>Source!DO28</f>
        <v>79</v>
      </c>
      <c r="F43" s="27"/>
      <c r="G43" s="26"/>
      <c r="H43" s="10"/>
      <c r="I43" s="28">
        <f>SUM(S36:S42)</f>
        <v>781.7</v>
      </c>
      <c r="J43" s="10">
        <f>Source!CA28</f>
        <v>41</v>
      </c>
      <c r="K43" s="28">
        <f>SUM(T36:T42)</f>
        <v>9951.6</v>
      </c>
    </row>
    <row r="44" spans="1:27" ht="14.25" x14ac:dyDescent="0.2">
      <c r="A44" s="22"/>
      <c r="B44" s="23"/>
      <c r="C44" s="23" t="s">
        <v>977</v>
      </c>
      <c r="D44" s="25" t="s">
        <v>975</v>
      </c>
      <c r="E44" s="10">
        <f>175</f>
        <v>175</v>
      </c>
      <c r="F44" s="27"/>
      <c r="G44" s="26"/>
      <c r="H44" s="10"/>
      <c r="I44" s="28">
        <f>SUM(U36:U43)</f>
        <v>3828.55</v>
      </c>
      <c r="J44" s="10">
        <f>157</f>
        <v>157</v>
      </c>
      <c r="K44" s="28">
        <f>SUM(V36:V43)</f>
        <v>84254.46</v>
      </c>
    </row>
    <row r="45" spans="1:27" ht="14.25" x14ac:dyDescent="0.2">
      <c r="A45" s="22"/>
      <c r="B45" s="23"/>
      <c r="C45" s="23" t="s">
        <v>978</v>
      </c>
      <c r="D45" s="25" t="s">
        <v>979</v>
      </c>
      <c r="E45" s="10">
        <f>Source!AQ28</f>
        <v>0.79</v>
      </c>
      <c r="F45" s="27"/>
      <c r="G45" s="26" t="str">
        <f>Source!DI28</f>
        <v/>
      </c>
      <c r="H45" s="10">
        <f>Source!AV28</f>
        <v>1</v>
      </c>
      <c r="I45" s="28">
        <f>Source!U28</f>
        <v>84.143911200000005</v>
      </c>
      <c r="J45" s="10"/>
      <c r="K45" s="28"/>
    </row>
    <row r="46" spans="1:27" ht="15" x14ac:dyDescent="0.25">
      <c r="A46" s="32"/>
      <c r="B46" s="32"/>
      <c r="C46" s="32"/>
      <c r="D46" s="32"/>
      <c r="E46" s="32"/>
      <c r="F46" s="32"/>
      <c r="G46" s="32"/>
      <c r="H46" s="101">
        <f>I38+I39+I41+I42+I43+I44</f>
        <v>69131.17</v>
      </c>
      <c r="I46" s="101"/>
      <c r="J46" s="101">
        <f>K38+K39+K41+K42+K43+K44</f>
        <v>478821.77</v>
      </c>
      <c r="K46" s="101"/>
      <c r="O46" s="31">
        <f>I38+I39+I41+I42+I43+I44</f>
        <v>69131.17</v>
      </c>
      <c r="P46" s="31">
        <f>K38+K39+K41+K42+K43+K44</f>
        <v>478821.77</v>
      </c>
      <c r="X46">
        <f>IF(Source!BI28&lt;=1,I38+I39+I41+I42+I43+I44-0, 0)</f>
        <v>69131.17</v>
      </c>
      <c r="Y46">
        <f>IF(Source!BI28=2,I38+I39+I41+I42+I43+I44-0, 0)</f>
        <v>0</v>
      </c>
      <c r="Z46">
        <f>IF(Source!BI28=3,I38+I39+I41+I42+I43+I44-0, 0)</f>
        <v>0</v>
      </c>
      <c r="AA46">
        <f>IF(Source!BI28=4,I38+I39+I41+I42+I43+I44,0)</f>
        <v>0</v>
      </c>
    </row>
    <row r="47" spans="1:27" ht="42.75" x14ac:dyDescent="0.2">
      <c r="A47" s="22" t="str">
        <f>Source!E29</f>
        <v>2</v>
      </c>
      <c r="B47" s="23" t="str">
        <f>Source!F29</f>
        <v>6.68-85-1</v>
      </c>
      <c r="C47" s="23" t="s">
        <v>25</v>
      </c>
      <c r="D47" s="25" t="str">
        <f>Source!H29</f>
        <v>100 м бортового камня</v>
      </c>
      <c r="E47" s="10">
        <f>Source!I29</f>
        <v>68.496080000000006</v>
      </c>
      <c r="F47" s="27"/>
      <c r="G47" s="26"/>
      <c r="H47" s="10"/>
      <c r="I47" s="28"/>
      <c r="J47" s="10"/>
      <c r="K47" s="28"/>
      <c r="Q47">
        <f>ROUND((Source!DN29/100)*ROUND((ROUND((Source!AF29*Source!AV29*Source!I29),2)),2), 2)</f>
        <v>11688.59</v>
      </c>
      <c r="R47">
        <f>Source!X29</f>
        <v>229376.81</v>
      </c>
      <c r="S47">
        <f>ROUND((Source!DO29/100)*ROUND((ROUND((Source!AF29*Source!AV29*Source!I29),2)),2), 2)</f>
        <v>6595.7</v>
      </c>
      <c r="T47">
        <f>Source!Y29</f>
        <v>83968.3</v>
      </c>
      <c r="U47">
        <f>ROUND((175/100)*ROUND((ROUND((Source!AE29*Source!AV29*Source!I29),2)),2), 2)</f>
        <v>12431.53</v>
      </c>
      <c r="V47">
        <f>ROUND((157/100)*ROUND(ROUND((ROUND((Source!AE29*Source!AV29*Source!I29),2)*Source!BS29),2), 2), 2)</f>
        <v>273579.57</v>
      </c>
    </row>
    <row r="48" spans="1:27" ht="25.5" x14ac:dyDescent="0.2">
      <c r="C48" s="29" t="str">
        <f>"Объем: "&amp;Source!I29&amp;"=(100/"&amp;"6*"&amp;"2/"&amp;"100-"&amp;"0,033333)*"&amp;"2*"&amp;"11416/"&amp;"100"</f>
        <v>Объем: 68,49608=(100/6*2/100-0,033333)*2*11416/100</v>
      </c>
    </row>
    <row r="49" spans="1:27" ht="14.25" x14ac:dyDescent="0.2">
      <c r="A49" s="22"/>
      <c r="B49" s="23"/>
      <c r="C49" s="23" t="s">
        <v>970</v>
      </c>
      <c r="D49" s="25"/>
      <c r="E49" s="10"/>
      <c r="F49" s="27">
        <f>Source!AO29</f>
        <v>121.89</v>
      </c>
      <c r="G49" s="26" t="str">
        <f>Source!DG29</f>
        <v/>
      </c>
      <c r="H49" s="10">
        <f>Source!AV29</f>
        <v>1</v>
      </c>
      <c r="I49" s="28">
        <f>ROUND((ROUND((Source!AF29*Source!AV29*Source!I29),2)),2)</f>
        <v>8348.99</v>
      </c>
      <c r="J49" s="10">
        <f>IF(Source!BA29&lt;&gt; 0, Source!BA29, 1)</f>
        <v>24.53</v>
      </c>
      <c r="K49" s="28">
        <f>Source!S29</f>
        <v>204800.72</v>
      </c>
      <c r="W49">
        <f>I49</f>
        <v>8348.99</v>
      </c>
    </row>
    <row r="50" spans="1:27" ht="14.25" x14ac:dyDescent="0.2">
      <c r="A50" s="22"/>
      <c r="B50" s="23"/>
      <c r="C50" s="23" t="s">
        <v>971</v>
      </c>
      <c r="D50" s="25"/>
      <c r="E50" s="10"/>
      <c r="F50" s="27">
        <f>Source!AM29</f>
        <v>660.22</v>
      </c>
      <c r="G50" s="26" t="str">
        <f>Source!DE29</f>
        <v/>
      </c>
      <c r="H50" s="10">
        <f>Source!AV29</f>
        <v>1</v>
      </c>
      <c r="I50" s="28">
        <f>(ROUND((ROUND(((Source!ET29)*Source!AV29*Source!I29),2)),2)+ROUND((ROUND(((Source!AE29-(Source!EU29))*Source!AV29*Source!I29),2)),2))</f>
        <v>45222.48</v>
      </c>
      <c r="J50" s="10">
        <f>IF(Source!BB29&lt;&gt; 0, Source!BB29, 1)</f>
        <v>8.5500000000000007</v>
      </c>
      <c r="K50" s="28">
        <f>Source!Q29</f>
        <v>386652.2</v>
      </c>
    </row>
    <row r="51" spans="1:27" ht="14.25" x14ac:dyDescent="0.2">
      <c r="A51" s="22"/>
      <c r="B51" s="23"/>
      <c r="C51" s="23" t="s">
        <v>972</v>
      </c>
      <c r="D51" s="25"/>
      <c r="E51" s="10"/>
      <c r="F51" s="27">
        <f>Source!AN29</f>
        <v>103.71</v>
      </c>
      <c r="G51" s="26" t="str">
        <f>Source!DF29</f>
        <v/>
      </c>
      <c r="H51" s="10">
        <f>Source!AV29</f>
        <v>1</v>
      </c>
      <c r="I51" s="30">
        <f>ROUND((ROUND((Source!AE29*Source!AV29*Source!I29),2)),2)</f>
        <v>7103.73</v>
      </c>
      <c r="J51" s="10">
        <f>IF(Source!BS29&lt;&gt; 0, Source!BS29, 1)</f>
        <v>24.53</v>
      </c>
      <c r="K51" s="30">
        <f>Source!R29</f>
        <v>174254.5</v>
      </c>
      <c r="W51">
        <f>I51</f>
        <v>7103.73</v>
      </c>
    </row>
    <row r="52" spans="1:27" ht="14.25" x14ac:dyDescent="0.2">
      <c r="A52" s="22"/>
      <c r="B52" s="23"/>
      <c r="C52" s="23" t="s">
        <v>974</v>
      </c>
      <c r="D52" s="25" t="s">
        <v>975</v>
      </c>
      <c r="E52" s="10">
        <f>Source!DN29</f>
        <v>140</v>
      </c>
      <c r="F52" s="27"/>
      <c r="G52" s="26"/>
      <c r="H52" s="10"/>
      <c r="I52" s="28">
        <f>SUM(Q47:Q51)</f>
        <v>11688.59</v>
      </c>
      <c r="J52" s="10">
        <f>Source!BZ29</f>
        <v>112</v>
      </c>
      <c r="K52" s="28">
        <f>SUM(R47:R51)</f>
        <v>229376.81</v>
      </c>
    </row>
    <row r="53" spans="1:27" ht="14.25" x14ac:dyDescent="0.2">
      <c r="A53" s="22"/>
      <c r="B53" s="23"/>
      <c r="C53" s="23" t="s">
        <v>976</v>
      </c>
      <c r="D53" s="25" t="s">
        <v>975</v>
      </c>
      <c r="E53" s="10">
        <f>Source!DO29</f>
        <v>79</v>
      </c>
      <c r="F53" s="27"/>
      <c r="G53" s="26"/>
      <c r="H53" s="10"/>
      <c r="I53" s="28">
        <f>SUM(S47:S52)</f>
        <v>6595.7</v>
      </c>
      <c r="J53" s="10">
        <f>Source!CA29</f>
        <v>41</v>
      </c>
      <c r="K53" s="28">
        <f>SUM(T47:T52)</f>
        <v>83968.3</v>
      </c>
    </row>
    <row r="54" spans="1:27" ht="14.25" x14ac:dyDescent="0.2">
      <c r="A54" s="22"/>
      <c r="B54" s="23"/>
      <c r="C54" s="23" t="s">
        <v>977</v>
      </c>
      <c r="D54" s="25" t="s">
        <v>975</v>
      </c>
      <c r="E54" s="10">
        <f>175</f>
        <v>175</v>
      </c>
      <c r="F54" s="27"/>
      <c r="G54" s="26"/>
      <c r="H54" s="10"/>
      <c r="I54" s="28">
        <f>SUM(U47:U53)</f>
        <v>12431.53</v>
      </c>
      <c r="J54" s="10">
        <f>157</f>
        <v>157</v>
      </c>
      <c r="K54" s="28">
        <f>SUM(V47:V53)</f>
        <v>273579.57</v>
      </c>
    </row>
    <row r="55" spans="1:27" ht="14.25" x14ac:dyDescent="0.2">
      <c r="A55" s="22"/>
      <c r="B55" s="23"/>
      <c r="C55" s="23" t="s">
        <v>978</v>
      </c>
      <c r="D55" s="25" t="s">
        <v>979</v>
      </c>
      <c r="E55" s="10">
        <f>Source!AQ29</f>
        <v>10.72</v>
      </c>
      <c r="F55" s="27"/>
      <c r="G55" s="26" t="str">
        <f>Source!DI29</f>
        <v/>
      </c>
      <c r="H55" s="10">
        <f>Source!AV29</f>
        <v>1</v>
      </c>
      <c r="I55" s="28">
        <f>Source!U29</f>
        <v>734.2779776000001</v>
      </c>
      <c r="J55" s="10"/>
      <c r="K55" s="28"/>
    </row>
    <row r="56" spans="1:27" ht="15" x14ac:dyDescent="0.25">
      <c r="A56" s="32"/>
      <c r="B56" s="32"/>
      <c r="C56" s="32"/>
      <c r="D56" s="32"/>
      <c r="E56" s="32"/>
      <c r="F56" s="32"/>
      <c r="G56" s="32"/>
      <c r="H56" s="101">
        <f>I49+I50+I52+I53+I54</f>
        <v>84287.29</v>
      </c>
      <c r="I56" s="101"/>
      <c r="J56" s="101">
        <f>K49+K50+K52+K53+K54</f>
        <v>1178377.6000000001</v>
      </c>
      <c r="K56" s="101"/>
      <c r="O56" s="31">
        <f>I49+I50+I52+I53+I54</f>
        <v>84287.29</v>
      </c>
      <c r="P56" s="31">
        <f>K49+K50+K52+K53+K54</f>
        <v>1178377.6000000001</v>
      </c>
      <c r="X56">
        <f>IF(Source!BI29&lt;=1,I49+I50+I52+I53+I54-0, 0)</f>
        <v>84287.29</v>
      </c>
      <c r="Y56">
        <f>IF(Source!BI29=2,I49+I50+I52+I53+I54-0, 0)</f>
        <v>0</v>
      </c>
      <c r="Z56">
        <f>IF(Source!BI29=3,I49+I50+I52+I53+I54-0, 0)</f>
        <v>0</v>
      </c>
      <c r="AA56">
        <f>IF(Source!BI29=4,I49+I50+I52+I53+I54,0)</f>
        <v>0</v>
      </c>
    </row>
    <row r="57" spans="1:27" ht="42.75" x14ac:dyDescent="0.2">
      <c r="A57" s="22" t="str">
        <f>Source!E30</f>
        <v>3</v>
      </c>
      <c r="B57" s="23" t="str">
        <f>Source!F30</f>
        <v>6.68-51-4</v>
      </c>
      <c r="C57" s="23" t="s">
        <v>30</v>
      </c>
      <c r="D57" s="25" t="str">
        <f>Source!H30</f>
        <v>100 м3 конструкций</v>
      </c>
      <c r="E57" s="10">
        <f>Source!I30</f>
        <v>2.7398400000000001</v>
      </c>
      <c r="F57" s="27"/>
      <c r="G57" s="26"/>
      <c r="H57" s="10"/>
      <c r="I57" s="28"/>
      <c r="J57" s="10"/>
      <c r="K57" s="28"/>
      <c r="Q57">
        <f>ROUND((Source!DN30/100)*ROUND((ROUND((Source!AF30*Source!AV30*Source!I30),2)),2), 2)</f>
        <v>3699.77</v>
      </c>
      <c r="R57">
        <f>Source!X30</f>
        <v>77142.02</v>
      </c>
      <c r="S57">
        <f>ROUND((Source!DO30/100)*ROUND((ROUND((Source!AF30*Source!AV30*Source!I30),2)),2), 2)</f>
        <v>2543.59</v>
      </c>
      <c r="T57">
        <f>Source!Y30</f>
        <v>46512.1</v>
      </c>
      <c r="U57">
        <f>ROUND((175/100)*ROUND((ROUND((Source!AE30*Source!AV30*Source!I30),2)),2), 2)</f>
        <v>3525.22</v>
      </c>
      <c r="V57">
        <f>ROUND((157/100)*ROUND(ROUND((ROUND((Source!AE30*Source!AV30*Source!I30),2)*Source!BS30),2), 2), 2)</f>
        <v>77579.16</v>
      </c>
    </row>
    <row r="58" spans="1:27" ht="25.5" x14ac:dyDescent="0.2">
      <c r="C58" s="29" t="str">
        <f>"Объем: "&amp;Source!I30&amp;"=(11416/"&amp;"100*"&amp;"0,06*"&amp;"0,2*"&amp;"100)*"&amp;"2/"&amp;"100"</f>
        <v>Объем: 2,73984=(11416/100*0,06*0,2*100)*2/100</v>
      </c>
    </row>
    <row r="59" spans="1:27" ht="14.25" x14ac:dyDescent="0.2">
      <c r="A59" s="22"/>
      <c r="B59" s="23"/>
      <c r="C59" s="23" t="s">
        <v>970</v>
      </c>
      <c r="D59" s="25"/>
      <c r="E59" s="10"/>
      <c r="F59" s="27">
        <f>Source!AO30</f>
        <v>1687.95</v>
      </c>
      <c r="G59" s="26" t="str">
        <f>Source!DG30</f>
        <v/>
      </c>
      <c r="H59" s="10">
        <f>Source!AV30</f>
        <v>1</v>
      </c>
      <c r="I59" s="28">
        <f>ROUND((ROUND((Source!AF30*Source!AV30*Source!I30),2)),2)</f>
        <v>4624.71</v>
      </c>
      <c r="J59" s="10">
        <f>IF(Source!BA30&lt;&gt; 0, Source!BA30, 1)</f>
        <v>24.53</v>
      </c>
      <c r="K59" s="28">
        <f>Source!S30</f>
        <v>113444.14</v>
      </c>
      <c r="W59">
        <f>I59</f>
        <v>4624.71</v>
      </c>
    </row>
    <row r="60" spans="1:27" ht="14.25" x14ac:dyDescent="0.2">
      <c r="A60" s="22"/>
      <c r="B60" s="23"/>
      <c r="C60" s="23" t="s">
        <v>971</v>
      </c>
      <c r="D60" s="25"/>
      <c r="E60" s="10"/>
      <c r="F60" s="27">
        <f>Source!AM30</f>
        <v>2713.55</v>
      </c>
      <c r="G60" s="26" t="str">
        <f>Source!DE30</f>
        <v/>
      </c>
      <c r="H60" s="10">
        <f>Source!AV30</f>
        <v>1</v>
      </c>
      <c r="I60" s="28">
        <f>(ROUND((ROUND(((Source!ET30)*Source!AV30*Source!I30),2)),2)+ROUND((ROUND(((Source!AE30-(Source!EU30))*Source!AV30*Source!I30),2)),2))</f>
        <v>7434.69</v>
      </c>
      <c r="J60" s="10">
        <f>IF(Source!BB30&lt;&gt; 0, Source!BB30, 1)</f>
        <v>11.22</v>
      </c>
      <c r="K60" s="28">
        <f>Source!Q30</f>
        <v>83417.22</v>
      </c>
    </row>
    <row r="61" spans="1:27" ht="14.25" x14ac:dyDescent="0.2">
      <c r="A61" s="22"/>
      <c r="B61" s="23"/>
      <c r="C61" s="23" t="s">
        <v>972</v>
      </c>
      <c r="D61" s="25"/>
      <c r="E61" s="10"/>
      <c r="F61" s="27">
        <f>Source!AN30</f>
        <v>735.23</v>
      </c>
      <c r="G61" s="26" t="str">
        <f>Source!DF30</f>
        <v/>
      </c>
      <c r="H61" s="10">
        <f>Source!AV30</f>
        <v>1</v>
      </c>
      <c r="I61" s="30">
        <f>ROUND((ROUND((Source!AE30*Source!AV30*Source!I30),2)),2)</f>
        <v>2014.41</v>
      </c>
      <c r="J61" s="10">
        <f>IF(Source!BS30&lt;&gt; 0, Source!BS30, 1)</f>
        <v>24.53</v>
      </c>
      <c r="K61" s="30">
        <f>Source!R30</f>
        <v>49413.48</v>
      </c>
      <c r="W61">
        <f>I61</f>
        <v>2014.41</v>
      </c>
    </row>
    <row r="62" spans="1:27" ht="14.25" x14ac:dyDescent="0.2">
      <c r="A62" s="22"/>
      <c r="B62" s="23"/>
      <c r="C62" s="23" t="s">
        <v>974</v>
      </c>
      <c r="D62" s="25" t="s">
        <v>975</v>
      </c>
      <c r="E62" s="10">
        <f>Source!DN30</f>
        <v>80</v>
      </c>
      <c r="F62" s="27"/>
      <c r="G62" s="26"/>
      <c r="H62" s="10"/>
      <c r="I62" s="28">
        <f>SUM(Q57:Q61)</f>
        <v>3699.77</v>
      </c>
      <c r="J62" s="10">
        <f>Source!BZ30</f>
        <v>68</v>
      </c>
      <c r="K62" s="28">
        <f>SUM(R57:R61)</f>
        <v>77142.02</v>
      </c>
    </row>
    <row r="63" spans="1:27" ht="14.25" x14ac:dyDescent="0.2">
      <c r="A63" s="22"/>
      <c r="B63" s="23"/>
      <c r="C63" s="23" t="s">
        <v>976</v>
      </c>
      <c r="D63" s="25" t="s">
        <v>975</v>
      </c>
      <c r="E63" s="10">
        <f>Source!DO30</f>
        <v>55</v>
      </c>
      <c r="F63" s="27"/>
      <c r="G63" s="26"/>
      <c r="H63" s="10"/>
      <c r="I63" s="28">
        <f>SUM(S57:S62)</f>
        <v>2543.59</v>
      </c>
      <c r="J63" s="10">
        <f>Source!CA30</f>
        <v>41</v>
      </c>
      <c r="K63" s="28">
        <f>SUM(T57:T62)</f>
        <v>46512.1</v>
      </c>
    </row>
    <row r="64" spans="1:27" ht="14.25" x14ac:dyDescent="0.2">
      <c r="A64" s="22"/>
      <c r="B64" s="23"/>
      <c r="C64" s="23" t="s">
        <v>977</v>
      </c>
      <c r="D64" s="25" t="s">
        <v>975</v>
      </c>
      <c r="E64" s="10">
        <f>175</f>
        <v>175</v>
      </c>
      <c r="F64" s="27"/>
      <c r="G64" s="26"/>
      <c r="H64" s="10"/>
      <c r="I64" s="28">
        <f>SUM(U57:U63)</f>
        <v>3525.22</v>
      </c>
      <c r="J64" s="10">
        <f>157</f>
        <v>157</v>
      </c>
      <c r="K64" s="28">
        <f>SUM(V57:V63)</f>
        <v>77579.16</v>
      </c>
    </row>
    <row r="65" spans="1:27" ht="14.25" x14ac:dyDescent="0.2">
      <c r="A65" s="22"/>
      <c r="B65" s="23"/>
      <c r="C65" s="23" t="s">
        <v>978</v>
      </c>
      <c r="D65" s="25" t="s">
        <v>979</v>
      </c>
      <c r="E65" s="10">
        <f>Source!AQ30</f>
        <v>155</v>
      </c>
      <c r="F65" s="27"/>
      <c r="G65" s="26" t="str">
        <f>Source!DI30</f>
        <v/>
      </c>
      <c r="H65" s="10">
        <f>Source!AV30</f>
        <v>1</v>
      </c>
      <c r="I65" s="28">
        <f>Source!U30</f>
        <v>424.67520000000002</v>
      </c>
      <c r="J65" s="10"/>
      <c r="K65" s="28"/>
    </row>
    <row r="66" spans="1:27" ht="15" x14ac:dyDescent="0.25">
      <c r="A66" s="32"/>
      <c r="B66" s="32"/>
      <c r="C66" s="32"/>
      <c r="D66" s="32"/>
      <c r="E66" s="32"/>
      <c r="F66" s="32"/>
      <c r="G66" s="32"/>
      <c r="H66" s="101">
        <f>I59+I60+I62+I63+I64</f>
        <v>21827.980000000003</v>
      </c>
      <c r="I66" s="101"/>
      <c r="J66" s="101">
        <f>K59+K60+K62+K63+K64</f>
        <v>398094.64</v>
      </c>
      <c r="K66" s="101"/>
      <c r="O66" s="31">
        <f>I59+I60+I62+I63+I64</f>
        <v>21827.980000000003</v>
      </c>
      <c r="P66" s="31">
        <f>K59+K60+K62+K63+K64</f>
        <v>398094.64</v>
      </c>
      <c r="X66">
        <f>IF(Source!BI30&lt;=1,I59+I60+I62+I63+I64-0, 0)</f>
        <v>21827.980000000003</v>
      </c>
      <c r="Y66">
        <f>IF(Source!BI30=2,I59+I60+I62+I63+I64-0, 0)</f>
        <v>0</v>
      </c>
      <c r="Z66">
        <f>IF(Source!BI30=3,I59+I60+I62+I63+I64-0, 0)</f>
        <v>0</v>
      </c>
      <c r="AA66">
        <f>IF(Source!BI30=4,I59+I60+I62+I63+I64,0)</f>
        <v>0</v>
      </c>
    </row>
    <row r="67" spans="1:27" ht="42.75" x14ac:dyDescent="0.2">
      <c r="A67" s="22" t="str">
        <f>Source!E31</f>
        <v>4</v>
      </c>
      <c r="B67" s="23" t="str">
        <f>Source!F31</f>
        <v>6.69-19-1</v>
      </c>
      <c r="C67" s="23" t="s">
        <v>37</v>
      </c>
      <c r="D67" s="25" t="str">
        <f>Source!H31</f>
        <v>1 Т</v>
      </c>
      <c r="E67" s="10">
        <f>Source!I31</f>
        <v>65.756159999999994</v>
      </c>
      <c r="F67" s="27"/>
      <c r="G67" s="26"/>
      <c r="H67" s="10"/>
      <c r="I67" s="28"/>
      <c r="J67" s="10"/>
      <c r="K67" s="28"/>
      <c r="Q67">
        <f>ROUND((Source!DN31/100)*ROUND((ROUND((Source!AF31*Source!AV31*Source!I31),2)),2), 2)</f>
        <v>575.64</v>
      </c>
      <c r="R67">
        <f>Source!X31</f>
        <v>11327.37</v>
      </c>
      <c r="S67">
        <f>ROUND((Source!DO31/100)*ROUND((ROUND((Source!AF31*Source!AV31*Source!I31),2)),2), 2)</f>
        <v>442.8</v>
      </c>
      <c r="T67">
        <f>Source!Y31</f>
        <v>6361.95</v>
      </c>
      <c r="U67">
        <f>ROUND((175/100)*ROUND((ROUND((Source!AE31*Source!AV31*Source!I31),2)),2), 2)</f>
        <v>0</v>
      </c>
      <c r="V67">
        <f>ROUND((157/100)*ROUND(ROUND((ROUND((Source!AE31*Source!AV31*Source!I31),2)*Source!BS31),2), 2), 2)</f>
        <v>0</v>
      </c>
    </row>
    <row r="68" spans="1:27" x14ac:dyDescent="0.2">
      <c r="C68" s="29" t="str">
        <f>"Объем: "&amp;Source!I31&amp;"="&amp;Source!I30&amp;"*"&amp;"100*"&amp;"2,4*"&amp;"0,1"</f>
        <v>Объем: 65,75616=2,73984*100*2,4*0,1</v>
      </c>
    </row>
    <row r="69" spans="1:27" ht="14.25" x14ac:dyDescent="0.2">
      <c r="A69" s="22"/>
      <c r="B69" s="23"/>
      <c r="C69" s="23" t="s">
        <v>970</v>
      </c>
      <c r="D69" s="25"/>
      <c r="E69" s="10"/>
      <c r="F69" s="27">
        <f>Source!AO31</f>
        <v>9.6199999999999992</v>
      </c>
      <c r="G69" s="26" t="str">
        <f>Source!DG31</f>
        <v/>
      </c>
      <c r="H69" s="10">
        <f>Source!AV31</f>
        <v>1</v>
      </c>
      <c r="I69" s="28">
        <f>ROUND((ROUND((Source!AF31*Source!AV31*Source!I31),2)),2)</f>
        <v>632.57000000000005</v>
      </c>
      <c r="J69" s="10">
        <f>IF(Source!BA31&lt;&gt; 0, Source!BA31, 1)</f>
        <v>24.53</v>
      </c>
      <c r="K69" s="28">
        <f>Source!S31</f>
        <v>15516.94</v>
      </c>
      <c r="W69">
        <f>I69</f>
        <v>632.57000000000005</v>
      </c>
    </row>
    <row r="70" spans="1:27" ht="14.25" x14ac:dyDescent="0.2">
      <c r="A70" s="22"/>
      <c r="B70" s="23"/>
      <c r="C70" s="23" t="s">
        <v>974</v>
      </c>
      <c r="D70" s="25" t="s">
        <v>975</v>
      </c>
      <c r="E70" s="10">
        <f>Source!DN31</f>
        <v>91</v>
      </c>
      <c r="F70" s="27"/>
      <c r="G70" s="26"/>
      <c r="H70" s="10"/>
      <c r="I70" s="28">
        <f>SUM(Q67:Q69)</f>
        <v>575.64</v>
      </c>
      <c r="J70" s="10">
        <f>Source!BZ31</f>
        <v>73</v>
      </c>
      <c r="K70" s="28">
        <f>SUM(R67:R69)</f>
        <v>11327.37</v>
      </c>
    </row>
    <row r="71" spans="1:27" ht="14.25" x14ac:dyDescent="0.2">
      <c r="A71" s="22"/>
      <c r="B71" s="23"/>
      <c r="C71" s="23" t="s">
        <v>976</v>
      </c>
      <c r="D71" s="25" t="s">
        <v>975</v>
      </c>
      <c r="E71" s="10">
        <f>Source!DO31</f>
        <v>70</v>
      </c>
      <c r="F71" s="27"/>
      <c r="G71" s="26"/>
      <c r="H71" s="10"/>
      <c r="I71" s="28">
        <f>SUM(S67:S70)</f>
        <v>442.8</v>
      </c>
      <c r="J71" s="10">
        <f>Source!CA31</f>
        <v>41</v>
      </c>
      <c r="K71" s="28">
        <f>SUM(T67:T70)</f>
        <v>6361.95</v>
      </c>
    </row>
    <row r="72" spans="1:27" ht="14.25" x14ac:dyDescent="0.2">
      <c r="A72" s="22"/>
      <c r="B72" s="23"/>
      <c r="C72" s="23" t="s">
        <v>978</v>
      </c>
      <c r="D72" s="25" t="s">
        <v>979</v>
      </c>
      <c r="E72" s="10">
        <f>Source!AQ31</f>
        <v>1.02</v>
      </c>
      <c r="F72" s="27"/>
      <c r="G72" s="26" t="str">
        <f>Source!DI31</f>
        <v/>
      </c>
      <c r="H72" s="10">
        <f>Source!AV31</f>
        <v>1</v>
      </c>
      <c r="I72" s="28">
        <f>Source!U31</f>
        <v>67.071283199999996</v>
      </c>
      <c r="J72" s="10"/>
      <c r="K72" s="28"/>
    </row>
    <row r="73" spans="1:27" ht="15" x14ac:dyDescent="0.25">
      <c r="A73" s="32"/>
      <c r="B73" s="32"/>
      <c r="C73" s="32"/>
      <c r="D73" s="32"/>
      <c r="E73" s="32"/>
      <c r="F73" s="32"/>
      <c r="G73" s="32"/>
      <c r="H73" s="101">
        <f>I69+I70+I71</f>
        <v>1651.01</v>
      </c>
      <c r="I73" s="101"/>
      <c r="J73" s="101">
        <f>K69+K70+K71</f>
        <v>33206.26</v>
      </c>
      <c r="K73" s="101"/>
      <c r="O73" s="31">
        <f>I69+I70+I71</f>
        <v>1651.01</v>
      </c>
      <c r="P73" s="31">
        <f>K69+K70+K71</f>
        <v>33206.26</v>
      </c>
      <c r="X73">
        <f>IF(Source!BI31&lt;=1,I69+I70+I71-0, 0)</f>
        <v>1651.01</v>
      </c>
      <c r="Y73">
        <f>IF(Source!BI31=2,I69+I70+I71-0, 0)</f>
        <v>0</v>
      </c>
      <c r="Z73">
        <f>IF(Source!BI31=3,I69+I70+I71-0, 0)</f>
        <v>0</v>
      </c>
      <c r="AA73">
        <f>IF(Source!BI31=4,I69+I70+I71,0)</f>
        <v>0</v>
      </c>
    </row>
    <row r="74" spans="1:27" ht="42.75" x14ac:dyDescent="0.2">
      <c r="A74" s="22" t="str">
        <f>Source!E34</f>
        <v>7</v>
      </c>
      <c r="B74" s="23" t="str">
        <f>Source!F34</f>
        <v>6.68-27-1</v>
      </c>
      <c r="C74" s="23" t="s">
        <v>58</v>
      </c>
      <c r="D74" s="25" t="str">
        <f>Source!H34</f>
        <v>1000 м2 площади основания</v>
      </c>
      <c r="E74" s="10">
        <f>Source!I34</f>
        <v>3.4114432799999999</v>
      </c>
      <c r="F74" s="27"/>
      <c r="G74" s="26"/>
      <c r="H74" s="10"/>
      <c r="I74" s="28"/>
      <c r="J74" s="10"/>
      <c r="K74" s="28"/>
      <c r="Q74">
        <f>ROUND((Source!DN34/100)*ROUND((ROUND((Source!AF34*Source!AV34*Source!I34),2)),2), 2)</f>
        <v>4419.1099999999997</v>
      </c>
      <c r="R74">
        <f>Source!X34</f>
        <v>86720.69</v>
      </c>
      <c r="S74">
        <f>ROUND((Source!DO34/100)*ROUND((ROUND((Source!AF34*Source!AV34*Source!I34),2)),2), 2)</f>
        <v>2493.64</v>
      </c>
      <c r="T74">
        <f>Source!Y34</f>
        <v>31745.97</v>
      </c>
      <c r="U74">
        <f>ROUND((175/100)*ROUND((ROUND((Source!AE34*Source!AV34*Source!I34),2)),2), 2)</f>
        <v>5914.32</v>
      </c>
      <c r="V74">
        <f>ROUND((157/100)*ROUND(ROUND((ROUND((Source!AE34*Source!AV34*Source!I34),2)*Source!BS34),2), 2), 2)</f>
        <v>130155.87</v>
      </c>
    </row>
    <row r="75" spans="1:27" ht="38.25" x14ac:dyDescent="0.2">
      <c r="C75" s="29" t="str">
        <f>"Объем: "&amp;Source!I34&amp;"=(11416/"&amp;"1000*"&amp;"0,9961*"&amp;"1*"&amp;"100*"&amp;"0,3)/"&amp;"100"</f>
        <v>Объем: 3,41144328=(11416/1000*0,9961*1*100*0,3)/100</v>
      </c>
    </row>
    <row r="76" spans="1:27" ht="14.25" x14ac:dyDescent="0.2">
      <c r="A76" s="22"/>
      <c r="B76" s="23"/>
      <c r="C76" s="23" t="s">
        <v>970</v>
      </c>
      <c r="D76" s="25"/>
      <c r="E76" s="10"/>
      <c r="F76" s="27">
        <f>Source!AO34</f>
        <v>925.27</v>
      </c>
      <c r="G76" s="26" t="str">
        <f>Source!DG34</f>
        <v/>
      </c>
      <c r="H76" s="10">
        <f>Source!AV34</f>
        <v>1</v>
      </c>
      <c r="I76" s="28">
        <f>ROUND((ROUND((Source!AF34*Source!AV34*Source!I34),2)),2)</f>
        <v>3156.51</v>
      </c>
      <c r="J76" s="10">
        <f>IF(Source!BA34&lt;&gt; 0, Source!BA34, 1)</f>
        <v>24.53</v>
      </c>
      <c r="K76" s="28">
        <f>Source!S34</f>
        <v>77429.19</v>
      </c>
      <c r="W76">
        <f>I76</f>
        <v>3156.51</v>
      </c>
    </row>
    <row r="77" spans="1:27" ht="14.25" x14ac:dyDescent="0.2">
      <c r="A77" s="22"/>
      <c r="B77" s="23"/>
      <c r="C77" s="23" t="s">
        <v>971</v>
      </c>
      <c r="D77" s="25"/>
      <c r="E77" s="10"/>
      <c r="F77" s="27">
        <f>Source!AM34</f>
        <v>11199.88</v>
      </c>
      <c r="G77" s="26" t="str">
        <f>Source!DE34</f>
        <v/>
      </c>
      <c r="H77" s="10">
        <f>Source!AV34</f>
        <v>1</v>
      </c>
      <c r="I77" s="28">
        <f>(ROUND((ROUND(((Source!ET34)*Source!AV34*Source!I34),2)),2)+ROUND((ROUND(((Source!AE34-(Source!EU34))*Source!AV34*Source!I34),2)),2))</f>
        <v>38207.760000000002</v>
      </c>
      <c r="J77" s="10">
        <f>IF(Source!BB34&lt;&gt; 0, Source!BB34, 1)</f>
        <v>8.5500000000000007</v>
      </c>
      <c r="K77" s="28">
        <f>Source!Q34</f>
        <v>326676.34999999998</v>
      </c>
    </row>
    <row r="78" spans="1:27" ht="14.25" x14ac:dyDescent="0.2">
      <c r="A78" s="22"/>
      <c r="B78" s="23"/>
      <c r="C78" s="23" t="s">
        <v>972</v>
      </c>
      <c r="D78" s="25"/>
      <c r="E78" s="10"/>
      <c r="F78" s="27">
        <f>Source!AN34</f>
        <v>990.67</v>
      </c>
      <c r="G78" s="26" t="str">
        <f>Source!DF34</f>
        <v/>
      </c>
      <c r="H78" s="10">
        <f>Source!AV34</f>
        <v>1</v>
      </c>
      <c r="I78" s="30">
        <f>ROUND((ROUND((Source!AE34*Source!AV34*Source!I34),2)),2)</f>
        <v>3379.61</v>
      </c>
      <c r="J78" s="10">
        <f>IF(Source!BS34&lt;&gt; 0, Source!BS34, 1)</f>
        <v>24.53</v>
      </c>
      <c r="K78" s="30">
        <f>Source!R34</f>
        <v>82901.83</v>
      </c>
      <c r="W78">
        <f>I78</f>
        <v>3379.61</v>
      </c>
    </row>
    <row r="79" spans="1:27" ht="14.25" x14ac:dyDescent="0.2">
      <c r="A79" s="22"/>
      <c r="B79" s="23"/>
      <c r="C79" s="23" t="s">
        <v>973</v>
      </c>
      <c r="D79" s="25"/>
      <c r="E79" s="10"/>
      <c r="F79" s="27">
        <f>Source!AL34</f>
        <v>2083.4499999999998</v>
      </c>
      <c r="G79" s="26" t="str">
        <f>Source!DD34</f>
        <v/>
      </c>
      <c r="H79" s="10">
        <f>Source!AW34</f>
        <v>1</v>
      </c>
      <c r="I79" s="28">
        <f>ROUND((ROUND((Source!AC34*Source!AW34*Source!I34),2)),2)</f>
        <v>7107.57</v>
      </c>
      <c r="J79" s="10">
        <f>IF(Source!BC34&lt;&gt; 0, Source!BC34, 1)</f>
        <v>11.35</v>
      </c>
      <c r="K79" s="28">
        <f>Source!P34</f>
        <v>80670.92</v>
      </c>
    </row>
    <row r="80" spans="1:27" ht="42.75" x14ac:dyDescent="0.2">
      <c r="A80" s="22" t="str">
        <f>Source!E35</f>
        <v>7,1</v>
      </c>
      <c r="B80" s="23" t="str">
        <f>Source!F35</f>
        <v>1.1-1-1550</v>
      </c>
      <c r="C80" s="23" t="s">
        <v>65</v>
      </c>
      <c r="D80" s="25" t="str">
        <f>Source!H35</f>
        <v>м3</v>
      </c>
      <c r="E80" s="10">
        <f>Source!I35</f>
        <v>429.84185300000001</v>
      </c>
      <c r="F80" s="27">
        <f>Source!AK35</f>
        <v>173.37</v>
      </c>
      <c r="G80" s="33" t="s">
        <v>3</v>
      </c>
      <c r="H80" s="10">
        <f>Source!AW35</f>
        <v>1</v>
      </c>
      <c r="I80" s="28">
        <f>ROUND((ROUND((Source!AC35*Source!AW35*Source!I35),2)),2)+(ROUND((ROUND(((Source!ET35)*Source!AV35*Source!I35),2)),2)+ROUND((ROUND(((Source!AE35-(Source!EU35))*Source!AV35*Source!I35),2)),2))+ROUND((ROUND((Source!AF35*Source!AV35*Source!I35),2)),2)</f>
        <v>74521.679999999993</v>
      </c>
      <c r="J80" s="10">
        <f>IF(Source!BC35&lt;&gt; 0, Source!BC35, 1)</f>
        <v>10.78</v>
      </c>
      <c r="K80" s="28">
        <f>Source!O35</f>
        <v>803343.71</v>
      </c>
      <c r="Q80">
        <f>ROUND((Source!DN35/100)*ROUND((ROUND((Source!AF35*Source!AV35*Source!I35),2)),2), 2)</f>
        <v>0</v>
      </c>
      <c r="R80">
        <f>Source!X35</f>
        <v>0</v>
      </c>
      <c r="S80">
        <f>ROUND((Source!DO35/100)*ROUND((ROUND((Source!AF35*Source!AV35*Source!I35),2)),2), 2)</f>
        <v>0</v>
      </c>
      <c r="T80">
        <f>Source!Y35</f>
        <v>0</v>
      </c>
      <c r="U80">
        <f>ROUND((175/100)*ROUND((ROUND((Source!AE35*Source!AV35*Source!I35),2)),2), 2)</f>
        <v>0</v>
      </c>
      <c r="V80">
        <f>ROUND((157/100)*ROUND(ROUND((ROUND((Source!AE35*Source!AV35*Source!I35),2)*Source!BS35),2), 2), 2)</f>
        <v>0</v>
      </c>
      <c r="X80">
        <f>IF(Source!BI35&lt;=1,I80, 0)</f>
        <v>74521.679999999993</v>
      </c>
      <c r="Y80">
        <f>IF(Source!BI35=2,I80, 0)</f>
        <v>0</v>
      </c>
      <c r="Z80">
        <f>IF(Source!BI35=3,I80, 0)</f>
        <v>0</v>
      </c>
      <c r="AA80">
        <f>IF(Source!BI35=4,I80, 0)</f>
        <v>0</v>
      </c>
    </row>
    <row r="81" spans="1:27" ht="14.25" x14ac:dyDescent="0.2">
      <c r="A81" s="22"/>
      <c r="B81" s="23"/>
      <c r="C81" s="23" t="s">
        <v>974</v>
      </c>
      <c r="D81" s="25" t="s">
        <v>975</v>
      </c>
      <c r="E81" s="10">
        <f>Source!DN34</f>
        <v>140</v>
      </c>
      <c r="F81" s="27"/>
      <c r="G81" s="26"/>
      <c r="H81" s="10"/>
      <c r="I81" s="28">
        <f>SUM(Q74:Q80)</f>
        <v>4419.1099999999997</v>
      </c>
      <c r="J81" s="10">
        <f>Source!BZ34</f>
        <v>112</v>
      </c>
      <c r="K81" s="28">
        <f>SUM(R74:R80)</f>
        <v>86720.69</v>
      </c>
    </row>
    <row r="82" spans="1:27" ht="14.25" x14ac:dyDescent="0.2">
      <c r="A82" s="22"/>
      <c r="B82" s="23"/>
      <c r="C82" s="23" t="s">
        <v>976</v>
      </c>
      <c r="D82" s="25" t="s">
        <v>975</v>
      </c>
      <c r="E82" s="10">
        <f>Source!DO34</f>
        <v>79</v>
      </c>
      <c r="F82" s="27"/>
      <c r="G82" s="26"/>
      <c r="H82" s="10"/>
      <c r="I82" s="28">
        <f>SUM(S74:S81)</f>
        <v>2493.64</v>
      </c>
      <c r="J82" s="10">
        <f>Source!CA34</f>
        <v>41</v>
      </c>
      <c r="K82" s="28">
        <f>SUM(T74:T81)</f>
        <v>31745.97</v>
      </c>
    </row>
    <row r="83" spans="1:27" ht="14.25" x14ac:dyDescent="0.2">
      <c r="A83" s="22"/>
      <c r="B83" s="23"/>
      <c r="C83" s="23" t="s">
        <v>977</v>
      </c>
      <c r="D83" s="25" t="s">
        <v>975</v>
      </c>
      <c r="E83" s="10">
        <f>175</f>
        <v>175</v>
      </c>
      <c r="F83" s="27"/>
      <c r="G83" s="26"/>
      <c r="H83" s="10"/>
      <c r="I83" s="28">
        <f>SUM(U74:U82)</f>
        <v>5914.32</v>
      </c>
      <c r="J83" s="10">
        <f>157</f>
        <v>157</v>
      </c>
      <c r="K83" s="28">
        <f>SUM(V74:V82)</f>
        <v>130155.87</v>
      </c>
    </row>
    <row r="84" spans="1:27" ht="14.25" x14ac:dyDescent="0.2">
      <c r="A84" s="22"/>
      <c r="B84" s="23"/>
      <c r="C84" s="23" t="s">
        <v>978</v>
      </c>
      <c r="D84" s="25" t="s">
        <v>979</v>
      </c>
      <c r="E84" s="10">
        <f>Source!AQ34</f>
        <v>87.29</v>
      </c>
      <c r="F84" s="27"/>
      <c r="G84" s="26" t="str">
        <f>Source!DI34</f>
        <v/>
      </c>
      <c r="H84" s="10">
        <f>Source!AV34</f>
        <v>1</v>
      </c>
      <c r="I84" s="28">
        <f>Source!U34</f>
        <v>297.78488391119998</v>
      </c>
      <c r="J84" s="10"/>
      <c r="K84" s="28"/>
    </row>
    <row r="85" spans="1:27" ht="15" x14ac:dyDescent="0.25">
      <c r="A85" s="32"/>
      <c r="B85" s="32"/>
      <c r="C85" s="32"/>
      <c r="D85" s="32"/>
      <c r="E85" s="32"/>
      <c r="F85" s="32"/>
      <c r="G85" s="32"/>
      <c r="H85" s="101">
        <f>I76+I77+I79+I81+I82+I83+SUM(I80:I80)</f>
        <v>135820.59</v>
      </c>
      <c r="I85" s="101"/>
      <c r="J85" s="101">
        <f>K76+K77+K79+K81+K82+K83+SUM(K80:K80)</f>
        <v>1536742.6999999997</v>
      </c>
      <c r="K85" s="101"/>
      <c r="O85" s="31">
        <f>I76+I77+I79+I81+I82+I83+SUM(I80:I80)</f>
        <v>135820.59</v>
      </c>
      <c r="P85" s="31">
        <f>K76+K77+K79+K81+K82+K83+SUM(K80:K80)</f>
        <v>1536742.6999999997</v>
      </c>
      <c r="X85">
        <f>IF(Source!BI34&lt;=1,I76+I77+I79+I81+I82+I83-0, 0)</f>
        <v>61298.91</v>
      </c>
      <c r="Y85">
        <f>IF(Source!BI34=2,I76+I77+I79+I81+I82+I83-0, 0)</f>
        <v>0</v>
      </c>
      <c r="Z85">
        <f>IF(Source!BI34=3,I76+I77+I79+I81+I82+I83-0, 0)</f>
        <v>0</v>
      </c>
      <c r="AA85">
        <f>IF(Source!BI34=4,I76+I77+I79+I81+I82+I83,0)</f>
        <v>0</v>
      </c>
    </row>
    <row r="86" spans="1:27" ht="42.75" x14ac:dyDescent="0.2">
      <c r="A86" s="22" t="str">
        <f>Source!E37</f>
        <v>9</v>
      </c>
      <c r="B86" s="23" t="str">
        <f>Source!F37</f>
        <v>3.27-42-1</v>
      </c>
      <c r="C86" s="23" t="s">
        <v>74</v>
      </c>
      <c r="D86" s="25" t="str">
        <f>Source!H37</f>
        <v>100 м2 покрытия</v>
      </c>
      <c r="E86" s="10">
        <f>Source!I37</f>
        <v>113.714776</v>
      </c>
      <c r="F86" s="27"/>
      <c r="G86" s="26"/>
      <c r="H86" s="10"/>
      <c r="I86" s="28"/>
      <c r="J86" s="10"/>
      <c r="K86" s="28"/>
      <c r="Q86">
        <f>ROUND((Source!DN37/100)*ROUND((ROUND((Source!AF37*Source!AV37*Source!I37),2)),2), 2)</f>
        <v>9551.33</v>
      </c>
      <c r="R86">
        <f>Source!X37</f>
        <v>190636.74</v>
      </c>
      <c r="S86">
        <f>ROUND((Source!DO37/100)*ROUND((ROUND((Source!AF37*Source!AV37*Source!I37),2)),2), 2)</f>
        <v>6347.78</v>
      </c>
      <c r="T86">
        <f>Source!Y37</f>
        <v>78583.08</v>
      </c>
      <c r="U86">
        <f>ROUND((175/100)*ROUND((ROUND((Source!AE37*Source!AV37*Source!I37),2)),2), 2)</f>
        <v>12359.94</v>
      </c>
      <c r="V86">
        <f>ROUND((157/100)*ROUND(ROUND((ROUND((Source!AE37*Source!AV37*Source!I37),2)*Source!BS37),2), 2), 2)</f>
        <v>272004.02</v>
      </c>
    </row>
    <row r="87" spans="1:27" x14ac:dyDescent="0.2">
      <c r="C87" s="29" t="str">
        <f>"Объем: "&amp;Source!I37&amp;"=(11416/"&amp;"100*"&amp;"99,61)/"&amp;"100"</f>
        <v>Объем: 113,714776=(11416/100*99,61)/100</v>
      </c>
    </row>
    <row r="88" spans="1:27" ht="14.25" x14ac:dyDescent="0.2">
      <c r="A88" s="22"/>
      <c r="B88" s="23"/>
      <c r="C88" s="23" t="s">
        <v>970</v>
      </c>
      <c r="D88" s="25"/>
      <c r="E88" s="10"/>
      <c r="F88" s="27">
        <f>Source!AO37</f>
        <v>52.17</v>
      </c>
      <c r="G88" s="26" t="str">
        <f>Source!DG37</f>
        <v/>
      </c>
      <c r="H88" s="10">
        <f>Source!AV37</f>
        <v>1</v>
      </c>
      <c r="I88" s="28">
        <f>ROUND((ROUND((Source!AF37*Source!AV37*Source!I37),2)),2)</f>
        <v>5932.5</v>
      </c>
      <c r="J88" s="10">
        <f>IF(Source!BA37&lt;&gt; 0, Source!BA37, 1)</f>
        <v>24.53</v>
      </c>
      <c r="K88" s="28">
        <f>Source!S37</f>
        <v>145524.23000000001</v>
      </c>
      <c r="W88">
        <f>I88</f>
        <v>5932.5</v>
      </c>
    </row>
    <row r="89" spans="1:27" ht="14.25" x14ac:dyDescent="0.2">
      <c r="A89" s="22"/>
      <c r="B89" s="23"/>
      <c r="C89" s="23" t="s">
        <v>971</v>
      </c>
      <c r="D89" s="25"/>
      <c r="E89" s="10"/>
      <c r="F89" s="27">
        <f>Source!AM37</f>
        <v>498.47</v>
      </c>
      <c r="G89" s="26" t="str">
        <f>Source!DE37</f>
        <v/>
      </c>
      <c r="H89" s="10">
        <f>Source!AV37</f>
        <v>1</v>
      </c>
      <c r="I89" s="28">
        <f>(ROUND((ROUND(((Source!ET37)*Source!AV37*Source!I37),2)),2)+ROUND((ROUND(((Source!AE37-(Source!EU37))*Source!AV37*Source!I37),2)),2))</f>
        <v>56683.4</v>
      </c>
      <c r="J89" s="10">
        <f>IF(Source!BB37&lt;&gt; 0, Source!BB37, 1)</f>
        <v>9.51</v>
      </c>
      <c r="K89" s="28">
        <f>Source!Q37</f>
        <v>539059.13</v>
      </c>
    </row>
    <row r="90" spans="1:27" ht="14.25" x14ac:dyDescent="0.2">
      <c r="A90" s="22"/>
      <c r="B90" s="23"/>
      <c r="C90" s="23" t="s">
        <v>972</v>
      </c>
      <c r="D90" s="25"/>
      <c r="E90" s="10"/>
      <c r="F90" s="27">
        <f>Source!AN37</f>
        <v>62.11</v>
      </c>
      <c r="G90" s="26" t="str">
        <f>Source!DF37</f>
        <v/>
      </c>
      <c r="H90" s="10">
        <f>Source!AV37</f>
        <v>1</v>
      </c>
      <c r="I90" s="30">
        <f>ROUND((ROUND((Source!AE37*Source!AV37*Source!I37),2)),2)</f>
        <v>7062.82</v>
      </c>
      <c r="J90" s="10">
        <f>IF(Source!BS37&lt;&gt; 0, Source!BS37, 1)</f>
        <v>24.53</v>
      </c>
      <c r="K90" s="30">
        <f>Source!R37</f>
        <v>173250.97</v>
      </c>
      <c r="W90">
        <f>I90</f>
        <v>7062.82</v>
      </c>
    </row>
    <row r="91" spans="1:27" ht="14.25" x14ac:dyDescent="0.2">
      <c r="A91" s="22"/>
      <c r="B91" s="23"/>
      <c r="C91" s="23" t="s">
        <v>973</v>
      </c>
      <c r="D91" s="25"/>
      <c r="E91" s="10"/>
      <c r="F91" s="27">
        <f>Source!AL37</f>
        <v>57.83</v>
      </c>
      <c r="G91" s="26" t="str">
        <f>Source!DD37</f>
        <v/>
      </c>
      <c r="H91" s="10">
        <f>Source!AW37</f>
        <v>1</v>
      </c>
      <c r="I91" s="28">
        <f>ROUND((ROUND((Source!AC37*Source!AW37*Source!I37),2)),2)</f>
        <v>6576.13</v>
      </c>
      <c r="J91" s="10">
        <f>IF(Source!BC37&lt;&gt; 0, Source!BC37, 1)</f>
        <v>9.11</v>
      </c>
      <c r="K91" s="28">
        <f>Source!P37</f>
        <v>59908.54</v>
      </c>
    </row>
    <row r="92" spans="1:27" ht="42.75" x14ac:dyDescent="0.2">
      <c r="A92" s="22" t="str">
        <f>Source!E38</f>
        <v>9,1</v>
      </c>
      <c r="B92" s="23" t="str">
        <f>Source!F38</f>
        <v>1.3-3-8</v>
      </c>
      <c r="C92" s="23" t="s">
        <v>82</v>
      </c>
      <c r="D92" s="25" t="str">
        <f>Source!H38</f>
        <v>т</v>
      </c>
      <c r="E92" s="10">
        <f>Source!I38</f>
        <v>1159.890715</v>
      </c>
      <c r="F92" s="27">
        <f>Source!AK38</f>
        <v>307.88</v>
      </c>
      <c r="G92" s="33" t="s">
        <v>3</v>
      </c>
      <c r="H92" s="10">
        <f>Source!AW38</f>
        <v>1</v>
      </c>
      <c r="I92" s="28">
        <f>ROUND((ROUND((Source!AC38*Source!AW38*Source!I38),2)),2)+(ROUND((ROUND(((Source!ET38)*Source!AV38*Source!I38),2)),2)+ROUND((ROUND(((Source!AE38-(Source!EU38))*Source!AV38*Source!I38),2)),2))+ROUND((ROUND((Source!AF38*Source!AV38*Source!I38),2)),2)</f>
        <v>357107.15</v>
      </c>
      <c r="J92" s="10">
        <f>IF(Source!BC38&lt;&gt; 0, Source!BC38, 1)</f>
        <v>8.52</v>
      </c>
      <c r="K92" s="28">
        <f>Source!O38</f>
        <v>3042552.92</v>
      </c>
      <c r="Q92">
        <f>ROUND((Source!DN38/100)*ROUND((ROUND((Source!AF38*Source!AV38*Source!I38),2)),2), 2)</f>
        <v>0</v>
      </c>
      <c r="R92">
        <f>Source!X38</f>
        <v>0</v>
      </c>
      <c r="S92">
        <f>ROUND((Source!DO38/100)*ROUND((ROUND((Source!AF38*Source!AV38*Source!I38),2)),2), 2)</f>
        <v>0</v>
      </c>
      <c r="T92">
        <f>Source!Y38</f>
        <v>0</v>
      </c>
      <c r="U92">
        <f>ROUND((175/100)*ROUND((ROUND((Source!AE38*Source!AV38*Source!I38),2)),2), 2)</f>
        <v>0</v>
      </c>
      <c r="V92">
        <f>ROUND((157/100)*ROUND(ROUND((ROUND((Source!AE38*Source!AV38*Source!I38),2)*Source!BS38),2), 2), 2)</f>
        <v>0</v>
      </c>
      <c r="X92">
        <f>IF(Source!BI38&lt;=1,I92, 0)</f>
        <v>357107.15</v>
      </c>
      <c r="Y92">
        <f>IF(Source!BI38=2,I92, 0)</f>
        <v>0</v>
      </c>
      <c r="Z92">
        <f>IF(Source!BI38=3,I92, 0)</f>
        <v>0</v>
      </c>
      <c r="AA92">
        <f>IF(Source!BI38=4,I92, 0)</f>
        <v>0</v>
      </c>
    </row>
    <row r="93" spans="1:27" ht="14.25" x14ac:dyDescent="0.2">
      <c r="A93" s="22"/>
      <c r="B93" s="23"/>
      <c r="C93" s="23" t="s">
        <v>974</v>
      </c>
      <c r="D93" s="25" t="s">
        <v>975</v>
      </c>
      <c r="E93" s="10">
        <f>Source!DN37</f>
        <v>161</v>
      </c>
      <c r="F93" s="27"/>
      <c r="G93" s="26"/>
      <c r="H93" s="10"/>
      <c r="I93" s="28">
        <f>SUM(Q86:Q92)</f>
        <v>9551.33</v>
      </c>
      <c r="J93" s="10">
        <f>Source!BZ37</f>
        <v>131</v>
      </c>
      <c r="K93" s="28">
        <f>SUM(R86:R92)</f>
        <v>190636.74</v>
      </c>
    </row>
    <row r="94" spans="1:27" ht="14.25" x14ac:dyDescent="0.2">
      <c r="A94" s="22"/>
      <c r="B94" s="23"/>
      <c r="C94" s="23" t="s">
        <v>976</v>
      </c>
      <c r="D94" s="25" t="s">
        <v>975</v>
      </c>
      <c r="E94" s="10">
        <f>Source!DO37</f>
        <v>107</v>
      </c>
      <c r="F94" s="27"/>
      <c r="G94" s="26"/>
      <c r="H94" s="10"/>
      <c r="I94" s="28">
        <f>SUM(S86:S93)</f>
        <v>6347.78</v>
      </c>
      <c r="J94" s="10">
        <f>Source!CA37</f>
        <v>54</v>
      </c>
      <c r="K94" s="28">
        <f>SUM(T86:T93)</f>
        <v>78583.08</v>
      </c>
    </row>
    <row r="95" spans="1:27" ht="14.25" x14ac:dyDescent="0.2">
      <c r="A95" s="22"/>
      <c r="B95" s="23"/>
      <c r="C95" s="23" t="s">
        <v>977</v>
      </c>
      <c r="D95" s="25" t="s">
        <v>975</v>
      </c>
      <c r="E95" s="10">
        <f>175</f>
        <v>175</v>
      </c>
      <c r="F95" s="27"/>
      <c r="G95" s="26"/>
      <c r="H95" s="10"/>
      <c r="I95" s="28">
        <f>SUM(U86:U94)</f>
        <v>12359.94</v>
      </c>
      <c r="J95" s="10">
        <f>157</f>
        <v>157</v>
      </c>
      <c r="K95" s="28">
        <f>SUM(V86:V94)</f>
        <v>272004.02</v>
      </c>
    </row>
    <row r="96" spans="1:27" ht="14.25" x14ac:dyDescent="0.2">
      <c r="A96" s="22"/>
      <c r="B96" s="23"/>
      <c r="C96" s="23" t="s">
        <v>978</v>
      </c>
      <c r="D96" s="25" t="s">
        <v>979</v>
      </c>
      <c r="E96" s="10">
        <f>Source!AQ37</f>
        <v>4.29</v>
      </c>
      <c r="F96" s="27"/>
      <c r="G96" s="26" t="str">
        <f>Source!DI37</f>
        <v/>
      </c>
      <c r="H96" s="10">
        <f>Source!AV37</f>
        <v>1</v>
      </c>
      <c r="I96" s="28">
        <f>Source!U37</f>
        <v>487.83638904000003</v>
      </c>
      <c r="J96" s="10"/>
      <c r="K96" s="28"/>
    </row>
    <row r="97" spans="1:38" ht="15" x14ac:dyDescent="0.25">
      <c r="A97" s="32"/>
      <c r="B97" s="32"/>
      <c r="C97" s="32"/>
      <c r="D97" s="32"/>
      <c r="E97" s="32"/>
      <c r="F97" s="32"/>
      <c r="G97" s="32"/>
      <c r="H97" s="101">
        <f>I88+I89+I91+I93+I94+I95+SUM(I92:I92)</f>
        <v>454558.23000000004</v>
      </c>
      <c r="I97" s="101"/>
      <c r="J97" s="101">
        <f>K88+K89+K91+K93+K94+K95+SUM(K92:K92)</f>
        <v>4328268.66</v>
      </c>
      <c r="K97" s="101"/>
      <c r="O97" s="31">
        <f>I88+I89+I91+I93+I94+I95+SUM(I92:I92)</f>
        <v>454558.23000000004</v>
      </c>
      <c r="P97" s="31">
        <f>K88+K89+K91+K93+K94+K95+SUM(K92:K92)</f>
        <v>4328268.66</v>
      </c>
      <c r="X97">
        <f>IF(Source!BI37&lt;=1,I88+I89+I91+I93+I94+I95-0, 0)</f>
        <v>97451.08</v>
      </c>
      <c r="Y97">
        <f>IF(Source!BI37=2,I88+I89+I91+I93+I94+I95-0, 0)</f>
        <v>0</v>
      </c>
      <c r="Z97">
        <f>IF(Source!BI37=3,I88+I89+I91+I93+I94+I95-0, 0)</f>
        <v>0</v>
      </c>
      <c r="AA97">
        <f>IF(Source!BI37=4,I88+I89+I91+I93+I94+I95,0)</f>
        <v>0</v>
      </c>
    </row>
    <row r="98" spans="1:38" ht="42.75" x14ac:dyDescent="0.2">
      <c r="A98" s="22" t="str">
        <f>Source!E39</f>
        <v>10</v>
      </c>
      <c r="B98" s="23" t="str">
        <f>Source!F39</f>
        <v>3.27-43-1</v>
      </c>
      <c r="C98" s="23" t="s">
        <v>86</v>
      </c>
      <c r="D98" s="25" t="str">
        <f>Source!H39</f>
        <v>100 м2 покрытия</v>
      </c>
      <c r="E98" s="10">
        <f>Source!I39</f>
        <v>113.714776</v>
      </c>
      <c r="F98" s="27"/>
      <c r="G98" s="26"/>
      <c r="H98" s="10"/>
      <c r="I98" s="28"/>
      <c r="J98" s="10"/>
      <c r="K98" s="28"/>
      <c r="Q98">
        <f>ROUND((Source!DN39/100)*ROUND((ROUND((Source!AF39*Source!AV39*Source!I39),2)),2), 2)</f>
        <v>1268.74</v>
      </c>
      <c r="R98">
        <f>Source!X39</f>
        <v>25323.11</v>
      </c>
      <c r="S98">
        <f>ROUND((Source!DO39/100)*ROUND((ROUND((Source!AF39*Source!AV39*Source!I39),2)),2), 2)</f>
        <v>843.2</v>
      </c>
      <c r="T98">
        <f>Source!Y39</f>
        <v>10438.530000000001</v>
      </c>
      <c r="U98">
        <f>ROUND((175/100)*ROUND((ROUND((Source!AE39*Source!AV39*Source!I39),2)),2), 2)</f>
        <v>710.43</v>
      </c>
      <c r="V98">
        <f>ROUND((157/100)*ROUND(ROUND((ROUND((Source!AE39*Source!AV39*Source!I39),2)*Source!BS39),2), 2), 2)</f>
        <v>15634.37</v>
      </c>
    </row>
    <row r="99" spans="1:38" x14ac:dyDescent="0.2">
      <c r="C99" s="29" t="str">
        <f>"Объем: "&amp;Source!I39&amp;"=(11416/"&amp;"100*"&amp;"99,61)/"&amp;"100"</f>
        <v>Объем: 113,714776=(11416/100*99,61)/100</v>
      </c>
    </row>
    <row r="100" spans="1:38" ht="14.25" x14ac:dyDescent="0.2">
      <c r="A100" s="22"/>
      <c r="B100" s="23"/>
      <c r="C100" s="23" t="s">
        <v>970</v>
      </c>
      <c r="D100" s="25"/>
      <c r="E100" s="10"/>
      <c r="F100" s="27">
        <f>Source!AO39</f>
        <v>6.93</v>
      </c>
      <c r="G100" s="26" t="str">
        <f>Source!DG39</f>
        <v/>
      </c>
      <c r="H100" s="10">
        <f>Source!AV39</f>
        <v>1</v>
      </c>
      <c r="I100" s="28">
        <f>ROUND((ROUND((Source!AF39*Source!AV39*Source!I39),2)),2)</f>
        <v>788.04</v>
      </c>
      <c r="J100" s="10">
        <f>IF(Source!BA39&lt;&gt; 0, Source!BA39, 1)</f>
        <v>24.53</v>
      </c>
      <c r="K100" s="28">
        <f>Source!S39</f>
        <v>19330.62</v>
      </c>
      <c r="W100">
        <f>I100</f>
        <v>788.04</v>
      </c>
    </row>
    <row r="101" spans="1:38" ht="14.25" x14ac:dyDescent="0.2">
      <c r="A101" s="22"/>
      <c r="B101" s="23"/>
      <c r="C101" s="23" t="s">
        <v>971</v>
      </c>
      <c r="D101" s="25"/>
      <c r="E101" s="10"/>
      <c r="F101" s="27">
        <f>Source!AM39</f>
        <v>17.350000000000001</v>
      </c>
      <c r="G101" s="26" t="str">
        <f>Source!DE39</f>
        <v/>
      </c>
      <c r="H101" s="10">
        <f>Source!AV39</f>
        <v>1</v>
      </c>
      <c r="I101" s="28">
        <f>(ROUND((ROUND(((Source!ET39)*Source!AV39*Source!I39),2)),2)+ROUND((ROUND(((Source!AE39-(Source!EU39))*Source!AV39*Source!I39),2)),2))</f>
        <v>1972.95</v>
      </c>
      <c r="J101" s="10">
        <f>IF(Source!BB39&lt;&gt; 0, Source!BB39, 1)</f>
        <v>10.39</v>
      </c>
      <c r="K101" s="28">
        <f>Source!Q39</f>
        <v>20498.95</v>
      </c>
    </row>
    <row r="102" spans="1:38" ht="14.25" x14ac:dyDescent="0.2">
      <c r="A102" s="22"/>
      <c r="B102" s="23"/>
      <c r="C102" s="23" t="s">
        <v>972</v>
      </c>
      <c r="D102" s="25"/>
      <c r="E102" s="10"/>
      <c r="F102" s="27">
        <f>Source!AN39</f>
        <v>3.57</v>
      </c>
      <c r="G102" s="26" t="str">
        <f>Source!DF39</f>
        <v/>
      </c>
      <c r="H102" s="10">
        <f>Source!AV39</f>
        <v>1</v>
      </c>
      <c r="I102" s="30">
        <f>ROUND((ROUND((Source!AE39*Source!AV39*Source!I39),2)),2)</f>
        <v>405.96</v>
      </c>
      <c r="J102" s="10">
        <f>IF(Source!BS39&lt;&gt; 0, Source!BS39, 1)</f>
        <v>24.53</v>
      </c>
      <c r="K102" s="30">
        <f>Source!R39</f>
        <v>9958.2000000000007</v>
      </c>
      <c r="W102">
        <f>I102</f>
        <v>405.96</v>
      </c>
    </row>
    <row r="103" spans="1:38" ht="42.75" x14ac:dyDescent="0.2">
      <c r="A103" s="22" t="str">
        <f>Source!E40</f>
        <v>10,1</v>
      </c>
      <c r="B103" s="23" t="str">
        <f>Source!F40</f>
        <v>1.3-3-8</v>
      </c>
      <c r="C103" s="23" t="s">
        <v>82</v>
      </c>
      <c r="D103" s="25" t="str">
        <f>Source!H40</f>
        <v>т</v>
      </c>
      <c r="E103" s="10">
        <f>Source!I40</f>
        <v>291.109827</v>
      </c>
      <c r="F103" s="27">
        <f>Source!AK40</f>
        <v>307.88</v>
      </c>
      <c r="G103" s="33" t="s">
        <v>3</v>
      </c>
      <c r="H103" s="10">
        <f>Source!AW40</f>
        <v>1</v>
      </c>
      <c r="I103" s="28">
        <f>ROUND((ROUND((Source!AC40*Source!AW40*Source!I40),2)),2)+(ROUND((ROUND(((Source!ET40)*Source!AV40*Source!I40),2)),2)+ROUND((ROUND(((Source!AE40-(Source!EU40))*Source!AV40*Source!I40),2)),2))+ROUND((ROUND((Source!AF40*Source!AV40*Source!I40),2)),2)</f>
        <v>89626.89</v>
      </c>
      <c r="J103" s="10">
        <f>IF(Source!BC40&lt;&gt; 0, Source!BC40, 1)</f>
        <v>8.52</v>
      </c>
      <c r="K103" s="28">
        <f>Source!O40</f>
        <v>763621.1</v>
      </c>
      <c r="Q103">
        <f>ROUND((Source!DN40/100)*ROUND((ROUND((Source!AF40*Source!AV40*Source!I40),2)),2), 2)</f>
        <v>0</v>
      </c>
      <c r="R103">
        <f>Source!X40</f>
        <v>0</v>
      </c>
      <c r="S103">
        <f>ROUND((Source!DO40/100)*ROUND((ROUND((Source!AF40*Source!AV40*Source!I40),2)),2), 2)</f>
        <v>0</v>
      </c>
      <c r="T103">
        <f>Source!Y40</f>
        <v>0</v>
      </c>
      <c r="U103">
        <f>ROUND((175/100)*ROUND((ROUND((Source!AE40*Source!AV40*Source!I40),2)),2), 2)</f>
        <v>0</v>
      </c>
      <c r="V103">
        <f>ROUND((157/100)*ROUND(ROUND((ROUND((Source!AE40*Source!AV40*Source!I40),2)*Source!BS40),2), 2), 2)</f>
        <v>0</v>
      </c>
      <c r="X103">
        <f>IF(Source!BI40&lt;=1,I103, 0)</f>
        <v>89626.89</v>
      </c>
      <c r="Y103">
        <f>IF(Source!BI40=2,I103, 0)</f>
        <v>0</v>
      </c>
      <c r="Z103">
        <f>IF(Source!BI40=3,I103, 0)</f>
        <v>0</v>
      </c>
      <c r="AA103">
        <f>IF(Source!BI40=4,I103, 0)</f>
        <v>0</v>
      </c>
    </row>
    <row r="104" spans="1:38" ht="14.25" x14ac:dyDescent="0.2">
      <c r="A104" s="22"/>
      <c r="B104" s="23"/>
      <c r="C104" s="23" t="s">
        <v>974</v>
      </c>
      <c r="D104" s="25" t="s">
        <v>975</v>
      </c>
      <c r="E104" s="10">
        <f>Source!DN39</f>
        <v>161</v>
      </c>
      <c r="F104" s="27"/>
      <c r="G104" s="26"/>
      <c r="H104" s="10"/>
      <c r="I104" s="28">
        <f>SUM(Q98:Q103)</f>
        <v>1268.74</v>
      </c>
      <c r="J104" s="10">
        <f>Source!BZ39</f>
        <v>131</v>
      </c>
      <c r="K104" s="28">
        <f>SUM(R98:R103)</f>
        <v>25323.11</v>
      </c>
    </row>
    <row r="105" spans="1:38" ht="14.25" x14ac:dyDescent="0.2">
      <c r="A105" s="22"/>
      <c r="B105" s="23"/>
      <c r="C105" s="23" t="s">
        <v>976</v>
      </c>
      <c r="D105" s="25" t="s">
        <v>975</v>
      </c>
      <c r="E105" s="10">
        <f>Source!DO39</f>
        <v>107</v>
      </c>
      <c r="F105" s="27"/>
      <c r="G105" s="26"/>
      <c r="H105" s="10"/>
      <c r="I105" s="28">
        <f>SUM(S98:S104)</f>
        <v>843.2</v>
      </c>
      <c r="J105" s="10">
        <f>Source!CA39</f>
        <v>54</v>
      </c>
      <c r="K105" s="28">
        <f>SUM(T98:T104)</f>
        <v>10438.530000000001</v>
      </c>
    </row>
    <row r="106" spans="1:38" ht="14.25" x14ac:dyDescent="0.2">
      <c r="A106" s="22"/>
      <c r="B106" s="23"/>
      <c r="C106" s="23" t="s">
        <v>977</v>
      </c>
      <c r="D106" s="25" t="s">
        <v>975</v>
      </c>
      <c r="E106" s="10">
        <f>175</f>
        <v>175</v>
      </c>
      <c r="F106" s="27"/>
      <c r="G106" s="26"/>
      <c r="H106" s="10"/>
      <c r="I106" s="28">
        <f>SUM(U98:U105)</f>
        <v>710.43</v>
      </c>
      <c r="J106" s="10">
        <f>157</f>
        <v>157</v>
      </c>
      <c r="K106" s="28">
        <f>SUM(V98:V105)</f>
        <v>15634.37</v>
      </c>
    </row>
    <row r="107" spans="1:38" ht="14.25" x14ac:dyDescent="0.2">
      <c r="A107" s="22"/>
      <c r="B107" s="23"/>
      <c r="C107" s="23" t="s">
        <v>978</v>
      </c>
      <c r="D107" s="25" t="s">
        <v>979</v>
      </c>
      <c r="E107" s="10">
        <f>Source!AQ39</f>
        <v>0.53</v>
      </c>
      <c r="F107" s="27"/>
      <c r="G107" s="26" t="str">
        <f>Source!DI39</f>
        <v/>
      </c>
      <c r="H107" s="10">
        <f>Source!AV39</f>
        <v>1</v>
      </c>
      <c r="I107" s="28">
        <f>Source!U39</f>
        <v>60.268831280000001</v>
      </c>
      <c r="J107" s="10"/>
      <c r="K107" s="28"/>
    </row>
    <row r="108" spans="1:38" ht="15" x14ac:dyDescent="0.25">
      <c r="A108" s="32"/>
      <c r="B108" s="32"/>
      <c r="C108" s="32"/>
      <c r="D108" s="32"/>
      <c r="E108" s="32"/>
      <c r="F108" s="32"/>
      <c r="G108" s="32"/>
      <c r="H108" s="101">
        <f>I100+I101+I104+I105+I106+SUM(I103:I103)</f>
        <v>95210.25</v>
      </c>
      <c r="I108" s="101"/>
      <c r="J108" s="101">
        <f>K100+K101+K104+K105+K106+SUM(K103:K103)</f>
        <v>854846.67999999993</v>
      </c>
      <c r="K108" s="101"/>
      <c r="O108" s="31">
        <f>I100+I101+I104+I105+I106+SUM(I103:I103)</f>
        <v>95210.25</v>
      </c>
      <c r="P108" s="31">
        <f>K100+K101+K104+K105+K106+SUM(K103:K103)</f>
        <v>854846.67999999993</v>
      </c>
      <c r="X108">
        <f>IF(Source!BI39&lt;=1,I100+I101+I104+I105+I106-0, 0)</f>
        <v>5583.36</v>
      </c>
      <c r="Y108">
        <f>IF(Source!BI39=2,I100+I101+I104+I105+I106-0, 0)</f>
        <v>0</v>
      </c>
      <c r="Z108">
        <f>IF(Source!BI39=3,I100+I101+I104+I105+I106-0, 0)</f>
        <v>0</v>
      </c>
      <c r="AA108">
        <f>IF(Source!BI39=4,I100+I101+I104+I105+I106,0)</f>
        <v>0</v>
      </c>
    </row>
    <row r="110" spans="1:38" ht="15" x14ac:dyDescent="0.25">
      <c r="A110" s="100" t="str">
        <f>CONCATENATE("Итого по разделу: ",IF(Source!G42&lt;&gt;"Новый раздел", Source!G42, ""))</f>
        <v>Итого по разделу: 1.1. Текущий ремонт мелкозернистого а/б покрытия (фрезеровка) -11416 м2</v>
      </c>
      <c r="B110" s="100"/>
      <c r="C110" s="100"/>
      <c r="D110" s="100"/>
      <c r="E110" s="100"/>
      <c r="F110" s="100"/>
      <c r="G110" s="100"/>
      <c r="H110" s="98">
        <f>SUM(O35:O109)</f>
        <v>862486.52</v>
      </c>
      <c r="I110" s="99"/>
      <c r="J110" s="98">
        <f>SUM(P35:P109)</f>
        <v>8808358.3100000005</v>
      </c>
      <c r="K110" s="99"/>
      <c r="AL110" s="36" t="str">
        <f>CONCATENATE("Итого по разделу: ",IF(Source!G42&lt;&gt;"Новый раздел", Source!G42, ""))</f>
        <v>Итого по разделу: 1.1. Текущий ремонт мелкозернистого а/б покрытия (фрезеровка) -11416 м2</v>
      </c>
    </row>
    <row r="111" spans="1:38" hidden="1" x14ac:dyDescent="0.2">
      <c r="A111" t="s">
        <v>980</v>
      </c>
      <c r="I111">
        <f>SUM(AC35:AC110)</f>
        <v>0</v>
      </c>
      <c r="J111">
        <f>SUM(AD35:AD110)</f>
        <v>0</v>
      </c>
    </row>
    <row r="112" spans="1:38" hidden="1" x14ac:dyDescent="0.2">
      <c r="A112" t="s">
        <v>981</v>
      </c>
      <c r="I112">
        <f>SUM(AE35:AE111)</f>
        <v>0</v>
      </c>
      <c r="J112">
        <f>SUM(AF35:AF111)</f>
        <v>0</v>
      </c>
    </row>
    <row r="113" spans="1:27" ht="14.25" x14ac:dyDescent="0.2">
      <c r="C113" s="96" t="str">
        <f>Source!H71</f>
        <v>С ндс</v>
      </c>
      <c r="D113" s="96"/>
      <c r="E113" s="96"/>
      <c r="F113" s="96"/>
      <c r="G113" s="96"/>
      <c r="H113" s="96"/>
      <c r="I113" s="96"/>
      <c r="J113" s="97">
        <f>IF(Source!F71=0, "", Source!F71)</f>
        <v>10570029.970000001</v>
      </c>
      <c r="K113" s="97"/>
    </row>
    <row r="115" spans="1:27" ht="16.5" x14ac:dyDescent="0.25">
      <c r="A115" s="102" t="str">
        <f>CONCATENATE("Раздел: ",IF(Source!G73&lt;&gt;"Новый раздел", Source!G73, ""))</f>
        <v>Раздел: 3. А/б покрытие пешеходных тротуаров на существующее основание</v>
      </c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</row>
    <row r="116" spans="1:27" ht="42.75" x14ac:dyDescent="0.2">
      <c r="A116" s="22" t="str">
        <f>Source!E77</f>
        <v>11</v>
      </c>
      <c r="B116" s="23" t="str">
        <f>Source!F77</f>
        <v>6.68-51-4</v>
      </c>
      <c r="C116" s="23" t="s">
        <v>30</v>
      </c>
      <c r="D116" s="25" t="str">
        <f>Source!H77</f>
        <v>100 м3 конструкций</v>
      </c>
      <c r="E116" s="10">
        <f>Source!I77</f>
        <v>1.5911</v>
      </c>
      <c r="F116" s="27"/>
      <c r="G116" s="26"/>
      <c r="H116" s="10"/>
      <c r="I116" s="28"/>
      <c r="J116" s="10"/>
      <c r="K116" s="28"/>
      <c r="Q116">
        <f>ROUND((Source!DN77/100)*ROUND((ROUND((Source!AF77*Source!AV77*Source!I77),2)),2), 2)</f>
        <v>2148.56</v>
      </c>
      <c r="R116">
        <f>Source!X77</f>
        <v>44798.55</v>
      </c>
      <c r="S116">
        <f>ROUND((Source!DO77/100)*ROUND((ROUND((Source!AF77*Source!AV77*Source!I77),2)),2), 2)</f>
        <v>1477.14</v>
      </c>
      <c r="T116">
        <f>Source!Y77</f>
        <v>27010.89</v>
      </c>
      <c r="U116">
        <f>ROUND((175/100)*ROUND((ROUND((Source!AE77*Source!AV77*Source!I77),2)),2), 2)</f>
        <v>2047.19</v>
      </c>
      <c r="V116">
        <f>ROUND((157/100)*ROUND(ROUND((ROUND((Source!AE77*Source!AV77*Source!I77),2)*Source!BS77),2), 2), 2)</f>
        <v>45052.22</v>
      </c>
    </row>
    <row r="117" spans="1:27" x14ac:dyDescent="0.2">
      <c r="C117" s="29" t="str">
        <f>"Объем: "&amp;Source!I77&amp;"=(2273*"&amp;"0,07)/"&amp;"100"</f>
        <v>Объем: 1,5911=(2273*0,07)/100</v>
      </c>
    </row>
    <row r="118" spans="1:27" ht="14.25" x14ac:dyDescent="0.2">
      <c r="A118" s="22"/>
      <c r="B118" s="23"/>
      <c r="C118" s="23" t="s">
        <v>970</v>
      </c>
      <c r="D118" s="25"/>
      <c r="E118" s="10"/>
      <c r="F118" s="27">
        <f>Source!AO77</f>
        <v>1687.95</v>
      </c>
      <c r="G118" s="26" t="str">
        <f>Source!DG77</f>
        <v/>
      </c>
      <c r="H118" s="10">
        <f>Source!AV77</f>
        <v>1</v>
      </c>
      <c r="I118" s="28">
        <f>ROUND((ROUND((Source!AF77*Source!AV77*Source!I77),2)),2)</f>
        <v>2685.7</v>
      </c>
      <c r="J118" s="10">
        <f>IF(Source!BA77&lt;&gt; 0, Source!BA77, 1)</f>
        <v>24.53</v>
      </c>
      <c r="K118" s="28">
        <f>Source!S77</f>
        <v>65880.22</v>
      </c>
      <c r="W118">
        <f>I118</f>
        <v>2685.7</v>
      </c>
    </row>
    <row r="119" spans="1:27" ht="14.25" x14ac:dyDescent="0.2">
      <c r="A119" s="22"/>
      <c r="B119" s="23"/>
      <c r="C119" s="23" t="s">
        <v>971</v>
      </c>
      <c r="D119" s="25"/>
      <c r="E119" s="10"/>
      <c r="F119" s="27">
        <f>Source!AM77</f>
        <v>2713.55</v>
      </c>
      <c r="G119" s="26" t="str">
        <f>Source!DE77</f>
        <v/>
      </c>
      <c r="H119" s="10">
        <f>Source!AV77</f>
        <v>1</v>
      </c>
      <c r="I119" s="28">
        <f>(ROUND((ROUND(((Source!ET77)*Source!AV77*Source!I77),2)),2)+ROUND((ROUND(((Source!AE77-(Source!EU77))*Source!AV77*Source!I77),2)),2))</f>
        <v>4317.53</v>
      </c>
      <c r="J119" s="10">
        <f>IF(Source!BB77&lt;&gt; 0, Source!BB77, 1)</f>
        <v>11.22</v>
      </c>
      <c r="K119" s="28">
        <f>Source!Q77</f>
        <v>48442.69</v>
      </c>
    </row>
    <row r="120" spans="1:27" ht="14.25" x14ac:dyDescent="0.2">
      <c r="A120" s="22"/>
      <c r="B120" s="23"/>
      <c r="C120" s="23" t="s">
        <v>972</v>
      </c>
      <c r="D120" s="25"/>
      <c r="E120" s="10"/>
      <c r="F120" s="27">
        <f>Source!AN77</f>
        <v>735.23</v>
      </c>
      <c r="G120" s="26" t="str">
        <f>Source!DF77</f>
        <v/>
      </c>
      <c r="H120" s="10">
        <f>Source!AV77</f>
        <v>1</v>
      </c>
      <c r="I120" s="30">
        <f>ROUND((ROUND((Source!AE77*Source!AV77*Source!I77),2)),2)</f>
        <v>1169.82</v>
      </c>
      <c r="J120" s="10">
        <f>IF(Source!BS77&lt;&gt; 0, Source!BS77, 1)</f>
        <v>24.53</v>
      </c>
      <c r="K120" s="30">
        <f>Source!R77</f>
        <v>28695.68</v>
      </c>
      <c r="W120">
        <f>I120</f>
        <v>1169.82</v>
      </c>
    </row>
    <row r="121" spans="1:27" ht="14.25" x14ac:dyDescent="0.2">
      <c r="A121" s="22"/>
      <c r="B121" s="23"/>
      <c r="C121" s="23" t="s">
        <v>974</v>
      </c>
      <c r="D121" s="25" t="s">
        <v>975</v>
      </c>
      <c r="E121" s="10">
        <f>Source!DN77</f>
        <v>80</v>
      </c>
      <c r="F121" s="27"/>
      <c r="G121" s="26"/>
      <c r="H121" s="10"/>
      <c r="I121" s="28">
        <f>SUM(Q116:Q120)</f>
        <v>2148.56</v>
      </c>
      <c r="J121" s="10">
        <f>Source!BZ77</f>
        <v>68</v>
      </c>
      <c r="K121" s="28">
        <f>SUM(R116:R120)</f>
        <v>44798.55</v>
      </c>
    </row>
    <row r="122" spans="1:27" ht="14.25" x14ac:dyDescent="0.2">
      <c r="A122" s="22"/>
      <c r="B122" s="23"/>
      <c r="C122" s="23" t="s">
        <v>976</v>
      </c>
      <c r="D122" s="25" t="s">
        <v>975</v>
      </c>
      <c r="E122" s="10">
        <f>Source!DO77</f>
        <v>55</v>
      </c>
      <c r="F122" s="27"/>
      <c r="G122" s="26"/>
      <c r="H122" s="10"/>
      <c r="I122" s="28">
        <f>SUM(S116:S121)</f>
        <v>1477.14</v>
      </c>
      <c r="J122" s="10">
        <f>Source!CA77</f>
        <v>41</v>
      </c>
      <c r="K122" s="28">
        <f>SUM(T116:T121)</f>
        <v>27010.89</v>
      </c>
    </row>
    <row r="123" spans="1:27" ht="14.25" x14ac:dyDescent="0.2">
      <c r="A123" s="22"/>
      <c r="B123" s="23"/>
      <c r="C123" s="23" t="s">
        <v>977</v>
      </c>
      <c r="D123" s="25" t="s">
        <v>975</v>
      </c>
      <c r="E123" s="10">
        <f>175</f>
        <v>175</v>
      </c>
      <c r="F123" s="27"/>
      <c r="G123" s="26"/>
      <c r="H123" s="10"/>
      <c r="I123" s="28">
        <f>SUM(U116:U122)</f>
        <v>2047.19</v>
      </c>
      <c r="J123" s="10">
        <f>157</f>
        <v>157</v>
      </c>
      <c r="K123" s="28">
        <f>SUM(V116:V122)</f>
        <v>45052.22</v>
      </c>
    </row>
    <row r="124" spans="1:27" ht="14.25" x14ac:dyDescent="0.2">
      <c r="A124" s="22"/>
      <c r="B124" s="23"/>
      <c r="C124" s="23" t="s">
        <v>978</v>
      </c>
      <c r="D124" s="25" t="s">
        <v>979</v>
      </c>
      <c r="E124" s="10">
        <f>Source!AQ77</f>
        <v>155</v>
      </c>
      <c r="F124" s="27"/>
      <c r="G124" s="26" t="str">
        <f>Source!DI77</f>
        <v/>
      </c>
      <c r="H124" s="10">
        <f>Source!AV77</f>
        <v>1</v>
      </c>
      <c r="I124" s="28">
        <f>Source!U77</f>
        <v>246.62049999999999</v>
      </c>
      <c r="J124" s="10"/>
      <c r="K124" s="28"/>
    </row>
    <row r="125" spans="1:27" ht="15" x14ac:dyDescent="0.25">
      <c r="A125" s="32"/>
      <c r="B125" s="32"/>
      <c r="C125" s="32"/>
      <c r="D125" s="32"/>
      <c r="E125" s="32"/>
      <c r="F125" s="32"/>
      <c r="G125" s="32"/>
      <c r="H125" s="101">
        <f>I118+I119+I121+I122+I123</f>
        <v>12676.119999999999</v>
      </c>
      <c r="I125" s="101"/>
      <c r="J125" s="101">
        <f>K118+K119+K121+K122+K123</f>
        <v>231184.57000000004</v>
      </c>
      <c r="K125" s="101"/>
      <c r="O125" s="31">
        <f>I118+I119+I121+I122+I123</f>
        <v>12676.119999999999</v>
      </c>
      <c r="P125" s="31">
        <f>K118+K119+K121+K122+K123</f>
        <v>231184.57000000004</v>
      </c>
      <c r="X125">
        <f>IF(Source!BI77&lt;=1,I118+I119+I121+I122+I123-0, 0)</f>
        <v>12676.119999999999</v>
      </c>
      <c r="Y125">
        <f>IF(Source!BI77=2,I118+I119+I121+I122+I123-0, 0)</f>
        <v>0</v>
      </c>
      <c r="Z125">
        <f>IF(Source!BI77=3,I118+I119+I121+I122+I123-0, 0)</f>
        <v>0</v>
      </c>
      <c r="AA125">
        <f>IF(Source!BI77=4,I118+I119+I121+I122+I123,0)</f>
        <v>0</v>
      </c>
    </row>
    <row r="126" spans="1:27" ht="42.75" x14ac:dyDescent="0.2">
      <c r="A126" s="22" t="str">
        <f>Source!E78</f>
        <v>12</v>
      </c>
      <c r="B126" s="23" t="str">
        <f>Source!F78</f>
        <v>6.68-51-2</v>
      </c>
      <c r="C126" s="23" t="s">
        <v>148</v>
      </c>
      <c r="D126" s="25" t="str">
        <f>Source!H78</f>
        <v>100 м3 конструкций</v>
      </c>
      <c r="E126" s="10">
        <f>Source!I78</f>
        <v>1.1365000000000001</v>
      </c>
      <c r="F126" s="27"/>
      <c r="G126" s="26"/>
      <c r="H126" s="10"/>
      <c r="I126" s="28"/>
      <c r="J126" s="10"/>
      <c r="K126" s="28"/>
      <c r="Q126">
        <f>ROUND((Source!DN78/100)*ROUND((ROUND((Source!AF78*Source!AV78*Source!I78),2)),2), 2)</f>
        <v>100.31</v>
      </c>
      <c r="R126">
        <f>Source!X78</f>
        <v>2091.56</v>
      </c>
      <c r="S126">
        <f>ROUND((Source!DO78/100)*ROUND((ROUND((Source!AF78*Source!AV78*Source!I78),2)),2), 2)</f>
        <v>68.959999999999994</v>
      </c>
      <c r="T126">
        <f>Source!Y78</f>
        <v>1261.0899999999999</v>
      </c>
      <c r="U126">
        <f>ROUND((175/100)*ROUND((ROUND((Source!AE78*Source!AV78*Source!I78),2)),2), 2)</f>
        <v>162.26</v>
      </c>
      <c r="V126">
        <f>ROUND((157/100)*ROUND(ROUND((ROUND((Source!AE78*Source!AV78*Source!I78),2)*Source!BS78),2), 2), 2)</f>
        <v>3570.84</v>
      </c>
    </row>
    <row r="127" spans="1:27" x14ac:dyDescent="0.2">
      <c r="C127" s="29" t="str">
        <f>"Объем: "&amp;Source!I78&amp;"=(2273*"&amp;"0,05)/"&amp;"100"</f>
        <v>Объем: 1,1365=(2273*0,05)/100</v>
      </c>
    </row>
    <row r="128" spans="1:27" ht="14.25" x14ac:dyDescent="0.2">
      <c r="A128" s="22"/>
      <c r="B128" s="23"/>
      <c r="C128" s="23" t="s">
        <v>970</v>
      </c>
      <c r="D128" s="25"/>
      <c r="E128" s="10"/>
      <c r="F128" s="27">
        <f>Source!AO78</f>
        <v>110.33</v>
      </c>
      <c r="G128" s="26" t="str">
        <f>Source!DG78</f>
        <v/>
      </c>
      <c r="H128" s="10">
        <f>Source!AV78</f>
        <v>1</v>
      </c>
      <c r="I128" s="28">
        <f>ROUND((ROUND((Source!AF78*Source!AV78*Source!I78),2)),2)</f>
        <v>125.39</v>
      </c>
      <c r="J128" s="10">
        <f>IF(Source!BA78&lt;&gt; 0, Source!BA78, 1)</f>
        <v>24.53</v>
      </c>
      <c r="K128" s="28">
        <f>Source!S78</f>
        <v>3075.82</v>
      </c>
      <c r="W128">
        <f>I128</f>
        <v>125.39</v>
      </c>
    </row>
    <row r="129" spans="1:27" ht="14.25" x14ac:dyDescent="0.2">
      <c r="A129" s="22"/>
      <c r="B129" s="23"/>
      <c r="C129" s="23" t="s">
        <v>971</v>
      </c>
      <c r="D129" s="25"/>
      <c r="E129" s="10"/>
      <c r="F129" s="27">
        <f>Source!AM78</f>
        <v>402.43</v>
      </c>
      <c r="G129" s="26" t="str">
        <f>Source!DE78</f>
        <v/>
      </c>
      <c r="H129" s="10">
        <f>Source!AV78</f>
        <v>1</v>
      </c>
      <c r="I129" s="28">
        <f>(ROUND((ROUND(((Source!ET78)*Source!AV78*Source!I78),2)),2)+ROUND((ROUND(((Source!AE78-(Source!EU78))*Source!AV78*Source!I78),2)),2))</f>
        <v>457.36</v>
      </c>
      <c r="J129" s="10">
        <f>IF(Source!BB78&lt;&gt; 0, Source!BB78, 1)</f>
        <v>11.05</v>
      </c>
      <c r="K129" s="28">
        <f>Source!Q78</f>
        <v>5053.83</v>
      </c>
    </row>
    <row r="130" spans="1:27" ht="14.25" x14ac:dyDescent="0.2">
      <c r="A130" s="22"/>
      <c r="B130" s="23"/>
      <c r="C130" s="23" t="s">
        <v>972</v>
      </c>
      <c r="D130" s="25"/>
      <c r="E130" s="10"/>
      <c r="F130" s="27">
        <f>Source!AN78</f>
        <v>81.58</v>
      </c>
      <c r="G130" s="26" t="str">
        <f>Source!DF78</f>
        <v/>
      </c>
      <c r="H130" s="10">
        <f>Source!AV78</f>
        <v>1</v>
      </c>
      <c r="I130" s="30">
        <f>ROUND((ROUND((Source!AE78*Source!AV78*Source!I78),2)),2)</f>
        <v>92.72</v>
      </c>
      <c r="J130" s="10">
        <f>IF(Source!BS78&lt;&gt; 0, Source!BS78, 1)</f>
        <v>24.53</v>
      </c>
      <c r="K130" s="30">
        <f>Source!R78</f>
        <v>2274.42</v>
      </c>
      <c r="W130">
        <f>I130</f>
        <v>92.72</v>
      </c>
    </row>
    <row r="131" spans="1:27" ht="14.25" x14ac:dyDescent="0.2">
      <c r="A131" s="22"/>
      <c r="B131" s="23"/>
      <c r="C131" s="23" t="s">
        <v>974</v>
      </c>
      <c r="D131" s="25" t="s">
        <v>975</v>
      </c>
      <c r="E131" s="10">
        <f>Source!DN78</f>
        <v>80</v>
      </c>
      <c r="F131" s="27"/>
      <c r="G131" s="26"/>
      <c r="H131" s="10"/>
      <c r="I131" s="28">
        <f>SUM(Q126:Q130)</f>
        <v>100.31</v>
      </c>
      <c r="J131" s="10">
        <f>Source!BZ78</f>
        <v>68</v>
      </c>
      <c r="K131" s="28">
        <f>SUM(R126:R130)</f>
        <v>2091.56</v>
      </c>
    </row>
    <row r="132" spans="1:27" ht="14.25" x14ac:dyDescent="0.2">
      <c r="A132" s="22"/>
      <c r="B132" s="23"/>
      <c r="C132" s="23" t="s">
        <v>976</v>
      </c>
      <c r="D132" s="25" t="s">
        <v>975</v>
      </c>
      <c r="E132" s="10">
        <f>Source!DO78</f>
        <v>55</v>
      </c>
      <c r="F132" s="27"/>
      <c r="G132" s="26"/>
      <c r="H132" s="10"/>
      <c r="I132" s="28">
        <f>SUM(S126:S131)</f>
        <v>68.959999999999994</v>
      </c>
      <c r="J132" s="10">
        <f>Source!CA78</f>
        <v>41</v>
      </c>
      <c r="K132" s="28">
        <f>SUM(T126:T131)</f>
        <v>1261.0899999999999</v>
      </c>
    </row>
    <row r="133" spans="1:27" ht="14.25" x14ac:dyDescent="0.2">
      <c r="A133" s="22"/>
      <c r="B133" s="23"/>
      <c r="C133" s="23" t="s">
        <v>977</v>
      </c>
      <c r="D133" s="25" t="s">
        <v>975</v>
      </c>
      <c r="E133" s="10">
        <f>175</f>
        <v>175</v>
      </c>
      <c r="F133" s="27"/>
      <c r="G133" s="26"/>
      <c r="H133" s="10"/>
      <c r="I133" s="28">
        <f>SUM(U126:U132)</f>
        <v>162.26</v>
      </c>
      <c r="J133" s="10">
        <f>157</f>
        <v>157</v>
      </c>
      <c r="K133" s="28">
        <f>SUM(V126:V132)</f>
        <v>3570.84</v>
      </c>
    </row>
    <row r="134" spans="1:27" ht="14.25" x14ac:dyDescent="0.2">
      <c r="A134" s="22"/>
      <c r="B134" s="23"/>
      <c r="C134" s="23" t="s">
        <v>978</v>
      </c>
      <c r="D134" s="25" t="s">
        <v>979</v>
      </c>
      <c r="E134" s="10">
        <f>Source!AQ78</f>
        <v>11.7</v>
      </c>
      <c r="F134" s="27"/>
      <c r="G134" s="26" t="str">
        <f>Source!DI78</f>
        <v/>
      </c>
      <c r="H134" s="10">
        <f>Source!AV78</f>
        <v>1</v>
      </c>
      <c r="I134" s="28">
        <f>Source!U78</f>
        <v>13.29705</v>
      </c>
      <c r="J134" s="10"/>
      <c r="K134" s="28"/>
    </row>
    <row r="135" spans="1:27" ht="15" x14ac:dyDescent="0.25">
      <c r="A135" s="32"/>
      <c r="B135" s="32"/>
      <c r="C135" s="32"/>
      <c r="D135" s="32"/>
      <c r="E135" s="32"/>
      <c r="F135" s="32"/>
      <c r="G135" s="32"/>
      <c r="H135" s="101">
        <f>I128+I129+I131+I132+I133</f>
        <v>914.28</v>
      </c>
      <c r="I135" s="101"/>
      <c r="J135" s="101">
        <f>K128+K129+K131+K132+K133</f>
        <v>15053.14</v>
      </c>
      <c r="K135" s="101"/>
      <c r="O135" s="31">
        <f>I128+I129+I131+I132+I133</f>
        <v>914.28</v>
      </c>
      <c r="P135" s="31">
        <f>K128+K129+K131+K132+K133</f>
        <v>15053.14</v>
      </c>
      <c r="X135">
        <f>IF(Source!BI78&lt;=1,I128+I129+I131+I132+I133-0, 0)</f>
        <v>914.28</v>
      </c>
      <c r="Y135">
        <f>IF(Source!BI78=2,I128+I129+I131+I132+I133-0, 0)</f>
        <v>0</v>
      </c>
      <c r="Z135">
        <f>IF(Source!BI78=3,I128+I129+I131+I132+I133-0, 0)</f>
        <v>0</v>
      </c>
      <c r="AA135">
        <f>IF(Source!BI78=4,I128+I129+I131+I132+I133,0)</f>
        <v>0</v>
      </c>
    </row>
    <row r="136" spans="1:27" ht="42.75" x14ac:dyDescent="0.2">
      <c r="A136" s="22" t="str">
        <f>Source!E80</f>
        <v>14</v>
      </c>
      <c r="B136" s="23" t="str">
        <f>Source!F80</f>
        <v>6.69-19-1</v>
      </c>
      <c r="C136" s="23" t="s">
        <v>37</v>
      </c>
      <c r="D136" s="25" t="str">
        <f>Source!H80</f>
        <v>1 Т</v>
      </c>
      <c r="E136" s="10">
        <f>Source!I80</f>
        <v>56.370399999999997</v>
      </c>
      <c r="F136" s="27"/>
      <c r="G136" s="26"/>
      <c r="H136" s="10"/>
      <c r="I136" s="28"/>
      <c r="J136" s="10"/>
      <c r="K136" s="28"/>
      <c r="Q136">
        <f>ROUND((Source!DN80/100)*ROUND((ROUND((Source!AF80*Source!AV80*Source!I80),2)),2), 2)</f>
        <v>493.47</v>
      </c>
      <c r="R136">
        <f>Source!X80</f>
        <v>9710.5499999999993</v>
      </c>
      <c r="S136">
        <f>ROUND((Source!DO80/100)*ROUND((ROUND((Source!AF80*Source!AV80*Source!I80),2)),2), 2)</f>
        <v>379.6</v>
      </c>
      <c r="T136">
        <f>Source!Y80</f>
        <v>5453.87</v>
      </c>
      <c r="U136">
        <f>ROUND((175/100)*ROUND((ROUND((Source!AE80*Source!AV80*Source!I80),2)),2), 2)</f>
        <v>0</v>
      </c>
      <c r="V136">
        <f>ROUND((157/100)*ROUND(ROUND((ROUND((Source!AE80*Source!AV80*Source!I80),2)*Source!BS80),2), 2), 2)</f>
        <v>0</v>
      </c>
    </row>
    <row r="137" spans="1:27" ht="25.5" x14ac:dyDescent="0.2">
      <c r="C137" s="29" t="str">
        <f>"Объем: "&amp;Source!I80&amp;"=159,11*"&amp;"2,4*"&amp;"0,1+"&amp;"1,1365*"&amp;"100*"&amp;"1,6*"&amp;"0,1"</f>
        <v>Объем: 56,3704=159,11*2,4*0,1+1,1365*100*1,6*0,1</v>
      </c>
    </row>
    <row r="138" spans="1:27" ht="14.25" x14ac:dyDescent="0.2">
      <c r="A138" s="22"/>
      <c r="B138" s="23"/>
      <c r="C138" s="23" t="s">
        <v>970</v>
      </c>
      <c r="D138" s="25"/>
      <c r="E138" s="10"/>
      <c r="F138" s="27">
        <f>Source!AO80</f>
        <v>9.6199999999999992</v>
      </c>
      <c r="G138" s="26" t="str">
        <f>Source!DG80</f>
        <v/>
      </c>
      <c r="H138" s="10">
        <f>Source!AV80</f>
        <v>1</v>
      </c>
      <c r="I138" s="28">
        <f>ROUND((ROUND((Source!AF80*Source!AV80*Source!I80),2)),2)</f>
        <v>542.28</v>
      </c>
      <c r="J138" s="10">
        <f>IF(Source!BA80&lt;&gt; 0, Source!BA80, 1)</f>
        <v>24.53</v>
      </c>
      <c r="K138" s="28">
        <f>Source!S80</f>
        <v>13302.13</v>
      </c>
      <c r="W138">
        <f>I138</f>
        <v>542.28</v>
      </c>
    </row>
    <row r="139" spans="1:27" ht="14.25" x14ac:dyDescent="0.2">
      <c r="A139" s="22"/>
      <c r="B139" s="23"/>
      <c r="C139" s="23" t="s">
        <v>974</v>
      </c>
      <c r="D139" s="25" t="s">
        <v>975</v>
      </c>
      <c r="E139" s="10">
        <f>Source!DN80</f>
        <v>91</v>
      </c>
      <c r="F139" s="27"/>
      <c r="G139" s="26"/>
      <c r="H139" s="10"/>
      <c r="I139" s="28">
        <f>SUM(Q136:Q138)</f>
        <v>493.47</v>
      </c>
      <c r="J139" s="10">
        <f>Source!BZ80</f>
        <v>73</v>
      </c>
      <c r="K139" s="28">
        <f>SUM(R136:R138)</f>
        <v>9710.5499999999993</v>
      </c>
    </row>
    <row r="140" spans="1:27" ht="14.25" x14ac:dyDescent="0.2">
      <c r="A140" s="22"/>
      <c r="B140" s="23"/>
      <c r="C140" s="23" t="s">
        <v>976</v>
      </c>
      <c r="D140" s="25" t="s">
        <v>975</v>
      </c>
      <c r="E140" s="10">
        <f>Source!DO80</f>
        <v>70</v>
      </c>
      <c r="F140" s="27"/>
      <c r="G140" s="26"/>
      <c r="H140" s="10"/>
      <c r="I140" s="28">
        <f>SUM(S136:S139)</f>
        <v>379.6</v>
      </c>
      <c r="J140" s="10">
        <f>Source!CA80</f>
        <v>41</v>
      </c>
      <c r="K140" s="28">
        <f>SUM(T136:T139)</f>
        <v>5453.87</v>
      </c>
    </row>
    <row r="141" spans="1:27" ht="14.25" x14ac:dyDescent="0.2">
      <c r="A141" s="22"/>
      <c r="B141" s="23"/>
      <c r="C141" s="23" t="s">
        <v>978</v>
      </c>
      <c r="D141" s="25" t="s">
        <v>979</v>
      </c>
      <c r="E141" s="10">
        <f>Source!AQ80</f>
        <v>1.02</v>
      </c>
      <c r="F141" s="27"/>
      <c r="G141" s="26" t="str">
        <f>Source!DI80</f>
        <v/>
      </c>
      <c r="H141" s="10">
        <f>Source!AV80</f>
        <v>1</v>
      </c>
      <c r="I141" s="28">
        <f>Source!U80</f>
        <v>57.497807999999999</v>
      </c>
      <c r="J141" s="10"/>
      <c r="K141" s="28"/>
    </row>
    <row r="142" spans="1:27" ht="15" x14ac:dyDescent="0.25">
      <c r="A142" s="32"/>
      <c r="B142" s="32"/>
      <c r="C142" s="32"/>
      <c r="D142" s="32"/>
      <c r="E142" s="32"/>
      <c r="F142" s="32"/>
      <c r="G142" s="32"/>
      <c r="H142" s="101">
        <f>I138+I139+I140</f>
        <v>1415.35</v>
      </c>
      <c r="I142" s="101"/>
      <c r="J142" s="101">
        <f>K138+K139+K140</f>
        <v>28466.55</v>
      </c>
      <c r="K142" s="101"/>
      <c r="O142" s="31">
        <f>I138+I139+I140</f>
        <v>1415.35</v>
      </c>
      <c r="P142" s="31">
        <f>K138+K139+K140</f>
        <v>28466.55</v>
      </c>
      <c r="X142">
        <f>IF(Source!BI80&lt;=1,I138+I139+I140-0, 0)</f>
        <v>1415.35</v>
      </c>
      <c r="Y142">
        <f>IF(Source!BI80=2,I138+I139+I140-0, 0)</f>
        <v>0</v>
      </c>
      <c r="Z142">
        <f>IF(Source!BI80=3,I138+I139+I140-0, 0)</f>
        <v>0</v>
      </c>
      <c r="AA142">
        <f>IF(Source!BI80=4,I138+I139+I140,0)</f>
        <v>0</v>
      </c>
    </row>
    <row r="143" spans="1:27" ht="42.75" x14ac:dyDescent="0.2">
      <c r="A143" s="22" t="str">
        <f>Source!E84</f>
        <v>18</v>
      </c>
      <c r="B143" s="23" t="str">
        <f>Source!F84</f>
        <v>6.68-27-1</v>
      </c>
      <c r="C143" s="23" t="s">
        <v>58</v>
      </c>
      <c r="D143" s="25" t="str">
        <f>Source!H84</f>
        <v>1000 м2 площади основания</v>
      </c>
      <c r="E143" s="10">
        <f>Source!I84</f>
        <v>0.68189999999999995</v>
      </c>
      <c r="F143" s="27"/>
      <c r="G143" s="26"/>
      <c r="H143" s="10"/>
      <c r="I143" s="28"/>
      <c r="J143" s="10"/>
      <c r="K143" s="28"/>
      <c r="Q143">
        <f>ROUND((Source!DN84/100)*ROUND((ROUND((Source!AF84*Source!AV84*Source!I84),2)),2), 2)</f>
        <v>883.32</v>
      </c>
      <c r="R143">
        <f>Source!X84</f>
        <v>17334.2</v>
      </c>
      <c r="S143">
        <f>ROUND((Source!DO84/100)*ROUND((ROUND((Source!AF84*Source!AV84*Source!I84),2)),2), 2)</f>
        <v>498.44</v>
      </c>
      <c r="T143">
        <f>Source!Y84</f>
        <v>6345.55</v>
      </c>
      <c r="U143">
        <f>ROUND((175/100)*ROUND((ROUND((Source!AE84*Source!AV84*Source!I84),2)),2), 2)</f>
        <v>1182.2</v>
      </c>
      <c r="V143">
        <f>ROUND((157/100)*ROUND(ROUND((ROUND((Source!AE84*Source!AV84*Source!I84),2)*Source!BS84),2), 2), 2)</f>
        <v>26016.47</v>
      </c>
    </row>
    <row r="144" spans="1:27" x14ac:dyDescent="0.2">
      <c r="C144" s="29" t="str">
        <f>"Объем: "&amp;Source!I84&amp;"=(2273*"&amp;"0,3)/"&amp;"1000"</f>
        <v>Объем: 0,6819=(2273*0,3)/1000</v>
      </c>
    </row>
    <row r="145" spans="1:27" ht="14.25" x14ac:dyDescent="0.2">
      <c r="A145" s="22"/>
      <c r="B145" s="23"/>
      <c r="C145" s="23" t="s">
        <v>970</v>
      </c>
      <c r="D145" s="25"/>
      <c r="E145" s="10"/>
      <c r="F145" s="27">
        <f>Source!AO84</f>
        <v>925.27</v>
      </c>
      <c r="G145" s="26" t="str">
        <f>Source!DG84</f>
        <v/>
      </c>
      <c r="H145" s="10">
        <f>Source!AV84</f>
        <v>1</v>
      </c>
      <c r="I145" s="28">
        <f>ROUND((ROUND((Source!AF84*Source!AV84*Source!I84),2)),2)</f>
        <v>630.94000000000005</v>
      </c>
      <c r="J145" s="10">
        <f>IF(Source!BA84&lt;&gt; 0, Source!BA84, 1)</f>
        <v>24.53</v>
      </c>
      <c r="K145" s="28">
        <f>Source!S84</f>
        <v>15476.96</v>
      </c>
      <c r="W145">
        <f>I145</f>
        <v>630.94000000000005</v>
      </c>
    </row>
    <row r="146" spans="1:27" ht="14.25" x14ac:dyDescent="0.2">
      <c r="A146" s="22"/>
      <c r="B146" s="23"/>
      <c r="C146" s="23" t="s">
        <v>971</v>
      </c>
      <c r="D146" s="25"/>
      <c r="E146" s="10"/>
      <c r="F146" s="27">
        <f>Source!AM84</f>
        <v>11199.88</v>
      </c>
      <c r="G146" s="26" t="str">
        <f>Source!DE84</f>
        <v/>
      </c>
      <c r="H146" s="10">
        <f>Source!AV84</f>
        <v>1</v>
      </c>
      <c r="I146" s="28">
        <f>(ROUND((ROUND(((Source!ET84)*Source!AV84*Source!I84),2)),2)+ROUND((ROUND(((Source!AE84-(Source!EU84))*Source!AV84*Source!I84),2)),2))</f>
        <v>7637.2</v>
      </c>
      <c r="J146" s="10">
        <f>IF(Source!BB84&lt;&gt; 0, Source!BB84, 1)</f>
        <v>8.5500000000000007</v>
      </c>
      <c r="K146" s="28">
        <f>Source!Q84</f>
        <v>65298.06</v>
      </c>
    </row>
    <row r="147" spans="1:27" ht="14.25" x14ac:dyDescent="0.2">
      <c r="A147" s="22"/>
      <c r="B147" s="23"/>
      <c r="C147" s="23" t="s">
        <v>972</v>
      </c>
      <c r="D147" s="25"/>
      <c r="E147" s="10"/>
      <c r="F147" s="27">
        <f>Source!AN84</f>
        <v>990.67</v>
      </c>
      <c r="G147" s="26" t="str">
        <f>Source!DF84</f>
        <v/>
      </c>
      <c r="H147" s="10">
        <f>Source!AV84</f>
        <v>1</v>
      </c>
      <c r="I147" s="30">
        <f>ROUND((ROUND((Source!AE84*Source!AV84*Source!I84),2)),2)</f>
        <v>675.54</v>
      </c>
      <c r="J147" s="10">
        <f>IF(Source!BS84&lt;&gt; 0, Source!BS84, 1)</f>
        <v>24.53</v>
      </c>
      <c r="K147" s="30">
        <f>Source!R84</f>
        <v>16571</v>
      </c>
      <c r="W147">
        <f>I147</f>
        <v>675.54</v>
      </c>
    </row>
    <row r="148" spans="1:27" ht="14.25" x14ac:dyDescent="0.2">
      <c r="A148" s="22"/>
      <c r="B148" s="23"/>
      <c r="C148" s="23" t="s">
        <v>973</v>
      </c>
      <c r="D148" s="25"/>
      <c r="E148" s="10"/>
      <c r="F148" s="27">
        <f>Source!AL84</f>
        <v>2083.4499999999998</v>
      </c>
      <c r="G148" s="26" t="str">
        <f>Source!DD84</f>
        <v/>
      </c>
      <c r="H148" s="10">
        <f>Source!AW84</f>
        <v>1</v>
      </c>
      <c r="I148" s="28">
        <f>ROUND((ROUND((Source!AC84*Source!AW84*Source!I84),2)),2)</f>
        <v>1420.7</v>
      </c>
      <c r="J148" s="10">
        <f>IF(Source!BC84&lt;&gt; 0, Source!BC84, 1)</f>
        <v>11.35</v>
      </c>
      <c r="K148" s="28">
        <f>Source!P84</f>
        <v>16124.95</v>
      </c>
    </row>
    <row r="149" spans="1:27" ht="42.75" x14ac:dyDescent="0.2">
      <c r="A149" s="22" t="str">
        <f>Source!E85</f>
        <v>18,1</v>
      </c>
      <c r="B149" s="23" t="str">
        <f>Source!F85</f>
        <v>1.1-1-1550</v>
      </c>
      <c r="C149" s="23" t="s">
        <v>65</v>
      </c>
      <c r="D149" s="25" t="str">
        <f>Source!H85</f>
        <v>м3</v>
      </c>
      <c r="E149" s="10">
        <f>Source!I85</f>
        <v>85.919399999999996</v>
      </c>
      <c r="F149" s="27">
        <f>Source!AK85</f>
        <v>173.37</v>
      </c>
      <c r="G149" s="33" t="s">
        <v>3</v>
      </c>
      <c r="H149" s="10">
        <f>Source!AW85</f>
        <v>1</v>
      </c>
      <c r="I149" s="28">
        <f>ROUND((ROUND((Source!AC85*Source!AW85*Source!I85),2)),2)+(ROUND((ROUND(((Source!ET85)*Source!AV85*Source!I85),2)),2)+ROUND((ROUND(((Source!AE85-(Source!EU85))*Source!AV85*Source!I85),2)),2))+ROUND((ROUND((Source!AF85*Source!AV85*Source!I85),2)),2)</f>
        <v>14895.85</v>
      </c>
      <c r="J149" s="10">
        <f>IF(Source!BC85&lt;&gt; 0, Source!BC85, 1)</f>
        <v>10.78</v>
      </c>
      <c r="K149" s="28">
        <f>Source!O85</f>
        <v>160577.26</v>
      </c>
      <c r="Q149">
        <f>ROUND((Source!DN85/100)*ROUND((ROUND((Source!AF85*Source!AV85*Source!I85),2)),2), 2)</f>
        <v>0</v>
      </c>
      <c r="R149">
        <f>Source!X85</f>
        <v>0</v>
      </c>
      <c r="S149">
        <f>ROUND((Source!DO85/100)*ROUND((ROUND((Source!AF85*Source!AV85*Source!I85),2)),2), 2)</f>
        <v>0</v>
      </c>
      <c r="T149">
        <f>Source!Y85</f>
        <v>0</v>
      </c>
      <c r="U149">
        <f>ROUND((175/100)*ROUND((ROUND((Source!AE85*Source!AV85*Source!I85),2)),2), 2)</f>
        <v>0</v>
      </c>
      <c r="V149">
        <f>ROUND((157/100)*ROUND(ROUND((ROUND((Source!AE85*Source!AV85*Source!I85),2)*Source!BS85),2), 2), 2)</f>
        <v>0</v>
      </c>
      <c r="X149">
        <f>IF(Source!BI85&lt;=1,I149, 0)</f>
        <v>14895.85</v>
      </c>
      <c r="Y149">
        <f>IF(Source!BI85=2,I149, 0)</f>
        <v>0</v>
      </c>
      <c r="Z149">
        <f>IF(Source!BI85=3,I149, 0)</f>
        <v>0</v>
      </c>
      <c r="AA149">
        <f>IF(Source!BI85=4,I149, 0)</f>
        <v>0</v>
      </c>
    </row>
    <row r="150" spans="1:27" ht="14.25" x14ac:dyDescent="0.2">
      <c r="A150" s="22"/>
      <c r="B150" s="23"/>
      <c r="C150" s="23" t="s">
        <v>974</v>
      </c>
      <c r="D150" s="25" t="s">
        <v>975</v>
      </c>
      <c r="E150" s="10">
        <f>Source!DN84</f>
        <v>140</v>
      </c>
      <c r="F150" s="27"/>
      <c r="G150" s="26"/>
      <c r="H150" s="10"/>
      <c r="I150" s="28">
        <f>SUM(Q143:Q149)</f>
        <v>883.32</v>
      </c>
      <c r="J150" s="10">
        <f>Source!BZ84</f>
        <v>112</v>
      </c>
      <c r="K150" s="28">
        <f>SUM(R143:R149)</f>
        <v>17334.2</v>
      </c>
    </row>
    <row r="151" spans="1:27" ht="14.25" x14ac:dyDescent="0.2">
      <c r="A151" s="22"/>
      <c r="B151" s="23"/>
      <c r="C151" s="23" t="s">
        <v>976</v>
      </c>
      <c r="D151" s="25" t="s">
        <v>975</v>
      </c>
      <c r="E151" s="10">
        <f>Source!DO84</f>
        <v>79</v>
      </c>
      <c r="F151" s="27"/>
      <c r="G151" s="26"/>
      <c r="H151" s="10"/>
      <c r="I151" s="28">
        <f>SUM(S143:S150)</f>
        <v>498.44</v>
      </c>
      <c r="J151" s="10">
        <f>Source!CA84</f>
        <v>41</v>
      </c>
      <c r="K151" s="28">
        <f>SUM(T143:T150)</f>
        <v>6345.55</v>
      </c>
    </row>
    <row r="152" spans="1:27" ht="14.25" x14ac:dyDescent="0.2">
      <c r="A152" s="22"/>
      <c r="B152" s="23"/>
      <c r="C152" s="23" t="s">
        <v>977</v>
      </c>
      <c r="D152" s="25" t="s">
        <v>975</v>
      </c>
      <c r="E152" s="10">
        <f>175</f>
        <v>175</v>
      </c>
      <c r="F152" s="27"/>
      <c r="G152" s="26"/>
      <c r="H152" s="10"/>
      <c r="I152" s="28">
        <f>SUM(U143:U151)</f>
        <v>1182.2</v>
      </c>
      <c r="J152" s="10">
        <f>157</f>
        <v>157</v>
      </c>
      <c r="K152" s="28">
        <f>SUM(V143:V151)</f>
        <v>26016.47</v>
      </c>
    </row>
    <row r="153" spans="1:27" ht="14.25" x14ac:dyDescent="0.2">
      <c r="A153" s="22"/>
      <c r="B153" s="23"/>
      <c r="C153" s="23" t="s">
        <v>978</v>
      </c>
      <c r="D153" s="25" t="s">
        <v>979</v>
      </c>
      <c r="E153" s="10">
        <f>Source!AQ84</f>
        <v>87.29</v>
      </c>
      <c r="F153" s="27"/>
      <c r="G153" s="26" t="str">
        <f>Source!DI84</f>
        <v/>
      </c>
      <c r="H153" s="10">
        <f>Source!AV84</f>
        <v>1</v>
      </c>
      <c r="I153" s="28">
        <f>Source!U84</f>
        <v>59.523051000000002</v>
      </c>
      <c r="J153" s="10"/>
      <c r="K153" s="28"/>
    </row>
    <row r="154" spans="1:27" ht="15" x14ac:dyDescent="0.25">
      <c r="A154" s="32"/>
      <c r="B154" s="32"/>
      <c r="C154" s="32"/>
      <c r="D154" s="32"/>
      <c r="E154" s="32"/>
      <c r="F154" s="32"/>
      <c r="G154" s="32"/>
      <c r="H154" s="101">
        <f>I145+I146+I148+I150+I151+I152+SUM(I149:I149)</f>
        <v>27148.65</v>
      </c>
      <c r="I154" s="101"/>
      <c r="J154" s="101">
        <f>K145+K146+K148+K150+K151+K152+SUM(K149:K149)</f>
        <v>307173.45</v>
      </c>
      <c r="K154" s="101"/>
      <c r="O154" s="31">
        <f>I145+I146+I148+I150+I151+I152+SUM(I149:I149)</f>
        <v>27148.65</v>
      </c>
      <c r="P154" s="31">
        <f>K145+K146+K148+K150+K151+K152+SUM(K149:K149)</f>
        <v>307173.45</v>
      </c>
      <c r="X154">
        <f>IF(Source!BI84&lt;=1,I145+I146+I148+I150+I151+I152-0, 0)</f>
        <v>12252.800000000001</v>
      </c>
      <c r="Y154">
        <f>IF(Source!BI84=2,I145+I146+I148+I150+I151+I152-0, 0)</f>
        <v>0</v>
      </c>
      <c r="Z154">
        <f>IF(Source!BI84=3,I145+I146+I148+I150+I151+I152-0, 0)</f>
        <v>0</v>
      </c>
      <c r="AA154">
        <f>IF(Source!BI84=4,I145+I146+I148+I150+I151+I152,0)</f>
        <v>0</v>
      </c>
    </row>
    <row r="155" spans="1:27" ht="71.25" x14ac:dyDescent="0.2">
      <c r="A155" s="22" t="str">
        <f>Source!E86</f>
        <v>19</v>
      </c>
      <c r="B155" s="23" t="str">
        <f>Source!F86</f>
        <v>3.27-47-4</v>
      </c>
      <c r="C155" s="23" t="s">
        <v>162</v>
      </c>
      <c r="D155" s="25" t="str">
        <f>Source!H86</f>
        <v>100 м2 покрытия</v>
      </c>
      <c r="E155" s="10">
        <f>Source!I86</f>
        <v>22.73</v>
      </c>
      <c r="F155" s="27"/>
      <c r="G155" s="26"/>
      <c r="H155" s="10"/>
      <c r="I155" s="28"/>
      <c r="J155" s="10"/>
      <c r="K155" s="28"/>
      <c r="Q155">
        <f>ROUND((Source!DN86/100)*ROUND((ROUND((Source!AF86*Source!AV86*Source!I86),2)),2), 2)</f>
        <v>3283.09</v>
      </c>
      <c r="R155">
        <f>Source!X86</f>
        <v>63706.23</v>
      </c>
      <c r="S155">
        <f>ROUND((Source!DO86/100)*ROUND((ROUND((Source!AF86*Source!AV86*Source!I86),2)),2), 2)</f>
        <v>2033.56</v>
      </c>
      <c r="T155">
        <f>Source!Y86</f>
        <v>24641.09</v>
      </c>
      <c r="U155">
        <f>ROUND((175/100)*ROUND((ROUND((Source!AE86*Source!AV86*Source!I86),2)),2), 2)</f>
        <v>645.19000000000005</v>
      </c>
      <c r="V155">
        <f>ROUND((157/100)*ROUND(ROUND((ROUND((Source!AE86*Source!AV86*Source!I86),2)*Source!BS86),2), 2), 2)</f>
        <v>14198.64</v>
      </c>
    </row>
    <row r="156" spans="1:27" x14ac:dyDescent="0.2">
      <c r="C156" s="29" t="str">
        <f>"Объем: "&amp;Source!I86&amp;"=2273/"&amp;"100"</f>
        <v>Объем: 22,73=2273/100</v>
      </c>
    </row>
    <row r="157" spans="1:27" ht="14.25" x14ac:dyDescent="0.2">
      <c r="A157" s="22"/>
      <c r="B157" s="23"/>
      <c r="C157" s="23" t="s">
        <v>970</v>
      </c>
      <c r="D157" s="25"/>
      <c r="E157" s="10"/>
      <c r="F157" s="27">
        <f>Source!AO86</f>
        <v>107.79</v>
      </c>
      <c r="G157" s="26" t="str">
        <f>Source!DG86</f>
        <v/>
      </c>
      <c r="H157" s="10">
        <f>Source!AV86</f>
        <v>1</v>
      </c>
      <c r="I157" s="28">
        <f>ROUND((ROUND((Source!AF86*Source!AV86*Source!I86),2)),2)</f>
        <v>2450.0700000000002</v>
      </c>
      <c r="J157" s="10">
        <f>IF(Source!BA86&lt;&gt; 0, Source!BA86, 1)</f>
        <v>24.53</v>
      </c>
      <c r="K157" s="28">
        <f>Source!S86</f>
        <v>60100.22</v>
      </c>
      <c r="W157">
        <f>I157</f>
        <v>2450.0700000000002</v>
      </c>
    </row>
    <row r="158" spans="1:27" ht="14.25" x14ac:dyDescent="0.2">
      <c r="A158" s="22"/>
      <c r="B158" s="23"/>
      <c r="C158" s="23" t="s">
        <v>971</v>
      </c>
      <c r="D158" s="25"/>
      <c r="E158" s="10"/>
      <c r="F158" s="27">
        <f>Source!AM86</f>
        <v>60.22</v>
      </c>
      <c r="G158" s="26" t="str">
        <f>Source!DE86</f>
        <v/>
      </c>
      <c r="H158" s="10">
        <f>Source!AV86</f>
        <v>1</v>
      </c>
      <c r="I158" s="28">
        <f>(ROUND((ROUND(((Source!ET86)*Source!AV86*Source!I86),2)),2)+ROUND((ROUND(((Source!AE86-(Source!EU86))*Source!AV86*Source!I86),2)),2))</f>
        <v>1368.8</v>
      </c>
      <c r="J158" s="10">
        <f>IF(Source!BB86&lt;&gt; 0, Source!BB86, 1)</f>
        <v>8.2200000000000006</v>
      </c>
      <c r="K158" s="28">
        <f>Source!Q86</f>
        <v>11251.54</v>
      </c>
    </row>
    <row r="159" spans="1:27" ht="14.25" x14ac:dyDescent="0.2">
      <c r="A159" s="22"/>
      <c r="B159" s="23"/>
      <c r="C159" s="23" t="s">
        <v>972</v>
      </c>
      <c r="D159" s="25"/>
      <c r="E159" s="10"/>
      <c r="F159" s="27">
        <f>Source!AN86</f>
        <v>16.22</v>
      </c>
      <c r="G159" s="26" t="str">
        <f>Source!DF86</f>
        <v/>
      </c>
      <c r="H159" s="10">
        <f>Source!AV86</f>
        <v>1</v>
      </c>
      <c r="I159" s="30">
        <f>ROUND((ROUND((Source!AE86*Source!AV86*Source!I86),2)),2)</f>
        <v>368.68</v>
      </c>
      <c r="J159" s="10">
        <f>IF(Source!BS86&lt;&gt; 0, Source!BS86, 1)</f>
        <v>24.53</v>
      </c>
      <c r="K159" s="30">
        <f>Source!R86</f>
        <v>9043.7199999999993</v>
      </c>
      <c r="W159">
        <f>I159</f>
        <v>368.68</v>
      </c>
    </row>
    <row r="160" spans="1:27" ht="14.25" x14ac:dyDescent="0.2">
      <c r="A160" s="22"/>
      <c r="B160" s="23"/>
      <c r="C160" s="23" t="s">
        <v>973</v>
      </c>
      <c r="D160" s="25"/>
      <c r="E160" s="10"/>
      <c r="F160" s="27">
        <f>Source!AL86</f>
        <v>210.11</v>
      </c>
      <c r="G160" s="26" t="str">
        <f>Source!DD86</f>
        <v/>
      </c>
      <c r="H160" s="10">
        <f>Source!AW86</f>
        <v>1</v>
      </c>
      <c r="I160" s="28">
        <f>ROUND((ROUND((Source!AC86*Source!AW86*Source!I86),2)),2)</f>
        <v>4775.8</v>
      </c>
      <c r="J160" s="10">
        <f>IF(Source!BC86&lt;&gt; 0, Source!BC86, 1)</f>
        <v>6.2</v>
      </c>
      <c r="K160" s="28">
        <f>Source!P86</f>
        <v>29609.96</v>
      </c>
    </row>
    <row r="161" spans="1:38" ht="28.5" x14ac:dyDescent="0.2">
      <c r="A161" s="22" t="str">
        <f>Source!E87</f>
        <v>19,1</v>
      </c>
      <c r="B161" s="23" t="str">
        <f>Source!F87</f>
        <v>1.3-3-51</v>
      </c>
      <c r="C161" s="23" t="s">
        <v>168</v>
      </c>
      <c r="D161" s="25" t="str">
        <f>Source!H87</f>
        <v>т</v>
      </c>
      <c r="E161" s="10">
        <f>Source!I87</f>
        <v>347.76900000000001</v>
      </c>
      <c r="F161" s="27">
        <f>Source!AK87</f>
        <v>317.95999999999998</v>
      </c>
      <c r="G161" s="33" t="s">
        <v>3</v>
      </c>
      <c r="H161" s="10">
        <f>Source!AW87</f>
        <v>1</v>
      </c>
      <c r="I161" s="28">
        <f>ROUND((ROUND((Source!AC87*Source!AW87*Source!I87),2)),2)+(ROUND((ROUND(((Source!ET87)*Source!AV87*Source!I87),2)),2)+ROUND((ROUND(((Source!AE87-(Source!EU87))*Source!AV87*Source!I87),2)),2))+ROUND((ROUND((Source!AF87*Source!AV87*Source!I87),2)),2)</f>
        <v>110576.63</v>
      </c>
      <c r="J161" s="10">
        <f>IF(Source!BC87&lt;&gt; 0, Source!BC87, 1)</f>
        <v>8.24</v>
      </c>
      <c r="K161" s="28">
        <f>Source!O87</f>
        <v>911151.43</v>
      </c>
      <c r="Q161">
        <f>ROUND((Source!DN87/100)*ROUND((ROUND((Source!AF87*Source!AV87*Source!I87),2)),2), 2)</f>
        <v>0</v>
      </c>
      <c r="R161">
        <f>Source!X87</f>
        <v>0</v>
      </c>
      <c r="S161">
        <f>ROUND((Source!DO87/100)*ROUND((ROUND((Source!AF87*Source!AV87*Source!I87),2)),2), 2)</f>
        <v>0</v>
      </c>
      <c r="T161">
        <f>Source!Y87</f>
        <v>0</v>
      </c>
      <c r="U161">
        <f>ROUND((175/100)*ROUND((ROUND((Source!AE87*Source!AV87*Source!I87),2)),2), 2)</f>
        <v>0</v>
      </c>
      <c r="V161">
        <f>ROUND((157/100)*ROUND(ROUND((ROUND((Source!AE87*Source!AV87*Source!I87),2)*Source!BS87),2), 2), 2)</f>
        <v>0</v>
      </c>
      <c r="X161">
        <f>IF(Source!BI87&lt;=1,I161, 0)</f>
        <v>110576.63</v>
      </c>
      <c r="Y161">
        <f>IF(Source!BI87=2,I161, 0)</f>
        <v>0</v>
      </c>
      <c r="Z161">
        <f>IF(Source!BI87=3,I161, 0)</f>
        <v>0</v>
      </c>
      <c r="AA161">
        <f>IF(Source!BI87=4,I161, 0)</f>
        <v>0</v>
      </c>
    </row>
    <row r="162" spans="1:38" ht="14.25" x14ac:dyDescent="0.2">
      <c r="A162" s="22"/>
      <c r="B162" s="23"/>
      <c r="C162" s="23" t="s">
        <v>974</v>
      </c>
      <c r="D162" s="25" t="s">
        <v>975</v>
      </c>
      <c r="E162" s="10">
        <f>Source!DN86</f>
        <v>134</v>
      </c>
      <c r="F162" s="27"/>
      <c r="G162" s="26"/>
      <c r="H162" s="10"/>
      <c r="I162" s="28">
        <f>SUM(Q155:Q161)</f>
        <v>3283.09</v>
      </c>
      <c r="J162" s="10">
        <f>Source!BZ86</f>
        <v>106</v>
      </c>
      <c r="K162" s="28">
        <f>SUM(R155:R161)</f>
        <v>63706.23</v>
      </c>
    </row>
    <row r="163" spans="1:38" ht="14.25" x14ac:dyDescent="0.2">
      <c r="A163" s="22"/>
      <c r="B163" s="23"/>
      <c r="C163" s="23" t="s">
        <v>976</v>
      </c>
      <c r="D163" s="25" t="s">
        <v>975</v>
      </c>
      <c r="E163" s="10">
        <f>Source!DO86</f>
        <v>83</v>
      </c>
      <c r="F163" s="27"/>
      <c r="G163" s="26"/>
      <c r="H163" s="10"/>
      <c r="I163" s="28">
        <f>SUM(S155:S162)</f>
        <v>2033.56</v>
      </c>
      <c r="J163" s="10">
        <f>Source!CA86</f>
        <v>41</v>
      </c>
      <c r="K163" s="28">
        <f>SUM(T155:T162)</f>
        <v>24641.09</v>
      </c>
    </row>
    <row r="164" spans="1:38" ht="14.25" x14ac:dyDescent="0.2">
      <c r="A164" s="22"/>
      <c r="B164" s="23"/>
      <c r="C164" s="23" t="s">
        <v>977</v>
      </c>
      <c r="D164" s="25" t="s">
        <v>975</v>
      </c>
      <c r="E164" s="10">
        <f>175</f>
        <v>175</v>
      </c>
      <c r="F164" s="27"/>
      <c r="G164" s="26"/>
      <c r="H164" s="10"/>
      <c r="I164" s="28">
        <f>SUM(U155:U163)</f>
        <v>645.19000000000005</v>
      </c>
      <c r="J164" s="10">
        <f>157</f>
        <v>157</v>
      </c>
      <c r="K164" s="28">
        <f>SUM(V155:V163)</f>
        <v>14198.64</v>
      </c>
    </row>
    <row r="165" spans="1:38" ht="14.25" x14ac:dyDescent="0.2">
      <c r="A165" s="22"/>
      <c r="B165" s="23"/>
      <c r="C165" s="23" t="s">
        <v>978</v>
      </c>
      <c r="D165" s="25" t="s">
        <v>979</v>
      </c>
      <c r="E165" s="10">
        <f>Source!AQ86</f>
        <v>8.9600000000000009</v>
      </c>
      <c r="F165" s="27"/>
      <c r="G165" s="26" t="str">
        <f>Source!DI86</f>
        <v/>
      </c>
      <c r="H165" s="10">
        <f>Source!AV86</f>
        <v>1</v>
      </c>
      <c r="I165" s="28">
        <f>Source!U86</f>
        <v>203.66080000000002</v>
      </c>
      <c r="J165" s="10"/>
      <c r="K165" s="28"/>
    </row>
    <row r="166" spans="1:38" ht="15" x14ac:dyDescent="0.25">
      <c r="A166" s="32"/>
      <c r="B166" s="32"/>
      <c r="C166" s="32"/>
      <c r="D166" s="32"/>
      <c r="E166" s="32"/>
      <c r="F166" s="32"/>
      <c r="G166" s="32"/>
      <c r="H166" s="101">
        <f>I157+I158+I160+I162+I163+I164+SUM(I161:I161)</f>
        <v>125133.14</v>
      </c>
      <c r="I166" s="101"/>
      <c r="J166" s="101">
        <f>K157+K158+K160+K162+K163+K164+SUM(K161:K161)</f>
        <v>1114659.1100000001</v>
      </c>
      <c r="K166" s="101"/>
      <c r="O166" s="31">
        <f>I157+I158+I160+I162+I163+I164+SUM(I161:I161)</f>
        <v>125133.14</v>
      </c>
      <c r="P166" s="31">
        <f>K157+K158+K160+K162+K163+K164+SUM(K161:K161)</f>
        <v>1114659.1100000001</v>
      </c>
      <c r="X166">
        <f>IF(Source!BI86&lt;=1,I157+I158+I160+I162+I163+I164-0, 0)</f>
        <v>14556.51</v>
      </c>
      <c r="Y166">
        <f>IF(Source!BI86=2,I157+I158+I160+I162+I163+I164-0, 0)</f>
        <v>0</v>
      </c>
      <c r="Z166">
        <f>IF(Source!BI86=3,I157+I158+I160+I162+I163+I164-0, 0)</f>
        <v>0</v>
      </c>
      <c r="AA166">
        <f>IF(Source!BI86=4,I157+I158+I160+I162+I163+I164,0)</f>
        <v>0</v>
      </c>
    </row>
    <row r="168" spans="1:38" ht="15" x14ac:dyDescent="0.25">
      <c r="A168" s="100" t="str">
        <f>CONCATENATE("Итого по разделу: ",IF(Source!G89&lt;&gt;"Новый раздел", Source!G89, ""))</f>
        <v>Итого по разделу: 3. А/б покрытие пешеходных тротуаров на существующее основание</v>
      </c>
      <c r="B168" s="100"/>
      <c r="C168" s="100"/>
      <c r="D168" s="100"/>
      <c r="E168" s="100"/>
      <c r="F168" s="100"/>
      <c r="G168" s="100"/>
      <c r="H168" s="98">
        <f>SUM(O115:O167)</f>
        <v>167287.54</v>
      </c>
      <c r="I168" s="99"/>
      <c r="J168" s="98">
        <f>SUM(P115:P167)</f>
        <v>1696536.82</v>
      </c>
      <c r="K168" s="99"/>
      <c r="AL168" s="36" t="str">
        <f>CONCATENATE("Итого по разделу: ",IF(Source!G89&lt;&gt;"Новый раздел", Source!G89, ""))</f>
        <v>Итого по разделу: 3. А/б покрытие пешеходных тротуаров на существующее основание</v>
      </c>
    </row>
    <row r="169" spans="1:38" hidden="1" x14ac:dyDescent="0.2">
      <c r="A169" t="s">
        <v>980</v>
      </c>
      <c r="I169">
        <f>SUM(AC115:AC168)</f>
        <v>0</v>
      </c>
      <c r="J169">
        <f>SUM(AD115:AD168)</f>
        <v>0</v>
      </c>
    </row>
    <row r="170" spans="1:38" hidden="1" x14ac:dyDescent="0.2">
      <c r="A170" t="s">
        <v>981</v>
      </c>
      <c r="I170">
        <f>SUM(AE115:AE169)</f>
        <v>0</v>
      </c>
      <c r="J170">
        <f>SUM(AF115:AF169)</f>
        <v>0</v>
      </c>
    </row>
    <row r="171" spans="1:38" ht="14.25" x14ac:dyDescent="0.2">
      <c r="C171" s="96" t="str">
        <f>Source!H118</f>
        <v>с ндс</v>
      </c>
      <c r="D171" s="96"/>
      <c r="E171" s="96"/>
      <c r="F171" s="96"/>
      <c r="G171" s="96"/>
      <c r="H171" s="96"/>
      <c r="I171" s="96"/>
      <c r="J171" s="97">
        <f>IF(Source!F118=0, "", Source!F118)</f>
        <v>2035844.18</v>
      </c>
      <c r="K171" s="97"/>
    </row>
    <row r="173" spans="1:38" ht="16.5" x14ac:dyDescent="0.25">
      <c r="A173" s="102" t="str">
        <f>CONCATENATE("Раздел: ",IF(Source!G154&lt;&gt;"Новый раздел", Source!G154, ""))</f>
        <v>Раздел: 5.1. Установка дорожного бортового камня БР 100.30.15 с разборкой</v>
      </c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</row>
    <row r="174" spans="1:38" ht="28.5" x14ac:dyDescent="0.2">
      <c r="A174" s="22" t="str">
        <f>Source!E158</f>
        <v>20</v>
      </c>
      <c r="B174" s="23" t="str">
        <f>Source!F158</f>
        <v>6.68-53-1</v>
      </c>
      <c r="C174" s="23" t="s">
        <v>175</v>
      </c>
      <c r="D174" s="25" t="str">
        <f>Source!H158</f>
        <v>100 м</v>
      </c>
      <c r="E174" s="10">
        <f>Source!I158</f>
        <v>34.97</v>
      </c>
      <c r="F174" s="27"/>
      <c r="G174" s="26"/>
      <c r="H174" s="10"/>
      <c r="I174" s="28"/>
      <c r="J174" s="10"/>
      <c r="K174" s="28"/>
      <c r="Q174">
        <f>ROUND((Source!DN158/100)*ROUND((ROUND((Source!AF158*Source!AV158*Source!I158),2)),2), 2)</f>
        <v>23989.7</v>
      </c>
      <c r="R174">
        <f>Source!X158</f>
        <v>500197.15</v>
      </c>
      <c r="S174">
        <f>ROUND((Source!DO158/100)*ROUND((ROUND((Source!AF158*Source!AV158*Source!I158),2)),2), 2)</f>
        <v>16492.919999999998</v>
      </c>
      <c r="T174">
        <f>Source!Y158</f>
        <v>301589.46000000002</v>
      </c>
      <c r="U174">
        <f>ROUND((175/100)*ROUND((ROUND((Source!AE158*Source!AV158*Source!I158),2)),2), 2)</f>
        <v>0</v>
      </c>
      <c r="V174">
        <f>ROUND((157/100)*ROUND(ROUND((ROUND((Source!AE158*Source!AV158*Source!I158),2)*Source!BS158),2), 2), 2)</f>
        <v>0</v>
      </c>
    </row>
    <row r="175" spans="1:38" x14ac:dyDescent="0.2">
      <c r="C175" s="29" t="str">
        <f>"Объем: "&amp;Source!I158&amp;"=3497/"&amp;"100"</f>
        <v>Объем: 34,97=3497/100</v>
      </c>
    </row>
    <row r="176" spans="1:38" ht="14.25" x14ac:dyDescent="0.2">
      <c r="A176" s="22"/>
      <c r="B176" s="23"/>
      <c r="C176" s="23" t="s">
        <v>970</v>
      </c>
      <c r="D176" s="25"/>
      <c r="E176" s="10"/>
      <c r="F176" s="27">
        <f>Source!AO158</f>
        <v>857.51</v>
      </c>
      <c r="G176" s="26" t="str">
        <f>Source!DG158</f>
        <v/>
      </c>
      <c r="H176" s="10">
        <f>Source!AV158</f>
        <v>1</v>
      </c>
      <c r="I176" s="28">
        <f>ROUND((ROUND((Source!AF158*Source!AV158*Source!I158),2)),2)</f>
        <v>29987.119999999999</v>
      </c>
      <c r="J176" s="10">
        <f>IF(Source!BA158&lt;&gt; 0, Source!BA158, 1)</f>
        <v>24.53</v>
      </c>
      <c r="K176" s="28">
        <f>Source!S158</f>
        <v>735584.05</v>
      </c>
      <c r="W176">
        <f>I176</f>
        <v>29987.119999999999</v>
      </c>
    </row>
    <row r="177" spans="1:27" ht="14.25" x14ac:dyDescent="0.2">
      <c r="A177" s="22"/>
      <c r="B177" s="23"/>
      <c r="C177" s="23" t="s">
        <v>974</v>
      </c>
      <c r="D177" s="25" t="s">
        <v>975</v>
      </c>
      <c r="E177" s="10">
        <f>Source!DN158</f>
        <v>80</v>
      </c>
      <c r="F177" s="27"/>
      <c r="G177" s="26"/>
      <c r="H177" s="10"/>
      <c r="I177" s="28">
        <f>SUM(Q174:Q176)</f>
        <v>23989.7</v>
      </c>
      <c r="J177" s="10">
        <f>Source!BZ158</f>
        <v>68</v>
      </c>
      <c r="K177" s="28">
        <f>SUM(R174:R176)</f>
        <v>500197.15</v>
      </c>
    </row>
    <row r="178" spans="1:27" ht="14.25" x14ac:dyDescent="0.2">
      <c r="A178" s="22"/>
      <c r="B178" s="23"/>
      <c r="C178" s="23" t="s">
        <v>976</v>
      </c>
      <c r="D178" s="25" t="s">
        <v>975</v>
      </c>
      <c r="E178" s="10">
        <f>Source!DO158</f>
        <v>55</v>
      </c>
      <c r="F178" s="27"/>
      <c r="G178" s="26"/>
      <c r="H178" s="10"/>
      <c r="I178" s="28">
        <f>SUM(S174:S177)</f>
        <v>16492.919999999998</v>
      </c>
      <c r="J178" s="10">
        <f>Source!CA158</f>
        <v>41</v>
      </c>
      <c r="K178" s="28">
        <f>SUM(T174:T177)</f>
        <v>301589.46000000002</v>
      </c>
    </row>
    <row r="179" spans="1:27" ht="14.25" x14ac:dyDescent="0.2">
      <c r="A179" s="22"/>
      <c r="B179" s="23"/>
      <c r="C179" s="23" t="s">
        <v>978</v>
      </c>
      <c r="D179" s="25" t="s">
        <v>979</v>
      </c>
      <c r="E179" s="10">
        <f>Source!AQ158</f>
        <v>76.7</v>
      </c>
      <c r="F179" s="27"/>
      <c r="G179" s="26" t="str">
        <f>Source!DI158</f>
        <v/>
      </c>
      <c r="H179" s="10">
        <f>Source!AV158</f>
        <v>1</v>
      </c>
      <c r="I179" s="28">
        <f>Source!U158</f>
        <v>2682.1990000000001</v>
      </c>
      <c r="J179" s="10"/>
      <c r="K179" s="28"/>
    </row>
    <row r="180" spans="1:27" ht="15" x14ac:dyDescent="0.25">
      <c r="A180" s="32"/>
      <c r="B180" s="32"/>
      <c r="C180" s="32"/>
      <c r="D180" s="32"/>
      <c r="E180" s="32"/>
      <c r="F180" s="32"/>
      <c r="G180" s="32"/>
      <c r="H180" s="101">
        <f>I176+I177+I178</f>
        <v>70469.739999999991</v>
      </c>
      <c r="I180" s="101"/>
      <c r="J180" s="101">
        <f>K176+K177+K178</f>
        <v>1537370.6600000001</v>
      </c>
      <c r="K180" s="101"/>
      <c r="O180" s="31">
        <f>I176+I177+I178</f>
        <v>70469.739999999991</v>
      </c>
      <c r="P180" s="31">
        <f>K176+K177+K178</f>
        <v>1537370.6600000001</v>
      </c>
      <c r="X180">
        <f>IF(Source!BI158&lt;=1,I176+I177+I178-0, 0)</f>
        <v>70469.739999999991</v>
      </c>
      <c r="Y180">
        <f>IF(Source!BI158=2,I176+I177+I178-0, 0)</f>
        <v>0</v>
      </c>
      <c r="Z180">
        <f>IF(Source!BI158=3,I176+I177+I178-0, 0)</f>
        <v>0</v>
      </c>
      <c r="AA180">
        <f>IF(Source!BI158=4,I176+I177+I178,0)</f>
        <v>0</v>
      </c>
    </row>
    <row r="181" spans="1:27" ht="42.75" x14ac:dyDescent="0.2">
      <c r="A181" s="22" t="str">
        <f>Source!E159</f>
        <v>21</v>
      </c>
      <c r="B181" s="23" t="str">
        <f>Source!F159</f>
        <v>6.69-19-1</v>
      </c>
      <c r="C181" s="23" t="s">
        <v>37</v>
      </c>
      <c r="D181" s="25" t="str">
        <f>Source!H159</f>
        <v>1 Т</v>
      </c>
      <c r="E181" s="10">
        <f>Source!I159</f>
        <v>84.76728</v>
      </c>
      <c r="F181" s="27"/>
      <c r="G181" s="26"/>
      <c r="H181" s="10"/>
      <c r="I181" s="28"/>
      <c r="J181" s="10"/>
      <c r="K181" s="28"/>
      <c r="Q181">
        <f>ROUND((Source!DN159/100)*ROUND((ROUND((Source!AF159*Source!AV159*Source!I159),2)),2), 2)</f>
        <v>742.07</v>
      </c>
      <c r="R181">
        <f>Source!X159</f>
        <v>14602.36</v>
      </c>
      <c r="S181">
        <f>ROUND((Source!DO159/100)*ROUND((ROUND((Source!AF159*Source!AV159*Source!I159),2)),2), 2)</f>
        <v>570.82000000000005</v>
      </c>
      <c r="T181">
        <f>Source!Y159</f>
        <v>8201.32</v>
      </c>
      <c r="U181">
        <f>ROUND((175/100)*ROUND((ROUND((Source!AE159*Source!AV159*Source!I159),2)),2), 2)</f>
        <v>0</v>
      </c>
      <c r="V181">
        <f>ROUND((157/100)*ROUND(ROUND((ROUND((Source!AE159*Source!AV159*Source!I159),2)*Source!BS159),2), 2), 2)</f>
        <v>0</v>
      </c>
    </row>
    <row r="182" spans="1:27" x14ac:dyDescent="0.2">
      <c r="C182" s="29" t="str">
        <f>"Объем: "&amp;Source!I159&amp;"=3497*"&amp;"(0,058+"&amp;"0,043)*"&amp;"2,4*"&amp;"0,1"</f>
        <v>Объем: 84,76728=3497*(0,058+0,043)*2,4*0,1</v>
      </c>
    </row>
    <row r="183" spans="1:27" ht="14.25" x14ac:dyDescent="0.2">
      <c r="A183" s="22"/>
      <c r="B183" s="23"/>
      <c r="C183" s="23" t="s">
        <v>970</v>
      </c>
      <c r="D183" s="25"/>
      <c r="E183" s="10"/>
      <c r="F183" s="27">
        <f>Source!AO159</f>
        <v>9.6199999999999992</v>
      </c>
      <c r="G183" s="26" t="str">
        <f>Source!DG159</f>
        <v/>
      </c>
      <c r="H183" s="10">
        <f>Source!AV159</f>
        <v>1</v>
      </c>
      <c r="I183" s="28">
        <f>ROUND((ROUND((Source!AF159*Source!AV159*Source!I159),2)),2)</f>
        <v>815.46</v>
      </c>
      <c r="J183" s="10">
        <f>IF(Source!BA159&lt;&gt; 0, Source!BA159, 1)</f>
        <v>24.53</v>
      </c>
      <c r="K183" s="28">
        <f>Source!S159</f>
        <v>20003.23</v>
      </c>
      <c r="W183">
        <f>I183</f>
        <v>815.46</v>
      </c>
    </row>
    <row r="184" spans="1:27" ht="14.25" x14ac:dyDescent="0.2">
      <c r="A184" s="22"/>
      <c r="B184" s="23"/>
      <c r="C184" s="23" t="s">
        <v>974</v>
      </c>
      <c r="D184" s="25" t="s">
        <v>975</v>
      </c>
      <c r="E184" s="10">
        <f>Source!DN159</f>
        <v>91</v>
      </c>
      <c r="F184" s="27"/>
      <c r="G184" s="26"/>
      <c r="H184" s="10"/>
      <c r="I184" s="28">
        <f>SUM(Q181:Q183)</f>
        <v>742.07</v>
      </c>
      <c r="J184" s="10">
        <f>Source!BZ159</f>
        <v>73</v>
      </c>
      <c r="K184" s="28">
        <f>SUM(R181:R183)</f>
        <v>14602.36</v>
      </c>
    </row>
    <row r="185" spans="1:27" ht="14.25" x14ac:dyDescent="0.2">
      <c r="A185" s="22"/>
      <c r="B185" s="23"/>
      <c r="C185" s="23" t="s">
        <v>976</v>
      </c>
      <c r="D185" s="25" t="s">
        <v>975</v>
      </c>
      <c r="E185" s="10">
        <f>Source!DO159</f>
        <v>70</v>
      </c>
      <c r="F185" s="27"/>
      <c r="G185" s="26"/>
      <c r="H185" s="10"/>
      <c r="I185" s="28">
        <f>SUM(S181:S184)</f>
        <v>570.82000000000005</v>
      </c>
      <c r="J185" s="10">
        <f>Source!CA159</f>
        <v>41</v>
      </c>
      <c r="K185" s="28">
        <f>SUM(T181:T184)</f>
        <v>8201.32</v>
      </c>
    </row>
    <row r="186" spans="1:27" ht="14.25" x14ac:dyDescent="0.2">
      <c r="A186" s="22"/>
      <c r="B186" s="23"/>
      <c r="C186" s="23" t="s">
        <v>978</v>
      </c>
      <c r="D186" s="25" t="s">
        <v>979</v>
      </c>
      <c r="E186" s="10">
        <f>Source!AQ159</f>
        <v>1.02</v>
      </c>
      <c r="F186" s="27"/>
      <c r="G186" s="26" t="str">
        <f>Source!DI159</f>
        <v/>
      </c>
      <c r="H186" s="10">
        <f>Source!AV159</f>
        <v>1</v>
      </c>
      <c r="I186" s="28">
        <f>Source!U159</f>
        <v>86.462625599999996</v>
      </c>
      <c r="J186" s="10"/>
      <c r="K186" s="28"/>
    </row>
    <row r="187" spans="1:27" ht="15" x14ac:dyDescent="0.25">
      <c r="A187" s="32"/>
      <c r="B187" s="32"/>
      <c r="C187" s="32"/>
      <c r="D187" s="32"/>
      <c r="E187" s="32"/>
      <c r="F187" s="32"/>
      <c r="G187" s="32"/>
      <c r="H187" s="101">
        <f>I183+I184+I185</f>
        <v>2128.3500000000004</v>
      </c>
      <c r="I187" s="101"/>
      <c r="J187" s="101">
        <f>K183+K184+K185</f>
        <v>42806.909999999996</v>
      </c>
      <c r="K187" s="101"/>
      <c r="O187" s="31">
        <f>I183+I184+I185</f>
        <v>2128.3500000000004</v>
      </c>
      <c r="P187" s="31">
        <f>K183+K184+K185</f>
        <v>42806.909999999996</v>
      </c>
      <c r="X187">
        <f>IF(Source!BI159&lt;=1,I183+I184+I185-0, 0)</f>
        <v>2128.3500000000004</v>
      </c>
      <c r="Y187">
        <f>IF(Source!BI159=2,I183+I184+I185-0, 0)</f>
        <v>0</v>
      </c>
      <c r="Z187">
        <f>IF(Source!BI159=3,I183+I184+I185-0, 0)</f>
        <v>0</v>
      </c>
      <c r="AA187">
        <f>IF(Source!BI159=4,I183+I184+I185,0)</f>
        <v>0</v>
      </c>
    </row>
    <row r="188" spans="1:27" ht="42.75" x14ac:dyDescent="0.2">
      <c r="A188" s="22" t="str">
        <f>Source!E165</f>
        <v>26</v>
      </c>
      <c r="B188" s="23" t="str">
        <f>Source!F165</f>
        <v>3.27-26-2</v>
      </c>
      <c r="C188" s="23" t="s">
        <v>195</v>
      </c>
      <c r="D188" s="25" t="str">
        <f>Source!H165</f>
        <v>100 м бортового камня</v>
      </c>
      <c r="E188" s="10">
        <f>Source!I165</f>
        <v>34.97</v>
      </c>
      <c r="F188" s="27"/>
      <c r="G188" s="26"/>
      <c r="H188" s="10"/>
      <c r="I188" s="28"/>
      <c r="J188" s="10"/>
      <c r="K188" s="28"/>
      <c r="Q188">
        <f>ROUND((Source!DN165/100)*ROUND((ROUND((Source!AF165*Source!AV165*Source!I165),2)),2), 2)</f>
        <v>43189.04</v>
      </c>
      <c r="R188">
        <f>Source!X165</f>
        <v>862018.34</v>
      </c>
      <c r="S188">
        <f>ROUND((Source!DO165/100)*ROUND((ROUND((Source!AF165*Source!AV165*Source!I165),2)),2), 2)</f>
        <v>28703.27</v>
      </c>
      <c r="T188">
        <f>Source!Y165</f>
        <v>355335.81</v>
      </c>
      <c r="U188">
        <f>ROUND((175/100)*ROUND((ROUND((Source!AE165*Source!AV165*Source!I165),2)),2), 2)</f>
        <v>677.46</v>
      </c>
      <c r="V188">
        <f>ROUND((157/100)*ROUND(ROUND((ROUND((Source!AE165*Source!AV165*Source!I165),2)*Source!BS165),2), 2), 2)</f>
        <v>14908.8</v>
      </c>
    </row>
    <row r="189" spans="1:27" x14ac:dyDescent="0.2">
      <c r="C189" s="29" t="str">
        <f>"Объем: "&amp;Source!I165&amp;"=3497/"&amp;"100"</f>
        <v>Объем: 34,97=3497/100</v>
      </c>
    </row>
    <row r="190" spans="1:27" ht="14.25" x14ac:dyDescent="0.2">
      <c r="A190" s="22"/>
      <c r="B190" s="23"/>
      <c r="C190" s="23" t="s">
        <v>970</v>
      </c>
      <c r="D190" s="25"/>
      <c r="E190" s="10"/>
      <c r="F190" s="27">
        <f>Source!AO165</f>
        <v>767.1</v>
      </c>
      <c r="G190" s="26" t="str">
        <f>Source!DG165</f>
        <v/>
      </c>
      <c r="H190" s="10">
        <f>Source!AV165</f>
        <v>1</v>
      </c>
      <c r="I190" s="28">
        <f>ROUND((ROUND((Source!AF165*Source!AV165*Source!I165),2)),2)</f>
        <v>26825.49</v>
      </c>
      <c r="J190" s="10">
        <f>IF(Source!BA165&lt;&gt; 0, Source!BA165, 1)</f>
        <v>24.53</v>
      </c>
      <c r="K190" s="28">
        <f>Source!S165</f>
        <v>658029.27</v>
      </c>
      <c r="W190">
        <f>I190</f>
        <v>26825.49</v>
      </c>
    </row>
    <row r="191" spans="1:27" ht="14.25" x14ac:dyDescent="0.2">
      <c r="A191" s="22"/>
      <c r="B191" s="23"/>
      <c r="C191" s="23" t="s">
        <v>971</v>
      </c>
      <c r="D191" s="25"/>
      <c r="E191" s="10"/>
      <c r="F191" s="27">
        <f>Source!AM165</f>
        <v>116.47</v>
      </c>
      <c r="G191" s="26" t="str">
        <f>Source!DE165</f>
        <v/>
      </c>
      <c r="H191" s="10">
        <f>Source!AV165</f>
        <v>1</v>
      </c>
      <c r="I191" s="28">
        <f>(ROUND((ROUND(((Source!ET165)*Source!AV165*Source!I165),2)),2)+ROUND((ROUND(((Source!AE165-(Source!EU165))*Source!AV165*Source!I165),2)),2))</f>
        <v>4072.96</v>
      </c>
      <c r="J191" s="10">
        <f>IF(Source!BB165&lt;&gt; 0, Source!BB165, 1)</f>
        <v>8.2799999999999994</v>
      </c>
      <c r="K191" s="28">
        <f>Source!Q165</f>
        <v>33724.11</v>
      </c>
    </row>
    <row r="192" spans="1:27" ht="14.25" x14ac:dyDescent="0.2">
      <c r="A192" s="22"/>
      <c r="B192" s="23"/>
      <c r="C192" s="23" t="s">
        <v>972</v>
      </c>
      <c r="D192" s="25"/>
      <c r="E192" s="10"/>
      <c r="F192" s="27">
        <f>Source!AN165</f>
        <v>11.07</v>
      </c>
      <c r="G192" s="26" t="str">
        <f>Source!DF165</f>
        <v/>
      </c>
      <c r="H192" s="10">
        <f>Source!AV165</f>
        <v>1</v>
      </c>
      <c r="I192" s="30">
        <f>ROUND((ROUND((Source!AE165*Source!AV165*Source!I165),2)),2)</f>
        <v>387.12</v>
      </c>
      <c r="J192" s="10">
        <f>IF(Source!BS165&lt;&gt; 0, Source!BS165, 1)</f>
        <v>24.53</v>
      </c>
      <c r="K192" s="30">
        <f>Source!R165</f>
        <v>9496.0499999999993</v>
      </c>
      <c r="W192">
        <f>I192</f>
        <v>387.12</v>
      </c>
    </row>
    <row r="193" spans="1:38" ht="14.25" x14ac:dyDescent="0.2">
      <c r="A193" s="22"/>
      <c r="B193" s="23"/>
      <c r="C193" s="23" t="s">
        <v>973</v>
      </c>
      <c r="D193" s="25"/>
      <c r="E193" s="10"/>
      <c r="F193" s="27">
        <f>Source!AL165</f>
        <v>4302.26</v>
      </c>
      <c r="G193" s="26" t="str">
        <f>Source!DD165</f>
        <v/>
      </c>
      <c r="H193" s="10">
        <f>Source!AW165</f>
        <v>1</v>
      </c>
      <c r="I193" s="28">
        <f>ROUND((ROUND((Source!AC165*Source!AW165*Source!I165),2)),2)</f>
        <v>150450.03</v>
      </c>
      <c r="J193" s="10">
        <f>IF(Source!BC165&lt;&gt; 0, Source!BC165, 1)</f>
        <v>5.97</v>
      </c>
      <c r="K193" s="28">
        <f>Source!P165</f>
        <v>898186.68</v>
      </c>
    </row>
    <row r="194" spans="1:38" ht="14.25" x14ac:dyDescent="0.2">
      <c r="A194" s="22"/>
      <c r="B194" s="23"/>
      <c r="C194" s="23" t="s">
        <v>974</v>
      </c>
      <c r="D194" s="25" t="s">
        <v>975</v>
      </c>
      <c r="E194" s="10">
        <f>Source!DN165</f>
        <v>161</v>
      </c>
      <c r="F194" s="27"/>
      <c r="G194" s="26"/>
      <c r="H194" s="10"/>
      <c r="I194" s="28">
        <f>SUM(Q188:Q193)</f>
        <v>43189.04</v>
      </c>
      <c r="J194" s="10">
        <f>Source!BZ165</f>
        <v>131</v>
      </c>
      <c r="K194" s="28">
        <f>SUM(R188:R193)</f>
        <v>862018.34</v>
      </c>
    </row>
    <row r="195" spans="1:38" ht="14.25" x14ac:dyDescent="0.2">
      <c r="A195" s="22"/>
      <c r="B195" s="23"/>
      <c r="C195" s="23" t="s">
        <v>976</v>
      </c>
      <c r="D195" s="25" t="s">
        <v>975</v>
      </c>
      <c r="E195" s="10">
        <f>Source!DO165</f>
        <v>107</v>
      </c>
      <c r="F195" s="27"/>
      <c r="G195" s="26"/>
      <c r="H195" s="10"/>
      <c r="I195" s="28">
        <f>SUM(S188:S194)</f>
        <v>28703.27</v>
      </c>
      <c r="J195" s="10">
        <f>Source!CA165</f>
        <v>54</v>
      </c>
      <c r="K195" s="28">
        <f>SUM(T188:T194)</f>
        <v>355335.81</v>
      </c>
    </row>
    <row r="196" spans="1:38" ht="14.25" x14ac:dyDescent="0.2">
      <c r="A196" s="22"/>
      <c r="B196" s="23"/>
      <c r="C196" s="23" t="s">
        <v>977</v>
      </c>
      <c r="D196" s="25" t="s">
        <v>975</v>
      </c>
      <c r="E196" s="10">
        <f>175</f>
        <v>175</v>
      </c>
      <c r="F196" s="27"/>
      <c r="G196" s="26"/>
      <c r="H196" s="10"/>
      <c r="I196" s="28">
        <f>SUM(U188:U195)</f>
        <v>677.46</v>
      </c>
      <c r="J196" s="10">
        <f>157</f>
        <v>157</v>
      </c>
      <c r="K196" s="28">
        <f>SUM(V188:V195)</f>
        <v>14908.8</v>
      </c>
    </row>
    <row r="197" spans="1:38" ht="14.25" x14ac:dyDescent="0.2">
      <c r="A197" s="22"/>
      <c r="B197" s="23"/>
      <c r="C197" s="23" t="s">
        <v>978</v>
      </c>
      <c r="D197" s="25" t="s">
        <v>979</v>
      </c>
      <c r="E197" s="10">
        <f>Source!AQ165</f>
        <v>69.8</v>
      </c>
      <c r="F197" s="27"/>
      <c r="G197" s="26" t="str">
        <f>Source!DI165</f>
        <v/>
      </c>
      <c r="H197" s="10">
        <f>Source!AV165</f>
        <v>1</v>
      </c>
      <c r="I197" s="28">
        <f>Source!U165</f>
        <v>2440.9059999999999</v>
      </c>
      <c r="J197" s="10"/>
      <c r="K197" s="28"/>
    </row>
    <row r="198" spans="1:38" ht="15" x14ac:dyDescent="0.25">
      <c r="A198" s="32"/>
      <c r="B198" s="32"/>
      <c r="C198" s="32"/>
      <c r="D198" s="32"/>
      <c r="E198" s="32"/>
      <c r="F198" s="32"/>
      <c r="G198" s="32"/>
      <c r="H198" s="101">
        <f>I190+I191+I193+I194+I195+I196</f>
        <v>253918.25</v>
      </c>
      <c r="I198" s="101"/>
      <c r="J198" s="101">
        <f>K190+K191+K193+K194+K195+K196</f>
        <v>2822203.01</v>
      </c>
      <c r="K198" s="101"/>
      <c r="O198" s="31">
        <f>I190+I191+I193+I194+I195+I196</f>
        <v>253918.25</v>
      </c>
      <c r="P198" s="31">
        <f>K190+K191+K193+K194+K195+K196</f>
        <v>2822203.01</v>
      </c>
      <c r="X198">
        <f>IF(Source!BI165&lt;=1,I190+I191+I193+I194+I195+I196-0, 0)</f>
        <v>253918.25</v>
      </c>
      <c r="Y198">
        <f>IF(Source!BI165=2,I190+I191+I193+I194+I195+I196-0, 0)</f>
        <v>0</v>
      </c>
      <c r="Z198">
        <f>IF(Source!BI165=3,I190+I191+I193+I194+I195+I196-0, 0)</f>
        <v>0</v>
      </c>
      <c r="AA198">
        <f>IF(Source!BI165=4,I190+I191+I193+I194+I195+I196,0)</f>
        <v>0</v>
      </c>
    </row>
    <row r="200" spans="1:38" ht="15" x14ac:dyDescent="0.25">
      <c r="A200" s="100" t="str">
        <f>CONCATENATE("Итого по разделу: ",IF(Source!G167&lt;&gt;"Новый раздел", Source!G167, ""))</f>
        <v>Итого по разделу: 5.1. Установка дорожного бортового камня БР 100.30.15 с разборкой</v>
      </c>
      <c r="B200" s="100"/>
      <c r="C200" s="100"/>
      <c r="D200" s="100"/>
      <c r="E200" s="100"/>
      <c r="F200" s="100"/>
      <c r="G200" s="100"/>
      <c r="H200" s="98">
        <f>SUM(O173:O199)</f>
        <v>326516.33999999997</v>
      </c>
      <c r="I200" s="99"/>
      <c r="J200" s="98">
        <f>SUM(P173:P199)</f>
        <v>4402380.58</v>
      </c>
      <c r="K200" s="99"/>
      <c r="AL200" s="36" t="str">
        <f>CONCATENATE("Итого по разделу: ",IF(Source!G167&lt;&gt;"Новый раздел", Source!G167, ""))</f>
        <v>Итого по разделу: 5.1. Установка дорожного бортового камня БР 100.30.15 с разборкой</v>
      </c>
    </row>
    <row r="201" spans="1:38" hidden="1" x14ac:dyDescent="0.2">
      <c r="A201" t="s">
        <v>980</v>
      </c>
      <c r="I201">
        <f>SUM(AC173:AC200)</f>
        <v>0</v>
      </c>
      <c r="J201">
        <f>SUM(AD173:AD200)</f>
        <v>0</v>
      </c>
    </row>
    <row r="202" spans="1:38" hidden="1" x14ac:dyDescent="0.2">
      <c r="A202" t="s">
        <v>981</v>
      </c>
      <c r="I202">
        <f>SUM(AE173:AE201)</f>
        <v>0</v>
      </c>
      <c r="J202">
        <f>SUM(AF173:AF201)</f>
        <v>0</v>
      </c>
    </row>
    <row r="203" spans="1:38" ht="14.25" x14ac:dyDescent="0.2">
      <c r="C203" s="96" t="str">
        <f>Source!H196</f>
        <v>с НДС</v>
      </c>
      <c r="D203" s="96"/>
      <c r="E203" s="96"/>
      <c r="F203" s="96"/>
      <c r="G203" s="96"/>
      <c r="H203" s="96"/>
      <c r="I203" s="96"/>
      <c r="J203" s="97">
        <f>IF(Source!F196=0, "", Source!F196)</f>
        <v>5282856.7</v>
      </c>
      <c r="K203" s="97"/>
    </row>
    <row r="205" spans="1:38" ht="16.5" x14ac:dyDescent="0.25">
      <c r="A205" s="102" t="str">
        <f>CONCATENATE("Раздел: ",IF(Source!G198&lt;&gt;"Новый раздел", Source!G198, ""))</f>
        <v>Раздел: 10.1. Устройство новых оснований площадок (детские, спортивные, воркаут)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</row>
    <row r="206" spans="1:38" ht="57" x14ac:dyDescent="0.2">
      <c r="A206" s="22" t="str">
        <f>Source!E202</f>
        <v>27</v>
      </c>
      <c r="B206" s="23" t="str">
        <f>Source!F202</f>
        <v>3.1-6-10</v>
      </c>
      <c r="C206" s="23" t="s">
        <v>203</v>
      </c>
      <c r="D206" s="25" t="str">
        <f>Source!H202</f>
        <v>100 м3 грунта</v>
      </c>
      <c r="E206" s="10">
        <f>Source!I202</f>
        <v>12.25854</v>
      </c>
      <c r="F206" s="27"/>
      <c r="G206" s="26"/>
      <c r="H206" s="10"/>
      <c r="I206" s="28"/>
      <c r="J206" s="10"/>
      <c r="K206" s="28"/>
      <c r="Q206">
        <f>ROUND((Source!DN202/100)*ROUND((ROUND((Source!AF202*Source!AV202*Source!I202),2)),2), 2)</f>
        <v>169.39</v>
      </c>
      <c r="R206">
        <f>Source!X202</f>
        <v>3900.81</v>
      </c>
      <c r="S206">
        <f>ROUND((Source!DO202/100)*ROUND((ROUND((Source!AF202*Source!AV202*Source!I202),2)),2), 2)</f>
        <v>133.09</v>
      </c>
      <c r="T206">
        <f>Source!Y202</f>
        <v>2120.0100000000002</v>
      </c>
      <c r="U206">
        <f>ROUND((175/100)*ROUND((ROUND((Source!AE202*Source!AV202*Source!I202),2)),2), 2)</f>
        <v>3013.64</v>
      </c>
      <c r="V206">
        <f>ROUND((157/100)*ROUND(ROUND((ROUND((Source!AE202*Source!AV202*Source!I202),2)*Source!BS202),2), 2), 2)</f>
        <v>66320.91</v>
      </c>
    </row>
    <row r="207" spans="1:38" x14ac:dyDescent="0.2">
      <c r="C207" s="29" t="str">
        <f>"Объем: "&amp;Source!I202&amp;"=3243*"&amp;"0,42*"&amp;"0,9/"&amp;"100"</f>
        <v>Объем: 12,25854=3243*0,42*0,9/100</v>
      </c>
    </row>
    <row r="208" spans="1:38" ht="14.25" x14ac:dyDescent="0.2">
      <c r="A208" s="22"/>
      <c r="B208" s="23"/>
      <c r="C208" s="23" t="s">
        <v>970</v>
      </c>
      <c r="D208" s="25"/>
      <c r="E208" s="10"/>
      <c r="F208" s="27">
        <f>Source!AO202</f>
        <v>14.1</v>
      </c>
      <c r="G208" s="26" t="str">
        <f>Source!DG202</f>
        <v/>
      </c>
      <c r="H208" s="10">
        <f>Source!AV202</f>
        <v>1</v>
      </c>
      <c r="I208" s="28">
        <f>ROUND((ROUND((Source!AF202*Source!AV202*Source!I202),2)),2)</f>
        <v>172.85</v>
      </c>
      <c r="J208" s="10">
        <f>IF(Source!BA202&lt;&gt; 0, Source!BA202, 1)</f>
        <v>24.53</v>
      </c>
      <c r="K208" s="28">
        <f>Source!S202</f>
        <v>4240.01</v>
      </c>
      <c r="W208">
        <f>I208</f>
        <v>172.85</v>
      </c>
    </row>
    <row r="209" spans="1:27" ht="14.25" x14ac:dyDescent="0.2">
      <c r="A209" s="22"/>
      <c r="B209" s="23"/>
      <c r="C209" s="23" t="s">
        <v>971</v>
      </c>
      <c r="D209" s="25"/>
      <c r="E209" s="10"/>
      <c r="F209" s="27">
        <f>Source!AM202</f>
        <v>757.55</v>
      </c>
      <c r="G209" s="26" t="str">
        <f>Source!DE202</f>
        <v/>
      </c>
      <c r="H209" s="10">
        <f>Source!AV202</f>
        <v>1</v>
      </c>
      <c r="I209" s="28">
        <f>(ROUND((ROUND(((Source!ET202)*Source!AV202*Source!I202),2)),2)+ROUND((ROUND(((Source!AE202-(Source!EU202))*Source!AV202*Source!I202),2)),2))</f>
        <v>9286.4599999999991</v>
      </c>
      <c r="J209" s="10">
        <f>IF(Source!BB202&lt;&gt; 0, Source!BB202, 1)</f>
        <v>9.82</v>
      </c>
      <c r="K209" s="28">
        <f>Source!Q202</f>
        <v>91193.04</v>
      </c>
    </row>
    <row r="210" spans="1:27" ht="14.25" x14ac:dyDescent="0.2">
      <c r="A210" s="22"/>
      <c r="B210" s="23"/>
      <c r="C210" s="23" t="s">
        <v>972</v>
      </c>
      <c r="D210" s="25"/>
      <c r="E210" s="10"/>
      <c r="F210" s="27">
        <f>Source!AN202</f>
        <v>140.47999999999999</v>
      </c>
      <c r="G210" s="26" t="str">
        <f>Source!DF202</f>
        <v/>
      </c>
      <c r="H210" s="10">
        <f>Source!AV202</f>
        <v>1</v>
      </c>
      <c r="I210" s="30">
        <f>ROUND((ROUND((Source!AE202*Source!AV202*Source!I202),2)),2)</f>
        <v>1722.08</v>
      </c>
      <c r="J210" s="10">
        <f>IF(Source!BS202&lt;&gt; 0, Source!BS202, 1)</f>
        <v>24.53</v>
      </c>
      <c r="K210" s="30">
        <f>Source!R202</f>
        <v>42242.62</v>
      </c>
      <c r="W210">
        <f>I210</f>
        <v>1722.08</v>
      </c>
    </row>
    <row r="211" spans="1:27" ht="14.25" x14ac:dyDescent="0.2">
      <c r="A211" s="22"/>
      <c r="B211" s="23"/>
      <c r="C211" s="23" t="s">
        <v>974</v>
      </c>
      <c r="D211" s="25" t="s">
        <v>975</v>
      </c>
      <c r="E211" s="10">
        <f>Source!DN202</f>
        <v>98</v>
      </c>
      <c r="F211" s="27"/>
      <c r="G211" s="26"/>
      <c r="H211" s="10"/>
      <c r="I211" s="28">
        <f>SUM(Q206:Q210)</f>
        <v>169.39</v>
      </c>
      <c r="J211" s="10">
        <f>Source!BZ202</f>
        <v>92</v>
      </c>
      <c r="K211" s="28">
        <f>SUM(R206:R210)</f>
        <v>3900.81</v>
      </c>
    </row>
    <row r="212" spans="1:27" ht="14.25" x14ac:dyDescent="0.2">
      <c r="A212" s="22"/>
      <c r="B212" s="23"/>
      <c r="C212" s="23" t="s">
        <v>976</v>
      </c>
      <c r="D212" s="25" t="s">
        <v>975</v>
      </c>
      <c r="E212" s="10">
        <f>Source!DO202</f>
        <v>77</v>
      </c>
      <c r="F212" s="27"/>
      <c r="G212" s="26"/>
      <c r="H212" s="10"/>
      <c r="I212" s="28">
        <f>SUM(S206:S211)</f>
        <v>133.09</v>
      </c>
      <c r="J212" s="10">
        <f>Source!CA202</f>
        <v>50</v>
      </c>
      <c r="K212" s="28">
        <f>SUM(T206:T211)</f>
        <v>2120.0100000000002</v>
      </c>
    </row>
    <row r="213" spans="1:27" ht="14.25" x14ac:dyDescent="0.2">
      <c r="A213" s="22"/>
      <c r="B213" s="23"/>
      <c r="C213" s="23" t="s">
        <v>977</v>
      </c>
      <c r="D213" s="25" t="s">
        <v>975</v>
      </c>
      <c r="E213" s="10">
        <f>175</f>
        <v>175</v>
      </c>
      <c r="F213" s="27"/>
      <c r="G213" s="26"/>
      <c r="H213" s="10"/>
      <c r="I213" s="28">
        <f>SUM(U206:U212)</f>
        <v>3013.64</v>
      </c>
      <c r="J213" s="10">
        <f>157</f>
        <v>157</v>
      </c>
      <c r="K213" s="28">
        <f>SUM(V206:V212)</f>
        <v>66320.91</v>
      </c>
    </row>
    <row r="214" spans="1:27" ht="14.25" x14ac:dyDescent="0.2">
      <c r="A214" s="22"/>
      <c r="B214" s="23"/>
      <c r="C214" s="23" t="s">
        <v>978</v>
      </c>
      <c r="D214" s="25" t="s">
        <v>979</v>
      </c>
      <c r="E214" s="10">
        <f>Source!AQ202</f>
        <v>1.38</v>
      </c>
      <c r="F214" s="27"/>
      <c r="G214" s="26" t="str">
        <f>Source!DI202</f>
        <v/>
      </c>
      <c r="H214" s="10">
        <f>Source!AV202</f>
        <v>1</v>
      </c>
      <c r="I214" s="28">
        <f>Source!U202</f>
        <v>16.9167852</v>
      </c>
      <c r="J214" s="10"/>
      <c r="K214" s="28"/>
    </row>
    <row r="215" spans="1:27" ht="15" x14ac:dyDescent="0.25">
      <c r="A215" s="32"/>
      <c r="B215" s="32"/>
      <c r="C215" s="32"/>
      <c r="D215" s="32"/>
      <c r="E215" s="32"/>
      <c r="F215" s="32"/>
      <c r="G215" s="32"/>
      <c r="H215" s="101">
        <f>I208+I209+I211+I212+I213</f>
        <v>12775.429999999998</v>
      </c>
      <c r="I215" s="101"/>
      <c r="J215" s="101">
        <f>K208+K209+K211+K212+K213</f>
        <v>167774.77999999997</v>
      </c>
      <c r="K215" s="101"/>
      <c r="O215" s="31">
        <f>I208+I209+I211+I212+I213</f>
        <v>12775.429999999998</v>
      </c>
      <c r="P215" s="31">
        <f>K208+K209+K211+K212+K213</f>
        <v>167774.77999999997</v>
      </c>
      <c r="X215">
        <f>IF(Source!BI202&lt;=1,I208+I209+I211+I212+I213-0, 0)</f>
        <v>12775.429999999998</v>
      </c>
      <c r="Y215">
        <f>IF(Source!BI202=2,I208+I209+I211+I212+I213-0, 0)</f>
        <v>0</v>
      </c>
      <c r="Z215">
        <f>IF(Source!BI202=3,I208+I209+I211+I212+I213-0, 0)</f>
        <v>0</v>
      </c>
      <c r="AA215">
        <f>IF(Source!BI202=4,I208+I209+I211+I212+I213,0)</f>
        <v>0</v>
      </c>
    </row>
    <row r="216" spans="1:27" ht="42.75" x14ac:dyDescent="0.2">
      <c r="A216" s="22" t="str">
        <f>Source!E203</f>
        <v>28</v>
      </c>
      <c r="B216" s="23" t="str">
        <f>Source!F203</f>
        <v>3.1-51-1</v>
      </c>
      <c r="C216" s="23" t="s">
        <v>210</v>
      </c>
      <c r="D216" s="25" t="str">
        <f>Source!H203</f>
        <v>100 м3 грунта</v>
      </c>
      <c r="E216" s="10">
        <f>Source!I203</f>
        <v>1.36206</v>
      </c>
      <c r="F216" s="27"/>
      <c r="G216" s="26"/>
      <c r="H216" s="10"/>
      <c r="I216" s="28"/>
      <c r="J216" s="10"/>
      <c r="K216" s="28"/>
      <c r="Q216">
        <f>ROUND((Source!DN203/100)*ROUND((ROUND((Source!AF203*Source!AV203*Source!I203),2)),2), 2)</f>
        <v>2921.28</v>
      </c>
      <c r="R216">
        <f>Source!X203</f>
        <v>58009.64</v>
      </c>
      <c r="S216">
        <f>ROUND((Source!DO203/100)*ROUND((ROUND((Source!AF203*Source!AV203*Source!I203),2)),2), 2)</f>
        <v>2142.27</v>
      </c>
      <c r="T216">
        <f>Source!Y203</f>
        <v>27981.119999999999</v>
      </c>
      <c r="U216">
        <f>ROUND((175/100)*ROUND((ROUND((Source!AE203*Source!AV203*Source!I203),2)),2), 2)</f>
        <v>0</v>
      </c>
      <c r="V216">
        <f>ROUND((157/100)*ROUND(ROUND((ROUND((Source!AE203*Source!AV203*Source!I203),2)*Source!BS203),2), 2), 2)</f>
        <v>0</v>
      </c>
    </row>
    <row r="217" spans="1:27" x14ac:dyDescent="0.2">
      <c r="C217" s="29" t="str">
        <f>"Объем: "&amp;Source!I203&amp;"=3243*"&amp;"0,42*"&amp;"0,1/"&amp;"100"</f>
        <v>Объем: 1,36206=3243*0,42*0,1/100</v>
      </c>
    </row>
    <row r="218" spans="1:27" ht="14.25" x14ac:dyDescent="0.2">
      <c r="A218" s="22"/>
      <c r="B218" s="23"/>
      <c r="C218" s="23" t="s">
        <v>970</v>
      </c>
      <c r="D218" s="25"/>
      <c r="E218" s="10"/>
      <c r="F218" s="27">
        <f>Source!AO203</f>
        <v>2042.62</v>
      </c>
      <c r="G218" s="26" t="str">
        <f>Source!DG203</f>
        <v/>
      </c>
      <c r="H218" s="10">
        <f>Source!AV203</f>
        <v>1</v>
      </c>
      <c r="I218" s="28">
        <f>ROUND((ROUND((Source!AF203*Source!AV203*Source!I203),2)),2)</f>
        <v>2782.17</v>
      </c>
      <c r="J218" s="10">
        <f>IF(Source!BA203&lt;&gt; 0, Source!BA203, 1)</f>
        <v>24.53</v>
      </c>
      <c r="K218" s="28">
        <f>Source!S203</f>
        <v>68246.63</v>
      </c>
      <c r="W218">
        <f>I218</f>
        <v>2782.17</v>
      </c>
    </row>
    <row r="219" spans="1:27" ht="14.25" x14ac:dyDescent="0.2">
      <c r="A219" s="22"/>
      <c r="B219" s="23"/>
      <c r="C219" s="23" t="s">
        <v>974</v>
      </c>
      <c r="D219" s="25" t="s">
        <v>975</v>
      </c>
      <c r="E219" s="10">
        <f>Source!DN203</f>
        <v>105</v>
      </c>
      <c r="F219" s="27"/>
      <c r="G219" s="26"/>
      <c r="H219" s="10"/>
      <c r="I219" s="28">
        <f>SUM(Q216:Q218)</f>
        <v>2921.28</v>
      </c>
      <c r="J219" s="10">
        <f>Source!BZ203</f>
        <v>85</v>
      </c>
      <c r="K219" s="28">
        <f>SUM(R216:R218)</f>
        <v>58009.64</v>
      </c>
    </row>
    <row r="220" spans="1:27" ht="14.25" x14ac:dyDescent="0.2">
      <c r="A220" s="22"/>
      <c r="B220" s="23"/>
      <c r="C220" s="23" t="s">
        <v>976</v>
      </c>
      <c r="D220" s="25" t="s">
        <v>975</v>
      </c>
      <c r="E220" s="10">
        <f>Source!DO203</f>
        <v>77</v>
      </c>
      <c r="F220" s="27"/>
      <c r="G220" s="26"/>
      <c r="H220" s="10"/>
      <c r="I220" s="28">
        <f>SUM(S216:S219)</f>
        <v>2142.27</v>
      </c>
      <c r="J220" s="10">
        <f>Source!CA203</f>
        <v>41</v>
      </c>
      <c r="K220" s="28">
        <f>SUM(T216:T219)</f>
        <v>27981.119999999999</v>
      </c>
    </row>
    <row r="221" spans="1:27" ht="14.25" x14ac:dyDescent="0.2">
      <c r="A221" s="22"/>
      <c r="B221" s="23"/>
      <c r="C221" s="23" t="s">
        <v>978</v>
      </c>
      <c r="D221" s="25" t="s">
        <v>979</v>
      </c>
      <c r="E221" s="10">
        <f>Source!AQ203</f>
        <v>192.7</v>
      </c>
      <c r="F221" s="27"/>
      <c r="G221" s="26" t="str">
        <f>Source!DI203</f>
        <v/>
      </c>
      <c r="H221" s="10">
        <f>Source!AV203</f>
        <v>1</v>
      </c>
      <c r="I221" s="28">
        <f>Source!U203</f>
        <v>262.46896199999998</v>
      </c>
      <c r="J221" s="10"/>
      <c r="K221" s="28"/>
    </row>
    <row r="222" spans="1:27" ht="15" x14ac:dyDescent="0.25">
      <c r="A222" s="32"/>
      <c r="B222" s="32"/>
      <c r="C222" s="32"/>
      <c r="D222" s="32"/>
      <c r="E222" s="32"/>
      <c r="F222" s="32"/>
      <c r="G222" s="32"/>
      <c r="H222" s="101">
        <f>I218+I219+I220</f>
        <v>7845.7200000000012</v>
      </c>
      <c r="I222" s="101"/>
      <c r="J222" s="101">
        <f>K218+K219+K220</f>
        <v>154237.39000000001</v>
      </c>
      <c r="K222" s="101"/>
      <c r="O222" s="31">
        <f>I218+I219+I220</f>
        <v>7845.7200000000012</v>
      </c>
      <c r="P222" s="31">
        <f>K218+K219+K220</f>
        <v>154237.39000000001</v>
      </c>
      <c r="X222">
        <f>IF(Source!BI203&lt;=1,I218+I219+I220-0, 0)</f>
        <v>7845.7200000000012</v>
      </c>
      <c r="Y222">
        <f>IF(Source!BI203=2,I218+I219+I220-0, 0)</f>
        <v>0</v>
      </c>
      <c r="Z222">
        <f>IF(Source!BI203=3,I218+I219+I220-0, 0)</f>
        <v>0</v>
      </c>
      <c r="AA222">
        <f>IF(Source!BI203=4,I218+I219+I220,0)</f>
        <v>0</v>
      </c>
    </row>
    <row r="223" spans="1:27" ht="28.5" x14ac:dyDescent="0.2">
      <c r="A223" s="22" t="str">
        <f>Source!E204</f>
        <v>29</v>
      </c>
      <c r="B223" s="23" t="str">
        <f>Source!F204</f>
        <v>6.51-6-1</v>
      </c>
      <c r="C223" s="23" t="s">
        <v>216</v>
      </c>
      <c r="D223" s="25" t="str">
        <f>Source!H204</f>
        <v>100 м3 грунта</v>
      </c>
      <c r="E223" s="10">
        <f>Source!I204</f>
        <v>1.36206</v>
      </c>
      <c r="F223" s="27"/>
      <c r="G223" s="26"/>
      <c r="H223" s="10"/>
      <c r="I223" s="28"/>
      <c r="J223" s="10"/>
      <c r="K223" s="28"/>
      <c r="Q223">
        <f>ROUND((Source!DN204/100)*ROUND((ROUND((Source!AF204*Source!AV204*Source!I204),2)),2), 2)</f>
        <v>985.56</v>
      </c>
      <c r="R223">
        <f>Source!X204</f>
        <v>19393.71</v>
      </c>
      <c r="S223">
        <f>ROUND((Source!DO204/100)*ROUND((ROUND((Source!AF204*Source!AV204*Source!I204),2)),2), 2)</f>
        <v>725.63</v>
      </c>
      <c r="T223">
        <f>Source!Y204</f>
        <v>10892.36</v>
      </c>
      <c r="U223">
        <f>ROUND((175/100)*ROUND((ROUND((Source!AE204*Source!AV204*Source!I204),2)),2), 2)</f>
        <v>0</v>
      </c>
      <c r="V223">
        <f>ROUND((157/100)*ROUND(ROUND((ROUND((Source!AE204*Source!AV204*Source!I204),2)*Source!BS204),2), 2), 2)</f>
        <v>0</v>
      </c>
    </row>
    <row r="224" spans="1:27" x14ac:dyDescent="0.2">
      <c r="C224" s="29" t="str">
        <f>"Объем: "&amp;Source!I204&amp;"="&amp;Source!I203&amp;"*"&amp;"100/"&amp;"100"</f>
        <v>Объем: 1,36206=1,36206*100/100</v>
      </c>
    </row>
    <row r="225" spans="1:27" ht="14.25" x14ac:dyDescent="0.2">
      <c r="A225" s="22"/>
      <c r="B225" s="23"/>
      <c r="C225" s="23" t="s">
        <v>970</v>
      </c>
      <c r="D225" s="25"/>
      <c r="E225" s="10"/>
      <c r="F225" s="27">
        <f>Source!AO204</f>
        <v>795.14</v>
      </c>
      <c r="G225" s="26" t="str">
        <f>Source!DG204</f>
        <v/>
      </c>
      <c r="H225" s="10">
        <f>Source!AV204</f>
        <v>1</v>
      </c>
      <c r="I225" s="28">
        <f>ROUND((ROUND((Source!AF204*Source!AV204*Source!I204),2)),2)</f>
        <v>1083.03</v>
      </c>
      <c r="J225" s="10">
        <f>IF(Source!BA204&lt;&gt; 0, Source!BA204, 1)</f>
        <v>24.53</v>
      </c>
      <c r="K225" s="28">
        <f>Source!S204</f>
        <v>26566.73</v>
      </c>
      <c r="W225">
        <f>I225</f>
        <v>1083.03</v>
      </c>
    </row>
    <row r="226" spans="1:27" ht="14.25" x14ac:dyDescent="0.2">
      <c r="A226" s="22"/>
      <c r="B226" s="23"/>
      <c r="C226" s="23" t="s">
        <v>974</v>
      </c>
      <c r="D226" s="25" t="s">
        <v>975</v>
      </c>
      <c r="E226" s="10">
        <f>Source!DN204</f>
        <v>91</v>
      </c>
      <c r="F226" s="27"/>
      <c r="G226" s="26"/>
      <c r="H226" s="10"/>
      <c r="I226" s="28">
        <f>SUM(Q223:Q225)</f>
        <v>985.56</v>
      </c>
      <c r="J226" s="10">
        <f>Source!BZ204</f>
        <v>73</v>
      </c>
      <c r="K226" s="28">
        <f>SUM(R223:R225)</f>
        <v>19393.71</v>
      </c>
    </row>
    <row r="227" spans="1:27" ht="14.25" x14ac:dyDescent="0.2">
      <c r="A227" s="22"/>
      <c r="B227" s="23"/>
      <c r="C227" s="23" t="s">
        <v>976</v>
      </c>
      <c r="D227" s="25" t="s">
        <v>975</v>
      </c>
      <c r="E227" s="10">
        <f>Source!DO204</f>
        <v>67</v>
      </c>
      <c r="F227" s="27"/>
      <c r="G227" s="26"/>
      <c r="H227" s="10"/>
      <c r="I227" s="28">
        <f>SUM(S223:S226)</f>
        <v>725.63</v>
      </c>
      <c r="J227" s="10">
        <f>Source!CA204</f>
        <v>41</v>
      </c>
      <c r="K227" s="28">
        <f>SUM(T223:T226)</f>
        <v>10892.36</v>
      </c>
    </row>
    <row r="228" spans="1:27" ht="14.25" x14ac:dyDescent="0.2">
      <c r="A228" s="22"/>
      <c r="B228" s="23"/>
      <c r="C228" s="23" t="s">
        <v>978</v>
      </c>
      <c r="D228" s="25" t="s">
        <v>979</v>
      </c>
      <c r="E228" s="10">
        <f>Source!AQ204</f>
        <v>83</v>
      </c>
      <c r="F228" s="27"/>
      <c r="G228" s="26" t="str">
        <f>Source!DI204</f>
        <v/>
      </c>
      <c r="H228" s="10">
        <f>Source!AV204</f>
        <v>1</v>
      </c>
      <c r="I228" s="28">
        <f>Source!U204</f>
        <v>113.05098000000001</v>
      </c>
      <c r="J228" s="10"/>
      <c r="K228" s="28"/>
    </row>
    <row r="229" spans="1:27" ht="15" x14ac:dyDescent="0.25">
      <c r="A229" s="32"/>
      <c r="B229" s="32"/>
      <c r="C229" s="32"/>
      <c r="D229" s="32"/>
      <c r="E229" s="32"/>
      <c r="F229" s="32"/>
      <c r="G229" s="32"/>
      <c r="H229" s="101">
        <f>I225+I226+I227</f>
        <v>2794.2200000000003</v>
      </c>
      <c r="I229" s="101"/>
      <c r="J229" s="101">
        <f>K225+K226+K227</f>
        <v>56852.800000000003</v>
      </c>
      <c r="K229" s="101"/>
      <c r="O229" s="31">
        <f>I225+I226+I227</f>
        <v>2794.2200000000003</v>
      </c>
      <c r="P229" s="31">
        <f>K225+K226+K227</f>
        <v>56852.800000000003</v>
      </c>
      <c r="X229">
        <f>IF(Source!BI204&lt;=1,I225+I226+I227-0, 0)</f>
        <v>2794.2200000000003</v>
      </c>
      <c r="Y229">
        <f>IF(Source!BI204=2,I225+I226+I227-0, 0)</f>
        <v>0</v>
      </c>
      <c r="Z229">
        <f>IF(Source!BI204=3,I225+I226+I227-0, 0)</f>
        <v>0</v>
      </c>
      <c r="AA229">
        <f>IF(Source!BI204=4,I225+I226+I227,0)</f>
        <v>0</v>
      </c>
    </row>
    <row r="230" spans="1:27" ht="99.75" x14ac:dyDescent="0.2">
      <c r="A230" s="22" t="str">
        <f>Source!E207</f>
        <v>32</v>
      </c>
      <c r="B230" s="23" t="str">
        <f>Source!F207</f>
        <v>3.27-12-1</v>
      </c>
      <c r="C230" s="23" t="s">
        <v>184</v>
      </c>
      <c r="D230" s="25" t="str">
        <f>Source!H207</f>
        <v>100 м3 материала основания (в плотном теле)</v>
      </c>
      <c r="E230" s="10">
        <f>Source!I207</f>
        <v>6.4859999999999998</v>
      </c>
      <c r="F230" s="27"/>
      <c r="G230" s="26"/>
      <c r="H230" s="10"/>
      <c r="I230" s="28"/>
      <c r="J230" s="10"/>
      <c r="K230" s="28"/>
      <c r="Q230">
        <f>ROUND((Source!DN207/100)*ROUND((ROUND((Source!AF207*Source!AV207*Source!I207),2)),2), 2)</f>
        <v>1581.92</v>
      </c>
      <c r="R230">
        <f>Source!X207</f>
        <v>31573.88</v>
      </c>
      <c r="S230">
        <f>ROUND((Source!DO207/100)*ROUND((ROUND((Source!AF207*Source!AV207*Source!I207),2)),2), 2)</f>
        <v>1051.3399999999999</v>
      </c>
      <c r="T230">
        <f>Source!Y207</f>
        <v>13015.19</v>
      </c>
      <c r="U230">
        <f>ROUND((175/100)*ROUND((ROUND((Source!AE207*Source!AV207*Source!I207),2)),2), 2)</f>
        <v>1351.28</v>
      </c>
      <c r="V230">
        <f>ROUND((157/100)*ROUND(ROUND((ROUND((Source!AE207*Source!AV207*Source!I207),2)*Source!BS207),2), 2), 2)</f>
        <v>29737.5</v>
      </c>
    </row>
    <row r="231" spans="1:27" x14ac:dyDescent="0.2">
      <c r="C231" s="29" t="str">
        <f>"Объем: "&amp;Source!I207&amp;"=3243*"&amp;"0,2/"&amp;"100"</f>
        <v>Объем: 6,486=3243*0,2/100</v>
      </c>
    </row>
    <row r="232" spans="1:27" ht="14.25" x14ac:dyDescent="0.2">
      <c r="A232" s="22"/>
      <c r="B232" s="23"/>
      <c r="C232" s="23" t="s">
        <v>970</v>
      </c>
      <c r="D232" s="25"/>
      <c r="E232" s="10"/>
      <c r="F232" s="27">
        <f>Source!AO207</f>
        <v>151.49</v>
      </c>
      <c r="G232" s="26" t="str">
        <f>Source!DG207</f>
        <v/>
      </c>
      <c r="H232" s="10">
        <f>Source!AV207</f>
        <v>1</v>
      </c>
      <c r="I232" s="28">
        <f>ROUND((ROUND((Source!AF207*Source!AV207*Source!I207),2)),2)</f>
        <v>982.56</v>
      </c>
      <c r="J232" s="10">
        <f>IF(Source!BA207&lt;&gt; 0, Source!BA207, 1)</f>
        <v>24.53</v>
      </c>
      <c r="K232" s="28">
        <f>Source!S207</f>
        <v>24102.2</v>
      </c>
      <c r="W232">
        <f>I232</f>
        <v>982.56</v>
      </c>
    </row>
    <row r="233" spans="1:27" ht="14.25" x14ac:dyDescent="0.2">
      <c r="A233" s="22"/>
      <c r="B233" s="23"/>
      <c r="C233" s="23" t="s">
        <v>971</v>
      </c>
      <c r="D233" s="25"/>
      <c r="E233" s="10"/>
      <c r="F233" s="27">
        <f>Source!AM207</f>
        <v>676.47</v>
      </c>
      <c r="G233" s="26" t="str">
        <f>Source!DE207</f>
        <v/>
      </c>
      <c r="H233" s="10">
        <f>Source!AV207</f>
        <v>1</v>
      </c>
      <c r="I233" s="28">
        <f>(ROUND((ROUND(((Source!ET207)*Source!AV207*Source!I207),2)),2)+ROUND((ROUND(((Source!AE207-(Source!EU207))*Source!AV207*Source!I207),2)),2))</f>
        <v>4387.58</v>
      </c>
      <c r="J233" s="10">
        <f>IF(Source!BB207&lt;&gt; 0, Source!BB207, 1)</f>
        <v>9.4499999999999993</v>
      </c>
      <c r="K233" s="28">
        <f>Source!Q207</f>
        <v>41462.629999999997</v>
      </c>
    </row>
    <row r="234" spans="1:27" ht="14.25" x14ac:dyDescent="0.2">
      <c r="A234" s="22"/>
      <c r="B234" s="23"/>
      <c r="C234" s="23" t="s">
        <v>972</v>
      </c>
      <c r="D234" s="25"/>
      <c r="E234" s="10"/>
      <c r="F234" s="27">
        <f>Source!AN207</f>
        <v>119.05</v>
      </c>
      <c r="G234" s="26" t="str">
        <f>Source!DF207</f>
        <v/>
      </c>
      <c r="H234" s="10">
        <f>Source!AV207</f>
        <v>1</v>
      </c>
      <c r="I234" s="30">
        <f>ROUND((ROUND((Source!AE207*Source!AV207*Source!I207),2)),2)</f>
        <v>772.16</v>
      </c>
      <c r="J234" s="10">
        <f>IF(Source!BS207&lt;&gt; 0, Source!BS207, 1)</f>
        <v>24.53</v>
      </c>
      <c r="K234" s="30">
        <f>Source!R207</f>
        <v>18941.080000000002</v>
      </c>
      <c r="W234">
        <f>I234</f>
        <v>772.16</v>
      </c>
    </row>
    <row r="235" spans="1:27" ht="14.25" x14ac:dyDescent="0.2">
      <c r="A235" s="22"/>
      <c r="B235" s="23"/>
      <c r="C235" s="23" t="s">
        <v>973</v>
      </c>
      <c r="D235" s="25"/>
      <c r="E235" s="10"/>
      <c r="F235" s="27">
        <f>Source!AL207</f>
        <v>35.35</v>
      </c>
      <c r="G235" s="26" t="str">
        <f>Source!DD207</f>
        <v/>
      </c>
      <c r="H235" s="10">
        <f>Source!AW207</f>
        <v>1</v>
      </c>
      <c r="I235" s="28">
        <f>ROUND((ROUND((Source!AC207*Source!AW207*Source!I207),2)),2)</f>
        <v>229.28</v>
      </c>
      <c r="J235" s="10">
        <f>IF(Source!BC207&lt;&gt; 0, Source!BC207, 1)</f>
        <v>4.99</v>
      </c>
      <c r="K235" s="28">
        <f>Source!P207</f>
        <v>1144.1099999999999</v>
      </c>
    </row>
    <row r="236" spans="1:27" ht="28.5" x14ac:dyDescent="0.2">
      <c r="A236" s="22" t="str">
        <f>Source!E208</f>
        <v>32,1</v>
      </c>
      <c r="B236" s="23" t="str">
        <f>Source!F208</f>
        <v>1.1-1-766</v>
      </c>
      <c r="C236" s="23" t="s">
        <v>191</v>
      </c>
      <c r="D236" s="25" t="str">
        <f>Source!H208</f>
        <v>м3</v>
      </c>
      <c r="E236" s="10">
        <f>Source!I208</f>
        <v>713.46</v>
      </c>
      <c r="F236" s="27">
        <f>Source!AK208</f>
        <v>104.99</v>
      </c>
      <c r="G236" s="33" t="s">
        <v>3</v>
      </c>
      <c r="H236" s="10">
        <f>Source!AW208</f>
        <v>1</v>
      </c>
      <c r="I236" s="28">
        <f>ROUND((ROUND((Source!AC208*Source!AW208*Source!I208),2)),2)+(ROUND((ROUND(((Source!ET208)*Source!AV208*Source!I208),2)),2)+ROUND((ROUND(((Source!AE208-(Source!EU208))*Source!AV208*Source!I208),2)),2))+ROUND((ROUND((Source!AF208*Source!AV208*Source!I208),2)),2)</f>
        <v>74906.17</v>
      </c>
      <c r="J236" s="10">
        <f>IF(Source!BC208&lt;&gt; 0, Source!BC208, 1)</f>
        <v>5.26</v>
      </c>
      <c r="K236" s="28">
        <f>Source!O208</f>
        <v>394006.45</v>
      </c>
      <c r="Q236">
        <f>ROUND((Source!DN208/100)*ROUND((ROUND((Source!AF208*Source!AV208*Source!I208),2)),2), 2)</f>
        <v>0</v>
      </c>
      <c r="R236">
        <f>Source!X208</f>
        <v>0</v>
      </c>
      <c r="S236">
        <f>ROUND((Source!DO208/100)*ROUND((ROUND((Source!AF208*Source!AV208*Source!I208),2)),2), 2)</f>
        <v>0</v>
      </c>
      <c r="T236">
        <f>Source!Y208</f>
        <v>0</v>
      </c>
      <c r="U236">
        <f>ROUND((175/100)*ROUND((ROUND((Source!AE208*Source!AV208*Source!I208),2)),2), 2)</f>
        <v>0</v>
      </c>
      <c r="V236">
        <f>ROUND((157/100)*ROUND(ROUND((ROUND((Source!AE208*Source!AV208*Source!I208),2)*Source!BS208),2), 2), 2)</f>
        <v>0</v>
      </c>
      <c r="X236">
        <f>IF(Source!BI208&lt;=1,I236, 0)</f>
        <v>74906.17</v>
      </c>
      <c r="Y236">
        <f>IF(Source!BI208=2,I236, 0)</f>
        <v>0</v>
      </c>
      <c r="Z236">
        <f>IF(Source!BI208=3,I236, 0)</f>
        <v>0</v>
      </c>
      <c r="AA236">
        <f>IF(Source!BI208=4,I236, 0)</f>
        <v>0</v>
      </c>
    </row>
    <row r="237" spans="1:27" ht="14.25" x14ac:dyDescent="0.2">
      <c r="A237" s="22"/>
      <c r="B237" s="23"/>
      <c r="C237" s="23" t="s">
        <v>974</v>
      </c>
      <c r="D237" s="25" t="s">
        <v>975</v>
      </c>
      <c r="E237" s="10">
        <f>Source!DN207</f>
        <v>161</v>
      </c>
      <c r="F237" s="27"/>
      <c r="G237" s="26"/>
      <c r="H237" s="10"/>
      <c r="I237" s="28">
        <f>SUM(Q230:Q236)</f>
        <v>1581.92</v>
      </c>
      <c r="J237" s="10">
        <f>Source!BZ207</f>
        <v>131</v>
      </c>
      <c r="K237" s="28">
        <f>SUM(R230:R236)</f>
        <v>31573.88</v>
      </c>
    </row>
    <row r="238" spans="1:27" ht="14.25" x14ac:dyDescent="0.2">
      <c r="A238" s="22"/>
      <c r="B238" s="23"/>
      <c r="C238" s="23" t="s">
        <v>976</v>
      </c>
      <c r="D238" s="25" t="s">
        <v>975</v>
      </c>
      <c r="E238" s="10">
        <f>Source!DO207</f>
        <v>107</v>
      </c>
      <c r="F238" s="27"/>
      <c r="G238" s="26"/>
      <c r="H238" s="10"/>
      <c r="I238" s="28">
        <f>SUM(S230:S237)</f>
        <v>1051.3399999999999</v>
      </c>
      <c r="J238" s="10">
        <f>Source!CA207</f>
        <v>54</v>
      </c>
      <c r="K238" s="28">
        <f>SUM(T230:T237)</f>
        <v>13015.19</v>
      </c>
    </row>
    <row r="239" spans="1:27" ht="14.25" x14ac:dyDescent="0.2">
      <c r="A239" s="22"/>
      <c r="B239" s="23"/>
      <c r="C239" s="23" t="s">
        <v>977</v>
      </c>
      <c r="D239" s="25" t="s">
        <v>975</v>
      </c>
      <c r="E239" s="10">
        <f>175</f>
        <v>175</v>
      </c>
      <c r="F239" s="27"/>
      <c r="G239" s="26"/>
      <c r="H239" s="10"/>
      <c r="I239" s="28">
        <f>SUM(U230:U238)</f>
        <v>1351.28</v>
      </c>
      <c r="J239" s="10">
        <f>157</f>
        <v>157</v>
      </c>
      <c r="K239" s="28">
        <f>SUM(V230:V238)</f>
        <v>29737.5</v>
      </c>
    </row>
    <row r="240" spans="1:27" ht="14.25" x14ac:dyDescent="0.2">
      <c r="A240" s="22"/>
      <c r="B240" s="23"/>
      <c r="C240" s="23" t="s">
        <v>978</v>
      </c>
      <c r="D240" s="25" t="s">
        <v>979</v>
      </c>
      <c r="E240" s="10">
        <f>Source!AQ207</f>
        <v>14.4</v>
      </c>
      <c r="F240" s="27"/>
      <c r="G240" s="26" t="str">
        <f>Source!DI207</f>
        <v/>
      </c>
      <c r="H240" s="10">
        <f>Source!AV207</f>
        <v>1</v>
      </c>
      <c r="I240" s="28">
        <f>Source!U207</f>
        <v>93.398399999999995</v>
      </c>
      <c r="J240" s="10"/>
      <c r="K240" s="28"/>
    </row>
    <row r="241" spans="1:27" ht="15" x14ac:dyDescent="0.25">
      <c r="A241" s="32"/>
      <c r="B241" s="32"/>
      <c r="C241" s="32"/>
      <c r="D241" s="32"/>
      <c r="E241" s="32"/>
      <c r="F241" s="32"/>
      <c r="G241" s="32"/>
      <c r="H241" s="101">
        <f>I232+I233+I235+I237+I238+I239+SUM(I236:I236)</f>
        <v>84490.13</v>
      </c>
      <c r="I241" s="101"/>
      <c r="J241" s="101">
        <f>K232+K233+K235+K237+K238+K239+SUM(K236:K236)</f>
        <v>535041.96</v>
      </c>
      <c r="K241" s="101"/>
      <c r="O241" s="31">
        <f>I232+I233+I235+I237+I238+I239+SUM(I236:I236)</f>
        <v>84490.13</v>
      </c>
      <c r="P241" s="31">
        <f>K232+K233+K235+K237+K238+K239+SUM(K236:K236)</f>
        <v>535041.96</v>
      </c>
      <c r="X241">
        <f>IF(Source!BI207&lt;=1,I232+I233+I235+I237+I238+I239-0, 0)</f>
        <v>9583.9599999999991</v>
      </c>
      <c r="Y241">
        <f>IF(Source!BI207=2,I232+I233+I235+I237+I238+I239-0, 0)</f>
        <v>0</v>
      </c>
      <c r="Z241">
        <f>IF(Source!BI207=3,I232+I233+I235+I237+I238+I239-0, 0)</f>
        <v>0</v>
      </c>
      <c r="AA241">
        <f>IF(Source!BI207=4,I232+I233+I235+I237+I238+I239,0)</f>
        <v>0</v>
      </c>
    </row>
    <row r="242" spans="1:27" ht="99.75" x14ac:dyDescent="0.2">
      <c r="A242" s="22" t="str">
        <f>Source!E209</f>
        <v>33</v>
      </c>
      <c r="B242" s="23" t="str">
        <f>Source!F209</f>
        <v>3.27-12-2</v>
      </c>
      <c r="C242" s="23" t="s">
        <v>234</v>
      </c>
      <c r="D242" s="25" t="str">
        <f>Source!H209</f>
        <v>100 м3 материала основания (в плотном теле)</v>
      </c>
      <c r="E242" s="10">
        <f>Source!I209</f>
        <v>4.8644999999999996</v>
      </c>
      <c r="F242" s="27"/>
      <c r="G242" s="26"/>
      <c r="H242" s="10"/>
      <c r="I242" s="28"/>
      <c r="J242" s="10"/>
      <c r="K242" s="28"/>
      <c r="Q242">
        <f>ROUND((Source!DN209/100)*ROUND((ROUND((Source!AF209*Source!AV209*Source!I209),2)),2), 2)</f>
        <v>1779.63</v>
      </c>
      <c r="R242">
        <f>Source!X209</f>
        <v>35519.97</v>
      </c>
      <c r="S242">
        <f>ROUND((Source!DO209/100)*ROUND((ROUND((Source!AF209*Source!AV209*Source!I209),2)),2), 2)</f>
        <v>1182.74</v>
      </c>
      <c r="T242">
        <f>Source!Y209</f>
        <v>14641.82</v>
      </c>
      <c r="U242">
        <f>ROUND((175/100)*ROUND((ROUND((Source!AE209*Source!AV209*Source!I209),2)),2), 2)</f>
        <v>5381.85</v>
      </c>
      <c r="V242">
        <f>ROUND((157/100)*ROUND(ROUND((ROUND((Source!AE209*Source!AV209*Source!I209),2)*Source!BS209),2), 2), 2)</f>
        <v>118437.8</v>
      </c>
    </row>
    <row r="243" spans="1:27" x14ac:dyDescent="0.2">
      <c r="C243" s="29" t="str">
        <f>"Объем: "&amp;Source!I209&amp;"=3243*"&amp;"0,15/"&amp;"100"</f>
        <v>Объем: 4,8645=3243*0,15/100</v>
      </c>
    </row>
    <row r="244" spans="1:27" ht="14.25" x14ac:dyDescent="0.2">
      <c r="A244" s="22"/>
      <c r="B244" s="23"/>
      <c r="C244" s="23" t="s">
        <v>970</v>
      </c>
      <c r="D244" s="25"/>
      <c r="E244" s="10"/>
      <c r="F244" s="27">
        <f>Source!AO209</f>
        <v>227.23</v>
      </c>
      <c r="G244" s="26" t="str">
        <f>Source!DG209</f>
        <v/>
      </c>
      <c r="H244" s="10">
        <f>Source!AV209</f>
        <v>1</v>
      </c>
      <c r="I244" s="28">
        <f>ROUND((ROUND((Source!AF209*Source!AV209*Source!I209),2)),2)</f>
        <v>1105.3599999999999</v>
      </c>
      <c r="J244" s="10">
        <f>IF(Source!BA209&lt;&gt; 0, Source!BA209, 1)</f>
        <v>24.53</v>
      </c>
      <c r="K244" s="28">
        <f>Source!S209</f>
        <v>27114.48</v>
      </c>
      <c r="W244">
        <f>I244</f>
        <v>1105.3599999999999</v>
      </c>
    </row>
    <row r="245" spans="1:27" ht="14.25" x14ac:dyDescent="0.2">
      <c r="A245" s="22"/>
      <c r="B245" s="23"/>
      <c r="C245" s="23" t="s">
        <v>971</v>
      </c>
      <c r="D245" s="25"/>
      <c r="E245" s="10"/>
      <c r="F245" s="27">
        <f>Source!AM209</f>
        <v>3024.67</v>
      </c>
      <c r="G245" s="26" t="str">
        <f>Source!DE209</f>
        <v/>
      </c>
      <c r="H245" s="10">
        <f>Source!AV209</f>
        <v>1</v>
      </c>
      <c r="I245" s="28">
        <f>(ROUND((ROUND(((Source!ET209)*Source!AV209*Source!I209),2)),2)+ROUND((ROUND(((Source!AE209-(Source!EU209))*Source!AV209*Source!I209),2)),2))</f>
        <v>14713.51</v>
      </c>
      <c r="J245" s="10">
        <f>IF(Source!BB209&lt;&gt; 0, Source!BB209, 1)</f>
        <v>8.4700000000000006</v>
      </c>
      <c r="K245" s="28">
        <f>Source!Q209</f>
        <v>124623.43</v>
      </c>
    </row>
    <row r="246" spans="1:27" ht="14.25" x14ac:dyDescent="0.2">
      <c r="A246" s="22"/>
      <c r="B246" s="23"/>
      <c r="C246" s="23" t="s">
        <v>972</v>
      </c>
      <c r="D246" s="25"/>
      <c r="E246" s="10"/>
      <c r="F246" s="27">
        <f>Source!AN209</f>
        <v>632.20000000000005</v>
      </c>
      <c r="G246" s="26" t="str">
        <f>Source!DF209</f>
        <v/>
      </c>
      <c r="H246" s="10">
        <f>Source!AV209</f>
        <v>1</v>
      </c>
      <c r="I246" s="30">
        <f>ROUND((ROUND((Source!AE209*Source!AV209*Source!I209),2)),2)</f>
        <v>3075.34</v>
      </c>
      <c r="J246" s="10">
        <f>IF(Source!BS209&lt;&gt; 0, Source!BS209, 1)</f>
        <v>24.53</v>
      </c>
      <c r="K246" s="30">
        <f>Source!R209</f>
        <v>75438.09</v>
      </c>
      <c r="W246">
        <f>I246</f>
        <v>3075.34</v>
      </c>
    </row>
    <row r="247" spans="1:27" ht="14.25" x14ac:dyDescent="0.2">
      <c r="A247" s="22"/>
      <c r="B247" s="23"/>
      <c r="C247" s="23" t="s">
        <v>973</v>
      </c>
      <c r="D247" s="25"/>
      <c r="E247" s="10"/>
      <c r="F247" s="27">
        <f>Source!AL209</f>
        <v>49.49</v>
      </c>
      <c r="G247" s="26" t="str">
        <f>Source!DD209</f>
        <v/>
      </c>
      <c r="H247" s="10">
        <f>Source!AW209</f>
        <v>1</v>
      </c>
      <c r="I247" s="28">
        <f>ROUND((ROUND((Source!AC209*Source!AW209*Source!I209),2)),2)</f>
        <v>240.74</v>
      </c>
      <c r="J247" s="10">
        <f>IF(Source!BC209&lt;&gt; 0, Source!BC209, 1)</f>
        <v>4.99</v>
      </c>
      <c r="K247" s="28">
        <f>Source!P209</f>
        <v>1201.29</v>
      </c>
    </row>
    <row r="248" spans="1:27" ht="42.75" x14ac:dyDescent="0.2">
      <c r="A248" s="22" t="str">
        <f>Source!E210</f>
        <v>33,1</v>
      </c>
      <c r="B248" s="23" t="str">
        <f>Source!F210</f>
        <v>1.1-1-1550</v>
      </c>
      <c r="C248" s="23" t="s">
        <v>65</v>
      </c>
      <c r="D248" s="25" t="str">
        <f>Source!H210</f>
        <v>м3</v>
      </c>
      <c r="E248" s="10">
        <f>Source!I210</f>
        <v>612.92700000000002</v>
      </c>
      <c r="F248" s="27">
        <f>Source!AK210</f>
        <v>173.37</v>
      </c>
      <c r="G248" s="33" t="s">
        <v>3</v>
      </c>
      <c r="H248" s="10">
        <f>Source!AW210</f>
        <v>1</v>
      </c>
      <c r="I248" s="28">
        <f>ROUND((ROUND((Source!AC210*Source!AW210*Source!I210),2)),2)+(ROUND((ROUND(((Source!ET210)*Source!AV210*Source!I210),2)),2)+ROUND((ROUND(((Source!AE210-(Source!EU210))*Source!AV210*Source!I210),2)),2))+ROUND((ROUND((Source!AF210*Source!AV210*Source!I210),2)),2)</f>
        <v>106263.15</v>
      </c>
      <c r="J248" s="10">
        <f>IF(Source!BC210&lt;&gt; 0, Source!BC210, 1)</f>
        <v>10.78</v>
      </c>
      <c r="K248" s="28">
        <f>Source!O210</f>
        <v>1145516.76</v>
      </c>
      <c r="Q248">
        <f>ROUND((Source!DN210/100)*ROUND((ROUND((Source!AF210*Source!AV210*Source!I210),2)),2), 2)</f>
        <v>0</v>
      </c>
      <c r="R248">
        <f>Source!X210</f>
        <v>0</v>
      </c>
      <c r="S248">
        <f>ROUND((Source!DO210/100)*ROUND((ROUND((Source!AF210*Source!AV210*Source!I210),2)),2), 2)</f>
        <v>0</v>
      </c>
      <c r="T248">
        <f>Source!Y210</f>
        <v>0</v>
      </c>
      <c r="U248">
        <f>ROUND((175/100)*ROUND((ROUND((Source!AE210*Source!AV210*Source!I210),2)),2), 2)</f>
        <v>0</v>
      </c>
      <c r="V248">
        <f>ROUND((157/100)*ROUND(ROUND((ROUND((Source!AE210*Source!AV210*Source!I210),2)*Source!BS210),2), 2), 2)</f>
        <v>0</v>
      </c>
      <c r="X248">
        <f>IF(Source!BI210&lt;=1,I248, 0)</f>
        <v>106263.15</v>
      </c>
      <c r="Y248">
        <f>IF(Source!BI210=2,I248, 0)</f>
        <v>0</v>
      </c>
      <c r="Z248">
        <f>IF(Source!BI210=3,I248, 0)</f>
        <v>0</v>
      </c>
      <c r="AA248">
        <f>IF(Source!BI210=4,I248, 0)</f>
        <v>0</v>
      </c>
    </row>
    <row r="249" spans="1:27" ht="14.25" x14ac:dyDescent="0.2">
      <c r="A249" s="22"/>
      <c r="B249" s="23"/>
      <c r="C249" s="23" t="s">
        <v>974</v>
      </c>
      <c r="D249" s="25" t="s">
        <v>975</v>
      </c>
      <c r="E249" s="10">
        <f>Source!DN209</f>
        <v>161</v>
      </c>
      <c r="F249" s="27"/>
      <c r="G249" s="26"/>
      <c r="H249" s="10"/>
      <c r="I249" s="28">
        <f>SUM(Q242:Q248)</f>
        <v>1779.63</v>
      </c>
      <c r="J249" s="10">
        <f>Source!BZ209</f>
        <v>131</v>
      </c>
      <c r="K249" s="28">
        <f>SUM(R242:R248)</f>
        <v>35519.97</v>
      </c>
    </row>
    <row r="250" spans="1:27" ht="14.25" x14ac:dyDescent="0.2">
      <c r="A250" s="22"/>
      <c r="B250" s="23"/>
      <c r="C250" s="23" t="s">
        <v>976</v>
      </c>
      <c r="D250" s="25" t="s">
        <v>975</v>
      </c>
      <c r="E250" s="10">
        <f>Source!DO209</f>
        <v>107</v>
      </c>
      <c r="F250" s="27"/>
      <c r="G250" s="26"/>
      <c r="H250" s="10"/>
      <c r="I250" s="28">
        <f>SUM(S242:S249)</f>
        <v>1182.74</v>
      </c>
      <c r="J250" s="10">
        <f>Source!CA209</f>
        <v>54</v>
      </c>
      <c r="K250" s="28">
        <f>SUM(T242:T249)</f>
        <v>14641.82</v>
      </c>
    </row>
    <row r="251" spans="1:27" ht="14.25" x14ac:dyDescent="0.2">
      <c r="A251" s="22"/>
      <c r="B251" s="23"/>
      <c r="C251" s="23" t="s">
        <v>977</v>
      </c>
      <c r="D251" s="25" t="s">
        <v>975</v>
      </c>
      <c r="E251" s="10">
        <f>175</f>
        <v>175</v>
      </c>
      <c r="F251" s="27"/>
      <c r="G251" s="26"/>
      <c r="H251" s="10"/>
      <c r="I251" s="28">
        <f>SUM(U242:U250)</f>
        <v>5381.85</v>
      </c>
      <c r="J251" s="10">
        <f>157</f>
        <v>157</v>
      </c>
      <c r="K251" s="28">
        <f>SUM(V242:V250)</f>
        <v>118437.8</v>
      </c>
    </row>
    <row r="252" spans="1:27" ht="14.25" x14ac:dyDescent="0.2">
      <c r="A252" s="22"/>
      <c r="B252" s="23"/>
      <c r="C252" s="23" t="s">
        <v>978</v>
      </c>
      <c r="D252" s="25" t="s">
        <v>979</v>
      </c>
      <c r="E252" s="10">
        <f>Source!AQ209</f>
        <v>21.6</v>
      </c>
      <c r="F252" s="27"/>
      <c r="G252" s="26" t="str">
        <f>Source!DI209</f>
        <v/>
      </c>
      <c r="H252" s="10">
        <f>Source!AV209</f>
        <v>1</v>
      </c>
      <c r="I252" s="28">
        <f>Source!U209</f>
        <v>105.0732</v>
      </c>
      <c r="J252" s="10"/>
      <c r="K252" s="28"/>
    </row>
    <row r="253" spans="1:27" ht="15" x14ac:dyDescent="0.25">
      <c r="A253" s="32"/>
      <c r="B253" s="32"/>
      <c r="C253" s="32"/>
      <c r="D253" s="32"/>
      <c r="E253" s="32"/>
      <c r="F253" s="32"/>
      <c r="G253" s="32"/>
      <c r="H253" s="101">
        <f>I244+I245+I247+I249+I250+I251+SUM(I248:I248)</f>
        <v>130666.98</v>
      </c>
      <c r="I253" s="101"/>
      <c r="J253" s="101">
        <f>K244+K245+K247+K249+K250+K251+SUM(K248:K248)</f>
        <v>1467055.55</v>
      </c>
      <c r="K253" s="101"/>
      <c r="O253" s="31">
        <f>I244+I245+I247+I249+I250+I251+SUM(I248:I248)</f>
        <v>130666.98</v>
      </c>
      <c r="P253" s="31">
        <f>K244+K245+K247+K249+K250+K251+SUM(K248:K248)</f>
        <v>1467055.55</v>
      </c>
      <c r="X253">
        <f>IF(Source!BI209&lt;=1,I244+I245+I247+I249+I250+I251-0, 0)</f>
        <v>24403.83</v>
      </c>
      <c r="Y253">
        <f>IF(Source!BI209=2,I244+I245+I247+I249+I250+I251-0, 0)</f>
        <v>0</v>
      </c>
      <c r="Z253">
        <f>IF(Source!BI209=3,I244+I245+I247+I249+I250+I251-0, 0)</f>
        <v>0</v>
      </c>
      <c r="AA253">
        <f>IF(Source!BI209=4,I244+I245+I247+I249+I250+I251,0)</f>
        <v>0</v>
      </c>
    </row>
    <row r="254" spans="1:27" ht="71.25" x14ac:dyDescent="0.2">
      <c r="A254" s="22" t="str">
        <f>Source!E211</f>
        <v>34</v>
      </c>
      <c r="B254" s="23" t="str">
        <f>Source!F211</f>
        <v>3.27-47-4</v>
      </c>
      <c r="C254" s="23" t="s">
        <v>162</v>
      </c>
      <c r="D254" s="25" t="str">
        <f>Source!H211</f>
        <v>100 м2 покрытия</v>
      </c>
      <c r="E254" s="10">
        <f>Source!I211</f>
        <v>32.43</v>
      </c>
      <c r="F254" s="27"/>
      <c r="G254" s="26"/>
      <c r="H254" s="10"/>
      <c r="I254" s="28"/>
      <c r="J254" s="10"/>
      <c r="K254" s="28"/>
      <c r="Q254">
        <f>ROUND((Source!DN211/100)*ROUND((ROUND((Source!AF211*Source!AV211*Source!I211),2)),2), 2)</f>
        <v>4684.1400000000003</v>
      </c>
      <c r="R254">
        <f>Source!X211</f>
        <v>90892.67</v>
      </c>
      <c r="S254">
        <f>ROUND((Source!DO211/100)*ROUND((ROUND((Source!AF211*Source!AV211*Source!I211),2)),2), 2)</f>
        <v>2901.37</v>
      </c>
      <c r="T254">
        <f>Source!Y211</f>
        <v>35156.6</v>
      </c>
      <c r="U254">
        <f>ROUND((175/100)*ROUND((ROUND((Source!AE211*Source!AV211*Source!I211),2)),2), 2)</f>
        <v>920.52</v>
      </c>
      <c r="V254">
        <f>ROUND((157/100)*ROUND(ROUND((ROUND((Source!AE211*Source!AV211*Source!I211),2)*Source!BS211),2), 2), 2)</f>
        <v>20257.759999999998</v>
      </c>
    </row>
    <row r="255" spans="1:27" x14ac:dyDescent="0.2">
      <c r="C255" s="29" t="str">
        <f>"Объем: "&amp;Source!I211&amp;"=3243/"&amp;"100"</f>
        <v>Объем: 32,43=3243/100</v>
      </c>
    </row>
    <row r="256" spans="1:27" ht="14.25" x14ac:dyDescent="0.2">
      <c r="A256" s="22"/>
      <c r="B256" s="23"/>
      <c r="C256" s="23" t="s">
        <v>970</v>
      </c>
      <c r="D256" s="25"/>
      <c r="E256" s="10"/>
      <c r="F256" s="27">
        <f>Source!AO211</f>
        <v>107.79</v>
      </c>
      <c r="G256" s="26" t="str">
        <f>Source!DG211</f>
        <v/>
      </c>
      <c r="H256" s="10">
        <f>Source!AV211</f>
        <v>1</v>
      </c>
      <c r="I256" s="28">
        <f>ROUND((ROUND((Source!AF211*Source!AV211*Source!I211),2)),2)</f>
        <v>3495.63</v>
      </c>
      <c r="J256" s="10">
        <f>IF(Source!BA211&lt;&gt; 0, Source!BA211, 1)</f>
        <v>24.53</v>
      </c>
      <c r="K256" s="28">
        <f>Source!S211</f>
        <v>85747.8</v>
      </c>
      <c r="W256">
        <f>I256</f>
        <v>3495.63</v>
      </c>
    </row>
    <row r="257" spans="1:38" ht="14.25" x14ac:dyDescent="0.2">
      <c r="A257" s="22"/>
      <c r="B257" s="23"/>
      <c r="C257" s="23" t="s">
        <v>971</v>
      </c>
      <c r="D257" s="25"/>
      <c r="E257" s="10"/>
      <c r="F257" s="27">
        <f>Source!AM211</f>
        <v>60.22</v>
      </c>
      <c r="G257" s="26" t="str">
        <f>Source!DE211</f>
        <v/>
      </c>
      <c r="H257" s="10">
        <f>Source!AV211</f>
        <v>1</v>
      </c>
      <c r="I257" s="28">
        <f>(ROUND((ROUND(((Source!ET211)*Source!AV211*Source!I211),2)),2)+ROUND((ROUND(((Source!AE211-(Source!EU211))*Source!AV211*Source!I211),2)),2))</f>
        <v>1952.93</v>
      </c>
      <c r="J257" s="10">
        <f>IF(Source!BB211&lt;&gt; 0, Source!BB211, 1)</f>
        <v>8.2200000000000006</v>
      </c>
      <c r="K257" s="28">
        <f>Source!Q211</f>
        <v>16053.08</v>
      </c>
    </row>
    <row r="258" spans="1:38" ht="14.25" x14ac:dyDescent="0.2">
      <c r="A258" s="22"/>
      <c r="B258" s="23"/>
      <c r="C258" s="23" t="s">
        <v>972</v>
      </c>
      <c r="D258" s="25"/>
      <c r="E258" s="10"/>
      <c r="F258" s="27">
        <f>Source!AN211</f>
        <v>16.22</v>
      </c>
      <c r="G258" s="26" t="str">
        <f>Source!DF211</f>
        <v/>
      </c>
      <c r="H258" s="10">
        <f>Source!AV211</f>
        <v>1</v>
      </c>
      <c r="I258" s="30">
        <f>ROUND((ROUND((Source!AE211*Source!AV211*Source!I211),2)),2)</f>
        <v>526.01</v>
      </c>
      <c r="J258" s="10">
        <f>IF(Source!BS211&lt;&gt; 0, Source!BS211, 1)</f>
        <v>24.53</v>
      </c>
      <c r="K258" s="30">
        <f>Source!R211</f>
        <v>12903.03</v>
      </c>
      <c r="W258">
        <f>I258</f>
        <v>526.01</v>
      </c>
    </row>
    <row r="259" spans="1:38" ht="14.25" x14ac:dyDescent="0.2">
      <c r="A259" s="22"/>
      <c r="B259" s="23"/>
      <c r="C259" s="23" t="s">
        <v>973</v>
      </c>
      <c r="D259" s="25"/>
      <c r="E259" s="10"/>
      <c r="F259" s="27">
        <f>Source!AL211</f>
        <v>210.11</v>
      </c>
      <c r="G259" s="26" t="str">
        <f>Source!DD211</f>
        <v/>
      </c>
      <c r="H259" s="10">
        <f>Source!AW211</f>
        <v>1</v>
      </c>
      <c r="I259" s="28">
        <f>ROUND((ROUND((Source!AC211*Source!AW211*Source!I211),2)),2)</f>
        <v>6813.87</v>
      </c>
      <c r="J259" s="10">
        <f>IF(Source!BC211&lt;&gt; 0, Source!BC211, 1)</f>
        <v>6.2</v>
      </c>
      <c r="K259" s="28">
        <f>Source!P211</f>
        <v>42245.99</v>
      </c>
    </row>
    <row r="260" spans="1:38" ht="28.5" x14ac:dyDescent="0.2">
      <c r="A260" s="22" t="str">
        <f>Source!E212</f>
        <v>34,1</v>
      </c>
      <c r="B260" s="23" t="str">
        <f>Source!F212</f>
        <v>1.3-3-51</v>
      </c>
      <c r="C260" s="23" t="s">
        <v>168</v>
      </c>
      <c r="D260" s="25" t="str">
        <f>Source!H212</f>
        <v>т</v>
      </c>
      <c r="E260" s="10">
        <f>Source!I212</f>
        <v>418.18484999999998</v>
      </c>
      <c r="F260" s="27">
        <f>Source!AK212</f>
        <v>317.95999999999998</v>
      </c>
      <c r="G260" s="33" t="s">
        <v>3</v>
      </c>
      <c r="H260" s="10">
        <f>Source!AW212</f>
        <v>1</v>
      </c>
      <c r="I260" s="28">
        <f>ROUND((ROUND((Source!AC212*Source!AW212*Source!I212),2)),2)+(ROUND((ROUND(((Source!ET212)*Source!AV212*Source!I212),2)),2)+ROUND((ROUND(((Source!AE212-(Source!EU212))*Source!AV212*Source!I212),2)),2))+ROUND((ROUND((Source!AF212*Source!AV212*Source!I212),2)),2)</f>
        <v>132966.04999999999</v>
      </c>
      <c r="J260" s="10">
        <f>IF(Source!BC212&lt;&gt; 0, Source!BC212, 1)</f>
        <v>8.24</v>
      </c>
      <c r="K260" s="28">
        <f>Source!O212</f>
        <v>1095640.25</v>
      </c>
      <c r="Q260">
        <f>ROUND((Source!DN212/100)*ROUND((ROUND((Source!AF212*Source!AV212*Source!I212),2)),2), 2)</f>
        <v>0</v>
      </c>
      <c r="R260">
        <f>Source!X212</f>
        <v>0</v>
      </c>
      <c r="S260">
        <f>ROUND((Source!DO212/100)*ROUND((ROUND((Source!AF212*Source!AV212*Source!I212),2)),2), 2)</f>
        <v>0</v>
      </c>
      <c r="T260">
        <f>Source!Y212</f>
        <v>0</v>
      </c>
      <c r="U260">
        <f>ROUND((175/100)*ROUND((ROUND((Source!AE212*Source!AV212*Source!I212),2)),2), 2)</f>
        <v>0</v>
      </c>
      <c r="V260">
        <f>ROUND((157/100)*ROUND(ROUND((ROUND((Source!AE212*Source!AV212*Source!I212),2)*Source!BS212),2), 2), 2)</f>
        <v>0</v>
      </c>
      <c r="X260">
        <f>IF(Source!BI212&lt;=1,I260, 0)</f>
        <v>132966.04999999999</v>
      </c>
      <c r="Y260">
        <f>IF(Source!BI212=2,I260, 0)</f>
        <v>0</v>
      </c>
      <c r="Z260">
        <f>IF(Source!BI212=3,I260, 0)</f>
        <v>0</v>
      </c>
      <c r="AA260">
        <f>IF(Source!BI212=4,I260, 0)</f>
        <v>0</v>
      </c>
    </row>
    <row r="261" spans="1:38" ht="14.25" x14ac:dyDescent="0.2">
      <c r="A261" s="22"/>
      <c r="B261" s="23"/>
      <c r="C261" s="23" t="s">
        <v>974</v>
      </c>
      <c r="D261" s="25" t="s">
        <v>975</v>
      </c>
      <c r="E261" s="10">
        <f>Source!DN211</f>
        <v>134</v>
      </c>
      <c r="F261" s="27"/>
      <c r="G261" s="26"/>
      <c r="H261" s="10"/>
      <c r="I261" s="28">
        <f>SUM(Q254:Q260)</f>
        <v>4684.1400000000003</v>
      </c>
      <c r="J261" s="10">
        <f>Source!BZ211</f>
        <v>106</v>
      </c>
      <c r="K261" s="28">
        <f>SUM(R254:R260)</f>
        <v>90892.67</v>
      </c>
    </row>
    <row r="262" spans="1:38" ht="14.25" x14ac:dyDescent="0.2">
      <c r="A262" s="22"/>
      <c r="B262" s="23"/>
      <c r="C262" s="23" t="s">
        <v>976</v>
      </c>
      <c r="D262" s="25" t="s">
        <v>975</v>
      </c>
      <c r="E262" s="10">
        <f>Source!DO211</f>
        <v>83</v>
      </c>
      <c r="F262" s="27"/>
      <c r="G262" s="26"/>
      <c r="H262" s="10"/>
      <c r="I262" s="28">
        <f>SUM(S254:S261)</f>
        <v>2901.37</v>
      </c>
      <c r="J262" s="10">
        <f>Source!CA211</f>
        <v>41</v>
      </c>
      <c r="K262" s="28">
        <f>SUM(T254:T261)</f>
        <v>35156.6</v>
      </c>
    </row>
    <row r="263" spans="1:38" ht="14.25" x14ac:dyDescent="0.2">
      <c r="A263" s="22"/>
      <c r="B263" s="23"/>
      <c r="C263" s="23" t="s">
        <v>977</v>
      </c>
      <c r="D263" s="25" t="s">
        <v>975</v>
      </c>
      <c r="E263" s="10">
        <f>175</f>
        <v>175</v>
      </c>
      <c r="F263" s="27"/>
      <c r="G263" s="26"/>
      <c r="H263" s="10"/>
      <c r="I263" s="28">
        <f>SUM(U254:U262)</f>
        <v>920.52</v>
      </c>
      <c r="J263" s="10">
        <f>157</f>
        <v>157</v>
      </c>
      <c r="K263" s="28">
        <f>SUM(V254:V262)</f>
        <v>20257.759999999998</v>
      </c>
    </row>
    <row r="264" spans="1:38" ht="14.25" x14ac:dyDescent="0.2">
      <c r="A264" s="22"/>
      <c r="B264" s="23"/>
      <c r="C264" s="23" t="s">
        <v>978</v>
      </c>
      <c r="D264" s="25" t="s">
        <v>979</v>
      </c>
      <c r="E264" s="10">
        <f>Source!AQ211</f>
        <v>8.9600000000000009</v>
      </c>
      <c r="F264" s="27"/>
      <c r="G264" s="26" t="str">
        <f>Source!DI211</f>
        <v/>
      </c>
      <c r="H264" s="10">
        <f>Source!AV211</f>
        <v>1</v>
      </c>
      <c r="I264" s="28">
        <f>Source!U211</f>
        <v>290.57280000000003</v>
      </c>
      <c r="J264" s="10"/>
      <c r="K264" s="28"/>
    </row>
    <row r="265" spans="1:38" ht="15" x14ac:dyDescent="0.25">
      <c r="A265" s="32"/>
      <c r="B265" s="32"/>
      <c r="C265" s="32"/>
      <c r="D265" s="32"/>
      <c r="E265" s="32"/>
      <c r="F265" s="32"/>
      <c r="G265" s="32"/>
      <c r="H265" s="101">
        <f>I256+I257+I259+I261+I262+I263+SUM(I260:I260)</f>
        <v>153734.50999999998</v>
      </c>
      <c r="I265" s="101"/>
      <c r="J265" s="101">
        <f>K256+K257+K259+K261+K262+K263+SUM(K260:K260)</f>
        <v>1385994.15</v>
      </c>
      <c r="K265" s="101"/>
      <c r="O265" s="31">
        <f>I256+I257+I259+I261+I262+I263+SUM(I260:I260)</f>
        <v>153734.50999999998</v>
      </c>
      <c r="P265" s="31">
        <f>K256+K257+K259+K261+K262+K263+SUM(K260:K260)</f>
        <v>1385994.15</v>
      </c>
      <c r="X265">
        <f>IF(Source!BI211&lt;=1,I256+I257+I259+I261+I262+I263-0, 0)</f>
        <v>20768.46</v>
      </c>
      <c r="Y265">
        <f>IF(Source!BI211=2,I256+I257+I259+I261+I262+I263-0, 0)</f>
        <v>0</v>
      </c>
      <c r="Z265">
        <f>IF(Source!BI211=3,I256+I257+I259+I261+I262+I263-0, 0)</f>
        <v>0</v>
      </c>
      <c r="AA265">
        <f>IF(Source!BI211=4,I256+I257+I259+I261+I262+I263,0)</f>
        <v>0</v>
      </c>
    </row>
    <row r="267" spans="1:38" ht="15" x14ac:dyDescent="0.25">
      <c r="A267" s="100" t="str">
        <f>CONCATENATE("Итого по разделу: ",IF(Source!G214&lt;&gt;"Новый раздел", Source!G214, ""))</f>
        <v>Итого по разделу: 10.1. Устройство новых оснований площадок (детские, спортивные, воркаут)</v>
      </c>
      <c r="B267" s="100"/>
      <c r="C267" s="100"/>
      <c r="D267" s="100"/>
      <c r="E267" s="100"/>
      <c r="F267" s="100"/>
      <c r="G267" s="100"/>
      <c r="H267" s="98">
        <f>SUM(O205:O266)</f>
        <v>392306.99</v>
      </c>
      <c r="I267" s="99"/>
      <c r="J267" s="98">
        <f>SUM(P205:P266)</f>
        <v>3766956.63</v>
      </c>
      <c r="K267" s="99"/>
      <c r="AL267" s="36" t="str">
        <f>CONCATENATE("Итого по разделу: ",IF(Source!G214&lt;&gt;"Новый раздел", Source!G214, ""))</f>
        <v>Итого по разделу: 10.1. Устройство новых оснований площадок (детские, спортивные, воркаут)</v>
      </c>
    </row>
    <row r="268" spans="1:38" hidden="1" x14ac:dyDescent="0.2">
      <c r="A268" t="s">
        <v>980</v>
      </c>
      <c r="I268">
        <f>SUM(AC205:AC267)</f>
        <v>0</v>
      </c>
      <c r="J268">
        <f>SUM(AD205:AD267)</f>
        <v>0</v>
      </c>
    </row>
    <row r="269" spans="1:38" hidden="1" x14ac:dyDescent="0.2">
      <c r="A269" t="s">
        <v>981</v>
      </c>
      <c r="I269">
        <f>SUM(AE205:AE268)</f>
        <v>0</v>
      </c>
      <c r="J269">
        <f>SUM(AF205:AF268)</f>
        <v>0</v>
      </c>
    </row>
    <row r="270" spans="1:38" ht="14.25" x14ac:dyDescent="0.2">
      <c r="C270" s="96" t="str">
        <f>Source!H243</f>
        <v>ндс</v>
      </c>
      <c r="D270" s="96"/>
      <c r="E270" s="96"/>
      <c r="F270" s="96"/>
      <c r="G270" s="96"/>
      <c r="H270" s="96"/>
      <c r="I270" s="96"/>
      <c r="J270" s="97">
        <f>IF(Source!F243=0, "", Source!F243)</f>
        <v>4520347.96</v>
      </c>
      <c r="K270" s="97"/>
    </row>
    <row r="272" spans="1:38" ht="16.5" x14ac:dyDescent="0.25">
      <c r="A272" s="102" t="str">
        <f>CONCATENATE("Раздел: ",IF(Source!G245&lt;&gt;"Новый раздел", Source!G245, ""))</f>
        <v>Раздел: 11. Камень бетонный садовый 2093м</v>
      </c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</row>
    <row r="273" spans="1:27" ht="28.5" x14ac:dyDescent="0.2">
      <c r="A273" s="22" t="str">
        <f>Source!E249</f>
        <v>35</v>
      </c>
      <c r="B273" s="23" t="str">
        <f>Source!F249</f>
        <v>6.68-53-1</v>
      </c>
      <c r="C273" s="23" t="s">
        <v>175</v>
      </c>
      <c r="D273" s="25" t="str">
        <f>Source!H249</f>
        <v>100 м</v>
      </c>
      <c r="E273" s="10">
        <f>Source!I249</f>
        <v>20.93</v>
      </c>
      <c r="F273" s="27"/>
      <c r="G273" s="26"/>
      <c r="H273" s="10"/>
      <c r="I273" s="28"/>
      <c r="J273" s="10"/>
      <c r="K273" s="28"/>
      <c r="Q273">
        <f>ROUND((Source!DN249/100)*ROUND((ROUND((Source!AF249*Source!AV249*Source!I249),2)),2), 2)</f>
        <v>14358.14</v>
      </c>
      <c r="R273">
        <f>Source!X249</f>
        <v>299374.48</v>
      </c>
      <c r="S273">
        <f>ROUND((Source!DO249/100)*ROUND((ROUND((Source!AF249*Source!AV249*Source!I249),2)),2), 2)</f>
        <v>9871.2199999999993</v>
      </c>
      <c r="T273">
        <f>Source!Y249</f>
        <v>180505.2</v>
      </c>
      <c r="U273">
        <f>ROUND((175/100)*ROUND((ROUND((Source!AE249*Source!AV249*Source!I249),2)),2), 2)</f>
        <v>0</v>
      </c>
      <c r="V273">
        <f>ROUND((157/100)*ROUND(ROUND((ROUND((Source!AE249*Source!AV249*Source!I249),2)*Source!BS249),2), 2), 2)</f>
        <v>0</v>
      </c>
    </row>
    <row r="274" spans="1:27" x14ac:dyDescent="0.2">
      <c r="C274" s="29" t="str">
        <f>"Объем: "&amp;Source!I249&amp;"=2093/"&amp;"100"</f>
        <v>Объем: 20,93=2093/100</v>
      </c>
    </row>
    <row r="275" spans="1:27" ht="14.25" x14ac:dyDescent="0.2">
      <c r="A275" s="22"/>
      <c r="B275" s="23"/>
      <c r="C275" s="23" t="s">
        <v>970</v>
      </c>
      <c r="D275" s="25"/>
      <c r="E275" s="10"/>
      <c r="F275" s="27">
        <f>Source!AO249</f>
        <v>857.51</v>
      </c>
      <c r="G275" s="26" t="str">
        <f>Source!DG249</f>
        <v/>
      </c>
      <c r="H275" s="10">
        <f>Source!AV249</f>
        <v>1</v>
      </c>
      <c r="I275" s="28">
        <f>ROUND((ROUND((Source!AF249*Source!AV249*Source!I249),2)),2)</f>
        <v>17947.68</v>
      </c>
      <c r="J275" s="10">
        <f>IF(Source!BA249&lt;&gt; 0, Source!BA249, 1)</f>
        <v>24.53</v>
      </c>
      <c r="K275" s="28">
        <f>Source!S249</f>
        <v>440256.59</v>
      </c>
      <c r="W275">
        <f>I275</f>
        <v>17947.68</v>
      </c>
    </row>
    <row r="276" spans="1:27" ht="14.25" x14ac:dyDescent="0.2">
      <c r="A276" s="22"/>
      <c r="B276" s="23"/>
      <c r="C276" s="23" t="s">
        <v>974</v>
      </c>
      <c r="D276" s="25" t="s">
        <v>975</v>
      </c>
      <c r="E276" s="10">
        <f>Source!DN249</f>
        <v>80</v>
      </c>
      <c r="F276" s="27"/>
      <c r="G276" s="26"/>
      <c r="H276" s="10"/>
      <c r="I276" s="28">
        <f>SUM(Q273:Q275)</f>
        <v>14358.14</v>
      </c>
      <c r="J276" s="10">
        <f>Source!BZ249</f>
        <v>68</v>
      </c>
      <c r="K276" s="28">
        <f>SUM(R273:R275)</f>
        <v>299374.48</v>
      </c>
    </row>
    <row r="277" spans="1:27" ht="14.25" x14ac:dyDescent="0.2">
      <c r="A277" s="22"/>
      <c r="B277" s="23"/>
      <c r="C277" s="23" t="s">
        <v>976</v>
      </c>
      <c r="D277" s="25" t="s">
        <v>975</v>
      </c>
      <c r="E277" s="10">
        <f>Source!DO249</f>
        <v>55</v>
      </c>
      <c r="F277" s="27"/>
      <c r="G277" s="26"/>
      <c r="H277" s="10"/>
      <c r="I277" s="28">
        <f>SUM(S273:S276)</f>
        <v>9871.2199999999993</v>
      </c>
      <c r="J277" s="10">
        <f>Source!CA249</f>
        <v>41</v>
      </c>
      <c r="K277" s="28">
        <f>SUM(T273:T276)</f>
        <v>180505.2</v>
      </c>
    </row>
    <row r="278" spans="1:27" ht="14.25" x14ac:dyDescent="0.2">
      <c r="A278" s="22"/>
      <c r="B278" s="23"/>
      <c r="C278" s="23" t="s">
        <v>978</v>
      </c>
      <c r="D278" s="25" t="s">
        <v>979</v>
      </c>
      <c r="E278" s="10">
        <f>Source!AQ249</f>
        <v>76.7</v>
      </c>
      <c r="F278" s="27"/>
      <c r="G278" s="26" t="str">
        <f>Source!DI249</f>
        <v/>
      </c>
      <c r="H278" s="10">
        <f>Source!AV249</f>
        <v>1</v>
      </c>
      <c r="I278" s="28">
        <f>Source!U249</f>
        <v>1605.3310000000001</v>
      </c>
      <c r="J278" s="10"/>
      <c r="K278" s="28"/>
    </row>
    <row r="279" spans="1:27" ht="15" x14ac:dyDescent="0.25">
      <c r="A279" s="32"/>
      <c r="B279" s="32"/>
      <c r="C279" s="32"/>
      <c r="D279" s="32"/>
      <c r="E279" s="32"/>
      <c r="F279" s="32"/>
      <c r="G279" s="32"/>
      <c r="H279" s="101">
        <f>I275+I276+I277</f>
        <v>42177.04</v>
      </c>
      <c r="I279" s="101"/>
      <c r="J279" s="101">
        <f>K275+K276+K277</f>
        <v>920136.27</v>
      </c>
      <c r="K279" s="101"/>
      <c r="O279" s="31">
        <f>I275+I276+I277</f>
        <v>42177.04</v>
      </c>
      <c r="P279" s="31">
        <f>K275+K276+K277</f>
        <v>920136.27</v>
      </c>
      <c r="X279">
        <f>IF(Source!BI249&lt;=1,I275+I276+I277-0, 0)</f>
        <v>42177.04</v>
      </c>
      <c r="Y279">
        <f>IF(Source!BI249=2,I275+I276+I277-0, 0)</f>
        <v>0</v>
      </c>
      <c r="Z279">
        <f>IF(Source!BI249=3,I275+I276+I277-0, 0)</f>
        <v>0</v>
      </c>
      <c r="AA279">
        <f>IF(Source!BI249=4,I275+I276+I277,0)</f>
        <v>0</v>
      </c>
    </row>
    <row r="280" spans="1:27" ht="42.75" x14ac:dyDescent="0.2">
      <c r="A280" s="22" t="str">
        <f>Source!E250</f>
        <v>36</v>
      </c>
      <c r="B280" s="23" t="str">
        <f>Source!F250</f>
        <v>6.69-19-1</v>
      </c>
      <c r="C280" s="23" t="s">
        <v>37</v>
      </c>
      <c r="D280" s="25" t="str">
        <f>Source!H250</f>
        <v>1 Т</v>
      </c>
      <c r="E280" s="10">
        <f>Source!I250</f>
        <v>31.344767999999998</v>
      </c>
      <c r="F280" s="27"/>
      <c r="G280" s="26"/>
      <c r="H280" s="10"/>
      <c r="I280" s="28"/>
      <c r="J280" s="10"/>
      <c r="K280" s="28"/>
      <c r="Q280">
        <f>ROUND((Source!DN250/100)*ROUND((ROUND((Source!AF250*Source!AV250*Source!I250),2)),2), 2)</f>
        <v>274.39999999999998</v>
      </c>
      <c r="R280">
        <f>Source!X250</f>
        <v>5399.65</v>
      </c>
      <c r="S280">
        <f>ROUND((Source!DO250/100)*ROUND((ROUND((Source!AF250*Source!AV250*Source!I250),2)),2), 2)</f>
        <v>211.08</v>
      </c>
      <c r="T280">
        <f>Source!Y250</f>
        <v>3032.68</v>
      </c>
      <c r="U280">
        <f>ROUND((175/100)*ROUND((ROUND((Source!AE250*Source!AV250*Source!I250),2)),2), 2)</f>
        <v>0</v>
      </c>
      <c r="V280">
        <f>ROUND((157/100)*ROUND(ROUND((ROUND((Source!AE250*Source!AV250*Source!I250),2)*Source!BS250),2), 2), 2)</f>
        <v>0</v>
      </c>
    </row>
    <row r="281" spans="1:27" ht="25.5" x14ac:dyDescent="0.2">
      <c r="C281" s="29" t="str">
        <f>"Объем: "&amp;Source!I250&amp;"=2093*"&amp;"(0,058*"&amp;"0,8+"&amp;"0,016)*"&amp;"2,4*"&amp;"0,1"</f>
        <v>Объем: 31,344768=2093*(0,058*0,8+0,016)*2,4*0,1</v>
      </c>
    </row>
    <row r="282" spans="1:27" ht="14.25" x14ac:dyDescent="0.2">
      <c r="A282" s="22"/>
      <c r="B282" s="23"/>
      <c r="C282" s="23" t="s">
        <v>970</v>
      </c>
      <c r="D282" s="25"/>
      <c r="E282" s="10"/>
      <c r="F282" s="27">
        <f>Source!AO250</f>
        <v>9.6199999999999992</v>
      </c>
      <c r="G282" s="26" t="str">
        <f>Source!DG250</f>
        <v/>
      </c>
      <c r="H282" s="10">
        <f>Source!AV250</f>
        <v>1</v>
      </c>
      <c r="I282" s="28">
        <f>ROUND((ROUND((Source!AF250*Source!AV250*Source!I250),2)),2)</f>
        <v>301.54000000000002</v>
      </c>
      <c r="J282" s="10">
        <f>IF(Source!BA250&lt;&gt; 0, Source!BA250, 1)</f>
        <v>24.53</v>
      </c>
      <c r="K282" s="28">
        <f>Source!S250</f>
        <v>7396.78</v>
      </c>
      <c r="W282">
        <f>I282</f>
        <v>301.54000000000002</v>
      </c>
    </row>
    <row r="283" spans="1:27" ht="14.25" x14ac:dyDescent="0.2">
      <c r="A283" s="22"/>
      <c r="B283" s="23"/>
      <c r="C283" s="23" t="s">
        <v>974</v>
      </c>
      <c r="D283" s="25" t="s">
        <v>975</v>
      </c>
      <c r="E283" s="10">
        <f>Source!DN250</f>
        <v>91</v>
      </c>
      <c r="F283" s="27"/>
      <c r="G283" s="26"/>
      <c r="H283" s="10"/>
      <c r="I283" s="28">
        <f>SUM(Q280:Q282)</f>
        <v>274.39999999999998</v>
      </c>
      <c r="J283" s="10">
        <f>Source!BZ250</f>
        <v>73</v>
      </c>
      <c r="K283" s="28">
        <f>SUM(R280:R282)</f>
        <v>5399.65</v>
      </c>
    </row>
    <row r="284" spans="1:27" ht="14.25" x14ac:dyDescent="0.2">
      <c r="A284" s="22"/>
      <c r="B284" s="23"/>
      <c r="C284" s="23" t="s">
        <v>976</v>
      </c>
      <c r="D284" s="25" t="s">
        <v>975</v>
      </c>
      <c r="E284" s="10">
        <f>Source!DO250</f>
        <v>70</v>
      </c>
      <c r="F284" s="27"/>
      <c r="G284" s="26"/>
      <c r="H284" s="10"/>
      <c r="I284" s="28">
        <f>SUM(S280:S283)</f>
        <v>211.08</v>
      </c>
      <c r="J284" s="10">
        <f>Source!CA250</f>
        <v>41</v>
      </c>
      <c r="K284" s="28">
        <f>SUM(T280:T283)</f>
        <v>3032.68</v>
      </c>
    </row>
    <row r="285" spans="1:27" ht="14.25" x14ac:dyDescent="0.2">
      <c r="A285" s="22"/>
      <c r="B285" s="23"/>
      <c r="C285" s="23" t="s">
        <v>978</v>
      </c>
      <c r="D285" s="25" t="s">
        <v>979</v>
      </c>
      <c r="E285" s="10">
        <f>Source!AQ250</f>
        <v>1.02</v>
      </c>
      <c r="F285" s="27"/>
      <c r="G285" s="26" t="str">
        <f>Source!DI250</f>
        <v/>
      </c>
      <c r="H285" s="10">
        <f>Source!AV250</f>
        <v>1</v>
      </c>
      <c r="I285" s="28">
        <f>Source!U250</f>
        <v>31.971663359999997</v>
      </c>
      <c r="J285" s="10"/>
      <c r="K285" s="28"/>
    </row>
    <row r="286" spans="1:27" ht="15" x14ac:dyDescent="0.25">
      <c r="A286" s="32"/>
      <c r="B286" s="32"/>
      <c r="C286" s="32"/>
      <c r="D286" s="32"/>
      <c r="E286" s="32"/>
      <c r="F286" s="32"/>
      <c r="G286" s="32"/>
      <c r="H286" s="101">
        <f>I282+I283+I284</f>
        <v>787.0200000000001</v>
      </c>
      <c r="I286" s="101"/>
      <c r="J286" s="101">
        <f>K282+K283+K284</f>
        <v>15829.11</v>
      </c>
      <c r="K286" s="101"/>
      <c r="O286" s="31">
        <f>I282+I283+I284</f>
        <v>787.0200000000001</v>
      </c>
      <c r="P286" s="31">
        <f>K282+K283+K284</f>
        <v>15829.11</v>
      </c>
      <c r="X286">
        <f>IF(Source!BI250&lt;=1,I282+I283+I284-0, 0)</f>
        <v>787.0200000000001</v>
      </c>
      <c r="Y286">
        <f>IF(Source!BI250=2,I282+I283+I284-0, 0)</f>
        <v>0</v>
      </c>
      <c r="Z286">
        <f>IF(Source!BI250=3,I282+I283+I284-0, 0)</f>
        <v>0</v>
      </c>
      <c r="AA286">
        <f>IF(Source!BI250=4,I282+I283+I284,0)</f>
        <v>0</v>
      </c>
    </row>
    <row r="287" spans="1:27" ht="99.75" x14ac:dyDescent="0.2">
      <c r="A287" s="22" t="str">
        <f>Source!E254</f>
        <v>40</v>
      </c>
      <c r="B287" s="23" t="str">
        <f>Source!F254</f>
        <v>3.27-12-1</v>
      </c>
      <c r="C287" s="23" t="s">
        <v>184</v>
      </c>
      <c r="D287" s="25" t="str">
        <f>Source!H254</f>
        <v>100 м3 материала основания (в плотном теле)</v>
      </c>
      <c r="E287" s="10">
        <f>Source!I254</f>
        <v>0.41860000000000003</v>
      </c>
      <c r="F287" s="27"/>
      <c r="G287" s="26"/>
      <c r="H287" s="10"/>
      <c r="I287" s="28"/>
      <c r="J287" s="10"/>
      <c r="K287" s="28"/>
      <c r="Q287">
        <f>ROUND((Source!DN254/100)*ROUND((ROUND((Source!AF254*Source!AV254*Source!I254),2)),2), 2)</f>
        <v>102.09</v>
      </c>
      <c r="R287">
        <f>Source!X254</f>
        <v>2037.64</v>
      </c>
      <c r="S287">
        <f>ROUND((Source!DO254/100)*ROUND((ROUND((Source!AF254*Source!AV254*Source!I254),2)),2), 2)</f>
        <v>67.849999999999994</v>
      </c>
      <c r="T287">
        <f>Source!Y254</f>
        <v>839.94</v>
      </c>
      <c r="U287">
        <f>ROUND((175/100)*ROUND((ROUND((Source!AE254*Source!AV254*Source!I254),2)),2), 2)</f>
        <v>87.2</v>
      </c>
      <c r="V287">
        <f>ROUND((157/100)*ROUND(ROUND((ROUND((Source!AE254*Source!AV254*Source!I254),2)*Source!BS254),2), 2), 2)</f>
        <v>1919.06</v>
      </c>
    </row>
    <row r="288" spans="1:27" x14ac:dyDescent="0.2">
      <c r="C288" s="29" t="str">
        <f>"Объем: "&amp;Source!I254&amp;"=2093*"&amp;"0,2*"&amp;"0,1/"&amp;"100"</f>
        <v>Объем: 0,4186=2093*0,2*0,1/100</v>
      </c>
    </row>
    <row r="289" spans="1:27" ht="14.25" x14ac:dyDescent="0.2">
      <c r="A289" s="22"/>
      <c r="B289" s="23"/>
      <c r="C289" s="23" t="s">
        <v>970</v>
      </c>
      <c r="D289" s="25"/>
      <c r="E289" s="10"/>
      <c r="F289" s="27">
        <f>Source!AO254</f>
        <v>151.49</v>
      </c>
      <c r="G289" s="26" t="str">
        <f>Source!DG254</f>
        <v/>
      </c>
      <c r="H289" s="10">
        <f>Source!AV254</f>
        <v>1</v>
      </c>
      <c r="I289" s="28">
        <f>ROUND((ROUND((Source!AF254*Source!AV254*Source!I254),2)),2)</f>
        <v>63.41</v>
      </c>
      <c r="J289" s="10">
        <f>IF(Source!BA254&lt;&gt; 0, Source!BA254, 1)</f>
        <v>24.53</v>
      </c>
      <c r="K289" s="28">
        <f>Source!S254</f>
        <v>1555.45</v>
      </c>
      <c r="W289">
        <f>I289</f>
        <v>63.41</v>
      </c>
    </row>
    <row r="290" spans="1:27" ht="14.25" x14ac:dyDescent="0.2">
      <c r="A290" s="22"/>
      <c r="B290" s="23"/>
      <c r="C290" s="23" t="s">
        <v>971</v>
      </c>
      <c r="D290" s="25"/>
      <c r="E290" s="10"/>
      <c r="F290" s="27">
        <f>Source!AM254</f>
        <v>676.47</v>
      </c>
      <c r="G290" s="26" t="str">
        <f>Source!DE254</f>
        <v/>
      </c>
      <c r="H290" s="10">
        <f>Source!AV254</f>
        <v>1</v>
      </c>
      <c r="I290" s="28">
        <f>(ROUND((ROUND(((Source!ET254)*Source!AV254*Source!I254),2)),2)+ROUND((ROUND(((Source!AE254-(Source!EU254))*Source!AV254*Source!I254),2)),2))</f>
        <v>283.17</v>
      </c>
      <c r="J290" s="10">
        <f>IF(Source!BB254&lt;&gt; 0, Source!BB254, 1)</f>
        <v>9.4499999999999993</v>
      </c>
      <c r="K290" s="28">
        <f>Source!Q254</f>
        <v>2675.96</v>
      </c>
    </row>
    <row r="291" spans="1:27" ht="14.25" x14ac:dyDescent="0.2">
      <c r="A291" s="22"/>
      <c r="B291" s="23"/>
      <c r="C291" s="23" t="s">
        <v>972</v>
      </c>
      <c r="D291" s="25"/>
      <c r="E291" s="10"/>
      <c r="F291" s="27">
        <f>Source!AN254</f>
        <v>119.05</v>
      </c>
      <c r="G291" s="26" t="str">
        <f>Source!DF254</f>
        <v/>
      </c>
      <c r="H291" s="10">
        <f>Source!AV254</f>
        <v>1</v>
      </c>
      <c r="I291" s="30">
        <f>ROUND((ROUND((Source!AE254*Source!AV254*Source!I254),2)),2)</f>
        <v>49.83</v>
      </c>
      <c r="J291" s="10">
        <f>IF(Source!BS254&lt;&gt; 0, Source!BS254, 1)</f>
        <v>24.53</v>
      </c>
      <c r="K291" s="30">
        <f>Source!R254</f>
        <v>1222.33</v>
      </c>
      <c r="W291">
        <f>I291</f>
        <v>49.83</v>
      </c>
    </row>
    <row r="292" spans="1:27" ht="14.25" x14ac:dyDescent="0.2">
      <c r="A292" s="22"/>
      <c r="B292" s="23"/>
      <c r="C292" s="23" t="s">
        <v>973</v>
      </c>
      <c r="D292" s="25"/>
      <c r="E292" s="10"/>
      <c r="F292" s="27">
        <f>Source!AL254</f>
        <v>35.35</v>
      </c>
      <c r="G292" s="26" t="str">
        <f>Source!DD254</f>
        <v/>
      </c>
      <c r="H292" s="10">
        <f>Source!AW254</f>
        <v>1</v>
      </c>
      <c r="I292" s="28">
        <f>ROUND((ROUND((Source!AC254*Source!AW254*Source!I254),2)),2)</f>
        <v>14.8</v>
      </c>
      <c r="J292" s="10">
        <f>IF(Source!BC254&lt;&gt; 0, Source!BC254, 1)</f>
        <v>4.99</v>
      </c>
      <c r="K292" s="28">
        <f>Source!P254</f>
        <v>73.849999999999994</v>
      </c>
    </row>
    <row r="293" spans="1:27" ht="28.5" x14ac:dyDescent="0.2">
      <c r="A293" s="22" t="str">
        <f>Source!E255</f>
        <v>40,1</v>
      </c>
      <c r="B293" s="23" t="str">
        <f>Source!F255</f>
        <v>1.1-1-766</v>
      </c>
      <c r="C293" s="23" t="s">
        <v>191</v>
      </c>
      <c r="D293" s="25" t="str">
        <f>Source!H255</f>
        <v>м3</v>
      </c>
      <c r="E293" s="10">
        <f>Source!I255</f>
        <v>46.045999999999999</v>
      </c>
      <c r="F293" s="27">
        <f>Source!AK255</f>
        <v>104.99</v>
      </c>
      <c r="G293" s="33" t="s">
        <v>3</v>
      </c>
      <c r="H293" s="10">
        <f>Source!AW255</f>
        <v>1</v>
      </c>
      <c r="I293" s="28">
        <f>ROUND((ROUND((Source!AC255*Source!AW255*Source!I255),2)),2)+(ROUND((ROUND(((Source!ET255)*Source!AV255*Source!I255),2)),2)+ROUND((ROUND(((Source!AE255-(Source!EU255))*Source!AV255*Source!I255),2)),2))+ROUND((ROUND((Source!AF255*Source!AV255*Source!I255),2)),2)</f>
        <v>4834.37</v>
      </c>
      <c r="J293" s="10">
        <f>IF(Source!BC255&lt;&gt; 0, Source!BC255, 1)</f>
        <v>5.26</v>
      </c>
      <c r="K293" s="28">
        <f>Source!O255</f>
        <v>25428.79</v>
      </c>
      <c r="Q293">
        <f>ROUND((Source!DN255/100)*ROUND((ROUND((Source!AF255*Source!AV255*Source!I255),2)),2), 2)</f>
        <v>0</v>
      </c>
      <c r="R293">
        <f>Source!X255</f>
        <v>0</v>
      </c>
      <c r="S293">
        <f>ROUND((Source!DO255/100)*ROUND((ROUND((Source!AF255*Source!AV255*Source!I255),2)),2), 2)</f>
        <v>0</v>
      </c>
      <c r="T293">
        <f>Source!Y255</f>
        <v>0</v>
      </c>
      <c r="U293">
        <f>ROUND((175/100)*ROUND((ROUND((Source!AE255*Source!AV255*Source!I255),2)),2), 2)</f>
        <v>0</v>
      </c>
      <c r="V293">
        <f>ROUND((157/100)*ROUND(ROUND((ROUND((Source!AE255*Source!AV255*Source!I255),2)*Source!BS255),2), 2), 2)</f>
        <v>0</v>
      </c>
      <c r="X293">
        <f>IF(Source!BI255&lt;=1,I293, 0)</f>
        <v>4834.37</v>
      </c>
      <c r="Y293">
        <f>IF(Source!BI255=2,I293, 0)</f>
        <v>0</v>
      </c>
      <c r="Z293">
        <f>IF(Source!BI255=3,I293, 0)</f>
        <v>0</v>
      </c>
      <c r="AA293">
        <f>IF(Source!BI255=4,I293, 0)</f>
        <v>0</v>
      </c>
    </row>
    <row r="294" spans="1:27" ht="14.25" x14ac:dyDescent="0.2">
      <c r="A294" s="22"/>
      <c r="B294" s="23"/>
      <c r="C294" s="23" t="s">
        <v>974</v>
      </c>
      <c r="D294" s="25" t="s">
        <v>975</v>
      </c>
      <c r="E294" s="10">
        <f>Source!DN254</f>
        <v>161</v>
      </c>
      <c r="F294" s="27"/>
      <c r="G294" s="26"/>
      <c r="H294" s="10"/>
      <c r="I294" s="28">
        <f>SUM(Q287:Q293)</f>
        <v>102.09</v>
      </c>
      <c r="J294" s="10">
        <f>Source!BZ254</f>
        <v>131</v>
      </c>
      <c r="K294" s="28">
        <f>SUM(R287:R293)</f>
        <v>2037.64</v>
      </c>
    </row>
    <row r="295" spans="1:27" ht="14.25" x14ac:dyDescent="0.2">
      <c r="A295" s="22"/>
      <c r="B295" s="23"/>
      <c r="C295" s="23" t="s">
        <v>976</v>
      </c>
      <c r="D295" s="25" t="s">
        <v>975</v>
      </c>
      <c r="E295" s="10">
        <f>Source!DO254</f>
        <v>107</v>
      </c>
      <c r="F295" s="27"/>
      <c r="G295" s="26"/>
      <c r="H295" s="10"/>
      <c r="I295" s="28">
        <f>SUM(S287:S294)</f>
        <v>67.849999999999994</v>
      </c>
      <c r="J295" s="10">
        <f>Source!CA254</f>
        <v>54</v>
      </c>
      <c r="K295" s="28">
        <f>SUM(T287:T294)</f>
        <v>839.94</v>
      </c>
    </row>
    <row r="296" spans="1:27" ht="14.25" x14ac:dyDescent="0.2">
      <c r="A296" s="22"/>
      <c r="B296" s="23"/>
      <c r="C296" s="23" t="s">
        <v>977</v>
      </c>
      <c r="D296" s="25" t="s">
        <v>975</v>
      </c>
      <c r="E296" s="10">
        <f>175</f>
        <v>175</v>
      </c>
      <c r="F296" s="27"/>
      <c r="G296" s="26"/>
      <c r="H296" s="10"/>
      <c r="I296" s="28">
        <f>SUM(U287:U295)</f>
        <v>87.2</v>
      </c>
      <c r="J296" s="10">
        <f>157</f>
        <v>157</v>
      </c>
      <c r="K296" s="28">
        <f>SUM(V287:V295)</f>
        <v>1919.06</v>
      </c>
    </row>
    <row r="297" spans="1:27" ht="14.25" x14ac:dyDescent="0.2">
      <c r="A297" s="22"/>
      <c r="B297" s="23"/>
      <c r="C297" s="23" t="s">
        <v>978</v>
      </c>
      <c r="D297" s="25" t="s">
        <v>979</v>
      </c>
      <c r="E297" s="10">
        <f>Source!AQ254</f>
        <v>14.4</v>
      </c>
      <c r="F297" s="27"/>
      <c r="G297" s="26" t="str">
        <f>Source!DI254</f>
        <v/>
      </c>
      <c r="H297" s="10">
        <f>Source!AV254</f>
        <v>1</v>
      </c>
      <c r="I297" s="28">
        <f>Source!U254</f>
        <v>6.0278400000000003</v>
      </c>
      <c r="J297" s="10"/>
      <c r="K297" s="28"/>
    </row>
    <row r="298" spans="1:27" ht="15" x14ac:dyDescent="0.25">
      <c r="A298" s="32"/>
      <c r="B298" s="32"/>
      <c r="C298" s="32"/>
      <c r="D298" s="32"/>
      <c r="E298" s="32"/>
      <c r="F298" s="32"/>
      <c r="G298" s="32"/>
      <c r="H298" s="101">
        <f>I289+I290+I292+I294+I295+I296+SUM(I293:I293)</f>
        <v>5452.89</v>
      </c>
      <c r="I298" s="101"/>
      <c r="J298" s="101">
        <f>K289+K290+K292+K294+K295+K296+SUM(K293:K293)</f>
        <v>34530.69</v>
      </c>
      <c r="K298" s="101"/>
      <c r="O298" s="31">
        <f>I289+I290+I292+I294+I295+I296+SUM(I293:I293)</f>
        <v>5452.89</v>
      </c>
      <c r="P298" s="31">
        <f>K289+K290+K292+K294+K295+K296+SUM(K293:K293)</f>
        <v>34530.69</v>
      </c>
      <c r="X298">
        <f>IF(Source!BI254&lt;=1,I289+I290+I292+I294+I295+I296-0, 0)</f>
        <v>618.5200000000001</v>
      </c>
      <c r="Y298">
        <f>IF(Source!BI254=2,I289+I290+I292+I294+I295+I296-0, 0)</f>
        <v>0</v>
      </c>
      <c r="Z298">
        <f>IF(Source!BI254=3,I289+I290+I292+I294+I295+I296-0, 0)</f>
        <v>0</v>
      </c>
      <c r="AA298">
        <f>IF(Source!BI254=4,I289+I290+I292+I294+I295+I296,0)</f>
        <v>0</v>
      </c>
    </row>
    <row r="299" spans="1:27" ht="42.75" x14ac:dyDescent="0.2">
      <c r="A299" s="22" t="str">
        <f>Source!E256</f>
        <v>41</v>
      </c>
      <c r="B299" s="23" t="str">
        <f>Source!F256</f>
        <v>3.27-26-6</v>
      </c>
      <c r="C299" s="23" t="s">
        <v>250</v>
      </c>
      <c r="D299" s="25" t="str">
        <f>Source!H256</f>
        <v>100 м бортового камня</v>
      </c>
      <c r="E299" s="10">
        <f>Source!I256</f>
        <v>20.93</v>
      </c>
      <c r="F299" s="27"/>
      <c r="G299" s="26"/>
      <c r="H299" s="10"/>
      <c r="I299" s="28"/>
      <c r="J299" s="10"/>
      <c r="K299" s="28"/>
      <c r="Q299">
        <f>ROUND((Source!DN256/100)*ROUND((ROUND((Source!AF256*Source!AV256*Source!I256),2)),2), 2)</f>
        <v>23655.84</v>
      </c>
      <c r="R299">
        <f>Source!X256</f>
        <v>472151.52</v>
      </c>
      <c r="S299">
        <f>ROUND((Source!DO256/100)*ROUND((ROUND((Source!AF256*Source!AV256*Source!I256),2)),2), 2)</f>
        <v>15721.58</v>
      </c>
      <c r="T299">
        <f>Source!Y256</f>
        <v>194627.35</v>
      </c>
      <c r="U299">
        <f>ROUND((175/100)*ROUND((ROUND((Source!AE256*Source!AV256*Source!I256),2)),2), 2)</f>
        <v>302.91000000000003</v>
      </c>
      <c r="V299">
        <f>ROUND((157/100)*ROUND(ROUND((ROUND((Source!AE256*Source!AV256*Source!I256),2)*Source!BS256),2), 2), 2)</f>
        <v>6666.06</v>
      </c>
    </row>
    <row r="300" spans="1:27" x14ac:dyDescent="0.2">
      <c r="C300" s="29" t="str">
        <f>"Объем: "&amp;Source!I256&amp;"=2093/"&amp;"100"</f>
        <v>Объем: 20,93=2093/100</v>
      </c>
    </row>
    <row r="301" spans="1:27" ht="14.25" x14ac:dyDescent="0.2">
      <c r="A301" s="22"/>
      <c r="B301" s="23"/>
      <c r="C301" s="23" t="s">
        <v>970</v>
      </c>
      <c r="D301" s="25"/>
      <c r="E301" s="10"/>
      <c r="F301" s="27">
        <f>Source!AO256</f>
        <v>702.01</v>
      </c>
      <c r="G301" s="26" t="str">
        <f>Source!DG256</f>
        <v/>
      </c>
      <c r="H301" s="10">
        <f>Source!AV256</f>
        <v>1</v>
      </c>
      <c r="I301" s="28">
        <f>ROUND((ROUND((Source!AF256*Source!AV256*Source!I256),2)),2)</f>
        <v>14693.07</v>
      </c>
      <c r="J301" s="10">
        <f>IF(Source!BA256&lt;&gt; 0, Source!BA256, 1)</f>
        <v>24.53</v>
      </c>
      <c r="K301" s="28">
        <f>Source!S256</f>
        <v>360421.01</v>
      </c>
      <c r="W301">
        <f>I301</f>
        <v>14693.07</v>
      </c>
    </row>
    <row r="302" spans="1:27" ht="14.25" x14ac:dyDescent="0.2">
      <c r="A302" s="22"/>
      <c r="B302" s="23"/>
      <c r="C302" s="23" t="s">
        <v>971</v>
      </c>
      <c r="D302" s="25"/>
      <c r="E302" s="10"/>
      <c r="F302" s="27">
        <f>Source!AM256</f>
        <v>53.54</v>
      </c>
      <c r="G302" s="26" t="str">
        <f>Source!DE256</f>
        <v/>
      </c>
      <c r="H302" s="10">
        <f>Source!AV256</f>
        <v>1</v>
      </c>
      <c r="I302" s="28">
        <f>(ROUND((ROUND(((Source!ET256)*Source!AV256*Source!I256),2)),2)+ROUND((ROUND(((Source!AE256-(Source!EU256))*Source!AV256*Source!I256),2)),2))</f>
        <v>1120.5899999999999</v>
      </c>
      <c r="J302" s="10">
        <f>IF(Source!BB256&lt;&gt; 0, Source!BB256, 1)</f>
        <v>8.94</v>
      </c>
      <c r="K302" s="28">
        <f>Source!Q256</f>
        <v>10018.07</v>
      </c>
    </row>
    <row r="303" spans="1:27" ht="14.25" x14ac:dyDescent="0.2">
      <c r="A303" s="22"/>
      <c r="B303" s="23"/>
      <c r="C303" s="23" t="s">
        <v>972</v>
      </c>
      <c r="D303" s="25"/>
      <c r="E303" s="10"/>
      <c r="F303" s="27">
        <f>Source!AN256</f>
        <v>8.27</v>
      </c>
      <c r="G303" s="26" t="str">
        <f>Source!DF256</f>
        <v/>
      </c>
      <c r="H303" s="10">
        <f>Source!AV256</f>
        <v>1</v>
      </c>
      <c r="I303" s="30">
        <f>ROUND((ROUND((Source!AE256*Source!AV256*Source!I256),2)),2)</f>
        <v>173.09</v>
      </c>
      <c r="J303" s="10">
        <f>IF(Source!BS256&lt;&gt; 0, Source!BS256, 1)</f>
        <v>24.53</v>
      </c>
      <c r="K303" s="30">
        <f>Source!R256</f>
        <v>4245.8999999999996</v>
      </c>
      <c r="W303">
        <f>I303</f>
        <v>173.09</v>
      </c>
    </row>
    <row r="304" spans="1:27" ht="14.25" x14ac:dyDescent="0.2">
      <c r="A304" s="22"/>
      <c r="B304" s="23"/>
      <c r="C304" s="23" t="s">
        <v>973</v>
      </c>
      <c r="D304" s="25"/>
      <c r="E304" s="10"/>
      <c r="F304" s="27">
        <f>Source!AL256</f>
        <v>3709.87</v>
      </c>
      <c r="G304" s="26" t="str">
        <f>Source!DD256</f>
        <v/>
      </c>
      <c r="H304" s="10">
        <f>Source!AW256</f>
        <v>1</v>
      </c>
      <c r="I304" s="28">
        <f>ROUND((ROUND((Source!AC256*Source!AW256*Source!I256),2)),2)</f>
        <v>77647.58</v>
      </c>
      <c r="J304" s="10">
        <f>IF(Source!BC256&lt;&gt; 0, Source!BC256, 1)</f>
        <v>5.61</v>
      </c>
      <c r="K304" s="28">
        <f>Source!P256</f>
        <v>435602.92</v>
      </c>
    </row>
    <row r="305" spans="1:27" ht="28.5" x14ac:dyDescent="0.2">
      <c r="A305" s="22" t="str">
        <f>Source!E257</f>
        <v>41,1</v>
      </c>
      <c r="B305" s="23" t="str">
        <f>Source!F257</f>
        <v>1.5-3-499</v>
      </c>
      <c r="C305" s="23" t="s">
        <v>256</v>
      </c>
      <c r="D305" s="25" t="str">
        <f>Source!H257</f>
        <v>м3</v>
      </c>
      <c r="E305" s="10">
        <f>Source!I257</f>
        <v>29.536415999999999</v>
      </c>
      <c r="F305" s="27">
        <f>Source!AK257</f>
        <v>2385.71</v>
      </c>
      <c r="G305" s="33" t="s">
        <v>3</v>
      </c>
      <c r="H305" s="10">
        <f>Source!AW257</f>
        <v>1</v>
      </c>
      <c r="I305" s="28">
        <f>ROUND((ROUND((Source!AC257*Source!AW257*Source!I257),2)),2)+(ROUND((ROUND(((Source!ET257)*Source!AV257*Source!I257),2)),2)+ROUND((ROUND(((Source!AE257-(Source!EU257))*Source!AV257*Source!I257),2)),2))+ROUND((ROUND((Source!AF257*Source!AV257*Source!I257),2)),2)</f>
        <v>70465.320000000007</v>
      </c>
      <c r="J305" s="10">
        <f>IF(Source!BC257&lt;&gt; 0, Source!BC257, 1)</f>
        <v>3.57</v>
      </c>
      <c r="K305" s="28">
        <f>Source!O257</f>
        <v>251561.19</v>
      </c>
      <c r="Q305">
        <f>ROUND((Source!DN257/100)*ROUND((ROUND((Source!AF257*Source!AV257*Source!I257),2)),2), 2)</f>
        <v>0</v>
      </c>
      <c r="R305">
        <f>Source!X257</f>
        <v>0</v>
      </c>
      <c r="S305">
        <f>ROUND((Source!DO257/100)*ROUND((ROUND((Source!AF257*Source!AV257*Source!I257),2)),2), 2)</f>
        <v>0</v>
      </c>
      <c r="T305">
        <f>Source!Y257</f>
        <v>0</v>
      </c>
      <c r="U305">
        <f>ROUND((175/100)*ROUND((ROUND((Source!AE257*Source!AV257*Source!I257),2)),2), 2)</f>
        <v>0</v>
      </c>
      <c r="V305">
        <f>ROUND((157/100)*ROUND(ROUND((ROUND((Source!AE257*Source!AV257*Source!I257),2)*Source!BS257),2), 2), 2)</f>
        <v>0</v>
      </c>
      <c r="X305">
        <f>IF(Source!BI257&lt;=1,I305, 0)</f>
        <v>70465.320000000007</v>
      </c>
      <c r="Y305">
        <f>IF(Source!BI257=2,I305, 0)</f>
        <v>0</v>
      </c>
      <c r="Z305">
        <f>IF(Source!BI257=3,I305, 0)</f>
        <v>0</v>
      </c>
      <c r="AA305">
        <f>IF(Source!BI257=4,I305, 0)</f>
        <v>0</v>
      </c>
    </row>
    <row r="306" spans="1:27" ht="14.25" x14ac:dyDescent="0.2">
      <c r="A306" s="22"/>
      <c r="B306" s="23"/>
      <c r="C306" s="23" t="s">
        <v>974</v>
      </c>
      <c r="D306" s="25" t="s">
        <v>975</v>
      </c>
      <c r="E306" s="10">
        <f>Source!DN256</f>
        <v>161</v>
      </c>
      <c r="F306" s="27"/>
      <c r="G306" s="26"/>
      <c r="H306" s="10"/>
      <c r="I306" s="28">
        <f>SUM(Q299:Q305)</f>
        <v>23655.84</v>
      </c>
      <c r="J306" s="10">
        <f>Source!BZ256</f>
        <v>131</v>
      </c>
      <c r="K306" s="28">
        <f>SUM(R299:R305)</f>
        <v>472151.52</v>
      </c>
    </row>
    <row r="307" spans="1:27" ht="14.25" x14ac:dyDescent="0.2">
      <c r="A307" s="22"/>
      <c r="B307" s="23"/>
      <c r="C307" s="23" t="s">
        <v>976</v>
      </c>
      <c r="D307" s="25" t="s">
        <v>975</v>
      </c>
      <c r="E307" s="10">
        <f>Source!DO256</f>
        <v>107</v>
      </c>
      <c r="F307" s="27"/>
      <c r="G307" s="26"/>
      <c r="H307" s="10"/>
      <c r="I307" s="28">
        <f>SUM(S299:S306)</f>
        <v>15721.58</v>
      </c>
      <c r="J307" s="10">
        <f>Source!CA256</f>
        <v>54</v>
      </c>
      <c r="K307" s="28">
        <f>SUM(T299:T306)</f>
        <v>194627.35</v>
      </c>
    </row>
    <row r="308" spans="1:27" ht="14.25" x14ac:dyDescent="0.2">
      <c r="A308" s="22"/>
      <c r="B308" s="23"/>
      <c r="C308" s="23" t="s">
        <v>977</v>
      </c>
      <c r="D308" s="25" t="s">
        <v>975</v>
      </c>
      <c r="E308" s="10">
        <f>175</f>
        <v>175</v>
      </c>
      <c r="F308" s="27"/>
      <c r="G308" s="26"/>
      <c r="H308" s="10"/>
      <c r="I308" s="28">
        <f>SUM(U299:U307)</f>
        <v>302.91000000000003</v>
      </c>
      <c r="J308" s="10">
        <f>157</f>
        <v>157</v>
      </c>
      <c r="K308" s="28">
        <f>SUM(V299:V307)</f>
        <v>6666.06</v>
      </c>
    </row>
    <row r="309" spans="1:27" ht="14.25" x14ac:dyDescent="0.2">
      <c r="A309" s="22"/>
      <c r="B309" s="23"/>
      <c r="C309" s="23" t="s">
        <v>978</v>
      </c>
      <c r="D309" s="25" t="s">
        <v>979</v>
      </c>
      <c r="E309" s="10">
        <f>Source!AQ256</f>
        <v>63.44</v>
      </c>
      <c r="F309" s="27"/>
      <c r="G309" s="26" t="str">
        <f>Source!DI256</f>
        <v/>
      </c>
      <c r="H309" s="10">
        <f>Source!AV256</f>
        <v>1</v>
      </c>
      <c r="I309" s="28">
        <f>Source!U256</f>
        <v>1327.7991999999999</v>
      </c>
      <c r="J309" s="10"/>
      <c r="K309" s="28"/>
    </row>
    <row r="310" spans="1:27" ht="15" x14ac:dyDescent="0.25">
      <c r="A310" s="32"/>
      <c r="B310" s="32"/>
      <c r="C310" s="32"/>
      <c r="D310" s="32"/>
      <c r="E310" s="32"/>
      <c r="F310" s="32"/>
      <c r="G310" s="32"/>
      <c r="H310" s="101">
        <f>I301+I302+I304+I306+I307+I308+SUM(I305:I305)</f>
        <v>203606.89</v>
      </c>
      <c r="I310" s="101"/>
      <c r="J310" s="101">
        <f>K301+K302+K304+K306+K307+K308+SUM(K305:K305)</f>
        <v>1731048.12</v>
      </c>
      <c r="K310" s="101"/>
      <c r="O310" s="31">
        <f>I301+I302+I304+I306+I307+I308+SUM(I305:I305)</f>
        <v>203606.89</v>
      </c>
      <c r="P310" s="31">
        <f>K301+K302+K304+K306+K307+K308+SUM(K305:K305)</f>
        <v>1731048.12</v>
      </c>
      <c r="X310">
        <f>IF(Source!BI256&lt;=1,I301+I302+I304+I306+I307+I308-0, 0)</f>
        <v>133141.57</v>
      </c>
      <c r="Y310">
        <f>IF(Source!BI256=2,I301+I302+I304+I306+I307+I308-0, 0)</f>
        <v>0</v>
      </c>
      <c r="Z310">
        <f>IF(Source!BI256=3,I301+I302+I304+I306+I307+I308-0, 0)</f>
        <v>0</v>
      </c>
      <c r="AA310">
        <f>IF(Source!BI256=4,I301+I302+I304+I306+I307+I308,0)</f>
        <v>0</v>
      </c>
    </row>
    <row r="312" spans="1:27" ht="15" x14ac:dyDescent="0.25">
      <c r="A312" s="100" t="str">
        <f>CONCATENATE("Итого по разделу: ",IF(Source!G259&lt;&gt;"Новый раздел", Source!G259, ""))</f>
        <v>Итого по разделу: 11. Камень бетонный садовый 2093м</v>
      </c>
      <c r="B312" s="100"/>
      <c r="C312" s="100"/>
      <c r="D312" s="100"/>
      <c r="E312" s="100"/>
      <c r="F312" s="100"/>
      <c r="G312" s="100"/>
      <c r="H312" s="98">
        <f>SUM(O272:O311)</f>
        <v>252023.84000000003</v>
      </c>
      <c r="I312" s="99"/>
      <c r="J312" s="98">
        <f>SUM(P272:P311)</f>
        <v>2701544.1900000004</v>
      </c>
      <c r="K312" s="99"/>
    </row>
    <row r="313" spans="1:27" hidden="1" x14ac:dyDescent="0.2">
      <c r="A313" t="s">
        <v>980</v>
      </c>
      <c r="I313">
        <f>SUM(AC272:AC312)</f>
        <v>0</v>
      </c>
      <c r="J313">
        <f>SUM(AD272:AD312)</f>
        <v>0</v>
      </c>
    </row>
    <row r="314" spans="1:27" hidden="1" x14ac:dyDescent="0.2">
      <c r="A314" t="s">
        <v>981</v>
      </c>
      <c r="I314">
        <f>SUM(AE272:AE313)</f>
        <v>0</v>
      </c>
      <c r="J314">
        <f>SUM(AF272:AF313)</f>
        <v>0</v>
      </c>
    </row>
    <row r="315" spans="1:27" ht="14.25" x14ac:dyDescent="0.2">
      <c r="C315" s="96" t="str">
        <f>Source!H288</f>
        <v>с ндс</v>
      </c>
      <c r="D315" s="96"/>
      <c r="E315" s="96"/>
      <c r="F315" s="96"/>
      <c r="G315" s="96"/>
      <c r="H315" s="96"/>
      <c r="I315" s="96"/>
      <c r="J315" s="97">
        <f>IF(Source!F288=0, "", Source!F288)</f>
        <v>3241853.03</v>
      </c>
      <c r="K315" s="97"/>
    </row>
    <row r="317" spans="1:27" ht="16.5" x14ac:dyDescent="0.25">
      <c r="A317" s="102" t="str">
        <f>CONCATENATE("Раздел: ",IF(Source!G324&lt;&gt;"Новый раздел", Source!G324, ""))</f>
        <v>Раздел: 20.2. Газон посевной 10см</v>
      </c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</row>
    <row r="318" spans="1:27" ht="57" x14ac:dyDescent="0.2">
      <c r="A318" s="22" t="str">
        <f>Source!E328</f>
        <v>42</v>
      </c>
      <c r="B318" s="23" t="str">
        <f>Source!F328</f>
        <v>3.1-6-10</v>
      </c>
      <c r="C318" s="23" t="s">
        <v>203</v>
      </c>
      <c r="D318" s="25" t="str">
        <f>Source!H328</f>
        <v>100 м3 грунта</v>
      </c>
      <c r="E318" s="10">
        <f>Source!I328</f>
        <v>19.5885</v>
      </c>
      <c r="F318" s="27"/>
      <c r="G318" s="26"/>
      <c r="H318" s="10"/>
      <c r="I318" s="28"/>
      <c r="J318" s="10"/>
      <c r="K318" s="28"/>
      <c r="Q318">
        <f>ROUND((Source!DN328/100)*ROUND((ROUND((Source!AF328*Source!AV328*Source!I328),2)),2), 2)</f>
        <v>270.68</v>
      </c>
      <c r="R318">
        <f>Source!X328</f>
        <v>6233.17</v>
      </c>
      <c r="S318">
        <f>ROUND((Source!DO328/100)*ROUND((ROUND((Source!AF328*Source!AV328*Source!I328),2)),2), 2)</f>
        <v>212.67</v>
      </c>
      <c r="T318">
        <f>Source!Y328</f>
        <v>3387.6</v>
      </c>
      <c r="U318">
        <f>ROUND((175/100)*ROUND((ROUND((Source!AE328*Source!AV328*Source!I328),2)),2), 2)</f>
        <v>4815.63</v>
      </c>
      <c r="V318">
        <f>ROUND((157/100)*ROUND(ROUND((ROUND((Source!AE328*Source!AV328*Source!I328),2)*Source!BS328),2), 2), 2)</f>
        <v>105977.21</v>
      </c>
    </row>
    <row r="319" spans="1:27" x14ac:dyDescent="0.2">
      <c r="C319" s="29" t="str">
        <f>"Объем: "&amp;Source!I328&amp;"=26118*"&amp;"0,1*"&amp;"0,75/"&amp;"100"</f>
        <v>Объем: 19,5885=26118*0,1*0,75/100</v>
      </c>
    </row>
    <row r="320" spans="1:27" ht="14.25" x14ac:dyDescent="0.2">
      <c r="A320" s="22"/>
      <c r="B320" s="23"/>
      <c r="C320" s="23" t="s">
        <v>970</v>
      </c>
      <c r="D320" s="25"/>
      <c r="E320" s="10"/>
      <c r="F320" s="27">
        <f>Source!AO328</f>
        <v>14.1</v>
      </c>
      <c r="G320" s="26" t="str">
        <f>Source!DG328</f>
        <v/>
      </c>
      <c r="H320" s="10">
        <f>Source!AV328</f>
        <v>1</v>
      </c>
      <c r="I320" s="28">
        <f>ROUND((ROUND((Source!AF328*Source!AV328*Source!I328),2)),2)</f>
        <v>276.2</v>
      </c>
      <c r="J320" s="10">
        <f>IF(Source!BA328&lt;&gt; 0, Source!BA328, 1)</f>
        <v>24.53</v>
      </c>
      <c r="K320" s="28">
        <f>Source!S328</f>
        <v>6775.19</v>
      </c>
      <c r="W320">
        <f>I320</f>
        <v>276.2</v>
      </c>
    </row>
    <row r="321" spans="1:27" ht="14.25" x14ac:dyDescent="0.2">
      <c r="A321" s="22"/>
      <c r="B321" s="23"/>
      <c r="C321" s="23" t="s">
        <v>971</v>
      </c>
      <c r="D321" s="25"/>
      <c r="E321" s="10"/>
      <c r="F321" s="27">
        <f>Source!AM328</f>
        <v>757.55</v>
      </c>
      <c r="G321" s="26" t="str">
        <f>Source!DE328</f>
        <v/>
      </c>
      <c r="H321" s="10">
        <f>Source!AV328</f>
        <v>1</v>
      </c>
      <c r="I321" s="28">
        <f>(ROUND((ROUND(((Source!ET328)*Source!AV328*Source!I328),2)),2)+ROUND((ROUND(((Source!AE328-(Source!EU328))*Source!AV328*Source!I328),2)),2))</f>
        <v>14839.27</v>
      </c>
      <c r="J321" s="10">
        <f>IF(Source!BB328&lt;&gt; 0, Source!BB328, 1)</f>
        <v>9.82</v>
      </c>
      <c r="K321" s="28">
        <f>Source!Q328</f>
        <v>145721.63</v>
      </c>
    </row>
    <row r="322" spans="1:27" ht="14.25" x14ac:dyDescent="0.2">
      <c r="A322" s="22"/>
      <c r="B322" s="23"/>
      <c r="C322" s="23" t="s">
        <v>972</v>
      </c>
      <c r="D322" s="25"/>
      <c r="E322" s="10"/>
      <c r="F322" s="27">
        <f>Source!AN328</f>
        <v>140.47999999999999</v>
      </c>
      <c r="G322" s="26" t="str">
        <f>Source!DF328</f>
        <v/>
      </c>
      <c r="H322" s="10">
        <f>Source!AV328</f>
        <v>1</v>
      </c>
      <c r="I322" s="30">
        <f>ROUND((ROUND((Source!AE328*Source!AV328*Source!I328),2)),2)</f>
        <v>2751.79</v>
      </c>
      <c r="J322" s="10">
        <f>IF(Source!BS328&lt;&gt; 0, Source!BS328, 1)</f>
        <v>24.53</v>
      </c>
      <c r="K322" s="30">
        <f>Source!R328</f>
        <v>67501.41</v>
      </c>
      <c r="W322">
        <f>I322</f>
        <v>2751.79</v>
      </c>
    </row>
    <row r="323" spans="1:27" ht="14.25" x14ac:dyDescent="0.2">
      <c r="A323" s="22"/>
      <c r="B323" s="23"/>
      <c r="C323" s="23" t="s">
        <v>974</v>
      </c>
      <c r="D323" s="25" t="s">
        <v>975</v>
      </c>
      <c r="E323" s="10">
        <f>Source!DN328</f>
        <v>98</v>
      </c>
      <c r="F323" s="27"/>
      <c r="G323" s="26"/>
      <c r="H323" s="10"/>
      <c r="I323" s="28">
        <f>SUM(Q318:Q322)</f>
        <v>270.68</v>
      </c>
      <c r="J323" s="10">
        <f>Source!BZ328</f>
        <v>92</v>
      </c>
      <c r="K323" s="28">
        <f>SUM(R318:R322)</f>
        <v>6233.17</v>
      </c>
    </row>
    <row r="324" spans="1:27" ht="14.25" x14ac:dyDescent="0.2">
      <c r="A324" s="22"/>
      <c r="B324" s="23"/>
      <c r="C324" s="23" t="s">
        <v>976</v>
      </c>
      <c r="D324" s="25" t="s">
        <v>975</v>
      </c>
      <c r="E324" s="10">
        <f>Source!DO328</f>
        <v>77</v>
      </c>
      <c r="F324" s="27"/>
      <c r="G324" s="26"/>
      <c r="H324" s="10"/>
      <c r="I324" s="28">
        <f>SUM(S318:S323)</f>
        <v>212.67</v>
      </c>
      <c r="J324" s="10">
        <f>Source!CA328</f>
        <v>50</v>
      </c>
      <c r="K324" s="28">
        <f>SUM(T318:T323)</f>
        <v>3387.6</v>
      </c>
    </row>
    <row r="325" spans="1:27" ht="14.25" x14ac:dyDescent="0.2">
      <c r="A325" s="22"/>
      <c r="B325" s="23"/>
      <c r="C325" s="23" t="s">
        <v>977</v>
      </c>
      <c r="D325" s="25" t="s">
        <v>975</v>
      </c>
      <c r="E325" s="10">
        <f>175</f>
        <v>175</v>
      </c>
      <c r="F325" s="27"/>
      <c r="G325" s="26"/>
      <c r="H325" s="10"/>
      <c r="I325" s="28">
        <f>SUM(U318:U324)</f>
        <v>4815.63</v>
      </c>
      <c r="J325" s="10">
        <f>157</f>
        <v>157</v>
      </c>
      <c r="K325" s="28">
        <f>SUM(V318:V324)</f>
        <v>105977.21</v>
      </c>
    </row>
    <row r="326" spans="1:27" ht="14.25" x14ac:dyDescent="0.2">
      <c r="A326" s="22"/>
      <c r="B326" s="23"/>
      <c r="C326" s="23" t="s">
        <v>978</v>
      </c>
      <c r="D326" s="25" t="s">
        <v>979</v>
      </c>
      <c r="E326" s="10">
        <f>Source!AQ328</f>
        <v>1.38</v>
      </c>
      <c r="F326" s="27"/>
      <c r="G326" s="26" t="str">
        <f>Source!DI328</f>
        <v/>
      </c>
      <c r="H326" s="10">
        <f>Source!AV328</f>
        <v>1</v>
      </c>
      <c r="I326" s="28">
        <f>Source!U328</f>
        <v>27.032129999999999</v>
      </c>
      <c r="J326" s="10"/>
      <c r="K326" s="28"/>
    </row>
    <row r="327" spans="1:27" ht="15" x14ac:dyDescent="0.25">
      <c r="A327" s="32"/>
      <c r="B327" s="32"/>
      <c r="C327" s="32"/>
      <c r="D327" s="32"/>
      <c r="E327" s="32"/>
      <c r="F327" s="32"/>
      <c r="G327" s="32"/>
      <c r="H327" s="101">
        <f>I320+I321+I323+I324+I325</f>
        <v>20414.45</v>
      </c>
      <c r="I327" s="101"/>
      <c r="J327" s="101">
        <f>K320+K321+K323+K324+K325</f>
        <v>268094.80000000005</v>
      </c>
      <c r="K327" s="101"/>
      <c r="O327" s="31">
        <f>I320+I321+I323+I324+I325</f>
        <v>20414.45</v>
      </c>
      <c r="P327" s="31">
        <f>K320+K321+K323+K324+K325</f>
        <v>268094.80000000005</v>
      </c>
      <c r="X327">
        <f>IF(Source!BI328&lt;=1,I320+I321+I323+I324+I325-0, 0)</f>
        <v>20414.45</v>
      </c>
      <c r="Y327">
        <f>IF(Source!BI328=2,I320+I321+I323+I324+I325-0, 0)</f>
        <v>0</v>
      </c>
      <c r="Z327">
        <f>IF(Source!BI328=3,I320+I321+I323+I324+I325-0, 0)</f>
        <v>0</v>
      </c>
      <c r="AA327">
        <f>IF(Source!BI328=4,I320+I321+I323+I324+I325,0)</f>
        <v>0</v>
      </c>
    </row>
    <row r="328" spans="1:27" ht="42.75" x14ac:dyDescent="0.2">
      <c r="A328" s="22" t="str">
        <f>Source!E329</f>
        <v>43</v>
      </c>
      <c r="B328" s="23" t="str">
        <f>Source!F329</f>
        <v>3.47-23-1</v>
      </c>
      <c r="C328" s="23" t="s">
        <v>263</v>
      </c>
      <c r="D328" s="25" t="str">
        <f>Source!H329</f>
        <v>1 м3</v>
      </c>
      <c r="E328" s="10">
        <f>Source!I329</f>
        <v>652.95000000000005</v>
      </c>
      <c r="F328" s="27"/>
      <c r="G328" s="26"/>
      <c r="H328" s="10"/>
      <c r="I328" s="28"/>
      <c r="J328" s="10"/>
      <c r="K328" s="28"/>
      <c r="Q328">
        <f>ROUND((Source!DN329/100)*ROUND((ROUND((Source!AF329*Source!AV329*Source!I329),2)),2), 2)</f>
        <v>30464.36</v>
      </c>
      <c r="R328">
        <f>Source!X329</f>
        <v>407613.09</v>
      </c>
      <c r="S328">
        <f>ROUND((Source!DO329/100)*ROUND((ROUND((Source!AF329*Source!AV329*Source!I329),2)),2), 2)</f>
        <v>16454.009999999998</v>
      </c>
      <c r="T328">
        <f>Source!Y329</f>
        <v>187821.72</v>
      </c>
      <c r="U328">
        <f>ROUND((175/100)*ROUND((ROUND((Source!AE329*Source!AV329*Source!I329),2)),2), 2)</f>
        <v>0</v>
      </c>
      <c r="V328">
        <f>ROUND((157/100)*ROUND(ROUND((ROUND((Source!AE329*Source!AV329*Source!I329),2)*Source!BS329),2), 2), 2)</f>
        <v>0</v>
      </c>
    </row>
    <row r="329" spans="1:27" x14ac:dyDescent="0.2">
      <c r="C329" s="29" t="str">
        <f>"Объем: "&amp;Source!I329&amp;"=26118*"&amp;"0,1*"&amp;"0,25"</f>
        <v>Объем: 652,95=26118*0,1*0,25</v>
      </c>
    </row>
    <row r="330" spans="1:27" ht="14.25" x14ac:dyDescent="0.2">
      <c r="A330" s="22"/>
      <c r="B330" s="23"/>
      <c r="C330" s="23" t="s">
        <v>970</v>
      </c>
      <c r="D330" s="25"/>
      <c r="E330" s="10"/>
      <c r="F330" s="27">
        <f>Source!AO329</f>
        <v>24.95</v>
      </c>
      <c r="G330" s="26" t="str">
        <f>Source!DG329</f>
        <v/>
      </c>
      <c r="H330" s="10">
        <f>Source!AV329</f>
        <v>1</v>
      </c>
      <c r="I330" s="28">
        <f>ROUND((ROUND((Source!AF329*Source!AV329*Source!I329),2)),2)</f>
        <v>16291.1</v>
      </c>
      <c r="J330" s="10">
        <f>IF(Source!BA329&lt;&gt; 0, Source!BA329, 1)</f>
        <v>24.53</v>
      </c>
      <c r="K330" s="28">
        <f>Source!S329</f>
        <v>399620.68</v>
      </c>
      <c r="W330">
        <f>I330</f>
        <v>16291.1</v>
      </c>
    </row>
    <row r="331" spans="1:27" ht="14.25" x14ac:dyDescent="0.2">
      <c r="A331" s="22"/>
      <c r="B331" s="23"/>
      <c r="C331" s="23" t="s">
        <v>974</v>
      </c>
      <c r="D331" s="25" t="s">
        <v>975</v>
      </c>
      <c r="E331" s="10">
        <f>Source!DN329</f>
        <v>187</v>
      </c>
      <c r="F331" s="27"/>
      <c r="G331" s="26"/>
      <c r="H331" s="10"/>
      <c r="I331" s="28">
        <f>SUM(Q328:Q330)</f>
        <v>30464.36</v>
      </c>
      <c r="J331" s="10">
        <f>Source!BZ329</f>
        <v>102</v>
      </c>
      <c r="K331" s="28">
        <f>SUM(R328:R330)</f>
        <v>407613.09</v>
      </c>
    </row>
    <row r="332" spans="1:27" ht="14.25" x14ac:dyDescent="0.2">
      <c r="A332" s="22"/>
      <c r="B332" s="23"/>
      <c r="C332" s="23" t="s">
        <v>976</v>
      </c>
      <c r="D332" s="25" t="s">
        <v>975</v>
      </c>
      <c r="E332" s="10">
        <f>Source!DO329</f>
        <v>101</v>
      </c>
      <c r="F332" s="27"/>
      <c r="G332" s="26"/>
      <c r="H332" s="10"/>
      <c r="I332" s="28">
        <f>SUM(S328:S331)</f>
        <v>16454.009999999998</v>
      </c>
      <c r="J332" s="10">
        <f>Source!CA329</f>
        <v>47</v>
      </c>
      <c r="K332" s="28">
        <f>SUM(T328:T331)</f>
        <v>187821.72</v>
      </c>
    </row>
    <row r="333" spans="1:27" ht="14.25" x14ac:dyDescent="0.2">
      <c r="A333" s="22"/>
      <c r="B333" s="23"/>
      <c r="C333" s="23" t="s">
        <v>978</v>
      </c>
      <c r="D333" s="25" t="s">
        <v>979</v>
      </c>
      <c r="E333" s="10">
        <f>Source!AQ329</f>
        <v>2.31</v>
      </c>
      <c r="F333" s="27"/>
      <c r="G333" s="26" t="str">
        <f>Source!DI329</f>
        <v/>
      </c>
      <c r="H333" s="10">
        <f>Source!AV329</f>
        <v>1</v>
      </c>
      <c r="I333" s="28">
        <f>Source!U329</f>
        <v>1508.3145000000002</v>
      </c>
      <c r="J333" s="10"/>
      <c r="K333" s="28"/>
    </row>
    <row r="334" spans="1:27" ht="15" x14ac:dyDescent="0.25">
      <c r="A334" s="32"/>
      <c r="B334" s="32"/>
      <c r="C334" s="32"/>
      <c r="D334" s="32"/>
      <c r="E334" s="32"/>
      <c r="F334" s="32"/>
      <c r="G334" s="32"/>
      <c r="H334" s="101">
        <f>I330+I331+I332</f>
        <v>63209.47</v>
      </c>
      <c r="I334" s="101"/>
      <c r="J334" s="101">
        <f>K330+K331+K332</f>
        <v>995055.49</v>
      </c>
      <c r="K334" s="101"/>
      <c r="O334" s="31">
        <f>I330+I331+I332</f>
        <v>63209.47</v>
      </c>
      <c r="P334" s="31">
        <f>K330+K331+K332</f>
        <v>995055.49</v>
      </c>
      <c r="X334">
        <f>IF(Source!BI329&lt;=1,I330+I331+I332-0, 0)</f>
        <v>63209.47</v>
      </c>
      <c r="Y334">
        <f>IF(Source!BI329=2,I330+I331+I332-0, 0)</f>
        <v>0</v>
      </c>
      <c r="Z334">
        <f>IF(Source!BI329=3,I330+I331+I332-0, 0)</f>
        <v>0</v>
      </c>
      <c r="AA334">
        <f>IF(Source!BI329=4,I330+I331+I332,0)</f>
        <v>0</v>
      </c>
    </row>
    <row r="335" spans="1:27" ht="57" x14ac:dyDescent="0.2">
      <c r="A335" s="22" t="str">
        <f>Source!E330</f>
        <v>44</v>
      </c>
      <c r="B335" s="23" t="str">
        <f>Source!F330</f>
        <v>3.1-6-10</v>
      </c>
      <c r="C335" s="23" t="s">
        <v>203</v>
      </c>
      <c r="D335" s="25" t="str">
        <f>Source!H330</f>
        <v>100 м3 грунта</v>
      </c>
      <c r="E335" s="10">
        <f>Source!I330</f>
        <v>5.8765499999999999</v>
      </c>
      <c r="F335" s="27"/>
      <c r="G335" s="26"/>
      <c r="H335" s="10"/>
      <c r="I335" s="28"/>
      <c r="J335" s="10"/>
      <c r="K335" s="28"/>
      <c r="Q335">
        <f>ROUND((Source!DN330/100)*ROUND((ROUND((Source!AF330*Source!AV330*Source!I330),2)),2), 2)</f>
        <v>81.2</v>
      </c>
      <c r="R335">
        <f>Source!X330</f>
        <v>1869.96</v>
      </c>
      <c r="S335">
        <f>ROUND((Source!DO330/100)*ROUND((ROUND((Source!AF330*Source!AV330*Source!I330),2)),2), 2)</f>
        <v>63.8</v>
      </c>
      <c r="T335">
        <f>Source!Y330</f>
        <v>1016.28</v>
      </c>
      <c r="U335">
        <f>ROUND((175/100)*ROUND((ROUND((Source!AE330*Source!AV330*Source!I330),2)),2), 2)</f>
        <v>1444.7</v>
      </c>
      <c r="V335">
        <f>ROUND((157/100)*ROUND(ROUND((ROUND((Source!AE330*Source!AV330*Source!I330),2)*Source!BS330),2), 2), 2)</f>
        <v>31793.29</v>
      </c>
    </row>
    <row r="336" spans="1:27" x14ac:dyDescent="0.2">
      <c r="C336" s="29" t="str">
        <f>"Объем: "&amp;Source!I330&amp;"=26118*"&amp;"0,1*"&amp;"0,25*"&amp;"0,9/"&amp;"100"</f>
        <v>Объем: 5,87655=26118*0,1*0,25*0,9/100</v>
      </c>
    </row>
    <row r="337" spans="1:27" ht="14.25" x14ac:dyDescent="0.2">
      <c r="A337" s="22"/>
      <c r="B337" s="23"/>
      <c r="C337" s="23" t="s">
        <v>970</v>
      </c>
      <c r="D337" s="25"/>
      <c r="E337" s="10"/>
      <c r="F337" s="27">
        <f>Source!AO330</f>
        <v>14.1</v>
      </c>
      <c r="G337" s="26" t="str">
        <f>Source!DG330</f>
        <v/>
      </c>
      <c r="H337" s="10">
        <f>Source!AV330</f>
        <v>1</v>
      </c>
      <c r="I337" s="28">
        <f>ROUND((ROUND((Source!AF330*Source!AV330*Source!I330),2)),2)</f>
        <v>82.86</v>
      </c>
      <c r="J337" s="10">
        <f>IF(Source!BA330&lt;&gt; 0, Source!BA330, 1)</f>
        <v>24.53</v>
      </c>
      <c r="K337" s="28">
        <f>Source!S330</f>
        <v>2032.56</v>
      </c>
      <c r="W337">
        <f>I337</f>
        <v>82.86</v>
      </c>
    </row>
    <row r="338" spans="1:27" ht="14.25" x14ac:dyDescent="0.2">
      <c r="A338" s="22"/>
      <c r="B338" s="23"/>
      <c r="C338" s="23" t="s">
        <v>971</v>
      </c>
      <c r="D338" s="25"/>
      <c r="E338" s="10"/>
      <c r="F338" s="27">
        <f>Source!AM330</f>
        <v>757.55</v>
      </c>
      <c r="G338" s="26" t="str">
        <f>Source!DE330</f>
        <v/>
      </c>
      <c r="H338" s="10">
        <f>Source!AV330</f>
        <v>1</v>
      </c>
      <c r="I338" s="28">
        <f>(ROUND((ROUND(((Source!ET330)*Source!AV330*Source!I330),2)),2)+ROUND((ROUND(((Source!AE330-(Source!EU330))*Source!AV330*Source!I330),2)),2))</f>
        <v>4451.78</v>
      </c>
      <c r="J338" s="10">
        <f>IF(Source!BB330&lt;&gt; 0, Source!BB330, 1)</f>
        <v>9.82</v>
      </c>
      <c r="K338" s="28">
        <f>Source!Q330</f>
        <v>43716.480000000003</v>
      </c>
    </row>
    <row r="339" spans="1:27" ht="14.25" x14ac:dyDescent="0.2">
      <c r="A339" s="22"/>
      <c r="B339" s="23"/>
      <c r="C339" s="23" t="s">
        <v>972</v>
      </c>
      <c r="D339" s="25"/>
      <c r="E339" s="10"/>
      <c r="F339" s="27">
        <f>Source!AN330</f>
        <v>140.47999999999999</v>
      </c>
      <c r="G339" s="26" t="str">
        <f>Source!DF330</f>
        <v/>
      </c>
      <c r="H339" s="10">
        <f>Source!AV330</f>
        <v>1</v>
      </c>
      <c r="I339" s="30">
        <f>ROUND((ROUND((Source!AE330*Source!AV330*Source!I330),2)),2)</f>
        <v>825.54</v>
      </c>
      <c r="J339" s="10">
        <f>IF(Source!BS330&lt;&gt; 0, Source!BS330, 1)</f>
        <v>24.53</v>
      </c>
      <c r="K339" s="30">
        <f>Source!R330</f>
        <v>20250.5</v>
      </c>
      <c r="W339">
        <f>I339</f>
        <v>825.54</v>
      </c>
    </row>
    <row r="340" spans="1:27" ht="14.25" x14ac:dyDescent="0.2">
      <c r="A340" s="22"/>
      <c r="B340" s="23"/>
      <c r="C340" s="23" t="s">
        <v>974</v>
      </c>
      <c r="D340" s="25" t="s">
        <v>975</v>
      </c>
      <c r="E340" s="10">
        <f>Source!DN330</f>
        <v>98</v>
      </c>
      <c r="F340" s="27"/>
      <c r="G340" s="26"/>
      <c r="H340" s="10"/>
      <c r="I340" s="28">
        <f>SUM(Q335:Q339)</f>
        <v>81.2</v>
      </c>
      <c r="J340" s="10">
        <f>Source!BZ330</f>
        <v>92</v>
      </c>
      <c r="K340" s="28">
        <f>SUM(R335:R339)</f>
        <v>1869.96</v>
      </c>
    </row>
    <row r="341" spans="1:27" ht="14.25" x14ac:dyDescent="0.2">
      <c r="A341" s="22"/>
      <c r="B341" s="23"/>
      <c r="C341" s="23" t="s">
        <v>976</v>
      </c>
      <c r="D341" s="25" t="s">
        <v>975</v>
      </c>
      <c r="E341" s="10">
        <f>Source!DO330</f>
        <v>77</v>
      </c>
      <c r="F341" s="27"/>
      <c r="G341" s="26"/>
      <c r="H341" s="10"/>
      <c r="I341" s="28">
        <f>SUM(S335:S340)</f>
        <v>63.8</v>
      </c>
      <c r="J341" s="10">
        <f>Source!CA330</f>
        <v>50</v>
      </c>
      <c r="K341" s="28">
        <f>SUM(T335:T340)</f>
        <v>1016.28</v>
      </c>
    </row>
    <row r="342" spans="1:27" ht="14.25" x14ac:dyDescent="0.2">
      <c r="A342" s="22"/>
      <c r="B342" s="23"/>
      <c r="C342" s="23" t="s">
        <v>977</v>
      </c>
      <c r="D342" s="25" t="s">
        <v>975</v>
      </c>
      <c r="E342" s="10">
        <f>175</f>
        <v>175</v>
      </c>
      <c r="F342" s="27"/>
      <c r="G342" s="26"/>
      <c r="H342" s="10"/>
      <c r="I342" s="28">
        <f>SUM(U335:U341)</f>
        <v>1444.7</v>
      </c>
      <c r="J342" s="10">
        <f>157</f>
        <v>157</v>
      </c>
      <c r="K342" s="28">
        <f>SUM(V335:V341)</f>
        <v>31793.29</v>
      </c>
    </row>
    <row r="343" spans="1:27" ht="14.25" x14ac:dyDescent="0.2">
      <c r="A343" s="22"/>
      <c r="B343" s="23"/>
      <c r="C343" s="23" t="s">
        <v>978</v>
      </c>
      <c r="D343" s="25" t="s">
        <v>979</v>
      </c>
      <c r="E343" s="10">
        <f>Source!AQ330</f>
        <v>1.38</v>
      </c>
      <c r="F343" s="27"/>
      <c r="G343" s="26" t="str">
        <f>Source!DI330</f>
        <v/>
      </c>
      <c r="H343" s="10">
        <f>Source!AV330</f>
        <v>1</v>
      </c>
      <c r="I343" s="28">
        <f>Source!U330</f>
        <v>8.1096389999999996</v>
      </c>
      <c r="J343" s="10"/>
      <c r="K343" s="28"/>
    </row>
    <row r="344" spans="1:27" ht="15" x14ac:dyDescent="0.25">
      <c r="A344" s="32"/>
      <c r="B344" s="32"/>
      <c r="C344" s="32"/>
      <c r="D344" s="32"/>
      <c r="E344" s="32"/>
      <c r="F344" s="32"/>
      <c r="G344" s="32"/>
      <c r="H344" s="101">
        <f>I337+I338+I340+I341+I342</f>
        <v>6124.3399999999992</v>
      </c>
      <c r="I344" s="101"/>
      <c r="J344" s="101">
        <f>K337+K338+K340+K341+K342</f>
        <v>80428.570000000007</v>
      </c>
      <c r="K344" s="101"/>
      <c r="O344" s="31">
        <f>I337+I338+I340+I341+I342</f>
        <v>6124.3399999999992</v>
      </c>
      <c r="P344" s="31">
        <f>K337+K338+K340+K341+K342</f>
        <v>80428.570000000007</v>
      </c>
      <c r="X344">
        <f>IF(Source!BI330&lt;=1,I337+I338+I340+I341+I342-0, 0)</f>
        <v>6124.3399999999992</v>
      </c>
      <c r="Y344">
        <f>IF(Source!BI330=2,I337+I338+I340+I341+I342-0, 0)</f>
        <v>0</v>
      </c>
      <c r="Z344">
        <f>IF(Source!BI330=3,I337+I338+I340+I341+I342-0, 0)</f>
        <v>0</v>
      </c>
      <c r="AA344">
        <f>IF(Source!BI330=4,I337+I338+I340+I341+I342,0)</f>
        <v>0</v>
      </c>
    </row>
    <row r="345" spans="1:27" ht="28.5" x14ac:dyDescent="0.2">
      <c r="A345" s="22" t="str">
        <f>Source!E331</f>
        <v>45</v>
      </c>
      <c r="B345" s="23" t="str">
        <f>Source!F331</f>
        <v>6.51-6-1</v>
      </c>
      <c r="C345" s="23" t="s">
        <v>216</v>
      </c>
      <c r="D345" s="25" t="str">
        <f>Source!H331</f>
        <v>100 м3 грунта</v>
      </c>
      <c r="E345" s="10">
        <f>Source!I331</f>
        <v>0.65295000000000003</v>
      </c>
      <c r="F345" s="27"/>
      <c r="G345" s="26"/>
      <c r="H345" s="10"/>
      <c r="I345" s="28"/>
      <c r="J345" s="10"/>
      <c r="K345" s="28"/>
      <c r="Q345">
        <f>ROUND((Source!DN331/100)*ROUND((ROUND((Source!AF331*Source!AV331*Source!I331),2)),2), 2)</f>
        <v>472.46</v>
      </c>
      <c r="R345">
        <f>Source!X331</f>
        <v>9297.08</v>
      </c>
      <c r="S345">
        <f>ROUND((Source!DO331/100)*ROUND((ROUND((Source!AF331*Source!AV331*Source!I331),2)),2), 2)</f>
        <v>347.86</v>
      </c>
      <c r="T345">
        <f>Source!Y331</f>
        <v>5221.6499999999996</v>
      </c>
      <c r="U345">
        <f>ROUND((175/100)*ROUND((ROUND((Source!AE331*Source!AV331*Source!I331),2)),2), 2)</f>
        <v>0</v>
      </c>
      <c r="V345">
        <f>ROUND((157/100)*ROUND(ROUND((ROUND((Source!AE331*Source!AV331*Source!I331),2)*Source!BS331),2), 2), 2)</f>
        <v>0</v>
      </c>
    </row>
    <row r="346" spans="1:27" x14ac:dyDescent="0.2">
      <c r="C346" s="29" t="str">
        <f>"Объем: "&amp;Source!I331&amp;"="&amp;Source!I329&amp;"*"&amp;"0,1/"&amp;"100"</f>
        <v>Объем: 0,65295=652,95*0,1/100</v>
      </c>
    </row>
    <row r="347" spans="1:27" ht="14.25" x14ac:dyDescent="0.2">
      <c r="A347" s="22"/>
      <c r="B347" s="23"/>
      <c r="C347" s="23" t="s">
        <v>970</v>
      </c>
      <c r="D347" s="25"/>
      <c r="E347" s="10"/>
      <c r="F347" s="27">
        <f>Source!AO331</f>
        <v>795.14</v>
      </c>
      <c r="G347" s="26" t="str">
        <f>Source!DG331</f>
        <v/>
      </c>
      <c r="H347" s="10">
        <f>Source!AV331</f>
        <v>1</v>
      </c>
      <c r="I347" s="28">
        <f>ROUND((ROUND((Source!AF331*Source!AV331*Source!I331),2)),2)</f>
        <v>519.19000000000005</v>
      </c>
      <c r="J347" s="10">
        <f>IF(Source!BA331&lt;&gt; 0, Source!BA331, 1)</f>
        <v>24.53</v>
      </c>
      <c r="K347" s="28">
        <f>Source!S331</f>
        <v>12735.73</v>
      </c>
      <c r="W347">
        <f>I347</f>
        <v>519.19000000000005</v>
      </c>
    </row>
    <row r="348" spans="1:27" ht="14.25" x14ac:dyDescent="0.2">
      <c r="A348" s="22"/>
      <c r="B348" s="23"/>
      <c r="C348" s="23" t="s">
        <v>974</v>
      </c>
      <c r="D348" s="25" t="s">
        <v>975</v>
      </c>
      <c r="E348" s="10">
        <f>Source!DN331</f>
        <v>91</v>
      </c>
      <c r="F348" s="27"/>
      <c r="G348" s="26"/>
      <c r="H348" s="10"/>
      <c r="I348" s="28">
        <f>SUM(Q345:Q347)</f>
        <v>472.46</v>
      </c>
      <c r="J348" s="10">
        <f>Source!BZ331</f>
        <v>73</v>
      </c>
      <c r="K348" s="28">
        <f>SUM(R345:R347)</f>
        <v>9297.08</v>
      </c>
    </row>
    <row r="349" spans="1:27" ht="14.25" x14ac:dyDescent="0.2">
      <c r="A349" s="22"/>
      <c r="B349" s="23"/>
      <c r="C349" s="23" t="s">
        <v>976</v>
      </c>
      <c r="D349" s="25" t="s">
        <v>975</v>
      </c>
      <c r="E349" s="10">
        <f>Source!DO331</f>
        <v>67</v>
      </c>
      <c r="F349" s="27"/>
      <c r="G349" s="26"/>
      <c r="H349" s="10"/>
      <c r="I349" s="28">
        <f>SUM(S345:S348)</f>
        <v>347.86</v>
      </c>
      <c r="J349" s="10">
        <f>Source!CA331</f>
        <v>41</v>
      </c>
      <c r="K349" s="28">
        <f>SUM(T345:T348)</f>
        <v>5221.6499999999996</v>
      </c>
    </row>
    <row r="350" spans="1:27" ht="14.25" x14ac:dyDescent="0.2">
      <c r="A350" s="22"/>
      <c r="B350" s="23"/>
      <c r="C350" s="23" t="s">
        <v>978</v>
      </c>
      <c r="D350" s="25" t="s">
        <v>979</v>
      </c>
      <c r="E350" s="10">
        <f>Source!AQ331</f>
        <v>83</v>
      </c>
      <c r="F350" s="27"/>
      <c r="G350" s="26" t="str">
        <f>Source!DI331</f>
        <v/>
      </c>
      <c r="H350" s="10">
        <f>Source!AV331</f>
        <v>1</v>
      </c>
      <c r="I350" s="28">
        <f>Source!U331</f>
        <v>54.194850000000002</v>
      </c>
      <c r="J350" s="10"/>
      <c r="K350" s="28"/>
    </row>
    <row r="351" spans="1:27" ht="15" x14ac:dyDescent="0.25">
      <c r="A351" s="32"/>
      <c r="B351" s="32"/>
      <c r="C351" s="32"/>
      <c r="D351" s="32"/>
      <c r="E351" s="32"/>
      <c r="F351" s="32"/>
      <c r="G351" s="32"/>
      <c r="H351" s="101">
        <f>I347+I348+I349</f>
        <v>1339.5100000000002</v>
      </c>
      <c r="I351" s="101"/>
      <c r="J351" s="101">
        <f>K347+K348+K349</f>
        <v>27254.46</v>
      </c>
      <c r="K351" s="101"/>
      <c r="O351" s="31">
        <f>I347+I348+I349</f>
        <v>1339.5100000000002</v>
      </c>
      <c r="P351" s="31">
        <f>K347+K348+K349</f>
        <v>27254.46</v>
      </c>
      <c r="X351">
        <f>IF(Source!BI331&lt;=1,I347+I348+I349-0, 0)</f>
        <v>1339.5100000000002</v>
      </c>
      <c r="Y351">
        <f>IF(Source!BI331=2,I347+I348+I349-0, 0)</f>
        <v>0</v>
      </c>
      <c r="Z351">
        <f>IF(Source!BI331=3,I347+I348+I349-0, 0)</f>
        <v>0</v>
      </c>
      <c r="AA351">
        <f>IF(Source!BI331=4,I347+I348+I349,0)</f>
        <v>0</v>
      </c>
    </row>
    <row r="352" spans="1:27" ht="57" x14ac:dyDescent="0.2">
      <c r="A352" s="22" t="str">
        <f>Source!E334</f>
        <v>48</v>
      </c>
      <c r="B352" s="23" t="str">
        <f>Source!F334</f>
        <v>3.47-26-3</v>
      </c>
      <c r="C352" s="23" t="s">
        <v>277</v>
      </c>
      <c r="D352" s="25" t="str">
        <f>Source!H334</f>
        <v>100 м2</v>
      </c>
      <c r="E352" s="10">
        <f>Source!I334</f>
        <v>195.88499999999999</v>
      </c>
      <c r="F352" s="27"/>
      <c r="G352" s="26"/>
      <c r="H352" s="10"/>
      <c r="I352" s="28"/>
      <c r="J352" s="10"/>
      <c r="K352" s="28"/>
      <c r="Q352">
        <f>ROUND((Source!DN334/100)*ROUND((ROUND((Source!AF334*Source!AV334*Source!I334),2)),2), 2)</f>
        <v>102118.49</v>
      </c>
      <c r="R352">
        <f>Source!X334</f>
        <v>1366345.44</v>
      </c>
      <c r="S352">
        <f>ROUND((Source!DO334/100)*ROUND((ROUND((Source!AF334*Source!AV334*Source!I334),2)),2), 2)</f>
        <v>55154.91</v>
      </c>
      <c r="T352">
        <f>Source!Y334</f>
        <v>629590.54</v>
      </c>
      <c r="U352">
        <f>ROUND((175/100)*ROUND((ROUND((Source!AE334*Source!AV334*Source!I334),2)),2), 2)</f>
        <v>359.94</v>
      </c>
      <c r="V352">
        <f>ROUND((157/100)*ROUND(ROUND((ROUND((Source!AE334*Source!AV334*Source!I334),2)*Source!BS334),2), 2), 2)</f>
        <v>7921.17</v>
      </c>
    </row>
    <row r="353" spans="1:27" x14ac:dyDescent="0.2">
      <c r="C353" s="29" t="str">
        <f>"Объем: "&amp;Source!I334&amp;"=26118*"&amp;"0,75/"&amp;"100"</f>
        <v>Объем: 195,885=26118*0,75/100</v>
      </c>
    </row>
    <row r="354" spans="1:27" ht="14.25" x14ac:dyDescent="0.2">
      <c r="A354" s="22"/>
      <c r="B354" s="23"/>
      <c r="C354" s="23" t="s">
        <v>970</v>
      </c>
      <c r="D354" s="25"/>
      <c r="E354" s="10"/>
      <c r="F354" s="27">
        <f>Source!AO334</f>
        <v>278.77999999999997</v>
      </c>
      <c r="G354" s="26" t="str">
        <f>Source!DG334</f>
        <v/>
      </c>
      <c r="H354" s="10">
        <f>Source!AV334</f>
        <v>1</v>
      </c>
      <c r="I354" s="28">
        <f>ROUND((ROUND((Source!AF334*Source!AV334*Source!I334),2)),2)</f>
        <v>54608.82</v>
      </c>
      <c r="J354" s="10">
        <f>IF(Source!BA334&lt;&gt; 0, Source!BA334, 1)</f>
        <v>24.53</v>
      </c>
      <c r="K354" s="28">
        <f>Source!S334</f>
        <v>1339554.3500000001</v>
      </c>
      <c r="W354">
        <f>I354</f>
        <v>54608.82</v>
      </c>
    </row>
    <row r="355" spans="1:27" ht="14.25" x14ac:dyDescent="0.2">
      <c r="A355" s="22"/>
      <c r="B355" s="23"/>
      <c r="C355" s="23" t="s">
        <v>971</v>
      </c>
      <c r="D355" s="25"/>
      <c r="E355" s="10"/>
      <c r="F355" s="27">
        <f>Source!AM334</f>
        <v>5</v>
      </c>
      <c r="G355" s="26" t="str">
        <f>Source!DE334</f>
        <v/>
      </c>
      <c r="H355" s="10">
        <f>Source!AV334</f>
        <v>1</v>
      </c>
      <c r="I355" s="28">
        <f>(ROUND((ROUND(((Source!ET334)*Source!AV334*Source!I334),2)),2)+ROUND((ROUND(((Source!AE334-(Source!EU334))*Source!AV334*Source!I334),2)),2))</f>
        <v>979.43</v>
      </c>
      <c r="J355" s="10">
        <f>IF(Source!BB334&lt;&gt; 0, Source!BB334, 1)</f>
        <v>9.3699999999999992</v>
      </c>
      <c r="K355" s="28">
        <f>Source!Q334</f>
        <v>9177.26</v>
      </c>
    </row>
    <row r="356" spans="1:27" ht="14.25" x14ac:dyDescent="0.2">
      <c r="A356" s="22"/>
      <c r="B356" s="23"/>
      <c r="C356" s="23" t="s">
        <v>972</v>
      </c>
      <c r="D356" s="25"/>
      <c r="E356" s="10"/>
      <c r="F356" s="27">
        <f>Source!AN334</f>
        <v>1.05</v>
      </c>
      <c r="G356" s="26" t="str">
        <f>Source!DF334</f>
        <v/>
      </c>
      <c r="H356" s="10">
        <f>Source!AV334</f>
        <v>1</v>
      </c>
      <c r="I356" s="30">
        <f>ROUND((ROUND((Source!AE334*Source!AV334*Source!I334),2)),2)</f>
        <v>205.68</v>
      </c>
      <c r="J356" s="10">
        <f>IF(Source!BS334&lt;&gt; 0, Source!BS334, 1)</f>
        <v>24.53</v>
      </c>
      <c r="K356" s="30">
        <f>Source!R334</f>
        <v>5045.33</v>
      </c>
      <c r="W356">
        <f>I356</f>
        <v>205.68</v>
      </c>
    </row>
    <row r="357" spans="1:27" ht="14.25" x14ac:dyDescent="0.2">
      <c r="A357" s="22" t="str">
        <f>Source!E335</f>
        <v>48,1</v>
      </c>
      <c r="B357" s="23" t="str">
        <f>Source!F335</f>
        <v>1.4-6-1</v>
      </c>
      <c r="C357" s="23" t="s">
        <v>281</v>
      </c>
      <c r="D357" s="25" t="str">
        <f>Source!H335</f>
        <v>м3</v>
      </c>
      <c r="E357" s="10">
        <f>Source!I335</f>
        <v>2938.2750000000001</v>
      </c>
      <c r="F357" s="27">
        <f>Source!AK335</f>
        <v>146.84</v>
      </c>
      <c r="G357" s="33" t="s">
        <v>3</v>
      </c>
      <c r="H357" s="10">
        <f>Source!AW335</f>
        <v>1</v>
      </c>
      <c r="I357" s="28">
        <f>ROUND((ROUND((Source!AC335*Source!AW335*Source!I335),2)),2)+(ROUND((ROUND(((Source!ET335)*Source!AV335*Source!I335),2)),2)+ROUND((ROUND(((Source!AE335-(Source!EU335))*Source!AV335*Source!I335),2)),2))+ROUND((ROUND((Source!AF335*Source!AV335*Source!I335),2)),2)</f>
        <v>431456.3</v>
      </c>
      <c r="J357" s="10">
        <f>IF(Source!BC335&lt;&gt; 0, Source!BC335, 1)</f>
        <v>6.66</v>
      </c>
      <c r="K357" s="28">
        <f>Source!O335</f>
        <v>2873498.96</v>
      </c>
      <c r="Q357">
        <f>ROUND((Source!DN335/100)*ROUND((ROUND((Source!AF335*Source!AV335*Source!I335),2)),2), 2)</f>
        <v>0</v>
      </c>
      <c r="R357">
        <f>Source!X335</f>
        <v>0</v>
      </c>
      <c r="S357">
        <f>ROUND((Source!DO335/100)*ROUND((ROUND((Source!AF335*Source!AV335*Source!I335),2)),2), 2)</f>
        <v>0</v>
      </c>
      <c r="T357">
        <f>Source!Y335</f>
        <v>0</v>
      </c>
      <c r="U357">
        <f>ROUND((175/100)*ROUND((ROUND((Source!AE335*Source!AV335*Source!I335),2)),2), 2)</f>
        <v>0</v>
      </c>
      <c r="V357">
        <f>ROUND((157/100)*ROUND(ROUND((ROUND((Source!AE335*Source!AV335*Source!I335),2)*Source!BS335),2), 2), 2)</f>
        <v>0</v>
      </c>
      <c r="X357">
        <f>IF(Source!BI335&lt;=1,I357, 0)</f>
        <v>431456.3</v>
      </c>
      <c r="Y357">
        <f>IF(Source!BI335=2,I357, 0)</f>
        <v>0</v>
      </c>
      <c r="Z357">
        <f>IF(Source!BI335=3,I357, 0)</f>
        <v>0</v>
      </c>
      <c r="AA357">
        <f>IF(Source!BI335=4,I357, 0)</f>
        <v>0</v>
      </c>
    </row>
    <row r="358" spans="1:27" ht="14.25" x14ac:dyDescent="0.2">
      <c r="A358" s="22"/>
      <c r="B358" s="23"/>
      <c r="C358" s="23" t="s">
        <v>974</v>
      </c>
      <c r="D358" s="25" t="s">
        <v>975</v>
      </c>
      <c r="E358" s="10">
        <f>Source!DN334</f>
        <v>187</v>
      </c>
      <c r="F358" s="27"/>
      <c r="G358" s="26"/>
      <c r="H358" s="10"/>
      <c r="I358" s="28">
        <f>SUM(Q352:Q357)</f>
        <v>102118.49</v>
      </c>
      <c r="J358" s="10">
        <f>Source!BZ334</f>
        <v>102</v>
      </c>
      <c r="K358" s="28">
        <f>SUM(R352:R357)</f>
        <v>1366345.44</v>
      </c>
    </row>
    <row r="359" spans="1:27" ht="14.25" x14ac:dyDescent="0.2">
      <c r="A359" s="22"/>
      <c r="B359" s="23"/>
      <c r="C359" s="23" t="s">
        <v>976</v>
      </c>
      <c r="D359" s="25" t="s">
        <v>975</v>
      </c>
      <c r="E359" s="10">
        <f>Source!DO334</f>
        <v>101</v>
      </c>
      <c r="F359" s="27"/>
      <c r="G359" s="26"/>
      <c r="H359" s="10"/>
      <c r="I359" s="28">
        <f>SUM(S352:S358)</f>
        <v>55154.91</v>
      </c>
      <c r="J359" s="10">
        <f>Source!CA334</f>
        <v>47</v>
      </c>
      <c r="K359" s="28">
        <f>SUM(T352:T358)</f>
        <v>629590.54</v>
      </c>
    </row>
    <row r="360" spans="1:27" ht="14.25" x14ac:dyDescent="0.2">
      <c r="A360" s="22"/>
      <c r="B360" s="23"/>
      <c r="C360" s="23" t="s">
        <v>977</v>
      </c>
      <c r="D360" s="25" t="s">
        <v>975</v>
      </c>
      <c r="E360" s="10">
        <f>175</f>
        <v>175</v>
      </c>
      <c r="F360" s="27"/>
      <c r="G360" s="26"/>
      <c r="H360" s="10"/>
      <c r="I360" s="28">
        <f>SUM(U352:U359)</f>
        <v>359.94</v>
      </c>
      <c r="J360" s="10">
        <f>157</f>
        <v>157</v>
      </c>
      <c r="K360" s="28">
        <f>SUM(V352:V359)</f>
        <v>7921.17</v>
      </c>
    </row>
    <row r="361" spans="1:27" ht="14.25" x14ac:dyDescent="0.2">
      <c r="A361" s="22"/>
      <c r="B361" s="23"/>
      <c r="C361" s="23" t="s">
        <v>978</v>
      </c>
      <c r="D361" s="25" t="s">
        <v>979</v>
      </c>
      <c r="E361" s="10">
        <f>Source!AQ334</f>
        <v>26.78</v>
      </c>
      <c r="F361" s="27"/>
      <c r="G361" s="26" t="str">
        <f>Source!DI334</f>
        <v/>
      </c>
      <c r="H361" s="10">
        <f>Source!AV334</f>
        <v>1</v>
      </c>
      <c r="I361" s="28">
        <f>Source!U334</f>
        <v>5245.8002999999999</v>
      </c>
      <c r="J361" s="10"/>
      <c r="K361" s="28"/>
    </row>
    <row r="362" spans="1:27" ht="15" x14ac:dyDescent="0.25">
      <c r="A362" s="32"/>
      <c r="B362" s="32"/>
      <c r="C362" s="32"/>
      <c r="D362" s="32"/>
      <c r="E362" s="32"/>
      <c r="F362" s="32"/>
      <c r="G362" s="32"/>
      <c r="H362" s="101">
        <f>I354+I355+I358+I359+I360+SUM(I357:I357)</f>
        <v>644677.89</v>
      </c>
      <c r="I362" s="101"/>
      <c r="J362" s="101">
        <f>K354+K355+K358+K359+K360+SUM(K357:K357)</f>
        <v>6226087.7199999997</v>
      </c>
      <c r="K362" s="101"/>
      <c r="O362" s="31">
        <f>I354+I355+I358+I359+I360+SUM(I357:I357)</f>
        <v>644677.89</v>
      </c>
      <c r="P362" s="31">
        <f>K354+K355+K358+K359+K360+SUM(K357:K357)</f>
        <v>6226087.7199999997</v>
      </c>
      <c r="X362">
        <f>IF(Source!BI334&lt;=1,I354+I355+I358+I359+I360-0, 0)</f>
        <v>213221.59</v>
      </c>
      <c r="Y362">
        <f>IF(Source!BI334=2,I354+I355+I358+I359+I360-0, 0)</f>
        <v>0</v>
      </c>
      <c r="Z362">
        <f>IF(Source!BI334=3,I354+I355+I358+I359+I360-0, 0)</f>
        <v>0</v>
      </c>
      <c r="AA362">
        <f>IF(Source!BI334=4,I354+I355+I358+I359+I360,0)</f>
        <v>0</v>
      </c>
    </row>
    <row r="363" spans="1:27" ht="57" x14ac:dyDescent="0.2">
      <c r="A363" s="22" t="str">
        <f>Source!E336</f>
        <v>49</v>
      </c>
      <c r="B363" s="23" t="str">
        <f>Source!F336</f>
        <v>3.47-26-4</v>
      </c>
      <c r="C363" s="23" t="s">
        <v>285</v>
      </c>
      <c r="D363" s="25" t="str">
        <f>Source!H336</f>
        <v>100 м2</v>
      </c>
      <c r="E363" s="10">
        <f>Source!I336</f>
        <v>65.295000000000002</v>
      </c>
      <c r="F363" s="27"/>
      <c r="G363" s="26"/>
      <c r="H363" s="10"/>
      <c r="I363" s="28"/>
      <c r="J363" s="10"/>
      <c r="K363" s="28"/>
      <c r="Q363">
        <f>ROUND((Source!DN336/100)*ROUND((ROUND((Source!AF336*Source!AV336*Source!I336),2)),2), 2)</f>
        <v>50843.13</v>
      </c>
      <c r="R363">
        <f>Source!X336</f>
        <v>680281.1</v>
      </c>
      <c r="S363">
        <f>ROUND((Source!DO336/100)*ROUND((ROUND((Source!AF336*Source!AV336*Source!I336),2)),2), 2)</f>
        <v>27460.73</v>
      </c>
      <c r="T363">
        <f>Source!Y336</f>
        <v>313462.86</v>
      </c>
      <c r="U363">
        <f>ROUND((175/100)*ROUND((ROUND((Source!AE336*Source!AV336*Source!I336),2)),2), 2)</f>
        <v>0</v>
      </c>
      <c r="V363">
        <f>ROUND((157/100)*ROUND(ROUND((ROUND((Source!AE336*Source!AV336*Source!I336),2)*Source!BS336),2), 2), 2)</f>
        <v>0</v>
      </c>
    </row>
    <row r="364" spans="1:27" x14ac:dyDescent="0.2">
      <c r="C364" s="29" t="str">
        <f>"Объем: "&amp;Source!I336&amp;"=26118*"&amp;"0,25/"&amp;"100"</f>
        <v>Объем: 65,295=26118*0,25/100</v>
      </c>
    </row>
    <row r="365" spans="1:27" ht="14.25" x14ac:dyDescent="0.2">
      <c r="A365" s="22"/>
      <c r="B365" s="23"/>
      <c r="C365" s="23" t="s">
        <v>970</v>
      </c>
      <c r="D365" s="25"/>
      <c r="E365" s="10"/>
      <c r="F365" s="27">
        <f>Source!AO336</f>
        <v>416.4</v>
      </c>
      <c r="G365" s="26" t="str">
        <f>Source!DG336</f>
        <v/>
      </c>
      <c r="H365" s="10">
        <f>Source!AV336</f>
        <v>1</v>
      </c>
      <c r="I365" s="28">
        <f>ROUND((ROUND((Source!AF336*Source!AV336*Source!I336),2)),2)</f>
        <v>27188.84</v>
      </c>
      <c r="J365" s="10">
        <f>IF(Source!BA336&lt;&gt; 0, Source!BA336, 1)</f>
        <v>24.53</v>
      </c>
      <c r="K365" s="28">
        <f>Source!S336</f>
        <v>666942.25</v>
      </c>
      <c r="W365">
        <f>I365</f>
        <v>27188.84</v>
      </c>
    </row>
    <row r="366" spans="1:27" ht="14.25" x14ac:dyDescent="0.2">
      <c r="A366" s="22" t="str">
        <f>Source!E337</f>
        <v>49,1</v>
      </c>
      <c r="B366" s="23" t="str">
        <f>Source!F337</f>
        <v>1.4-6-1</v>
      </c>
      <c r="C366" s="23" t="s">
        <v>281</v>
      </c>
      <c r="D366" s="25" t="str">
        <f>Source!H337</f>
        <v>м3</v>
      </c>
      <c r="E366" s="10">
        <f>Source!I337</f>
        <v>979.42499999999995</v>
      </c>
      <c r="F366" s="27">
        <f>Source!AK337</f>
        <v>146.84</v>
      </c>
      <c r="G366" s="33" t="s">
        <v>3</v>
      </c>
      <c r="H366" s="10">
        <f>Source!AW337</f>
        <v>1</v>
      </c>
      <c r="I366" s="28">
        <f>ROUND((ROUND((Source!AC337*Source!AW337*Source!I337),2)),2)+(ROUND((ROUND(((Source!ET337)*Source!AV337*Source!I337),2)),2)+ROUND((ROUND(((Source!AE337-(Source!EU337))*Source!AV337*Source!I337),2)),2))+ROUND((ROUND((Source!AF337*Source!AV337*Source!I337),2)),2)</f>
        <v>143818.76999999999</v>
      </c>
      <c r="J366" s="10">
        <f>IF(Source!BC337&lt;&gt; 0, Source!BC337, 1)</f>
        <v>6.66</v>
      </c>
      <c r="K366" s="28">
        <f>Source!O337</f>
        <v>957833.01</v>
      </c>
      <c r="Q366">
        <f>ROUND((Source!DN337/100)*ROUND((ROUND((Source!AF337*Source!AV337*Source!I337),2)),2), 2)</f>
        <v>0</v>
      </c>
      <c r="R366">
        <f>Source!X337</f>
        <v>0</v>
      </c>
      <c r="S366">
        <f>ROUND((Source!DO337/100)*ROUND((ROUND((Source!AF337*Source!AV337*Source!I337),2)),2), 2)</f>
        <v>0</v>
      </c>
      <c r="T366">
        <f>Source!Y337</f>
        <v>0</v>
      </c>
      <c r="U366">
        <f>ROUND((175/100)*ROUND((ROUND((Source!AE337*Source!AV337*Source!I337),2)),2), 2)</f>
        <v>0</v>
      </c>
      <c r="V366">
        <f>ROUND((157/100)*ROUND(ROUND((ROUND((Source!AE337*Source!AV337*Source!I337),2)*Source!BS337),2), 2), 2)</f>
        <v>0</v>
      </c>
      <c r="X366">
        <f>IF(Source!BI337&lt;=1,I366, 0)</f>
        <v>143818.76999999999</v>
      </c>
      <c r="Y366">
        <f>IF(Source!BI337=2,I366, 0)</f>
        <v>0</v>
      </c>
      <c r="Z366">
        <f>IF(Source!BI337=3,I366, 0)</f>
        <v>0</v>
      </c>
      <c r="AA366">
        <f>IF(Source!BI337=4,I366, 0)</f>
        <v>0</v>
      </c>
    </row>
    <row r="367" spans="1:27" ht="14.25" x14ac:dyDescent="0.2">
      <c r="A367" s="22"/>
      <c r="B367" s="23"/>
      <c r="C367" s="23" t="s">
        <v>974</v>
      </c>
      <c r="D367" s="25" t="s">
        <v>975</v>
      </c>
      <c r="E367" s="10">
        <f>Source!DN336</f>
        <v>187</v>
      </c>
      <c r="F367" s="27"/>
      <c r="G367" s="26"/>
      <c r="H367" s="10"/>
      <c r="I367" s="28">
        <f>SUM(Q363:Q366)</f>
        <v>50843.13</v>
      </c>
      <c r="J367" s="10">
        <f>Source!BZ336</f>
        <v>102</v>
      </c>
      <c r="K367" s="28">
        <f>SUM(R363:R366)</f>
        <v>680281.1</v>
      </c>
    </row>
    <row r="368" spans="1:27" ht="14.25" x14ac:dyDescent="0.2">
      <c r="A368" s="22"/>
      <c r="B368" s="23"/>
      <c r="C368" s="23" t="s">
        <v>976</v>
      </c>
      <c r="D368" s="25" t="s">
        <v>975</v>
      </c>
      <c r="E368" s="10">
        <f>Source!DO336</f>
        <v>101</v>
      </c>
      <c r="F368" s="27"/>
      <c r="G368" s="26"/>
      <c r="H368" s="10"/>
      <c r="I368" s="28">
        <f>SUM(S363:S367)</f>
        <v>27460.73</v>
      </c>
      <c r="J368" s="10">
        <f>Source!CA336</f>
        <v>47</v>
      </c>
      <c r="K368" s="28">
        <f>SUM(T363:T367)</f>
        <v>313462.86</v>
      </c>
    </row>
    <row r="369" spans="1:27" ht="14.25" x14ac:dyDescent="0.2">
      <c r="A369" s="22"/>
      <c r="B369" s="23"/>
      <c r="C369" s="23" t="s">
        <v>978</v>
      </c>
      <c r="D369" s="25" t="s">
        <v>979</v>
      </c>
      <c r="E369" s="10">
        <f>Source!AQ336</f>
        <v>40</v>
      </c>
      <c r="F369" s="27"/>
      <c r="G369" s="26" t="str">
        <f>Source!DI336</f>
        <v/>
      </c>
      <c r="H369" s="10">
        <f>Source!AV336</f>
        <v>1</v>
      </c>
      <c r="I369" s="28">
        <f>Source!U336</f>
        <v>2611.8000000000002</v>
      </c>
      <c r="J369" s="10"/>
      <c r="K369" s="28"/>
    </row>
    <row r="370" spans="1:27" ht="15" x14ac:dyDescent="0.25">
      <c r="A370" s="32"/>
      <c r="B370" s="32"/>
      <c r="C370" s="32"/>
      <c r="D370" s="32"/>
      <c r="E370" s="32"/>
      <c r="F370" s="32"/>
      <c r="G370" s="32"/>
      <c r="H370" s="101">
        <f>I365+I367+I368+SUM(I366:I366)</f>
        <v>249311.46999999997</v>
      </c>
      <c r="I370" s="101"/>
      <c r="J370" s="101">
        <f>K365+K367+K368+SUM(K366:K366)</f>
        <v>2618519.2199999997</v>
      </c>
      <c r="K370" s="101"/>
      <c r="O370" s="31">
        <f>I365+I367+I368+SUM(I366:I366)</f>
        <v>249311.46999999997</v>
      </c>
      <c r="P370" s="31">
        <f>K365+K367+K368+SUM(K366:K366)</f>
        <v>2618519.2199999997</v>
      </c>
      <c r="X370">
        <f>IF(Source!BI336&lt;=1,I365+I367+I368-0, 0)</f>
        <v>105492.7</v>
      </c>
      <c r="Y370">
        <f>IF(Source!BI336=2,I365+I367+I368-0, 0)</f>
        <v>0</v>
      </c>
      <c r="Z370">
        <f>IF(Source!BI336=3,I365+I367+I368-0, 0)</f>
        <v>0</v>
      </c>
      <c r="AA370">
        <f>IF(Source!BI336=4,I365+I367+I368,0)</f>
        <v>0</v>
      </c>
    </row>
    <row r="371" spans="1:27" ht="57" x14ac:dyDescent="0.2">
      <c r="A371" s="22" t="str">
        <f>Source!E338</f>
        <v>50</v>
      </c>
      <c r="B371" s="23" t="str">
        <f>Source!F338</f>
        <v>3.47-26-5</v>
      </c>
      <c r="C371" s="23" t="s">
        <v>290</v>
      </c>
      <c r="D371" s="25" t="str">
        <f>Source!H338</f>
        <v>100 м2</v>
      </c>
      <c r="E371" s="10">
        <f>Source!I338</f>
        <v>-261.18</v>
      </c>
      <c r="F371" s="27"/>
      <c r="G371" s="26"/>
      <c r="H371" s="10"/>
      <c r="I371" s="28"/>
      <c r="J371" s="10"/>
      <c r="K371" s="28"/>
      <c r="Q371">
        <f>ROUND((Source!DN338/100)*ROUND((ROUND((Source!AF338*Source!AV338*Source!I338),2)),2), 2)</f>
        <v>-27809.87</v>
      </c>
      <c r="R371">
        <f>Source!X338</f>
        <v>-372096.1</v>
      </c>
      <c r="S371">
        <f>ROUND((Source!DO338/100)*ROUND((ROUND((Source!AF338*Source!AV338*Source!I338),2)),2), 2)</f>
        <v>-15020.31</v>
      </c>
      <c r="T371">
        <f>Source!Y338</f>
        <v>-171456.05</v>
      </c>
      <c r="U371">
        <f>ROUND((175/100)*ROUND((ROUND((Source!AE338*Source!AV338*Source!I338),2)),2), 2)</f>
        <v>0</v>
      </c>
      <c r="V371">
        <f>ROUND((157/100)*ROUND(ROUND((ROUND((Source!AE338*Source!AV338*Source!I338),2)*Source!BS338),2), 2), 2)</f>
        <v>0</v>
      </c>
    </row>
    <row r="372" spans="1:27" x14ac:dyDescent="0.2">
      <c r="C372" s="29" t="str">
        <f>"Объем: "&amp;Source!I338&amp;"=-"&amp;"26118/"&amp;"100"</f>
        <v>Объем: -261,18=-26118/100</v>
      </c>
    </row>
    <row r="373" spans="1:27" ht="14.25" x14ac:dyDescent="0.2">
      <c r="A373" s="22"/>
      <c r="B373" s="23"/>
      <c r="C373" s="23" t="s">
        <v>970</v>
      </c>
      <c r="D373" s="25"/>
      <c r="E373" s="10"/>
      <c r="F373" s="27">
        <f>Source!AO338</f>
        <v>56.94</v>
      </c>
      <c r="G373" s="26" t="str">
        <f>Source!DG338</f>
        <v/>
      </c>
      <c r="H373" s="10">
        <f>Source!AV338</f>
        <v>1</v>
      </c>
      <c r="I373" s="28">
        <f>ROUND((ROUND((Source!AF338*Source!AV338*Source!I338),2)),2)</f>
        <v>-14871.59</v>
      </c>
      <c r="J373" s="10">
        <f>IF(Source!BA338&lt;&gt; 0, Source!BA338, 1)</f>
        <v>24.53</v>
      </c>
      <c r="K373" s="28">
        <f>Source!S338</f>
        <v>-364800.1</v>
      </c>
      <c r="W373">
        <f>I373</f>
        <v>-14871.59</v>
      </c>
    </row>
    <row r="374" spans="1:27" ht="14.25" x14ac:dyDescent="0.2">
      <c r="A374" s="22" t="str">
        <f>Source!E339</f>
        <v>50,1</v>
      </c>
      <c r="B374" s="23" t="str">
        <f>Source!F339</f>
        <v>1.4-6-1</v>
      </c>
      <c r="C374" s="23" t="s">
        <v>281</v>
      </c>
      <c r="D374" s="25" t="str">
        <f>Source!H339</f>
        <v>м3</v>
      </c>
      <c r="E374" s="10">
        <f>Source!I339</f>
        <v>-1305.9000000000001</v>
      </c>
      <c r="F374" s="27">
        <f>Source!AK339</f>
        <v>146.84</v>
      </c>
      <c r="G374" s="33" t="s">
        <v>3</v>
      </c>
      <c r="H374" s="10">
        <f>Source!AW339</f>
        <v>1</v>
      </c>
      <c r="I374" s="28">
        <f>ROUND((ROUND((Source!AC339*Source!AW339*Source!I339),2)),2)+(ROUND((ROUND(((Source!ET339)*Source!AV339*Source!I339),2)),2)+ROUND((ROUND(((Source!AE339-(Source!EU339))*Source!AV339*Source!I339),2)),2))+ROUND((ROUND((Source!AF339*Source!AV339*Source!I339),2)),2)</f>
        <v>-191758.36</v>
      </c>
      <c r="J374" s="10">
        <f>IF(Source!BC339&lt;&gt; 0, Source!BC339, 1)</f>
        <v>6.66</v>
      </c>
      <c r="K374" s="28">
        <f>Source!O339</f>
        <v>-1277110.68</v>
      </c>
      <c r="Q374">
        <f>ROUND((Source!DN339/100)*ROUND((ROUND((Source!AF339*Source!AV339*Source!I339),2)),2), 2)</f>
        <v>0</v>
      </c>
      <c r="R374">
        <f>Source!X339</f>
        <v>0</v>
      </c>
      <c r="S374">
        <f>ROUND((Source!DO339/100)*ROUND((ROUND((Source!AF339*Source!AV339*Source!I339),2)),2), 2)</f>
        <v>0</v>
      </c>
      <c r="T374">
        <f>Source!Y339</f>
        <v>0</v>
      </c>
      <c r="U374">
        <f>ROUND((175/100)*ROUND((ROUND((Source!AE339*Source!AV339*Source!I339),2)),2), 2)</f>
        <v>0</v>
      </c>
      <c r="V374">
        <f>ROUND((157/100)*ROUND(ROUND((ROUND((Source!AE339*Source!AV339*Source!I339),2)*Source!BS339),2), 2), 2)</f>
        <v>0</v>
      </c>
      <c r="X374">
        <f>IF(Source!BI339&lt;=1,I374, 0)</f>
        <v>-191758.36</v>
      </c>
      <c r="Y374">
        <f>IF(Source!BI339=2,I374, 0)</f>
        <v>0</v>
      </c>
      <c r="Z374">
        <f>IF(Source!BI339=3,I374, 0)</f>
        <v>0</v>
      </c>
      <c r="AA374">
        <f>IF(Source!BI339=4,I374, 0)</f>
        <v>0</v>
      </c>
    </row>
    <row r="375" spans="1:27" ht="14.25" x14ac:dyDescent="0.2">
      <c r="A375" s="22"/>
      <c r="B375" s="23"/>
      <c r="C375" s="23" t="s">
        <v>974</v>
      </c>
      <c r="D375" s="25" t="s">
        <v>975</v>
      </c>
      <c r="E375" s="10">
        <f>Source!DN338</f>
        <v>187</v>
      </c>
      <c r="F375" s="27"/>
      <c r="G375" s="26"/>
      <c r="H375" s="10"/>
      <c r="I375" s="28">
        <f>SUM(Q371:Q374)</f>
        <v>-27809.87</v>
      </c>
      <c r="J375" s="10">
        <f>Source!BZ338</f>
        <v>102</v>
      </c>
      <c r="K375" s="28">
        <f>SUM(R371:R374)</f>
        <v>-372096.1</v>
      </c>
    </row>
    <row r="376" spans="1:27" ht="14.25" x14ac:dyDescent="0.2">
      <c r="A376" s="22"/>
      <c r="B376" s="23"/>
      <c r="C376" s="23" t="s">
        <v>976</v>
      </c>
      <c r="D376" s="25" t="s">
        <v>975</v>
      </c>
      <c r="E376" s="10">
        <f>Source!DO338</f>
        <v>101</v>
      </c>
      <c r="F376" s="27"/>
      <c r="G376" s="26"/>
      <c r="H376" s="10"/>
      <c r="I376" s="28">
        <f>SUM(S371:S375)</f>
        <v>-15020.31</v>
      </c>
      <c r="J376" s="10">
        <f>Source!CA338</f>
        <v>47</v>
      </c>
      <c r="K376" s="28">
        <f>SUM(T371:T375)</f>
        <v>-171456.05</v>
      </c>
    </row>
    <row r="377" spans="1:27" ht="14.25" x14ac:dyDescent="0.2">
      <c r="A377" s="22"/>
      <c r="B377" s="23"/>
      <c r="C377" s="23" t="s">
        <v>978</v>
      </c>
      <c r="D377" s="25" t="s">
        <v>979</v>
      </c>
      <c r="E377" s="10">
        <f>Source!AQ338</f>
        <v>5.47</v>
      </c>
      <c r="F377" s="27"/>
      <c r="G377" s="26" t="str">
        <f>Source!DI338</f>
        <v/>
      </c>
      <c r="H377" s="10">
        <f>Source!AV338</f>
        <v>1</v>
      </c>
      <c r="I377" s="28">
        <f>Source!U338</f>
        <v>-1428.6546000000001</v>
      </c>
      <c r="J377" s="10"/>
      <c r="K377" s="28"/>
    </row>
    <row r="378" spans="1:27" ht="15" x14ac:dyDescent="0.25">
      <c r="A378" s="32"/>
      <c r="B378" s="32"/>
      <c r="C378" s="32"/>
      <c r="D378" s="32"/>
      <c r="E378" s="32"/>
      <c r="F378" s="32"/>
      <c r="G378" s="32"/>
      <c r="H378" s="101">
        <f>I373+I375+I376+SUM(I374:I374)</f>
        <v>-249460.12999999998</v>
      </c>
      <c r="I378" s="101"/>
      <c r="J378" s="101">
        <f>K373+K375+K376+SUM(K374:K374)</f>
        <v>-2185462.9299999997</v>
      </c>
      <c r="K378" s="101"/>
      <c r="O378" s="31">
        <f>I373+I375+I376+SUM(I374:I374)</f>
        <v>-249460.12999999998</v>
      </c>
      <c r="P378" s="31">
        <f>K373+K375+K376+SUM(K374:K374)</f>
        <v>-2185462.9299999997</v>
      </c>
      <c r="X378">
        <f>IF(Source!BI338&lt;=1,I373+I375+I376-0, 0)</f>
        <v>-57701.77</v>
      </c>
      <c r="Y378">
        <f>IF(Source!BI338=2,I373+I375+I376-0, 0)</f>
        <v>0</v>
      </c>
      <c r="Z378">
        <f>IF(Source!BI338=3,I373+I375+I376-0, 0)</f>
        <v>0</v>
      </c>
      <c r="AA378">
        <f>IF(Source!BI338=4,I373+I375+I376,0)</f>
        <v>0</v>
      </c>
    </row>
    <row r="379" spans="1:27" ht="42.75" x14ac:dyDescent="0.2">
      <c r="A379" s="22" t="str">
        <f>Source!E340</f>
        <v>51</v>
      </c>
      <c r="B379" s="23" t="str">
        <f>Source!F340</f>
        <v>3.47-26-6</v>
      </c>
      <c r="C379" s="23" t="s">
        <v>295</v>
      </c>
      <c r="D379" s="25" t="str">
        <f>Source!H340</f>
        <v>100 м2</v>
      </c>
      <c r="E379" s="10">
        <f>Source!I340</f>
        <v>261.18</v>
      </c>
      <c r="F379" s="27"/>
      <c r="G379" s="26"/>
      <c r="H379" s="10"/>
      <c r="I379" s="28"/>
      <c r="J379" s="10"/>
      <c r="K379" s="28"/>
      <c r="Q379">
        <f>ROUND((Source!DN340/100)*ROUND((ROUND((Source!AF340*Source!AV340*Source!I340),2)),2), 2)</f>
        <v>28669.47</v>
      </c>
      <c r="R379">
        <f>Source!X340</f>
        <v>383597.57</v>
      </c>
      <c r="S379">
        <f>ROUND((Source!DO340/100)*ROUND((ROUND((Source!AF340*Source!AV340*Source!I340),2)),2), 2)</f>
        <v>15484.58</v>
      </c>
      <c r="T379">
        <f>Source!Y340</f>
        <v>176755.74</v>
      </c>
      <c r="U379">
        <f>ROUND((175/100)*ROUND((ROUND((Source!AE340*Source!AV340*Source!I340),2)),2), 2)</f>
        <v>0</v>
      </c>
      <c r="V379">
        <f>ROUND((157/100)*ROUND(ROUND((ROUND((Source!AE340*Source!AV340*Source!I340),2)*Source!BS340),2), 2), 2)</f>
        <v>0</v>
      </c>
    </row>
    <row r="380" spans="1:27" x14ac:dyDescent="0.2">
      <c r="C380" s="29" t="str">
        <f>"Объем: "&amp;Source!I340&amp;"=26118/"&amp;"100"</f>
        <v>Объем: 261,18=26118/100</v>
      </c>
    </row>
    <row r="381" spans="1:27" ht="14.25" x14ac:dyDescent="0.2">
      <c r="A381" s="22"/>
      <c r="B381" s="23"/>
      <c r="C381" s="23" t="s">
        <v>970</v>
      </c>
      <c r="D381" s="25"/>
      <c r="E381" s="10"/>
      <c r="F381" s="27">
        <f>Source!AO340</f>
        <v>58.7</v>
      </c>
      <c r="G381" s="26" t="str">
        <f>Source!DG340</f>
        <v/>
      </c>
      <c r="H381" s="10">
        <f>Source!AV340</f>
        <v>1</v>
      </c>
      <c r="I381" s="28">
        <f>ROUND((ROUND((Source!AF340*Source!AV340*Source!I340),2)),2)</f>
        <v>15331.27</v>
      </c>
      <c r="J381" s="10">
        <f>IF(Source!BA340&lt;&gt; 0, Source!BA340, 1)</f>
        <v>24.53</v>
      </c>
      <c r="K381" s="28">
        <f>Source!S340</f>
        <v>376076.05</v>
      </c>
      <c r="W381">
        <f>I381</f>
        <v>15331.27</v>
      </c>
    </row>
    <row r="382" spans="1:27" ht="14.25" x14ac:dyDescent="0.2">
      <c r="A382" s="22"/>
      <c r="B382" s="23"/>
      <c r="C382" s="23" t="s">
        <v>973</v>
      </c>
      <c r="D382" s="25"/>
      <c r="E382" s="10"/>
      <c r="F382" s="27">
        <f>Source!AL340</f>
        <v>70.7</v>
      </c>
      <c r="G382" s="26" t="str">
        <f>Source!DD340</f>
        <v/>
      </c>
      <c r="H382" s="10">
        <f>Source!AW340</f>
        <v>1</v>
      </c>
      <c r="I382" s="28">
        <f>ROUND((ROUND((Source!AC340*Source!AW340*Source!I340),2)),2)</f>
        <v>18465.43</v>
      </c>
      <c r="J382" s="10">
        <f>IF(Source!BC340&lt;&gt; 0, Source!BC340, 1)</f>
        <v>4.99</v>
      </c>
      <c r="K382" s="28">
        <f>Source!P340</f>
        <v>92142.5</v>
      </c>
    </row>
    <row r="383" spans="1:27" ht="28.5" x14ac:dyDescent="0.2">
      <c r="A383" s="22" t="str">
        <f>Source!E341</f>
        <v>51,1</v>
      </c>
      <c r="B383" s="23" t="str">
        <f>Source!F341</f>
        <v>1.4-6-6</v>
      </c>
      <c r="C383" s="23" t="s">
        <v>299</v>
      </c>
      <c r="D383" s="25" t="str">
        <f>Source!H341</f>
        <v>кг</v>
      </c>
      <c r="E383" s="10">
        <f>Source!I341</f>
        <v>1044.72</v>
      </c>
      <c r="F383" s="27">
        <f>Source!AK341</f>
        <v>57.93</v>
      </c>
      <c r="G383" s="33" t="s">
        <v>3</v>
      </c>
      <c r="H383" s="10">
        <f>Source!AW341</f>
        <v>1</v>
      </c>
      <c r="I383" s="28">
        <f>ROUND((ROUND((Source!AC341*Source!AW341*Source!I341),2)),2)+(ROUND((ROUND(((Source!ET341)*Source!AV341*Source!I341),2)),2)+ROUND((ROUND(((Source!AE341-(Source!EU341))*Source!AV341*Source!I341),2)),2))+ROUND((ROUND((Source!AF341*Source!AV341*Source!I341),2)),2)</f>
        <v>60520.63</v>
      </c>
      <c r="J383" s="10">
        <f>IF(Source!BC341&lt;&gt; 0, Source!BC341, 1)</f>
        <v>1.84</v>
      </c>
      <c r="K383" s="28">
        <f>Source!O341</f>
        <v>111357.96</v>
      </c>
      <c r="Q383">
        <f>ROUND((Source!DN341/100)*ROUND((ROUND((Source!AF341*Source!AV341*Source!I341),2)),2), 2)</f>
        <v>0</v>
      </c>
      <c r="R383">
        <f>Source!X341</f>
        <v>0</v>
      </c>
      <c r="S383">
        <f>ROUND((Source!DO341/100)*ROUND((ROUND((Source!AF341*Source!AV341*Source!I341),2)),2), 2)</f>
        <v>0</v>
      </c>
      <c r="T383">
        <f>Source!Y341</f>
        <v>0</v>
      </c>
      <c r="U383">
        <f>ROUND((175/100)*ROUND((ROUND((Source!AE341*Source!AV341*Source!I341),2)),2), 2)</f>
        <v>0</v>
      </c>
      <c r="V383">
        <f>ROUND((157/100)*ROUND(ROUND((ROUND((Source!AE341*Source!AV341*Source!I341),2)*Source!BS341),2), 2), 2)</f>
        <v>0</v>
      </c>
      <c r="X383">
        <f>IF(Source!BI341&lt;=1,I383, 0)</f>
        <v>60520.63</v>
      </c>
      <c r="Y383">
        <f>IF(Source!BI341=2,I383, 0)</f>
        <v>0</v>
      </c>
      <c r="Z383">
        <f>IF(Source!BI341=3,I383, 0)</f>
        <v>0</v>
      </c>
      <c r="AA383">
        <f>IF(Source!BI341=4,I383, 0)</f>
        <v>0</v>
      </c>
    </row>
    <row r="384" spans="1:27" ht="14.25" x14ac:dyDescent="0.2">
      <c r="A384" s="22"/>
      <c r="B384" s="23"/>
      <c r="C384" s="23" t="s">
        <v>974</v>
      </c>
      <c r="D384" s="25" t="s">
        <v>975</v>
      </c>
      <c r="E384" s="10">
        <f>Source!DN340</f>
        <v>187</v>
      </c>
      <c r="F384" s="27"/>
      <c r="G384" s="26"/>
      <c r="H384" s="10"/>
      <c r="I384" s="28">
        <f>SUM(Q379:Q383)</f>
        <v>28669.47</v>
      </c>
      <c r="J384" s="10">
        <f>Source!BZ340</f>
        <v>102</v>
      </c>
      <c r="K384" s="28">
        <f>SUM(R379:R383)</f>
        <v>383597.57</v>
      </c>
    </row>
    <row r="385" spans="1:27" ht="14.25" x14ac:dyDescent="0.2">
      <c r="A385" s="22"/>
      <c r="B385" s="23"/>
      <c r="C385" s="23" t="s">
        <v>976</v>
      </c>
      <c r="D385" s="25" t="s">
        <v>975</v>
      </c>
      <c r="E385" s="10">
        <f>Source!DO340</f>
        <v>101</v>
      </c>
      <c r="F385" s="27"/>
      <c r="G385" s="26"/>
      <c r="H385" s="10"/>
      <c r="I385" s="28">
        <f>SUM(S379:S384)</f>
        <v>15484.58</v>
      </c>
      <c r="J385" s="10">
        <f>Source!CA340</f>
        <v>47</v>
      </c>
      <c r="K385" s="28">
        <f>SUM(T379:T384)</f>
        <v>176755.74</v>
      </c>
    </row>
    <row r="386" spans="1:27" ht="14.25" x14ac:dyDescent="0.2">
      <c r="A386" s="22"/>
      <c r="B386" s="23"/>
      <c r="C386" s="23" t="s">
        <v>978</v>
      </c>
      <c r="D386" s="25" t="s">
        <v>979</v>
      </c>
      <c r="E386" s="10">
        <f>Source!AQ340</f>
        <v>5.25</v>
      </c>
      <c r="F386" s="27"/>
      <c r="G386" s="26" t="str">
        <f>Source!DI340</f>
        <v/>
      </c>
      <c r="H386" s="10">
        <f>Source!AV340</f>
        <v>1</v>
      </c>
      <c r="I386" s="28">
        <f>Source!U340</f>
        <v>1371.1949999999999</v>
      </c>
      <c r="J386" s="10"/>
      <c r="K386" s="28"/>
    </row>
    <row r="387" spans="1:27" ht="15" x14ac:dyDescent="0.25">
      <c r="A387" s="32"/>
      <c r="B387" s="32"/>
      <c r="C387" s="32"/>
      <c r="D387" s="32"/>
      <c r="E387" s="32"/>
      <c r="F387" s="32"/>
      <c r="G387" s="32"/>
      <c r="H387" s="101">
        <f>I381+I382+I384+I385+SUM(I383:I383)</f>
        <v>138471.38</v>
      </c>
      <c r="I387" s="101"/>
      <c r="J387" s="101">
        <f>K381+K382+K384+K385+SUM(K383:K383)</f>
        <v>1139929.82</v>
      </c>
      <c r="K387" s="101"/>
      <c r="O387" s="31">
        <f>I381+I382+I384+I385+SUM(I383:I383)</f>
        <v>138471.38</v>
      </c>
      <c r="P387" s="31">
        <f>K381+K382+K384+K385+SUM(K383:K383)</f>
        <v>1139929.82</v>
      </c>
      <c r="X387">
        <f>IF(Source!BI340&lt;=1,I381+I382+I384+I385-0, 0)</f>
        <v>77950.75</v>
      </c>
      <c r="Y387">
        <f>IF(Source!BI340=2,I381+I382+I384+I385-0, 0)</f>
        <v>0</v>
      </c>
      <c r="Z387">
        <f>IF(Source!BI340=3,I381+I382+I384+I385-0, 0)</f>
        <v>0</v>
      </c>
      <c r="AA387">
        <f>IF(Source!BI340=4,I381+I382+I384+I385,0)</f>
        <v>0</v>
      </c>
    </row>
    <row r="389" spans="1:27" ht="15" x14ac:dyDescent="0.25">
      <c r="A389" s="100" t="str">
        <f>CONCATENATE("Итого по разделу: ",IF(Source!G343&lt;&gt;"Новый раздел", Source!G343, ""))</f>
        <v>Итого по разделу: 20.2. Газон посевной 10см</v>
      </c>
      <c r="B389" s="100"/>
      <c r="C389" s="100"/>
      <c r="D389" s="100"/>
      <c r="E389" s="100"/>
      <c r="F389" s="100"/>
      <c r="G389" s="100"/>
      <c r="H389" s="98">
        <f>SUM(O317:O388)</f>
        <v>874088.38</v>
      </c>
      <c r="I389" s="99"/>
      <c r="J389" s="98">
        <f>SUM(P317:P388)</f>
        <v>9169907.1500000004</v>
      </c>
      <c r="K389" s="99"/>
    </row>
    <row r="390" spans="1:27" hidden="1" x14ac:dyDescent="0.2">
      <c r="A390" t="s">
        <v>980</v>
      </c>
      <c r="I390">
        <f>SUM(AC317:AC389)</f>
        <v>0</v>
      </c>
      <c r="J390">
        <f>SUM(AD317:AD389)</f>
        <v>0</v>
      </c>
    </row>
    <row r="391" spans="1:27" hidden="1" x14ac:dyDescent="0.2">
      <c r="A391" t="s">
        <v>981</v>
      </c>
      <c r="I391">
        <f>SUM(AE317:AE390)</f>
        <v>0</v>
      </c>
      <c r="J391">
        <f>SUM(AF317:AF390)</f>
        <v>0</v>
      </c>
    </row>
    <row r="392" spans="1:27" ht="14.25" x14ac:dyDescent="0.2">
      <c r="C392" s="96" t="str">
        <f>Source!H372</f>
        <v>с ндс</v>
      </c>
      <c r="D392" s="96"/>
      <c r="E392" s="96"/>
      <c r="F392" s="96"/>
      <c r="G392" s="96"/>
      <c r="H392" s="96"/>
      <c r="I392" s="96"/>
      <c r="J392" s="97">
        <f>IF(Source!F372=0, "", Source!F372)</f>
        <v>11003888.58</v>
      </c>
      <c r="K392" s="97"/>
    </row>
    <row r="394" spans="1:27" ht="16.5" x14ac:dyDescent="0.25">
      <c r="A394" s="102" t="str">
        <f>CONCATENATE("Раздел: ",IF(Source!G374&lt;&gt;"Новый раздел", Source!G374, ""))</f>
        <v>Раздел: 21.1. Посадка кустарников (h=0,7 м)</v>
      </c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</row>
    <row r="395" spans="1:27" ht="57" x14ac:dyDescent="0.2">
      <c r="A395" s="22" t="str">
        <f>Source!E378</f>
        <v>52</v>
      </c>
      <c r="B395" s="23" t="str">
        <f>Source!F378</f>
        <v>3.1-6-10</v>
      </c>
      <c r="C395" s="23" t="s">
        <v>203</v>
      </c>
      <c r="D395" s="25" t="str">
        <f>Source!H378</f>
        <v>100 м3 грунта</v>
      </c>
      <c r="E395" s="10">
        <f>Source!I378</f>
        <v>6.9678000000000004</v>
      </c>
      <c r="F395" s="27"/>
      <c r="G395" s="26"/>
      <c r="H395" s="10"/>
      <c r="I395" s="28"/>
      <c r="J395" s="10"/>
      <c r="K395" s="28"/>
      <c r="Q395">
        <f>ROUND((Source!DN378/100)*ROUND((ROUND((Source!AF378*Source!AV378*Source!I378),2)),2), 2)</f>
        <v>96.29</v>
      </c>
      <c r="R395">
        <f>Source!X378</f>
        <v>2217.2600000000002</v>
      </c>
      <c r="S395">
        <f>ROUND((Source!DO378/100)*ROUND((ROUND((Source!AF378*Source!AV378*Source!I378),2)),2), 2)</f>
        <v>75.650000000000006</v>
      </c>
      <c r="T395">
        <f>Source!Y378</f>
        <v>1205.04</v>
      </c>
      <c r="U395">
        <f>ROUND((175/100)*ROUND((ROUND((Source!AE378*Source!AV378*Source!I378),2)),2), 2)</f>
        <v>1712.97</v>
      </c>
      <c r="V395">
        <f>ROUND((157/100)*ROUND(ROUND((ROUND((Source!AE378*Source!AV378*Source!I378),2)*Source!BS378),2), 2), 2)</f>
        <v>37697.19</v>
      </c>
    </row>
    <row r="396" spans="1:27" x14ac:dyDescent="0.2">
      <c r="C396" s="29" t="str">
        <f>"Объем: "&amp;Source!I378&amp;"=2765*"&amp;"0,28*"&amp;"0,9/"&amp;"100"</f>
        <v>Объем: 6,9678=2765*0,28*0,9/100</v>
      </c>
    </row>
    <row r="397" spans="1:27" ht="14.25" x14ac:dyDescent="0.2">
      <c r="A397" s="22"/>
      <c r="B397" s="23"/>
      <c r="C397" s="23" t="s">
        <v>970</v>
      </c>
      <c r="D397" s="25"/>
      <c r="E397" s="10"/>
      <c r="F397" s="27">
        <f>Source!AO378</f>
        <v>14.1</v>
      </c>
      <c r="G397" s="26" t="str">
        <f>Source!DG378</f>
        <v/>
      </c>
      <c r="H397" s="10">
        <f>Source!AV378</f>
        <v>1</v>
      </c>
      <c r="I397" s="28">
        <f>ROUND((ROUND((Source!AF378*Source!AV378*Source!I378),2)),2)</f>
        <v>98.25</v>
      </c>
      <c r="J397" s="10">
        <f>IF(Source!BA378&lt;&gt; 0, Source!BA378, 1)</f>
        <v>24.53</v>
      </c>
      <c r="K397" s="28">
        <f>Source!S378</f>
        <v>2410.0700000000002</v>
      </c>
      <c r="W397">
        <f>I397</f>
        <v>98.25</v>
      </c>
    </row>
    <row r="398" spans="1:27" ht="14.25" x14ac:dyDescent="0.2">
      <c r="A398" s="22"/>
      <c r="B398" s="23"/>
      <c r="C398" s="23" t="s">
        <v>971</v>
      </c>
      <c r="D398" s="25"/>
      <c r="E398" s="10"/>
      <c r="F398" s="27">
        <f>Source!AM378</f>
        <v>757.55</v>
      </c>
      <c r="G398" s="26" t="str">
        <f>Source!DE378</f>
        <v/>
      </c>
      <c r="H398" s="10">
        <f>Source!AV378</f>
        <v>1</v>
      </c>
      <c r="I398" s="28">
        <f>(ROUND((ROUND(((Source!ET378)*Source!AV378*Source!I378),2)),2)+ROUND((ROUND(((Source!AE378-(Source!EU378))*Source!AV378*Source!I378),2)),2))</f>
        <v>5278.46</v>
      </c>
      <c r="J398" s="10">
        <f>IF(Source!BB378&lt;&gt; 0, Source!BB378, 1)</f>
        <v>9.82</v>
      </c>
      <c r="K398" s="28">
        <f>Source!Q378</f>
        <v>51834.48</v>
      </c>
    </row>
    <row r="399" spans="1:27" ht="14.25" x14ac:dyDescent="0.2">
      <c r="A399" s="22"/>
      <c r="B399" s="23"/>
      <c r="C399" s="23" t="s">
        <v>972</v>
      </c>
      <c r="D399" s="25"/>
      <c r="E399" s="10"/>
      <c r="F399" s="27">
        <f>Source!AN378</f>
        <v>140.47999999999999</v>
      </c>
      <c r="G399" s="26" t="str">
        <f>Source!DF378</f>
        <v/>
      </c>
      <c r="H399" s="10">
        <f>Source!AV378</f>
        <v>1</v>
      </c>
      <c r="I399" s="30">
        <f>ROUND((ROUND((Source!AE378*Source!AV378*Source!I378),2)),2)</f>
        <v>978.84</v>
      </c>
      <c r="J399" s="10">
        <f>IF(Source!BS378&lt;&gt; 0, Source!BS378, 1)</f>
        <v>24.53</v>
      </c>
      <c r="K399" s="30">
        <f>Source!R378</f>
        <v>24010.95</v>
      </c>
      <c r="W399">
        <f>I399</f>
        <v>978.84</v>
      </c>
    </row>
    <row r="400" spans="1:27" ht="14.25" x14ac:dyDescent="0.2">
      <c r="A400" s="22"/>
      <c r="B400" s="23"/>
      <c r="C400" s="23" t="s">
        <v>974</v>
      </c>
      <c r="D400" s="25" t="s">
        <v>975</v>
      </c>
      <c r="E400" s="10">
        <f>Source!DN378</f>
        <v>98</v>
      </c>
      <c r="F400" s="27"/>
      <c r="G400" s="26"/>
      <c r="H400" s="10"/>
      <c r="I400" s="28">
        <f>SUM(Q395:Q399)</f>
        <v>96.29</v>
      </c>
      <c r="J400" s="10">
        <f>Source!BZ378</f>
        <v>92</v>
      </c>
      <c r="K400" s="28">
        <f>SUM(R395:R399)</f>
        <v>2217.2600000000002</v>
      </c>
    </row>
    <row r="401" spans="1:27" ht="14.25" x14ac:dyDescent="0.2">
      <c r="A401" s="22"/>
      <c r="B401" s="23"/>
      <c r="C401" s="23" t="s">
        <v>976</v>
      </c>
      <c r="D401" s="25" t="s">
        <v>975</v>
      </c>
      <c r="E401" s="10">
        <f>Source!DO378</f>
        <v>77</v>
      </c>
      <c r="F401" s="27"/>
      <c r="G401" s="26"/>
      <c r="H401" s="10"/>
      <c r="I401" s="28">
        <f>SUM(S395:S400)</f>
        <v>75.650000000000006</v>
      </c>
      <c r="J401" s="10">
        <f>Source!CA378</f>
        <v>50</v>
      </c>
      <c r="K401" s="28">
        <f>SUM(T395:T400)</f>
        <v>1205.04</v>
      </c>
    </row>
    <row r="402" spans="1:27" ht="14.25" x14ac:dyDescent="0.2">
      <c r="A402" s="22"/>
      <c r="B402" s="23"/>
      <c r="C402" s="23" t="s">
        <v>977</v>
      </c>
      <c r="D402" s="25" t="s">
        <v>975</v>
      </c>
      <c r="E402" s="10">
        <f>175</f>
        <v>175</v>
      </c>
      <c r="F402" s="27"/>
      <c r="G402" s="26"/>
      <c r="H402" s="10"/>
      <c r="I402" s="28">
        <f>SUM(U395:U401)</f>
        <v>1712.97</v>
      </c>
      <c r="J402" s="10">
        <f>157</f>
        <v>157</v>
      </c>
      <c r="K402" s="28">
        <f>SUM(V395:V401)</f>
        <v>37697.19</v>
      </c>
    </row>
    <row r="403" spans="1:27" ht="14.25" x14ac:dyDescent="0.2">
      <c r="A403" s="22"/>
      <c r="B403" s="23"/>
      <c r="C403" s="23" t="s">
        <v>978</v>
      </c>
      <c r="D403" s="25" t="s">
        <v>979</v>
      </c>
      <c r="E403" s="10">
        <f>Source!AQ378</f>
        <v>1.38</v>
      </c>
      <c r="F403" s="27"/>
      <c r="G403" s="26" t="str">
        <f>Source!DI378</f>
        <v/>
      </c>
      <c r="H403" s="10">
        <f>Source!AV378</f>
        <v>1</v>
      </c>
      <c r="I403" s="28">
        <f>Source!U378</f>
        <v>9.6155639999999991</v>
      </c>
      <c r="J403" s="10"/>
      <c r="K403" s="28"/>
    </row>
    <row r="404" spans="1:27" ht="15" x14ac:dyDescent="0.25">
      <c r="A404" s="32"/>
      <c r="B404" s="32"/>
      <c r="C404" s="32"/>
      <c r="D404" s="32"/>
      <c r="E404" s="32"/>
      <c r="F404" s="32"/>
      <c r="G404" s="32"/>
      <c r="H404" s="101">
        <f>I397+I398+I400+I401+I402</f>
        <v>7261.62</v>
      </c>
      <c r="I404" s="101"/>
      <c r="J404" s="101">
        <f>K397+K398+K400+K401+K402</f>
        <v>95364.040000000008</v>
      </c>
      <c r="K404" s="101"/>
      <c r="O404" s="31">
        <f>I397+I398+I400+I401+I402</f>
        <v>7261.62</v>
      </c>
      <c r="P404" s="31">
        <f>K397+K398+K400+K401+K402</f>
        <v>95364.040000000008</v>
      </c>
      <c r="X404">
        <f>IF(Source!BI378&lt;=1,I397+I398+I400+I401+I402-0, 0)</f>
        <v>7261.62</v>
      </c>
      <c r="Y404">
        <f>IF(Source!BI378=2,I397+I398+I400+I401+I402-0, 0)</f>
        <v>0</v>
      </c>
      <c r="Z404">
        <f>IF(Source!BI378=3,I397+I398+I400+I401+I402-0, 0)</f>
        <v>0</v>
      </c>
      <c r="AA404">
        <f>IF(Source!BI378=4,I397+I398+I400+I401+I402,0)</f>
        <v>0</v>
      </c>
    </row>
    <row r="405" spans="1:27" ht="28.5" x14ac:dyDescent="0.2">
      <c r="A405" s="22" t="str">
        <f>Source!E379</f>
        <v>53</v>
      </c>
      <c r="B405" s="23" t="str">
        <f>Source!F379</f>
        <v>6.51-6-1</v>
      </c>
      <c r="C405" s="23" t="s">
        <v>216</v>
      </c>
      <c r="D405" s="25" t="str">
        <f>Source!H379</f>
        <v>100 м3 грунта</v>
      </c>
      <c r="E405" s="10">
        <f>Source!I379</f>
        <v>0.7742</v>
      </c>
      <c r="F405" s="27"/>
      <c r="G405" s="26"/>
      <c r="H405" s="10"/>
      <c r="I405" s="28"/>
      <c r="J405" s="10"/>
      <c r="K405" s="28"/>
      <c r="Q405">
        <f>ROUND((Source!DN379/100)*ROUND((ROUND((Source!AF379*Source!AV379*Source!I379),2)),2), 2)</f>
        <v>560.20000000000005</v>
      </c>
      <c r="R405">
        <f>Source!X379</f>
        <v>11023.49</v>
      </c>
      <c r="S405">
        <f>ROUND((Source!DO379/100)*ROUND((ROUND((Source!AF379*Source!AV379*Source!I379),2)),2), 2)</f>
        <v>412.45</v>
      </c>
      <c r="T405">
        <f>Source!Y379</f>
        <v>6191.27</v>
      </c>
      <c r="U405">
        <f>ROUND((175/100)*ROUND((ROUND((Source!AE379*Source!AV379*Source!I379),2)),2), 2)</f>
        <v>0</v>
      </c>
      <c r="V405">
        <f>ROUND((157/100)*ROUND(ROUND((ROUND((Source!AE379*Source!AV379*Source!I379),2)*Source!BS379),2), 2), 2)</f>
        <v>0</v>
      </c>
    </row>
    <row r="406" spans="1:27" x14ac:dyDescent="0.2">
      <c r="C406" s="29" t="str">
        <f>"Объем: "&amp;Source!I379&amp;"=0,28*"&amp;"2765*"&amp;"0,1/"&amp;"100"</f>
        <v>Объем: 0,7742=0,28*2765*0,1/100</v>
      </c>
    </row>
    <row r="407" spans="1:27" ht="14.25" x14ac:dyDescent="0.2">
      <c r="A407" s="22"/>
      <c r="B407" s="23"/>
      <c r="C407" s="23" t="s">
        <v>970</v>
      </c>
      <c r="D407" s="25"/>
      <c r="E407" s="10"/>
      <c r="F407" s="27">
        <f>Source!AO379</f>
        <v>795.14</v>
      </c>
      <c r="G407" s="26" t="str">
        <f>Source!DG379</f>
        <v/>
      </c>
      <c r="H407" s="10">
        <f>Source!AV379</f>
        <v>1</v>
      </c>
      <c r="I407" s="28">
        <f>ROUND((ROUND((Source!AF379*Source!AV379*Source!I379),2)),2)</f>
        <v>615.6</v>
      </c>
      <c r="J407" s="10">
        <f>IF(Source!BA379&lt;&gt; 0, Source!BA379, 1)</f>
        <v>24.53</v>
      </c>
      <c r="K407" s="28">
        <f>Source!S379</f>
        <v>15100.67</v>
      </c>
      <c r="W407">
        <f>I407</f>
        <v>615.6</v>
      </c>
    </row>
    <row r="408" spans="1:27" ht="14.25" x14ac:dyDescent="0.2">
      <c r="A408" s="22"/>
      <c r="B408" s="23"/>
      <c r="C408" s="23" t="s">
        <v>974</v>
      </c>
      <c r="D408" s="25" t="s">
        <v>975</v>
      </c>
      <c r="E408" s="10">
        <f>Source!DN379</f>
        <v>91</v>
      </c>
      <c r="F408" s="27"/>
      <c r="G408" s="26"/>
      <c r="H408" s="10"/>
      <c r="I408" s="28">
        <f>SUM(Q405:Q407)</f>
        <v>560.20000000000005</v>
      </c>
      <c r="J408" s="10">
        <f>Source!BZ379</f>
        <v>73</v>
      </c>
      <c r="K408" s="28">
        <f>SUM(R405:R407)</f>
        <v>11023.49</v>
      </c>
    </row>
    <row r="409" spans="1:27" ht="14.25" x14ac:dyDescent="0.2">
      <c r="A409" s="22"/>
      <c r="B409" s="23"/>
      <c r="C409" s="23" t="s">
        <v>976</v>
      </c>
      <c r="D409" s="25" t="s">
        <v>975</v>
      </c>
      <c r="E409" s="10">
        <f>Source!DO379</f>
        <v>67</v>
      </c>
      <c r="F409" s="27"/>
      <c r="G409" s="26"/>
      <c r="H409" s="10"/>
      <c r="I409" s="28">
        <f>SUM(S405:S408)</f>
        <v>412.45</v>
      </c>
      <c r="J409" s="10">
        <f>Source!CA379</f>
        <v>41</v>
      </c>
      <c r="K409" s="28">
        <f>SUM(T405:T408)</f>
        <v>6191.27</v>
      </c>
    </row>
    <row r="410" spans="1:27" ht="14.25" x14ac:dyDescent="0.2">
      <c r="A410" s="22"/>
      <c r="B410" s="23"/>
      <c r="C410" s="23" t="s">
        <v>978</v>
      </c>
      <c r="D410" s="25" t="s">
        <v>979</v>
      </c>
      <c r="E410" s="10">
        <f>Source!AQ379</f>
        <v>83</v>
      </c>
      <c r="F410" s="27"/>
      <c r="G410" s="26" t="str">
        <f>Source!DI379</f>
        <v/>
      </c>
      <c r="H410" s="10">
        <f>Source!AV379</f>
        <v>1</v>
      </c>
      <c r="I410" s="28">
        <f>Source!U379</f>
        <v>64.258600000000001</v>
      </c>
      <c r="J410" s="10"/>
      <c r="K410" s="28"/>
    </row>
    <row r="411" spans="1:27" ht="15" x14ac:dyDescent="0.25">
      <c r="A411" s="32"/>
      <c r="B411" s="32"/>
      <c r="C411" s="32"/>
      <c r="D411" s="32"/>
      <c r="E411" s="32"/>
      <c r="F411" s="32"/>
      <c r="G411" s="32"/>
      <c r="H411" s="101">
        <f>I407+I408+I409</f>
        <v>1588.2500000000002</v>
      </c>
      <c r="I411" s="101"/>
      <c r="J411" s="101">
        <f>K407+K408+K409</f>
        <v>32315.43</v>
      </c>
      <c r="K411" s="101"/>
      <c r="O411" s="31">
        <f>I407+I408+I409</f>
        <v>1588.2500000000002</v>
      </c>
      <c r="P411" s="31">
        <f>K407+K408+K409</f>
        <v>32315.43</v>
      </c>
      <c r="X411">
        <f>IF(Source!BI379&lt;=1,I407+I408+I409-0, 0)</f>
        <v>1588.2500000000002</v>
      </c>
      <c r="Y411">
        <f>IF(Source!BI379=2,I407+I408+I409-0, 0)</f>
        <v>0</v>
      </c>
      <c r="Z411">
        <f>IF(Source!BI379=3,I407+I408+I409-0, 0)</f>
        <v>0</v>
      </c>
      <c r="AA411">
        <f>IF(Source!BI379=4,I407+I408+I409,0)</f>
        <v>0</v>
      </c>
    </row>
    <row r="412" spans="1:27" ht="85.5" x14ac:dyDescent="0.2">
      <c r="A412" s="22" t="str">
        <f>Source!E382</f>
        <v>56</v>
      </c>
      <c r="B412" s="23" t="str">
        <f>Source!F382</f>
        <v>3.47-2-10</v>
      </c>
      <c r="C412" s="23" t="s">
        <v>309</v>
      </c>
      <c r="D412" s="25" t="str">
        <f>Source!H382</f>
        <v>10 ям</v>
      </c>
      <c r="E412" s="10">
        <f>Source!I382</f>
        <v>110.6</v>
      </c>
      <c r="F412" s="27"/>
      <c r="G412" s="26"/>
      <c r="H412" s="10"/>
      <c r="I412" s="28"/>
      <c r="J412" s="10"/>
      <c r="K412" s="28"/>
      <c r="Q412">
        <f>ROUND((Source!DN382/100)*ROUND((ROUND((Source!AF382*Source!AV382*Source!I382),2)),2), 2)</f>
        <v>20078.28</v>
      </c>
      <c r="R412">
        <f>Source!X382</f>
        <v>268647.44</v>
      </c>
      <c r="S412">
        <f>ROUND((Source!DO382/100)*ROUND((ROUND((Source!AF382*Source!AV382*Source!I382),2)),2), 2)</f>
        <v>10844.42</v>
      </c>
      <c r="T412">
        <f>Source!Y382</f>
        <v>123788.52</v>
      </c>
      <c r="U412">
        <f>ROUND((175/100)*ROUND((ROUND((Source!AE382*Source!AV382*Source!I382),2)),2), 2)</f>
        <v>820.65</v>
      </c>
      <c r="V412">
        <f>ROUND((157/100)*ROUND(ROUND((ROUND((Source!AE382*Source!AV382*Source!I382),2)*Source!BS382),2), 2), 2)</f>
        <v>18059.87</v>
      </c>
    </row>
    <row r="413" spans="1:27" x14ac:dyDescent="0.2">
      <c r="C413" s="29" t="str">
        <f>"Объем: "&amp;Source!I382&amp;"=2765*"&amp;"0,4/"&amp;"10"</f>
        <v>Объем: 110,6=2765*0,4/10</v>
      </c>
    </row>
    <row r="414" spans="1:27" ht="14.25" x14ac:dyDescent="0.2">
      <c r="A414" s="22"/>
      <c r="B414" s="23"/>
      <c r="C414" s="23" t="s">
        <v>970</v>
      </c>
      <c r="D414" s="25"/>
      <c r="E414" s="10"/>
      <c r="F414" s="27">
        <f>Source!AO382</f>
        <v>97.08</v>
      </c>
      <c r="G414" s="26" t="str">
        <f>Source!DG382</f>
        <v/>
      </c>
      <c r="H414" s="10">
        <f>Source!AV382</f>
        <v>1</v>
      </c>
      <c r="I414" s="28">
        <f>ROUND((ROUND((Source!AF382*Source!AV382*Source!I382),2)),2)</f>
        <v>10737.05</v>
      </c>
      <c r="J414" s="10">
        <f>IF(Source!BA382&lt;&gt; 0, Source!BA382, 1)</f>
        <v>24.53</v>
      </c>
      <c r="K414" s="28">
        <f>Source!S382</f>
        <v>263379.84000000003</v>
      </c>
      <c r="W414">
        <f>I414</f>
        <v>10737.05</v>
      </c>
    </row>
    <row r="415" spans="1:27" ht="14.25" x14ac:dyDescent="0.2">
      <c r="A415" s="22"/>
      <c r="B415" s="23"/>
      <c r="C415" s="23" t="s">
        <v>971</v>
      </c>
      <c r="D415" s="25"/>
      <c r="E415" s="10"/>
      <c r="F415" s="27">
        <f>Source!AM382</f>
        <v>20.57</v>
      </c>
      <c r="G415" s="26" t="str">
        <f>Source!DE382</f>
        <v/>
      </c>
      <c r="H415" s="10">
        <f>Source!AV382</f>
        <v>1</v>
      </c>
      <c r="I415" s="28">
        <f>(ROUND((ROUND(((Source!ET382)*Source!AV382*Source!I382),2)),2)+ROUND((ROUND(((Source!AE382-(Source!EU382))*Source!AV382*Source!I382),2)),2))</f>
        <v>2275.04</v>
      </c>
      <c r="J415" s="10">
        <f>IF(Source!BB382&lt;&gt; 0, Source!BB382, 1)</f>
        <v>9.24</v>
      </c>
      <c r="K415" s="28">
        <f>Source!Q382</f>
        <v>21021.37</v>
      </c>
    </row>
    <row r="416" spans="1:27" ht="14.25" x14ac:dyDescent="0.2">
      <c r="A416" s="22"/>
      <c r="B416" s="23"/>
      <c r="C416" s="23" t="s">
        <v>972</v>
      </c>
      <c r="D416" s="25"/>
      <c r="E416" s="10"/>
      <c r="F416" s="27">
        <f>Source!AN382</f>
        <v>4.24</v>
      </c>
      <c r="G416" s="26" t="str">
        <f>Source!DF382</f>
        <v/>
      </c>
      <c r="H416" s="10">
        <f>Source!AV382</f>
        <v>1</v>
      </c>
      <c r="I416" s="30">
        <f>ROUND((ROUND((Source!AE382*Source!AV382*Source!I382),2)),2)</f>
        <v>468.94</v>
      </c>
      <c r="J416" s="10">
        <f>IF(Source!BS382&lt;&gt; 0, Source!BS382, 1)</f>
        <v>24.53</v>
      </c>
      <c r="K416" s="30">
        <f>Source!R382</f>
        <v>11503.1</v>
      </c>
      <c r="W416">
        <f>I416</f>
        <v>468.94</v>
      </c>
    </row>
    <row r="417" spans="1:27" ht="14.25" x14ac:dyDescent="0.2">
      <c r="A417" s="22"/>
      <c r="B417" s="23"/>
      <c r="C417" s="23" t="s">
        <v>973</v>
      </c>
      <c r="D417" s="25"/>
      <c r="E417" s="10"/>
      <c r="F417" s="27">
        <f>Source!AL382</f>
        <v>285.24</v>
      </c>
      <c r="G417" s="26" t="str">
        <f>Source!DD382</f>
        <v/>
      </c>
      <c r="H417" s="10">
        <f>Source!AW382</f>
        <v>1</v>
      </c>
      <c r="I417" s="28">
        <f>ROUND((ROUND((Source!AC382*Source!AW382*Source!I382),2)),2)</f>
        <v>31547.54</v>
      </c>
      <c r="J417" s="10">
        <f>IF(Source!BC382&lt;&gt; 0, Source!BC382, 1)</f>
        <v>2.29</v>
      </c>
      <c r="K417" s="28">
        <f>Source!P382</f>
        <v>72243.87</v>
      </c>
    </row>
    <row r="418" spans="1:27" ht="14.25" x14ac:dyDescent="0.2">
      <c r="A418" s="22" t="str">
        <f>Source!E383</f>
        <v>56,1</v>
      </c>
      <c r="B418" s="23" t="str">
        <f>Source!F383</f>
        <v>1.4-6-1</v>
      </c>
      <c r="C418" s="23" t="s">
        <v>281</v>
      </c>
      <c r="D418" s="25" t="str">
        <f>Source!H383</f>
        <v>м3</v>
      </c>
      <c r="E418" s="10">
        <f>Source!I383</f>
        <v>221.2</v>
      </c>
      <c r="F418" s="27">
        <f>Source!AK383</f>
        <v>146.84</v>
      </c>
      <c r="G418" s="33" t="s">
        <v>3</v>
      </c>
      <c r="H418" s="10">
        <f>Source!AW383</f>
        <v>1</v>
      </c>
      <c r="I418" s="28">
        <f>ROUND((ROUND((Source!AC383*Source!AW383*Source!I383),2)),2)+(ROUND((ROUND(((Source!ET383)*Source!AV383*Source!I383),2)),2)+ROUND((ROUND(((Source!AE383-(Source!EU383))*Source!AV383*Source!I383),2)),2))+ROUND((ROUND((Source!AF383*Source!AV383*Source!I383),2)),2)</f>
        <v>32481.01</v>
      </c>
      <c r="J418" s="10">
        <f>IF(Source!BC383&lt;&gt; 0, Source!BC383, 1)</f>
        <v>6.66</v>
      </c>
      <c r="K418" s="28">
        <f>Source!O383</f>
        <v>216323.53</v>
      </c>
      <c r="Q418">
        <f>ROUND((Source!DN383/100)*ROUND((ROUND((Source!AF383*Source!AV383*Source!I383),2)),2), 2)</f>
        <v>0</v>
      </c>
      <c r="R418">
        <f>Source!X383</f>
        <v>0</v>
      </c>
      <c r="S418">
        <f>ROUND((Source!DO383/100)*ROUND((ROUND((Source!AF383*Source!AV383*Source!I383),2)),2), 2)</f>
        <v>0</v>
      </c>
      <c r="T418">
        <f>Source!Y383</f>
        <v>0</v>
      </c>
      <c r="U418">
        <f>ROUND((175/100)*ROUND((ROUND((Source!AE383*Source!AV383*Source!I383),2)),2), 2)</f>
        <v>0</v>
      </c>
      <c r="V418">
        <f>ROUND((157/100)*ROUND(ROUND((ROUND((Source!AE383*Source!AV383*Source!I383),2)*Source!BS383),2), 2), 2)</f>
        <v>0</v>
      </c>
      <c r="X418">
        <f>IF(Source!BI383&lt;=1,I418, 0)</f>
        <v>32481.01</v>
      </c>
      <c r="Y418">
        <f>IF(Source!BI383=2,I418, 0)</f>
        <v>0</v>
      </c>
      <c r="Z418">
        <f>IF(Source!BI383=3,I418, 0)</f>
        <v>0</v>
      </c>
      <c r="AA418">
        <f>IF(Source!BI383=4,I418, 0)</f>
        <v>0</v>
      </c>
    </row>
    <row r="419" spans="1:27" ht="14.25" x14ac:dyDescent="0.2">
      <c r="A419" s="22"/>
      <c r="B419" s="23"/>
      <c r="C419" s="23" t="s">
        <v>974</v>
      </c>
      <c r="D419" s="25" t="s">
        <v>975</v>
      </c>
      <c r="E419" s="10">
        <f>Source!DN382</f>
        <v>187</v>
      </c>
      <c r="F419" s="27"/>
      <c r="G419" s="26"/>
      <c r="H419" s="10"/>
      <c r="I419" s="28">
        <f>SUM(Q412:Q418)</f>
        <v>20078.28</v>
      </c>
      <c r="J419" s="10">
        <f>Source!BZ382</f>
        <v>102</v>
      </c>
      <c r="K419" s="28">
        <f>SUM(R412:R418)</f>
        <v>268647.44</v>
      </c>
    </row>
    <row r="420" spans="1:27" ht="14.25" x14ac:dyDescent="0.2">
      <c r="A420" s="22"/>
      <c r="B420" s="23"/>
      <c r="C420" s="23" t="s">
        <v>976</v>
      </c>
      <c r="D420" s="25" t="s">
        <v>975</v>
      </c>
      <c r="E420" s="10">
        <f>Source!DO382</f>
        <v>101</v>
      </c>
      <c r="F420" s="27"/>
      <c r="G420" s="26"/>
      <c r="H420" s="10"/>
      <c r="I420" s="28">
        <f>SUM(S412:S419)</f>
        <v>10844.42</v>
      </c>
      <c r="J420" s="10">
        <f>Source!CA382</f>
        <v>47</v>
      </c>
      <c r="K420" s="28">
        <f>SUM(T412:T419)</f>
        <v>123788.52</v>
      </c>
    </row>
    <row r="421" spans="1:27" ht="14.25" x14ac:dyDescent="0.2">
      <c r="A421" s="22"/>
      <c r="B421" s="23"/>
      <c r="C421" s="23" t="s">
        <v>977</v>
      </c>
      <c r="D421" s="25" t="s">
        <v>975</v>
      </c>
      <c r="E421" s="10">
        <f>175</f>
        <v>175</v>
      </c>
      <c r="F421" s="27"/>
      <c r="G421" s="26"/>
      <c r="H421" s="10"/>
      <c r="I421" s="28">
        <f>SUM(U412:U420)</f>
        <v>820.65</v>
      </c>
      <c r="J421" s="10">
        <f>157</f>
        <v>157</v>
      </c>
      <c r="K421" s="28">
        <f>SUM(V412:V420)</f>
        <v>18059.87</v>
      </c>
    </row>
    <row r="422" spans="1:27" ht="14.25" x14ac:dyDescent="0.2">
      <c r="A422" s="22"/>
      <c r="B422" s="23"/>
      <c r="C422" s="23" t="s">
        <v>978</v>
      </c>
      <c r="D422" s="25" t="s">
        <v>979</v>
      </c>
      <c r="E422" s="10">
        <f>Source!AQ382</f>
        <v>9.66</v>
      </c>
      <c r="F422" s="27"/>
      <c r="G422" s="26" t="str">
        <f>Source!DI382</f>
        <v/>
      </c>
      <c r="H422" s="10">
        <f>Source!AV382</f>
        <v>1</v>
      </c>
      <c r="I422" s="28">
        <f>Source!U382</f>
        <v>1068.396</v>
      </c>
      <c r="J422" s="10"/>
      <c r="K422" s="28"/>
    </row>
    <row r="423" spans="1:27" ht="15" x14ac:dyDescent="0.25">
      <c r="A423" s="32"/>
      <c r="B423" s="32"/>
      <c r="C423" s="32"/>
      <c r="D423" s="32"/>
      <c r="E423" s="32"/>
      <c r="F423" s="32"/>
      <c r="G423" s="32"/>
      <c r="H423" s="101">
        <f>I414+I415+I417+I419+I420+I421+SUM(I418:I418)</f>
        <v>108783.98999999999</v>
      </c>
      <c r="I423" s="101"/>
      <c r="J423" s="101">
        <f>K414+K415+K417+K419+K420+K421+SUM(K418:K418)</f>
        <v>983464.44000000006</v>
      </c>
      <c r="K423" s="101"/>
      <c r="O423" s="31">
        <f>I414+I415+I417+I419+I420+I421+SUM(I418:I418)</f>
        <v>108783.98999999999</v>
      </c>
      <c r="P423" s="31">
        <f>K414+K415+K417+K419+K420+K421+SUM(K418:K418)</f>
        <v>983464.44000000006</v>
      </c>
      <c r="X423">
        <f>IF(Source!BI382&lt;=1,I414+I415+I417+I419+I420+I421-0, 0)</f>
        <v>76302.98</v>
      </c>
      <c r="Y423">
        <f>IF(Source!BI382=2,I414+I415+I417+I419+I420+I421-0, 0)</f>
        <v>0</v>
      </c>
      <c r="Z423">
        <f>IF(Source!BI382=3,I414+I415+I417+I419+I420+I421-0, 0)</f>
        <v>0</v>
      </c>
      <c r="AA423">
        <f>IF(Source!BI382=4,I414+I415+I417+I419+I420+I421,0)</f>
        <v>0</v>
      </c>
    </row>
    <row r="424" spans="1:27" ht="57" x14ac:dyDescent="0.2">
      <c r="A424" s="22" t="str">
        <f>Source!E384</f>
        <v>57</v>
      </c>
      <c r="B424" s="23" t="str">
        <f>Source!F384</f>
        <v>3.47-4-10</v>
      </c>
      <c r="C424" s="23" t="s">
        <v>317</v>
      </c>
      <c r="D424" s="25" t="str">
        <f>Source!H384</f>
        <v>10 ям</v>
      </c>
      <c r="E424" s="10">
        <f>Source!I384</f>
        <v>165.9</v>
      </c>
      <c r="F424" s="27"/>
      <c r="G424" s="26"/>
      <c r="H424" s="10"/>
      <c r="I424" s="28"/>
      <c r="J424" s="10"/>
      <c r="K424" s="28"/>
      <c r="Q424">
        <f>ROUND((Source!DN384/100)*ROUND((ROUND((Source!AF384*Source!AV384*Source!I384),2)),2), 2)</f>
        <v>46289.87</v>
      </c>
      <c r="R424">
        <f>Source!X384</f>
        <v>619358.43000000005</v>
      </c>
      <c r="S424">
        <f>ROUND((Source!DO384/100)*ROUND((ROUND((Source!AF384*Source!AV384*Source!I384),2)),2), 2)</f>
        <v>25001.48</v>
      </c>
      <c r="T424">
        <f>Source!Y384</f>
        <v>285390.65000000002</v>
      </c>
      <c r="U424">
        <f>ROUND((175/100)*ROUND((ROUND((Source!AE384*Source!AV384*Source!I384),2)),2), 2)</f>
        <v>0</v>
      </c>
      <c r="V424">
        <f>ROUND((157/100)*ROUND(ROUND((ROUND((Source!AE384*Source!AV384*Source!I384),2)*Source!BS384),2), 2), 2)</f>
        <v>0</v>
      </c>
    </row>
    <row r="425" spans="1:27" x14ac:dyDescent="0.2">
      <c r="C425" s="29" t="str">
        <f>"Объем: "&amp;Source!I384&amp;"=2765*"&amp;"0,6/"&amp;"10"</f>
        <v>Объем: 165,9=2765*0,6/10</v>
      </c>
    </row>
    <row r="426" spans="1:27" ht="14.25" x14ac:dyDescent="0.2">
      <c r="A426" s="22"/>
      <c r="B426" s="23"/>
      <c r="C426" s="23" t="s">
        <v>970</v>
      </c>
      <c r="D426" s="25"/>
      <c r="E426" s="10"/>
      <c r="F426" s="27">
        <f>Source!AO384</f>
        <v>149.21</v>
      </c>
      <c r="G426" s="26" t="str">
        <f>Source!DG384</f>
        <v/>
      </c>
      <c r="H426" s="10">
        <f>Source!AV384</f>
        <v>1</v>
      </c>
      <c r="I426" s="28">
        <f>ROUND((ROUND((Source!AF384*Source!AV384*Source!I384),2)),2)</f>
        <v>24753.94</v>
      </c>
      <c r="J426" s="10">
        <f>IF(Source!BA384&lt;&gt; 0, Source!BA384, 1)</f>
        <v>24.53</v>
      </c>
      <c r="K426" s="28">
        <f>Source!S384</f>
        <v>607214.15</v>
      </c>
      <c r="W426">
        <f>I426</f>
        <v>24753.94</v>
      </c>
    </row>
    <row r="427" spans="1:27" ht="14.25" x14ac:dyDescent="0.2">
      <c r="A427" s="22"/>
      <c r="B427" s="23"/>
      <c r="C427" s="23" t="s">
        <v>973</v>
      </c>
      <c r="D427" s="25"/>
      <c r="E427" s="10"/>
      <c r="F427" s="27">
        <f>Source!AL384</f>
        <v>285.24</v>
      </c>
      <c r="G427" s="26" t="str">
        <f>Source!DD384</f>
        <v/>
      </c>
      <c r="H427" s="10">
        <f>Source!AW384</f>
        <v>1</v>
      </c>
      <c r="I427" s="28">
        <f>ROUND((ROUND((Source!AC384*Source!AW384*Source!I384),2)),2)</f>
        <v>47321.32</v>
      </c>
      <c r="J427" s="10">
        <f>IF(Source!BC384&lt;&gt; 0, Source!BC384, 1)</f>
        <v>2.29</v>
      </c>
      <c r="K427" s="28">
        <f>Source!P384</f>
        <v>108365.82</v>
      </c>
    </row>
    <row r="428" spans="1:27" ht="14.25" x14ac:dyDescent="0.2">
      <c r="A428" s="22" t="str">
        <f>Source!E385</f>
        <v>57,1</v>
      </c>
      <c r="B428" s="23" t="str">
        <f>Source!F385</f>
        <v>1.4-6-1</v>
      </c>
      <c r="C428" s="23" t="s">
        <v>281</v>
      </c>
      <c r="D428" s="25" t="str">
        <f>Source!H385</f>
        <v>м3</v>
      </c>
      <c r="E428" s="10">
        <f>Source!I385</f>
        <v>331.8</v>
      </c>
      <c r="F428" s="27">
        <f>Source!AK385</f>
        <v>146.84</v>
      </c>
      <c r="G428" s="33" t="s">
        <v>3</v>
      </c>
      <c r="H428" s="10">
        <f>Source!AW385</f>
        <v>1</v>
      </c>
      <c r="I428" s="28">
        <f>ROUND((ROUND((Source!AC385*Source!AW385*Source!I385),2)),2)+(ROUND((ROUND(((Source!ET385)*Source!AV385*Source!I385),2)),2)+ROUND((ROUND(((Source!AE385-(Source!EU385))*Source!AV385*Source!I385),2)),2))+ROUND((ROUND((Source!AF385*Source!AV385*Source!I385),2)),2)</f>
        <v>48721.51</v>
      </c>
      <c r="J428" s="10">
        <f>IF(Source!BC385&lt;&gt; 0, Source!BC385, 1)</f>
        <v>6.66</v>
      </c>
      <c r="K428" s="28">
        <f>Source!O385</f>
        <v>324485.26</v>
      </c>
      <c r="Q428">
        <f>ROUND((Source!DN385/100)*ROUND((ROUND((Source!AF385*Source!AV385*Source!I385),2)),2), 2)</f>
        <v>0</v>
      </c>
      <c r="R428">
        <f>Source!X385</f>
        <v>0</v>
      </c>
      <c r="S428">
        <f>ROUND((Source!DO385/100)*ROUND((ROUND((Source!AF385*Source!AV385*Source!I385),2)),2), 2)</f>
        <v>0</v>
      </c>
      <c r="T428">
        <f>Source!Y385</f>
        <v>0</v>
      </c>
      <c r="U428">
        <f>ROUND((175/100)*ROUND((ROUND((Source!AE385*Source!AV385*Source!I385),2)),2), 2)</f>
        <v>0</v>
      </c>
      <c r="V428">
        <f>ROUND((157/100)*ROUND(ROUND((ROUND((Source!AE385*Source!AV385*Source!I385),2)*Source!BS385),2), 2), 2)</f>
        <v>0</v>
      </c>
      <c r="X428">
        <f>IF(Source!BI385&lt;=1,I428, 0)</f>
        <v>48721.51</v>
      </c>
      <c r="Y428">
        <f>IF(Source!BI385=2,I428, 0)</f>
        <v>0</v>
      </c>
      <c r="Z428">
        <f>IF(Source!BI385=3,I428, 0)</f>
        <v>0</v>
      </c>
      <c r="AA428">
        <f>IF(Source!BI385=4,I428, 0)</f>
        <v>0</v>
      </c>
    </row>
    <row r="429" spans="1:27" ht="14.25" x14ac:dyDescent="0.2">
      <c r="A429" s="22"/>
      <c r="B429" s="23"/>
      <c r="C429" s="23" t="s">
        <v>974</v>
      </c>
      <c r="D429" s="25" t="s">
        <v>975</v>
      </c>
      <c r="E429" s="10">
        <f>Source!DN384</f>
        <v>187</v>
      </c>
      <c r="F429" s="27"/>
      <c r="G429" s="26"/>
      <c r="H429" s="10"/>
      <c r="I429" s="28">
        <f>SUM(Q424:Q428)</f>
        <v>46289.87</v>
      </c>
      <c r="J429" s="10">
        <f>Source!BZ384</f>
        <v>102</v>
      </c>
      <c r="K429" s="28">
        <f>SUM(R424:R428)</f>
        <v>619358.43000000005</v>
      </c>
    </row>
    <row r="430" spans="1:27" ht="14.25" x14ac:dyDescent="0.2">
      <c r="A430" s="22"/>
      <c r="B430" s="23"/>
      <c r="C430" s="23" t="s">
        <v>976</v>
      </c>
      <c r="D430" s="25" t="s">
        <v>975</v>
      </c>
      <c r="E430" s="10">
        <f>Source!DO384</f>
        <v>101</v>
      </c>
      <c r="F430" s="27"/>
      <c r="G430" s="26"/>
      <c r="H430" s="10"/>
      <c r="I430" s="28">
        <f>SUM(S424:S429)</f>
        <v>25001.48</v>
      </c>
      <c r="J430" s="10">
        <f>Source!CA384</f>
        <v>47</v>
      </c>
      <c r="K430" s="28">
        <f>SUM(T424:T429)</f>
        <v>285390.65000000002</v>
      </c>
    </row>
    <row r="431" spans="1:27" ht="14.25" x14ac:dyDescent="0.2">
      <c r="A431" s="22"/>
      <c r="B431" s="23"/>
      <c r="C431" s="23" t="s">
        <v>978</v>
      </c>
      <c r="D431" s="25" t="s">
        <v>979</v>
      </c>
      <c r="E431" s="10">
        <f>Source!AQ384</f>
        <v>14.6</v>
      </c>
      <c r="F431" s="27"/>
      <c r="G431" s="26" t="str">
        <f>Source!DI384</f>
        <v/>
      </c>
      <c r="H431" s="10">
        <f>Source!AV384</f>
        <v>1</v>
      </c>
      <c r="I431" s="28">
        <f>Source!U384</f>
        <v>2422.14</v>
      </c>
      <c r="J431" s="10"/>
      <c r="K431" s="28"/>
    </row>
    <row r="432" spans="1:27" ht="15" x14ac:dyDescent="0.25">
      <c r="A432" s="32"/>
      <c r="B432" s="32"/>
      <c r="C432" s="32"/>
      <c r="D432" s="32"/>
      <c r="E432" s="32"/>
      <c r="F432" s="32"/>
      <c r="G432" s="32"/>
      <c r="H432" s="101">
        <f>I426+I427+I429+I430+SUM(I428:I428)</f>
        <v>192088.12000000002</v>
      </c>
      <c r="I432" s="101"/>
      <c r="J432" s="101">
        <f>K426+K427+K429+K430+SUM(K428:K428)</f>
        <v>1944814.3099999998</v>
      </c>
      <c r="K432" s="101"/>
      <c r="O432" s="31">
        <f>I426+I427+I429+I430+SUM(I428:I428)</f>
        <v>192088.12000000002</v>
      </c>
      <c r="P432" s="31">
        <f>K426+K427+K429+K430+SUM(K428:K428)</f>
        <v>1944814.3099999998</v>
      </c>
      <c r="X432">
        <f>IF(Source!BI384&lt;=1,I426+I427+I429+I430-0, 0)</f>
        <v>143366.61000000002</v>
      </c>
      <c r="Y432">
        <f>IF(Source!BI384=2,I426+I427+I429+I430-0, 0)</f>
        <v>0</v>
      </c>
      <c r="Z432">
        <f>IF(Source!BI384=3,I426+I427+I429+I430-0, 0)</f>
        <v>0</v>
      </c>
      <c r="AA432">
        <f>IF(Source!BI384=4,I426+I427+I429+I430,0)</f>
        <v>0</v>
      </c>
    </row>
    <row r="433" spans="1:27" ht="71.25" x14ac:dyDescent="0.2">
      <c r="A433" s="22" t="str">
        <f>Source!E386</f>
        <v>58</v>
      </c>
      <c r="B433" s="23" t="str">
        <f>Source!F386</f>
        <v>3.47-7-2</v>
      </c>
      <c r="C433" s="23" t="s">
        <v>322</v>
      </c>
      <c r="D433" s="25" t="str">
        <f>Source!H386</f>
        <v>10 деревьев или кустарников</v>
      </c>
      <c r="E433" s="10">
        <f>Source!I386</f>
        <v>276.5</v>
      </c>
      <c r="F433" s="27"/>
      <c r="G433" s="26"/>
      <c r="H433" s="10"/>
      <c r="I433" s="28"/>
      <c r="J433" s="10"/>
      <c r="K433" s="28"/>
      <c r="Q433">
        <f>ROUND((Source!DN386/100)*ROUND((ROUND((Source!AF386*Source!AV386*Source!I386),2)),2), 2)</f>
        <v>39782.21</v>
      </c>
      <c r="R433">
        <f>Source!X386</f>
        <v>532285.99</v>
      </c>
      <c r="S433">
        <f>ROUND((Source!DO386/100)*ROUND((ROUND((Source!AF386*Source!AV386*Source!I386),2)),2), 2)</f>
        <v>21486.65</v>
      </c>
      <c r="T433">
        <f>Source!Y386</f>
        <v>245269.03</v>
      </c>
      <c r="U433">
        <f>ROUND((175/100)*ROUND((ROUND((Source!AE386*Source!AV386*Source!I386),2)),2), 2)</f>
        <v>3600.03</v>
      </c>
      <c r="V433">
        <f>ROUND((157/100)*ROUND(ROUND((ROUND((Source!AE386*Source!AV386*Source!I386),2)*Source!BS386),2), 2), 2)</f>
        <v>79225.539999999994</v>
      </c>
    </row>
    <row r="434" spans="1:27" x14ac:dyDescent="0.2">
      <c r="C434" s="29" t="str">
        <f>"Объем: "&amp;Source!I386&amp;"=2765/"&amp;"10"</f>
        <v>Объем: 276,5=2765/10</v>
      </c>
    </row>
    <row r="435" spans="1:27" ht="14.25" x14ac:dyDescent="0.2">
      <c r="A435" s="22"/>
      <c r="B435" s="23"/>
      <c r="C435" s="23" t="s">
        <v>970</v>
      </c>
      <c r="D435" s="25"/>
      <c r="E435" s="10"/>
      <c r="F435" s="27">
        <f>Source!AO386</f>
        <v>76.94</v>
      </c>
      <c r="G435" s="26" t="str">
        <f>Source!DG386</f>
        <v/>
      </c>
      <c r="H435" s="10">
        <f>Source!AV386</f>
        <v>1</v>
      </c>
      <c r="I435" s="28">
        <f>ROUND((ROUND((Source!AF386*Source!AV386*Source!I386),2)),2)</f>
        <v>21273.91</v>
      </c>
      <c r="J435" s="10">
        <f>IF(Source!BA386&lt;&gt; 0, Source!BA386, 1)</f>
        <v>24.53</v>
      </c>
      <c r="K435" s="28">
        <f>Source!S386</f>
        <v>521849.01</v>
      </c>
      <c r="W435">
        <f>I435</f>
        <v>21273.91</v>
      </c>
    </row>
    <row r="436" spans="1:27" ht="14.25" x14ac:dyDescent="0.2">
      <c r="A436" s="22"/>
      <c r="B436" s="23"/>
      <c r="C436" s="23" t="s">
        <v>971</v>
      </c>
      <c r="D436" s="25"/>
      <c r="E436" s="10"/>
      <c r="F436" s="27">
        <f>Source!AM386</f>
        <v>36.549999999999997</v>
      </c>
      <c r="G436" s="26" t="str">
        <f>Source!DE386</f>
        <v/>
      </c>
      <c r="H436" s="10">
        <f>Source!AV386</f>
        <v>1</v>
      </c>
      <c r="I436" s="28">
        <f>(ROUND((ROUND(((Source!ET386)*Source!AV386*Source!I386),2)),2)+ROUND((ROUND(((Source!AE386-(Source!EU386))*Source!AV386*Source!I386),2)),2))</f>
        <v>10106.08</v>
      </c>
      <c r="J436" s="10">
        <f>IF(Source!BB386&lt;&gt; 0, Source!BB386, 1)</f>
        <v>7.9</v>
      </c>
      <c r="K436" s="28">
        <f>Source!Q386</f>
        <v>79838.03</v>
      </c>
    </row>
    <row r="437" spans="1:27" ht="14.25" x14ac:dyDescent="0.2">
      <c r="A437" s="22"/>
      <c r="B437" s="23"/>
      <c r="C437" s="23" t="s">
        <v>972</v>
      </c>
      <c r="D437" s="25"/>
      <c r="E437" s="10"/>
      <c r="F437" s="27">
        <f>Source!AN386</f>
        <v>7.44</v>
      </c>
      <c r="G437" s="26" t="str">
        <f>Source!DF386</f>
        <v/>
      </c>
      <c r="H437" s="10">
        <f>Source!AV386</f>
        <v>1</v>
      </c>
      <c r="I437" s="30">
        <f>ROUND((ROUND((Source!AE386*Source!AV386*Source!I386),2)),2)</f>
        <v>2057.16</v>
      </c>
      <c r="J437" s="10">
        <f>IF(Source!BS386&lt;&gt; 0, Source!BS386, 1)</f>
        <v>24.53</v>
      </c>
      <c r="K437" s="30">
        <f>Source!R386</f>
        <v>50462.13</v>
      </c>
      <c r="W437">
        <f>I437</f>
        <v>2057.16</v>
      </c>
    </row>
    <row r="438" spans="1:27" ht="14.25" x14ac:dyDescent="0.2">
      <c r="A438" s="22"/>
      <c r="B438" s="23"/>
      <c r="C438" s="23" t="s">
        <v>973</v>
      </c>
      <c r="D438" s="25"/>
      <c r="E438" s="10"/>
      <c r="F438" s="27">
        <f>Source!AL386</f>
        <v>7.56</v>
      </c>
      <c r="G438" s="26" t="str">
        <f>Source!DD386</f>
        <v/>
      </c>
      <c r="H438" s="10">
        <f>Source!AW386</f>
        <v>1</v>
      </c>
      <c r="I438" s="28">
        <f>ROUND((ROUND((Source!AC386*Source!AW386*Source!I386),2)),2)</f>
        <v>2090.34</v>
      </c>
      <c r="J438" s="10">
        <f>IF(Source!BC386&lt;&gt; 0, Source!BC386, 1)</f>
        <v>4.99</v>
      </c>
      <c r="K438" s="28">
        <f>Source!P386</f>
        <v>10430.799999999999</v>
      </c>
    </row>
    <row r="439" spans="1:27" ht="42.75" x14ac:dyDescent="0.2">
      <c r="A439" s="22" t="str">
        <f>Source!E387</f>
        <v>58,1</v>
      </c>
      <c r="B439" s="23" t="str">
        <f>Source!F387</f>
        <v>1.4-2-40</v>
      </c>
      <c r="C439" s="23" t="s">
        <v>327</v>
      </c>
      <c r="D439" s="25" t="str">
        <f>Source!H387</f>
        <v>шт.</v>
      </c>
      <c r="E439" s="10">
        <f>Source!I387</f>
        <v>2765</v>
      </c>
      <c r="F439" s="27">
        <f>Source!AK387</f>
        <v>30.85</v>
      </c>
      <c r="G439" s="33" t="s">
        <v>3</v>
      </c>
      <c r="H439" s="10">
        <f>Source!AW387</f>
        <v>1</v>
      </c>
      <c r="I439" s="28">
        <f>ROUND((ROUND((Source!AC387*Source!AW387*Source!I387),2)),2)+(ROUND((ROUND(((Source!ET387)*Source!AV387*Source!I387),2)),2)+ROUND((ROUND(((Source!AE387-(Source!EU387))*Source!AV387*Source!I387),2)),2))+ROUND((ROUND((Source!AF387*Source!AV387*Source!I387),2)),2)</f>
        <v>85300.25</v>
      </c>
      <c r="J439" s="10">
        <f>IF(Source!BC387&lt;&gt; 0, Source!BC387, 1)</f>
        <v>7.34</v>
      </c>
      <c r="K439" s="28">
        <f>Source!O387</f>
        <v>626103.84</v>
      </c>
      <c r="Q439">
        <f>ROUND((Source!DN387/100)*ROUND((ROUND((Source!AF387*Source!AV387*Source!I387),2)),2), 2)</f>
        <v>0</v>
      </c>
      <c r="R439">
        <f>Source!X387</f>
        <v>0</v>
      </c>
      <c r="S439">
        <f>ROUND((Source!DO387/100)*ROUND((ROUND((Source!AF387*Source!AV387*Source!I387),2)),2), 2)</f>
        <v>0</v>
      </c>
      <c r="T439">
        <f>Source!Y387</f>
        <v>0</v>
      </c>
      <c r="U439">
        <f>ROUND((175/100)*ROUND((ROUND((Source!AE387*Source!AV387*Source!I387),2)),2), 2)</f>
        <v>0</v>
      </c>
      <c r="V439">
        <f>ROUND((157/100)*ROUND(ROUND((ROUND((Source!AE387*Source!AV387*Source!I387),2)*Source!BS387),2), 2), 2)</f>
        <v>0</v>
      </c>
      <c r="X439">
        <f>IF(Source!BI387&lt;=1,I439, 0)</f>
        <v>85300.25</v>
      </c>
      <c r="Y439">
        <f>IF(Source!BI387=2,I439, 0)</f>
        <v>0</v>
      </c>
      <c r="Z439">
        <f>IF(Source!BI387=3,I439, 0)</f>
        <v>0</v>
      </c>
      <c r="AA439">
        <f>IF(Source!BI387=4,I439, 0)</f>
        <v>0</v>
      </c>
    </row>
    <row r="440" spans="1:27" ht="14.25" x14ac:dyDescent="0.2">
      <c r="A440" s="22"/>
      <c r="B440" s="23"/>
      <c r="C440" s="23" t="s">
        <v>974</v>
      </c>
      <c r="D440" s="25" t="s">
        <v>975</v>
      </c>
      <c r="E440" s="10">
        <f>Source!DN386</f>
        <v>187</v>
      </c>
      <c r="F440" s="27"/>
      <c r="G440" s="26"/>
      <c r="H440" s="10"/>
      <c r="I440" s="28">
        <f>SUM(Q433:Q439)</f>
        <v>39782.21</v>
      </c>
      <c r="J440" s="10">
        <f>Source!BZ386</f>
        <v>102</v>
      </c>
      <c r="K440" s="28">
        <f>SUM(R433:R439)</f>
        <v>532285.99</v>
      </c>
    </row>
    <row r="441" spans="1:27" ht="14.25" x14ac:dyDescent="0.2">
      <c r="A441" s="22"/>
      <c r="B441" s="23"/>
      <c r="C441" s="23" t="s">
        <v>976</v>
      </c>
      <c r="D441" s="25" t="s">
        <v>975</v>
      </c>
      <c r="E441" s="10">
        <f>Source!DO386</f>
        <v>101</v>
      </c>
      <c r="F441" s="27"/>
      <c r="G441" s="26"/>
      <c r="H441" s="10"/>
      <c r="I441" s="28">
        <f>SUM(S433:S440)</f>
        <v>21486.65</v>
      </c>
      <c r="J441" s="10">
        <f>Source!CA386</f>
        <v>47</v>
      </c>
      <c r="K441" s="28">
        <f>SUM(T433:T440)</f>
        <v>245269.03</v>
      </c>
    </row>
    <row r="442" spans="1:27" ht="14.25" x14ac:dyDescent="0.2">
      <c r="A442" s="22"/>
      <c r="B442" s="23"/>
      <c r="C442" s="23" t="s">
        <v>977</v>
      </c>
      <c r="D442" s="25" t="s">
        <v>975</v>
      </c>
      <c r="E442" s="10">
        <f>175</f>
        <v>175</v>
      </c>
      <c r="F442" s="27"/>
      <c r="G442" s="26"/>
      <c r="H442" s="10"/>
      <c r="I442" s="28">
        <f>SUM(U433:U441)</f>
        <v>3600.03</v>
      </c>
      <c r="J442" s="10">
        <f>157</f>
        <v>157</v>
      </c>
      <c r="K442" s="28">
        <f>SUM(V433:V441)</f>
        <v>79225.539999999994</v>
      </c>
    </row>
    <row r="443" spans="1:27" ht="14.25" x14ac:dyDescent="0.2">
      <c r="A443" s="22"/>
      <c r="B443" s="23"/>
      <c r="C443" s="23" t="s">
        <v>978</v>
      </c>
      <c r="D443" s="25" t="s">
        <v>979</v>
      </c>
      <c r="E443" s="10">
        <f>Source!AQ386</f>
        <v>6.16</v>
      </c>
      <c r="F443" s="27"/>
      <c r="G443" s="26" t="str">
        <f>Source!DI386</f>
        <v/>
      </c>
      <c r="H443" s="10">
        <f>Source!AV386</f>
        <v>1</v>
      </c>
      <c r="I443" s="28">
        <f>Source!U386</f>
        <v>1703.24</v>
      </c>
      <c r="J443" s="10"/>
      <c r="K443" s="28"/>
    </row>
    <row r="444" spans="1:27" ht="15" x14ac:dyDescent="0.25">
      <c r="A444" s="32"/>
      <c r="B444" s="32"/>
      <c r="C444" s="32"/>
      <c r="D444" s="32"/>
      <c r="E444" s="32"/>
      <c r="F444" s="32"/>
      <c r="G444" s="32"/>
      <c r="H444" s="101">
        <f>I435+I436+I438+I440+I441+I442+SUM(I439:I439)</f>
        <v>183639.47</v>
      </c>
      <c r="I444" s="101"/>
      <c r="J444" s="101">
        <f>K435+K436+K438+K440+K441+K442+SUM(K439:K439)</f>
        <v>2095002.2400000002</v>
      </c>
      <c r="K444" s="101"/>
      <c r="O444" s="31">
        <f>I435+I436+I438+I440+I441+I442+SUM(I439:I439)</f>
        <v>183639.47</v>
      </c>
      <c r="P444" s="31">
        <f>K435+K436+K438+K440+K441+K442+SUM(K439:K439)</f>
        <v>2095002.2400000002</v>
      </c>
      <c r="X444">
        <f>IF(Source!BI386&lt;=1,I435+I436+I438+I440+I441+I442-0, 0)</f>
        <v>98339.22</v>
      </c>
      <c r="Y444">
        <f>IF(Source!BI386=2,I435+I436+I438+I440+I441+I442-0, 0)</f>
        <v>0</v>
      </c>
      <c r="Z444">
        <f>IF(Source!BI386=3,I435+I436+I438+I440+I441+I442-0, 0)</f>
        <v>0</v>
      </c>
      <c r="AA444">
        <f>IF(Source!BI386=4,I435+I436+I438+I440+I441+I442,0)</f>
        <v>0</v>
      </c>
    </row>
    <row r="446" spans="1:27" ht="15" x14ac:dyDescent="0.25">
      <c r="A446" s="100" t="str">
        <f>CONCATENATE("Итого по разделу: ",IF(Source!G389&lt;&gt;"Новый раздел", Source!G389, ""))</f>
        <v>Итого по разделу: 21.1. Посадка кустарников (h=0,7 м)</v>
      </c>
      <c r="B446" s="100"/>
      <c r="C446" s="100"/>
      <c r="D446" s="100"/>
      <c r="E446" s="100"/>
      <c r="F446" s="100"/>
      <c r="G446" s="100"/>
      <c r="H446" s="98">
        <f>SUM(O394:O445)</f>
        <v>493361.44999999995</v>
      </c>
      <c r="I446" s="99"/>
      <c r="J446" s="98">
        <f>SUM(P394:P445)</f>
        <v>5150960.46</v>
      </c>
      <c r="K446" s="99"/>
    </row>
    <row r="447" spans="1:27" hidden="1" x14ac:dyDescent="0.2">
      <c r="A447" t="s">
        <v>980</v>
      </c>
      <c r="I447">
        <f>SUM(AC394:AC446)</f>
        <v>0</v>
      </c>
      <c r="J447">
        <f>SUM(AD394:AD446)</f>
        <v>0</v>
      </c>
    </row>
    <row r="448" spans="1:27" hidden="1" x14ac:dyDescent="0.2">
      <c r="A448" t="s">
        <v>981</v>
      </c>
      <c r="I448">
        <f>SUM(AE394:AE447)</f>
        <v>0</v>
      </c>
      <c r="J448">
        <f>SUM(AF394:AF447)</f>
        <v>0</v>
      </c>
    </row>
    <row r="449" spans="1:27" ht="14.25" x14ac:dyDescent="0.2">
      <c r="C449" s="96" t="str">
        <f>Source!H418</f>
        <v>с ндс</v>
      </c>
      <c r="D449" s="96"/>
      <c r="E449" s="96"/>
      <c r="F449" s="96"/>
      <c r="G449" s="96"/>
      <c r="H449" s="96"/>
      <c r="I449" s="96"/>
      <c r="J449" s="97">
        <f>IF(Source!F418=0, "", Source!F418)</f>
        <v>6181152.5499999998</v>
      </c>
      <c r="K449" s="97"/>
    </row>
    <row r="451" spans="1:27" ht="16.5" x14ac:dyDescent="0.25">
      <c r="A451" s="102" t="str">
        <f>CONCATENATE("Раздел: ",IF(Source!G488&lt;&gt;"Новый раздел", Source!G488, ""))</f>
        <v>Раздел: 22.1 Посадка деревьев с комом 0,8х0,6 м, высотой от 3 м</v>
      </c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</row>
    <row r="452" spans="1:27" ht="85.5" x14ac:dyDescent="0.2">
      <c r="A452" s="22" t="str">
        <f>Source!E492</f>
        <v>59</v>
      </c>
      <c r="B452" s="23" t="str">
        <f>Source!F492</f>
        <v>3.47-2-20</v>
      </c>
      <c r="C452" s="23" t="s">
        <v>335</v>
      </c>
      <c r="D452" s="25" t="str">
        <f>Source!H492</f>
        <v>10 ям</v>
      </c>
      <c r="E452" s="10">
        <f>Source!I492</f>
        <v>4.88</v>
      </c>
      <c r="F452" s="27"/>
      <c r="G452" s="26"/>
      <c r="H452" s="10"/>
      <c r="I452" s="28"/>
      <c r="J452" s="10"/>
      <c r="K452" s="28"/>
      <c r="Q452">
        <f>ROUND((Source!DN492/100)*ROUND((ROUND((Source!AF492*Source!AV492*Source!I492),2)),2), 2)</f>
        <v>2793.26</v>
      </c>
      <c r="R452">
        <f>Source!X492</f>
        <v>37373.769999999997</v>
      </c>
      <c r="S452">
        <f>ROUND((Source!DO492/100)*ROUND((ROUND((Source!AF492*Source!AV492*Source!I492),2)),2), 2)</f>
        <v>1508.66</v>
      </c>
      <c r="T452">
        <f>Source!Y492</f>
        <v>17221.25</v>
      </c>
      <c r="U452">
        <f>ROUND((175/100)*ROUND((ROUND((Source!AE492*Source!AV492*Source!I492),2)),2), 2)</f>
        <v>96.25</v>
      </c>
      <c r="V452">
        <f>ROUND((157/100)*ROUND(ROUND((ROUND((Source!AE492*Source!AV492*Source!I492),2)*Source!BS492),2), 2), 2)</f>
        <v>2118.17</v>
      </c>
    </row>
    <row r="453" spans="1:27" x14ac:dyDescent="0.2">
      <c r="C453" s="29" t="str">
        <f>"Объем: "&amp;Source!I492&amp;"=122*"&amp;"0,4/"&amp;"10"</f>
        <v>Объем: 4,88=122*0,4/10</v>
      </c>
    </row>
    <row r="454" spans="1:27" ht="14.25" x14ac:dyDescent="0.2">
      <c r="A454" s="22"/>
      <c r="B454" s="23"/>
      <c r="C454" s="23" t="s">
        <v>970</v>
      </c>
      <c r="D454" s="25"/>
      <c r="E454" s="10"/>
      <c r="F454" s="27">
        <f>Source!AO492</f>
        <v>306.08999999999997</v>
      </c>
      <c r="G454" s="26" t="str">
        <f>Source!DG492</f>
        <v/>
      </c>
      <c r="H454" s="10">
        <f>Source!AV492</f>
        <v>1</v>
      </c>
      <c r="I454" s="28">
        <f>ROUND((ROUND((Source!AF492*Source!AV492*Source!I492),2)),2)</f>
        <v>1493.72</v>
      </c>
      <c r="J454" s="10">
        <f>IF(Source!BA492&lt;&gt; 0, Source!BA492, 1)</f>
        <v>24.53</v>
      </c>
      <c r="K454" s="28">
        <f>Source!S492</f>
        <v>36640.949999999997</v>
      </c>
      <c r="W454">
        <f>I454</f>
        <v>1493.72</v>
      </c>
    </row>
    <row r="455" spans="1:27" ht="14.25" x14ac:dyDescent="0.2">
      <c r="A455" s="22"/>
      <c r="B455" s="23"/>
      <c r="C455" s="23" t="s">
        <v>971</v>
      </c>
      <c r="D455" s="25"/>
      <c r="E455" s="10"/>
      <c r="F455" s="27">
        <f>Source!AM492</f>
        <v>43.2</v>
      </c>
      <c r="G455" s="26" t="str">
        <f>Source!DE492</f>
        <v/>
      </c>
      <c r="H455" s="10">
        <f>Source!AV492</f>
        <v>1</v>
      </c>
      <c r="I455" s="28">
        <f>(ROUND((ROUND(((Source!ET492)*Source!AV492*Source!I492),2)),2)+ROUND((ROUND(((Source!AE492-(Source!EU492))*Source!AV492*Source!I492),2)),2))</f>
        <v>210.82</v>
      </c>
      <c r="J455" s="10">
        <f>IF(Source!BB492&lt;&gt; 0, Source!BB492, 1)</f>
        <v>10.47</v>
      </c>
      <c r="K455" s="28">
        <f>Source!Q492</f>
        <v>2207.29</v>
      </c>
    </row>
    <row r="456" spans="1:27" ht="14.25" x14ac:dyDescent="0.2">
      <c r="A456" s="22"/>
      <c r="B456" s="23"/>
      <c r="C456" s="23" t="s">
        <v>972</v>
      </c>
      <c r="D456" s="25"/>
      <c r="E456" s="10"/>
      <c r="F456" s="27">
        <f>Source!AN492</f>
        <v>11.27</v>
      </c>
      <c r="G456" s="26" t="str">
        <f>Source!DF492</f>
        <v/>
      </c>
      <c r="H456" s="10">
        <f>Source!AV492</f>
        <v>1</v>
      </c>
      <c r="I456" s="30">
        <f>ROUND((ROUND((Source!AE492*Source!AV492*Source!I492),2)),2)</f>
        <v>55</v>
      </c>
      <c r="J456" s="10">
        <f>IF(Source!BS492&lt;&gt; 0, Source!BS492, 1)</f>
        <v>24.53</v>
      </c>
      <c r="K456" s="30">
        <f>Source!R492</f>
        <v>1349.15</v>
      </c>
      <c r="W456">
        <f>I456</f>
        <v>55</v>
      </c>
    </row>
    <row r="457" spans="1:27" ht="14.25" x14ac:dyDescent="0.2">
      <c r="A457" s="22"/>
      <c r="B457" s="23"/>
      <c r="C457" s="23" t="s">
        <v>973</v>
      </c>
      <c r="D457" s="25"/>
      <c r="E457" s="10"/>
      <c r="F457" s="27">
        <f>Source!AL492</f>
        <v>855.71</v>
      </c>
      <c r="G457" s="26" t="str">
        <f>Source!DD492</f>
        <v/>
      </c>
      <c r="H457" s="10">
        <f>Source!AW492</f>
        <v>1</v>
      </c>
      <c r="I457" s="28">
        <f>ROUND((ROUND((Source!AC492*Source!AW492*Source!I492),2)),2)</f>
        <v>4175.8599999999997</v>
      </c>
      <c r="J457" s="10">
        <f>IF(Source!BC492&lt;&gt; 0, Source!BC492, 1)</f>
        <v>2.29</v>
      </c>
      <c r="K457" s="28">
        <f>Source!P492</f>
        <v>9562.7199999999993</v>
      </c>
    </row>
    <row r="458" spans="1:27" ht="14.25" x14ac:dyDescent="0.2">
      <c r="A458" s="22" t="str">
        <f>Source!E493</f>
        <v>59,1</v>
      </c>
      <c r="B458" s="23" t="str">
        <f>Source!F493</f>
        <v>1.4-6-1</v>
      </c>
      <c r="C458" s="23" t="s">
        <v>281</v>
      </c>
      <c r="D458" s="25" t="str">
        <f>Source!H493</f>
        <v>м3</v>
      </c>
      <c r="E458" s="10">
        <f>Source!I493</f>
        <v>30.256</v>
      </c>
      <c r="F458" s="27">
        <f>Source!AK493</f>
        <v>146.84</v>
      </c>
      <c r="G458" s="33" t="s">
        <v>3</v>
      </c>
      <c r="H458" s="10">
        <f>Source!AW493</f>
        <v>1</v>
      </c>
      <c r="I458" s="28">
        <f>ROUND((ROUND((Source!AC493*Source!AW493*Source!I493),2)),2)+(ROUND((ROUND(((Source!ET493)*Source!AV493*Source!I493),2)),2)+ROUND((ROUND(((Source!AE493-(Source!EU493))*Source!AV493*Source!I493),2)),2))+ROUND((ROUND((Source!AF493*Source!AV493*Source!I493),2)),2)</f>
        <v>4442.79</v>
      </c>
      <c r="J458" s="10">
        <f>IF(Source!BC493&lt;&gt; 0, Source!BC493, 1)</f>
        <v>6.66</v>
      </c>
      <c r="K458" s="28">
        <f>Source!O493</f>
        <v>29588.98</v>
      </c>
      <c r="Q458">
        <f>ROUND((Source!DN493/100)*ROUND((ROUND((Source!AF493*Source!AV493*Source!I493),2)),2), 2)</f>
        <v>0</v>
      </c>
      <c r="R458">
        <f>Source!X493</f>
        <v>0</v>
      </c>
      <c r="S458">
        <f>ROUND((Source!DO493/100)*ROUND((ROUND((Source!AF493*Source!AV493*Source!I493),2)),2), 2)</f>
        <v>0</v>
      </c>
      <c r="T458">
        <f>Source!Y493</f>
        <v>0</v>
      </c>
      <c r="U458">
        <f>ROUND((175/100)*ROUND((ROUND((Source!AE493*Source!AV493*Source!I493),2)),2), 2)</f>
        <v>0</v>
      </c>
      <c r="V458">
        <f>ROUND((157/100)*ROUND(ROUND((ROUND((Source!AE493*Source!AV493*Source!I493),2)*Source!BS493),2), 2), 2)</f>
        <v>0</v>
      </c>
      <c r="X458">
        <f>IF(Source!BI493&lt;=1,I458, 0)</f>
        <v>4442.79</v>
      </c>
      <c r="Y458">
        <f>IF(Source!BI493=2,I458, 0)</f>
        <v>0</v>
      </c>
      <c r="Z458">
        <f>IF(Source!BI493=3,I458, 0)</f>
        <v>0</v>
      </c>
      <c r="AA458">
        <f>IF(Source!BI493=4,I458, 0)</f>
        <v>0</v>
      </c>
    </row>
    <row r="459" spans="1:27" ht="14.25" x14ac:dyDescent="0.2">
      <c r="A459" s="22"/>
      <c r="B459" s="23"/>
      <c r="C459" s="23" t="s">
        <v>974</v>
      </c>
      <c r="D459" s="25" t="s">
        <v>975</v>
      </c>
      <c r="E459" s="10">
        <f>Source!DN492</f>
        <v>187</v>
      </c>
      <c r="F459" s="27"/>
      <c r="G459" s="26"/>
      <c r="H459" s="10"/>
      <c r="I459" s="28">
        <f>SUM(Q452:Q458)</f>
        <v>2793.26</v>
      </c>
      <c r="J459" s="10">
        <f>Source!BZ492</f>
        <v>102</v>
      </c>
      <c r="K459" s="28">
        <f>SUM(R452:R458)</f>
        <v>37373.769999999997</v>
      </c>
    </row>
    <row r="460" spans="1:27" ht="14.25" x14ac:dyDescent="0.2">
      <c r="A460" s="22"/>
      <c r="B460" s="23"/>
      <c r="C460" s="23" t="s">
        <v>976</v>
      </c>
      <c r="D460" s="25" t="s">
        <v>975</v>
      </c>
      <c r="E460" s="10">
        <f>Source!DO492</f>
        <v>101</v>
      </c>
      <c r="F460" s="27"/>
      <c r="G460" s="26"/>
      <c r="H460" s="10"/>
      <c r="I460" s="28">
        <f>SUM(S452:S459)</f>
        <v>1508.66</v>
      </c>
      <c r="J460" s="10">
        <f>Source!CA492</f>
        <v>47</v>
      </c>
      <c r="K460" s="28">
        <f>SUM(T452:T459)</f>
        <v>17221.25</v>
      </c>
    </row>
    <row r="461" spans="1:27" ht="14.25" x14ac:dyDescent="0.2">
      <c r="A461" s="22"/>
      <c r="B461" s="23"/>
      <c r="C461" s="23" t="s">
        <v>977</v>
      </c>
      <c r="D461" s="25" t="s">
        <v>975</v>
      </c>
      <c r="E461" s="10">
        <f>175</f>
        <v>175</v>
      </c>
      <c r="F461" s="27"/>
      <c r="G461" s="26"/>
      <c r="H461" s="10"/>
      <c r="I461" s="28">
        <f>SUM(U452:U460)</f>
        <v>96.25</v>
      </c>
      <c r="J461" s="10">
        <f>157</f>
        <v>157</v>
      </c>
      <c r="K461" s="28">
        <f>SUM(V452:V460)</f>
        <v>2118.17</v>
      </c>
    </row>
    <row r="462" spans="1:27" ht="14.25" x14ac:dyDescent="0.2">
      <c r="A462" s="22"/>
      <c r="B462" s="23"/>
      <c r="C462" s="23" t="s">
        <v>978</v>
      </c>
      <c r="D462" s="25" t="s">
        <v>979</v>
      </c>
      <c r="E462" s="10">
        <f>Source!AQ492</f>
        <v>29.95</v>
      </c>
      <c r="F462" s="27"/>
      <c r="G462" s="26" t="str">
        <f>Source!DI492</f>
        <v/>
      </c>
      <c r="H462" s="10">
        <f>Source!AV492</f>
        <v>1</v>
      </c>
      <c r="I462" s="28">
        <f>Source!U492</f>
        <v>146.15600000000001</v>
      </c>
      <c r="J462" s="10"/>
      <c r="K462" s="28"/>
    </row>
    <row r="463" spans="1:27" ht="15" x14ac:dyDescent="0.25">
      <c r="A463" s="32"/>
      <c r="B463" s="32"/>
      <c r="C463" s="32"/>
      <c r="D463" s="32"/>
      <c r="E463" s="32"/>
      <c r="F463" s="32"/>
      <c r="G463" s="32"/>
      <c r="H463" s="101">
        <f>I454+I455+I457+I459+I460+I461+SUM(I458:I458)</f>
        <v>14721.36</v>
      </c>
      <c r="I463" s="101"/>
      <c r="J463" s="101">
        <f>K454+K455+K457+K459+K460+K461+SUM(K458:K458)</f>
        <v>134713.13</v>
      </c>
      <c r="K463" s="101"/>
      <c r="O463" s="31">
        <f>I454+I455+I457+I459+I460+I461+SUM(I458:I458)</f>
        <v>14721.36</v>
      </c>
      <c r="P463" s="31">
        <f>K454+K455+K457+K459+K460+K461+SUM(K458:K458)</f>
        <v>134713.13</v>
      </c>
      <c r="X463">
        <f>IF(Source!BI492&lt;=1,I454+I455+I457+I459+I460+I461-0, 0)</f>
        <v>10278.57</v>
      </c>
      <c r="Y463">
        <f>IF(Source!BI492=2,I454+I455+I457+I459+I460+I461-0, 0)</f>
        <v>0</v>
      </c>
      <c r="Z463">
        <f>IF(Source!BI492=3,I454+I455+I457+I459+I460+I461-0, 0)</f>
        <v>0</v>
      </c>
      <c r="AA463">
        <f>IF(Source!BI492=4,I454+I455+I457+I459+I460+I461,0)</f>
        <v>0</v>
      </c>
    </row>
    <row r="464" spans="1:27" ht="57" x14ac:dyDescent="0.2">
      <c r="A464" s="22" t="str">
        <f>Source!E494</f>
        <v>60</v>
      </c>
      <c r="B464" s="23" t="str">
        <f>Source!F494</f>
        <v>3.47-4-20</v>
      </c>
      <c r="C464" s="23" t="s">
        <v>340</v>
      </c>
      <c r="D464" s="25" t="str">
        <f>Source!H494</f>
        <v>10 ям</v>
      </c>
      <c r="E464" s="10">
        <f>Source!I494</f>
        <v>7.32</v>
      </c>
      <c r="F464" s="27"/>
      <c r="G464" s="26"/>
      <c r="H464" s="10"/>
      <c r="I464" s="28"/>
      <c r="J464" s="10"/>
      <c r="K464" s="28"/>
      <c r="Q464">
        <f>ROUND((Source!DN494/100)*ROUND((ROUND((Source!AF494*Source!AV494*Source!I494),2)),2), 2)</f>
        <v>7147.25</v>
      </c>
      <c r="R464">
        <f>Source!X494</f>
        <v>95630.23</v>
      </c>
      <c r="S464">
        <f>ROUND((Source!DO494/100)*ROUND((ROUND((Source!AF494*Source!AV494*Source!I494),2)),2), 2)</f>
        <v>3860.28</v>
      </c>
      <c r="T464">
        <f>Source!Y494</f>
        <v>44064.91</v>
      </c>
      <c r="U464">
        <f>ROUND((175/100)*ROUND((ROUND((Source!AE494*Source!AV494*Source!I494),2)),2), 2)</f>
        <v>0</v>
      </c>
      <c r="V464">
        <f>ROUND((157/100)*ROUND(ROUND((ROUND((Source!AE494*Source!AV494*Source!I494),2)*Source!BS494),2), 2), 2)</f>
        <v>0</v>
      </c>
    </row>
    <row r="465" spans="1:27" x14ac:dyDescent="0.2">
      <c r="C465" s="29" t="str">
        <f>"Объем: "&amp;Source!I494&amp;"=122*"&amp;"0,6/"&amp;"10"</f>
        <v>Объем: 7,32=122*0,6/10</v>
      </c>
    </row>
    <row r="466" spans="1:27" ht="14.25" x14ac:dyDescent="0.2">
      <c r="A466" s="22"/>
      <c r="B466" s="23"/>
      <c r="C466" s="23" t="s">
        <v>970</v>
      </c>
      <c r="D466" s="25"/>
      <c r="E466" s="10"/>
      <c r="F466" s="27">
        <f>Source!AO494</f>
        <v>522.14</v>
      </c>
      <c r="G466" s="26" t="str">
        <f>Source!DG494</f>
        <v/>
      </c>
      <c r="H466" s="10">
        <f>Source!AV494</f>
        <v>1</v>
      </c>
      <c r="I466" s="28">
        <f>ROUND((ROUND((Source!AF494*Source!AV494*Source!I494),2)),2)</f>
        <v>3822.06</v>
      </c>
      <c r="J466" s="10">
        <f>IF(Source!BA494&lt;&gt; 0, Source!BA494, 1)</f>
        <v>24.53</v>
      </c>
      <c r="K466" s="28">
        <f>Source!S494</f>
        <v>93755.13</v>
      </c>
      <c r="W466">
        <f>I466</f>
        <v>3822.06</v>
      </c>
    </row>
    <row r="467" spans="1:27" ht="14.25" x14ac:dyDescent="0.2">
      <c r="A467" s="22"/>
      <c r="B467" s="23"/>
      <c r="C467" s="23" t="s">
        <v>973</v>
      </c>
      <c r="D467" s="25"/>
      <c r="E467" s="10"/>
      <c r="F467" s="27">
        <f>Source!AL494</f>
        <v>855.71</v>
      </c>
      <c r="G467" s="26" t="str">
        <f>Source!DD494</f>
        <v/>
      </c>
      <c r="H467" s="10">
        <f>Source!AW494</f>
        <v>1</v>
      </c>
      <c r="I467" s="28">
        <f>ROUND((ROUND((Source!AC494*Source!AW494*Source!I494),2)),2)</f>
        <v>6263.8</v>
      </c>
      <c r="J467" s="10">
        <f>IF(Source!BC494&lt;&gt; 0, Source!BC494, 1)</f>
        <v>2.29</v>
      </c>
      <c r="K467" s="28">
        <f>Source!P494</f>
        <v>14344.1</v>
      </c>
    </row>
    <row r="468" spans="1:27" ht="14.25" x14ac:dyDescent="0.2">
      <c r="A468" s="22" t="str">
        <f>Source!E495</f>
        <v>60,1</v>
      </c>
      <c r="B468" s="23" t="str">
        <f>Source!F495</f>
        <v>1.4-6-1</v>
      </c>
      <c r="C468" s="23" t="s">
        <v>281</v>
      </c>
      <c r="D468" s="25" t="str">
        <f>Source!H495</f>
        <v>м3</v>
      </c>
      <c r="E468" s="10">
        <f>Source!I495</f>
        <v>45.384</v>
      </c>
      <c r="F468" s="27">
        <f>Source!AK495</f>
        <v>146.84</v>
      </c>
      <c r="G468" s="33" t="s">
        <v>3</v>
      </c>
      <c r="H468" s="10">
        <f>Source!AW495</f>
        <v>1</v>
      </c>
      <c r="I468" s="28">
        <f>ROUND((ROUND((Source!AC495*Source!AW495*Source!I495),2)),2)+(ROUND((ROUND(((Source!ET495)*Source!AV495*Source!I495),2)),2)+ROUND((ROUND(((Source!AE495-(Source!EU495))*Source!AV495*Source!I495),2)),2))+ROUND((ROUND((Source!AF495*Source!AV495*Source!I495),2)),2)</f>
        <v>6664.19</v>
      </c>
      <c r="J468" s="10">
        <f>IF(Source!BC495&lt;&gt; 0, Source!BC495, 1)</f>
        <v>6.66</v>
      </c>
      <c r="K468" s="28">
        <f>Source!O495</f>
        <v>44383.51</v>
      </c>
      <c r="Q468">
        <f>ROUND((Source!DN495/100)*ROUND((ROUND((Source!AF495*Source!AV495*Source!I495),2)),2), 2)</f>
        <v>0</v>
      </c>
      <c r="R468">
        <f>Source!X495</f>
        <v>0</v>
      </c>
      <c r="S468">
        <f>ROUND((Source!DO495/100)*ROUND((ROUND((Source!AF495*Source!AV495*Source!I495),2)),2), 2)</f>
        <v>0</v>
      </c>
      <c r="T468">
        <f>Source!Y495</f>
        <v>0</v>
      </c>
      <c r="U468">
        <f>ROUND((175/100)*ROUND((ROUND((Source!AE495*Source!AV495*Source!I495),2)),2), 2)</f>
        <v>0</v>
      </c>
      <c r="V468">
        <f>ROUND((157/100)*ROUND(ROUND((ROUND((Source!AE495*Source!AV495*Source!I495),2)*Source!BS495),2), 2), 2)</f>
        <v>0</v>
      </c>
      <c r="X468">
        <f>IF(Source!BI495&lt;=1,I468, 0)</f>
        <v>6664.19</v>
      </c>
      <c r="Y468">
        <f>IF(Source!BI495=2,I468, 0)</f>
        <v>0</v>
      </c>
      <c r="Z468">
        <f>IF(Source!BI495=3,I468, 0)</f>
        <v>0</v>
      </c>
      <c r="AA468">
        <f>IF(Source!BI495=4,I468, 0)</f>
        <v>0</v>
      </c>
    </row>
    <row r="469" spans="1:27" ht="14.25" x14ac:dyDescent="0.2">
      <c r="A469" s="22"/>
      <c r="B469" s="23"/>
      <c r="C469" s="23" t="s">
        <v>974</v>
      </c>
      <c r="D469" s="25" t="s">
        <v>975</v>
      </c>
      <c r="E469" s="10">
        <f>Source!DN494</f>
        <v>187</v>
      </c>
      <c r="F469" s="27"/>
      <c r="G469" s="26"/>
      <c r="H469" s="10"/>
      <c r="I469" s="28">
        <f>SUM(Q464:Q468)</f>
        <v>7147.25</v>
      </c>
      <c r="J469" s="10">
        <f>Source!BZ494</f>
        <v>102</v>
      </c>
      <c r="K469" s="28">
        <f>SUM(R464:R468)</f>
        <v>95630.23</v>
      </c>
    </row>
    <row r="470" spans="1:27" ht="14.25" x14ac:dyDescent="0.2">
      <c r="A470" s="22"/>
      <c r="B470" s="23"/>
      <c r="C470" s="23" t="s">
        <v>976</v>
      </c>
      <c r="D470" s="25" t="s">
        <v>975</v>
      </c>
      <c r="E470" s="10">
        <f>Source!DO494</f>
        <v>101</v>
      </c>
      <c r="F470" s="27"/>
      <c r="G470" s="26"/>
      <c r="H470" s="10"/>
      <c r="I470" s="28">
        <f>SUM(S464:S469)</f>
        <v>3860.28</v>
      </c>
      <c r="J470" s="10">
        <f>Source!CA494</f>
        <v>47</v>
      </c>
      <c r="K470" s="28">
        <f>SUM(T464:T469)</f>
        <v>44064.91</v>
      </c>
    </row>
    <row r="471" spans="1:27" ht="14.25" x14ac:dyDescent="0.2">
      <c r="A471" s="22"/>
      <c r="B471" s="23"/>
      <c r="C471" s="23" t="s">
        <v>978</v>
      </c>
      <c r="D471" s="25" t="s">
        <v>979</v>
      </c>
      <c r="E471" s="10">
        <f>Source!AQ494</f>
        <v>51.09</v>
      </c>
      <c r="F471" s="27"/>
      <c r="G471" s="26" t="str">
        <f>Source!DI494</f>
        <v/>
      </c>
      <c r="H471" s="10">
        <f>Source!AV494</f>
        <v>1</v>
      </c>
      <c r="I471" s="28">
        <f>Source!U494</f>
        <v>373.97880000000004</v>
      </c>
      <c r="J471" s="10"/>
      <c r="K471" s="28"/>
    </row>
    <row r="472" spans="1:27" ht="15" x14ac:dyDescent="0.25">
      <c r="A472" s="32"/>
      <c r="B472" s="32"/>
      <c r="C472" s="32"/>
      <c r="D472" s="32"/>
      <c r="E472" s="32"/>
      <c r="F472" s="32"/>
      <c r="G472" s="32"/>
      <c r="H472" s="101">
        <f>I466+I467+I469+I470+SUM(I468:I468)</f>
        <v>27757.579999999998</v>
      </c>
      <c r="I472" s="101"/>
      <c r="J472" s="101">
        <f>K466+K467+K469+K470+SUM(K468:K468)</f>
        <v>292177.88</v>
      </c>
      <c r="K472" s="101"/>
      <c r="O472" s="31">
        <f>I466+I467+I469+I470+SUM(I468:I468)</f>
        <v>27757.579999999998</v>
      </c>
      <c r="P472" s="31">
        <f>K466+K467+K469+K470+SUM(K468:K468)</f>
        <v>292177.88</v>
      </c>
      <c r="X472">
        <f>IF(Source!BI494&lt;=1,I466+I467+I469+I470-0, 0)</f>
        <v>21093.39</v>
      </c>
      <c r="Y472">
        <f>IF(Source!BI494=2,I466+I467+I469+I470-0, 0)</f>
        <v>0</v>
      </c>
      <c r="Z472">
        <f>IF(Source!BI494=3,I466+I467+I469+I470-0, 0)</f>
        <v>0</v>
      </c>
      <c r="AA472">
        <f>IF(Source!BI494=4,I466+I467+I469+I470,0)</f>
        <v>0</v>
      </c>
    </row>
    <row r="473" spans="1:27" ht="57" x14ac:dyDescent="0.2">
      <c r="A473" s="22" t="str">
        <f>Source!E496</f>
        <v>61</v>
      </c>
      <c r="B473" s="23" t="str">
        <f>Source!F496</f>
        <v>3.1-6-10</v>
      </c>
      <c r="C473" s="23" t="s">
        <v>203</v>
      </c>
      <c r="D473" s="25" t="str">
        <f>Source!H496</f>
        <v>100 м3 грунта</v>
      </c>
      <c r="E473" s="10">
        <f>Source!I496</f>
        <v>0.74444399999999999</v>
      </c>
      <c r="F473" s="27"/>
      <c r="G473" s="26"/>
      <c r="H473" s="10"/>
      <c r="I473" s="28"/>
      <c r="J473" s="10"/>
      <c r="K473" s="28"/>
      <c r="Q473">
        <f>ROUND((Source!DN496/100)*ROUND((ROUND((Source!AF496*Source!AV496*Source!I496),2)),2), 2)</f>
        <v>10.29</v>
      </c>
      <c r="R473">
        <f>Source!X496</f>
        <v>236.96</v>
      </c>
      <c r="S473">
        <f>ROUND((Source!DO496/100)*ROUND((ROUND((Source!AF496*Source!AV496*Source!I496),2)),2), 2)</f>
        <v>8.09</v>
      </c>
      <c r="T473">
        <f>Source!Y496</f>
        <v>128.79</v>
      </c>
      <c r="U473">
        <f>ROUND((175/100)*ROUND((ROUND((Source!AE496*Source!AV496*Source!I496),2)),2), 2)</f>
        <v>183.02</v>
      </c>
      <c r="V473">
        <f>ROUND((157/100)*ROUND(ROUND((ROUND((Source!AE496*Source!AV496*Source!I496),2)*Source!BS496),2), 2), 2)</f>
        <v>4027.6</v>
      </c>
    </row>
    <row r="474" spans="1:27" x14ac:dyDescent="0.2">
      <c r="C474" s="29" t="str">
        <f>"Объем: "&amp;Source!I496&amp;"=122*"&amp;"0,6*"&amp;"1,13*"&amp;"0,9/"&amp;"100"</f>
        <v>Объем: 0,744444=122*0,6*1,13*0,9/100</v>
      </c>
    </row>
    <row r="475" spans="1:27" ht="14.25" x14ac:dyDescent="0.2">
      <c r="A475" s="22"/>
      <c r="B475" s="23"/>
      <c r="C475" s="23" t="s">
        <v>970</v>
      </c>
      <c r="D475" s="25"/>
      <c r="E475" s="10"/>
      <c r="F475" s="27">
        <f>Source!AO496</f>
        <v>14.1</v>
      </c>
      <c r="G475" s="26" t="str">
        <f>Source!DG496</f>
        <v/>
      </c>
      <c r="H475" s="10">
        <f>Source!AV496</f>
        <v>1</v>
      </c>
      <c r="I475" s="28">
        <f>ROUND((ROUND((Source!AF496*Source!AV496*Source!I496),2)),2)</f>
        <v>10.5</v>
      </c>
      <c r="J475" s="10">
        <f>IF(Source!BA496&lt;&gt; 0, Source!BA496, 1)</f>
        <v>24.53</v>
      </c>
      <c r="K475" s="28">
        <f>Source!S496</f>
        <v>257.57</v>
      </c>
      <c r="W475">
        <f>I475</f>
        <v>10.5</v>
      </c>
    </row>
    <row r="476" spans="1:27" ht="14.25" x14ac:dyDescent="0.2">
      <c r="A476" s="22"/>
      <c r="B476" s="23"/>
      <c r="C476" s="23" t="s">
        <v>971</v>
      </c>
      <c r="D476" s="25"/>
      <c r="E476" s="10"/>
      <c r="F476" s="27">
        <f>Source!AM496</f>
        <v>757.55</v>
      </c>
      <c r="G476" s="26" t="str">
        <f>Source!DE496</f>
        <v/>
      </c>
      <c r="H476" s="10">
        <f>Source!AV496</f>
        <v>1</v>
      </c>
      <c r="I476" s="28">
        <f>(ROUND((ROUND(((Source!ET496)*Source!AV496*Source!I496),2)),2)+ROUND((ROUND(((Source!AE496-(Source!EU496))*Source!AV496*Source!I496),2)),2))</f>
        <v>563.95000000000005</v>
      </c>
      <c r="J476" s="10">
        <f>IF(Source!BB496&lt;&gt; 0, Source!BB496, 1)</f>
        <v>9.82</v>
      </c>
      <c r="K476" s="28">
        <f>Source!Q496</f>
        <v>5537.99</v>
      </c>
    </row>
    <row r="477" spans="1:27" ht="14.25" x14ac:dyDescent="0.2">
      <c r="A477" s="22"/>
      <c r="B477" s="23"/>
      <c r="C477" s="23" t="s">
        <v>972</v>
      </c>
      <c r="D477" s="25"/>
      <c r="E477" s="10"/>
      <c r="F477" s="27">
        <f>Source!AN496</f>
        <v>140.47999999999999</v>
      </c>
      <c r="G477" s="26" t="str">
        <f>Source!DF496</f>
        <v/>
      </c>
      <c r="H477" s="10">
        <f>Source!AV496</f>
        <v>1</v>
      </c>
      <c r="I477" s="30">
        <f>ROUND((ROUND((Source!AE496*Source!AV496*Source!I496),2)),2)</f>
        <v>104.58</v>
      </c>
      <c r="J477" s="10">
        <f>IF(Source!BS496&lt;&gt; 0, Source!BS496, 1)</f>
        <v>24.53</v>
      </c>
      <c r="K477" s="30">
        <f>Source!R496</f>
        <v>2565.35</v>
      </c>
      <c r="W477">
        <f>I477</f>
        <v>104.58</v>
      </c>
    </row>
    <row r="478" spans="1:27" ht="14.25" x14ac:dyDescent="0.2">
      <c r="A478" s="22"/>
      <c r="B478" s="23"/>
      <c r="C478" s="23" t="s">
        <v>974</v>
      </c>
      <c r="D478" s="25" t="s">
        <v>975</v>
      </c>
      <c r="E478" s="10">
        <f>Source!DN496</f>
        <v>98</v>
      </c>
      <c r="F478" s="27"/>
      <c r="G478" s="26"/>
      <c r="H478" s="10"/>
      <c r="I478" s="28">
        <f>SUM(Q473:Q477)</f>
        <v>10.29</v>
      </c>
      <c r="J478" s="10">
        <f>Source!BZ496</f>
        <v>92</v>
      </c>
      <c r="K478" s="28">
        <f>SUM(R473:R477)</f>
        <v>236.96</v>
      </c>
    </row>
    <row r="479" spans="1:27" ht="14.25" x14ac:dyDescent="0.2">
      <c r="A479" s="22"/>
      <c r="B479" s="23"/>
      <c r="C479" s="23" t="s">
        <v>976</v>
      </c>
      <c r="D479" s="25" t="s">
        <v>975</v>
      </c>
      <c r="E479" s="10">
        <f>Source!DO496</f>
        <v>77</v>
      </c>
      <c r="F479" s="27"/>
      <c r="G479" s="26"/>
      <c r="H479" s="10"/>
      <c r="I479" s="28">
        <f>SUM(S473:S478)</f>
        <v>8.09</v>
      </c>
      <c r="J479" s="10">
        <f>Source!CA496</f>
        <v>50</v>
      </c>
      <c r="K479" s="28">
        <f>SUM(T473:T478)</f>
        <v>128.79</v>
      </c>
    </row>
    <row r="480" spans="1:27" ht="14.25" x14ac:dyDescent="0.2">
      <c r="A480" s="22"/>
      <c r="B480" s="23"/>
      <c r="C480" s="23" t="s">
        <v>977</v>
      </c>
      <c r="D480" s="25" t="s">
        <v>975</v>
      </c>
      <c r="E480" s="10">
        <f>175</f>
        <v>175</v>
      </c>
      <c r="F480" s="27"/>
      <c r="G480" s="26"/>
      <c r="H480" s="10"/>
      <c r="I480" s="28">
        <f>SUM(U473:U479)</f>
        <v>183.02</v>
      </c>
      <c r="J480" s="10">
        <f>157</f>
        <v>157</v>
      </c>
      <c r="K480" s="28">
        <f>SUM(V473:V479)</f>
        <v>4027.6</v>
      </c>
    </row>
    <row r="481" spans="1:27" ht="14.25" x14ac:dyDescent="0.2">
      <c r="A481" s="22"/>
      <c r="B481" s="23"/>
      <c r="C481" s="23" t="s">
        <v>978</v>
      </c>
      <c r="D481" s="25" t="s">
        <v>979</v>
      </c>
      <c r="E481" s="10">
        <f>Source!AQ496</f>
        <v>1.38</v>
      </c>
      <c r="F481" s="27"/>
      <c r="G481" s="26" t="str">
        <f>Source!DI496</f>
        <v/>
      </c>
      <c r="H481" s="10">
        <f>Source!AV496</f>
        <v>1</v>
      </c>
      <c r="I481" s="28">
        <f>Source!U496</f>
        <v>1.02733272</v>
      </c>
      <c r="J481" s="10"/>
      <c r="K481" s="28"/>
    </row>
    <row r="482" spans="1:27" ht="15" x14ac:dyDescent="0.25">
      <c r="A482" s="32"/>
      <c r="B482" s="32"/>
      <c r="C482" s="32"/>
      <c r="D482" s="32"/>
      <c r="E482" s="32"/>
      <c r="F482" s="32"/>
      <c r="G482" s="32"/>
      <c r="H482" s="101">
        <f>I475+I476+I478+I479+I480</f>
        <v>775.85</v>
      </c>
      <c r="I482" s="101"/>
      <c r="J482" s="101">
        <f>K475+K476+K478+K479+K480</f>
        <v>10188.91</v>
      </c>
      <c r="K482" s="101"/>
      <c r="O482" s="31">
        <f>I475+I476+I478+I479+I480</f>
        <v>775.85</v>
      </c>
      <c r="P482" s="31">
        <f>K475+K476+K478+K479+K480</f>
        <v>10188.91</v>
      </c>
      <c r="X482">
        <f>IF(Source!BI496&lt;=1,I475+I476+I478+I479+I480-0, 0)</f>
        <v>775.85</v>
      </c>
      <c r="Y482">
        <f>IF(Source!BI496=2,I475+I476+I478+I479+I480-0, 0)</f>
        <v>0</v>
      </c>
      <c r="Z482">
        <f>IF(Source!BI496=3,I475+I476+I478+I479+I480-0, 0)</f>
        <v>0</v>
      </c>
      <c r="AA482">
        <f>IF(Source!BI496=4,I475+I476+I478+I479+I480,0)</f>
        <v>0</v>
      </c>
    </row>
    <row r="483" spans="1:27" ht="28.5" x14ac:dyDescent="0.2">
      <c r="A483" s="22" t="str">
        <f>Source!E497</f>
        <v>62</v>
      </c>
      <c r="B483" s="23" t="str">
        <f>Source!F497</f>
        <v>6.51-6-1</v>
      </c>
      <c r="C483" s="23" t="s">
        <v>216</v>
      </c>
      <c r="D483" s="25" t="str">
        <f>Source!H497</f>
        <v>100 м3 грунта</v>
      </c>
      <c r="E483" s="10">
        <f>Source!I497</f>
        <v>8.2715999999999998E-2</v>
      </c>
      <c r="F483" s="27"/>
      <c r="G483" s="26"/>
      <c r="H483" s="10"/>
      <c r="I483" s="28"/>
      <c r="J483" s="10"/>
      <c r="K483" s="28"/>
      <c r="Q483">
        <f>ROUND((Source!DN497/100)*ROUND((ROUND((Source!AF497*Source!AV497*Source!I497),2)),2), 2)</f>
        <v>59.85</v>
      </c>
      <c r="R483">
        <f>Source!X497</f>
        <v>1177.74</v>
      </c>
      <c r="S483">
        <f>ROUND((Source!DO497/100)*ROUND((ROUND((Source!AF497*Source!AV497*Source!I497),2)),2), 2)</f>
        <v>44.07</v>
      </c>
      <c r="T483">
        <f>Source!Y497</f>
        <v>661.47</v>
      </c>
      <c r="U483">
        <f>ROUND((175/100)*ROUND((ROUND((Source!AE497*Source!AV497*Source!I497),2)),2), 2)</f>
        <v>0</v>
      </c>
      <c r="V483">
        <f>ROUND((157/100)*ROUND(ROUND((ROUND((Source!AE497*Source!AV497*Source!I497),2)*Source!BS497),2), 2), 2)</f>
        <v>0</v>
      </c>
    </row>
    <row r="484" spans="1:27" x14ac:dyDescent="0.2">
      <c r="C484" s="29" t="str">
        <f>"Объем: "&amp;Source!I497&amp;"=122*"&amp;"0,6*"&amp;"1,13*"&amp;"0,1/"&amp;"100"</f>
        <v>Объем: 0,082716=122*0,6*1,13*0,1/100</v>
      </c>
    </row>
    <row r="485" spans="1:27" ht="14.25" x14ac:dyDescent="0.2">
      <c r="A485" s="22"/>
      <c r="B485" s="23"/>
      <c r="C485" s="23" t="s">
        <v>970</v>
      </c>
      <c r="D485" s="25"/>
      <c r="E485" s="10"/>
      <c r="F485" s="27">
        <f>Source!AO497</f>
        <v>795.14</v>
      </c>
      <c r="G485" s="26" t="str">
        <f>Source!DG497</f>
        <v/>
      </c>
      <c r="H485" s="10">
        <f>Source!AV497</f>
        <v>1</v>
      </c>
      <c r="I485" s="28">
        <f>ROUND((ROUND((Source!AF497*Source!AV497*Source!I497),2)),2)</f>
        <v>65.77</v>
      </c>
      <c r="J485" s="10">
        <f>IF(Source!BA497&lt;&gt; 0, Source!BA497, 1)</f>
        <v>24.53</v>
      </c>
      <c r="K485" s="28">
        <f>Source!S497</f>
        <v>1613.34</v>
      </c>
      <c r="W485">
        <f>I485</f>
        <v>65.77</v>
      </c>
    </row>
    <row r="486" spans="1:27" ht="14.25" x14ac:dyDescent="0.2">
      <c r="A486" s="22"/>
      <c r="B486" s="23"/>
      <c r="C486" s="23" t="s">
        <v>974</v>
      </c>
      <c r="D486" s="25" t="s">
        <v>975</v>
      </c>
      <c r="E486" s="10">
        <f>Source!DN497</f>
        <v>91</v>
      </c>
      <c r="F486" s="27"/>
      <c r="G486" s="26"/>
      <c r="H486" s="10"/>
      <c r="I486" s="28">
        <f>SUM(Q483:Q485)</f>
        <v>59.85</v>
      </c>
      <c r="J486" s="10">
        <f>Source!BZ497</f>
        <v>73</v>
      </c>
      <c r="K486" s="28">
        <f>SUM(R483:R485)</f>
        <v>1177.74</v>
      </c>
    </row>
    <row r="487" spans="1:27" ht="14.25" x14ac:dyDescent="0.2">
      <c r="A487" s="22"/>
      <c r="B487" s="23"/>
      <c r="C487" s="23" t="s">
        <v>976</v>
      </c>
      <c r="D487" s="25" t="s">
        <v>975</v>
      </c>
      <c r="E487" s="10">
        <f>Source!DO497</f>
        <v>67</v>
      </c>
      <c r="F487" s="27"/>
      <c r="G487" s="26"/>
      <c r="H487" s="10"/>
      <c r="I487" s="28">
        <f>SUM(S483:S486)</f>
        <v>44.07</v>
      </c>
      <c r="J487" s="10">
        <f>Source!CA497</f>
        <v>41</v>
      </c>
      <c r="K487" s="28">
        <f>SUM(T483:T486)</f>
        <v>661.47</v>
      </c>
    </row>
    <row r="488" spans="1:27" ht="14.25" x14ac:dyDescent="0.2">
      <c r="A488" s="22"/>
      <c r="B488" s="23"/>
      <c r="C488" s="23" t="s">
        <v>978</v>
      </c>
      <c r="D488" s="25" t="s">
        <v>979</v>
      </c>
      <c r="E488" s="10">
        <f>Source!AQ497</f>
        <v>83</v>
      </c>
      <c r="F488" s="27"/>
      <c r="G488" s="26" t="str">
        <f>Source!DI497</f>
        <v/>
      </c>
      <c r="H488" s="10">
        <f>Source!AV497</f>
        <v>1</v>
      </c>
      <c r="I488" s="28">
        <f>Source!U497</f>
        <v>6.8654279999999996</v>
      </c>
      <c r="J488" s="10"/>
      <c r="K488" s="28"/>
    </row>
    <row r="489" spans="1:27" ht="15" x14ac:dyDescent="0.25">
      <c r="A489" s="32"/>
      <c r="B489" s="32"/>
      <c r="C489" s="32"/>
      <c r="D489" s="32"/>
      <c r="E489" s="32"/>
      <c r="F489" s="32"/>
      <c r="G489" s="32"/>
      <c r="H489" s="101">
        <f>I485+I486+I487</f>
        <v>169.69</v>
      </c>
      <c r="I489" s="101"/>
      <c r="J489" s="101">
        <f>K485+K486+K487</f>
        <v>3452.55</v>
      </c>
      <c r="K489" s="101"/>
      <c r="O489" s="31">
        <f>I485+I486+I487</f>
        <v>169.69</v>
      </c>
      <c r="P489" s="31">
        <f>K485+K486+K487</f>
        <v>3452.55</v>
      </c>
      <c r="X489">
        <f>IF(Source!BI497&lt;=1,I485+I486+I487-0, 0)</f>
        <v>169.69</v>
      </c>
      <c r="Y489">
        <f>IF(Source!BI497=2,I485+I486+I487-0, 0)</f>
        <v>0</v>
      </c>
      <c r="Z489">
        <f>IF(Source!BI497=3,I485+I486+I487-0, 0)</f>
        <v>0</v>
      </c>
      <c r="AA489">
        <f>IF(Source!BI497=4,I485+I486+I487,0)</f>
        <v>0</v>
      </c>
    </row>
    <row r="490" spans="1:27" ht="71.25" x14ac:dyDescent="0.2">
      <c r="A490" s="22" t="str">
        <f>Source!E500</f>
        <v>65</v>
      </c>
      <c r="B490" s="23" t="str">
        <f>Source!F500</f>
        <v>3.47-7-4</v>
      </c>
      <c r="C490" s="23" t="s">
        <v>349</v>
      </c>
      <c r="D490" s="25" t="str">
        <f>Source!H500</f>
        <v>10 деревьев или кустарников</v>
      </c>
      <c r="E490" s="10">
        <f>Source!I500</f>
        <v>12.2</v>
      </c>
      <c r="F490" s="27"/>
      <c r="G490" s="26"/>
      <c r="H490" s="10"/>
      <c r="I490" s="28"/>
      <c r="J490" s="10"/>
      <c r="K490" s="28"/>
      <c r="Q490">
        <f>ROUND((Source!DN500/100)*ROUND((ROUND((Source!AF500*Source!AV500*Source!I500),2)),2), 2)</f>
        <v>5066.07</v>
      </c>
      <c r="R490">
        <f>Source!X500</f>
        <v>67784.06</v>
      </c>
      <c r="S490">
        <f>ROUND((Source!DO500/100)*ROUND((ROUND((Source!AF500*Source!AV500*Source!I500),2)),2), 2)</f>
        <v>2736.22</v>
      </c>
      <c r="T490">
        <f>Source!Y500</f>
        <v>31233.83</v>
      </c>
      <c r="U490">
        <f>ROUND((175/100)*ROUND((ROUND((Source!AE500*Source!AV500*Source!I500),2)),2), 2)</f>
        <v>891.78</v>
      </c>
      <c r="V490">
        <f>ROUND((157/100)*ROUND(ROUND((ROUND((Source!AE500*Source!AV500*Source!I500),2)*Source!BS500),2), 2), 2)</f>
        <v>19625.38</v>
      </c>
    </row>
    <row r="491" spans="1:27" x14ac:dyDescent="0.2">
      <c r="C491" s="29" t="str">
        <f>"Объем: "&amp;Source!I500&amp;"=122/"&amp;"10"</f>
        <v>Объем: 12,2=122/10</v>
      </c>
    </row>
    <row r="492" spans="1:27" ht="14.25" x14ac:dyDescent="0.2">
      <c r="A492" s="22"/>
      <c r="B492" s="23"/>
      <c r="C492" s="23" t="s">
        <v>970</v>
      </c>
      <c r="D492" s="25"/>
      <c r="E492" s="10"/>
      <c r="F492" s="27">
        <f>Source!AO500</f>
        <v>222.06</v>
      </c>
      <c r="G492" s="26" t="str">
        <f>Source!DG500</f>
        <v/>
      </c>
      <c r="H492" s="10">
        <f>Source!AV500</f>
        <v>1</v>
      </c>
      <c r="I492" s="28">
        <f>ROUND((ROUND((Source!AF500*Source!AV500*Source!I500),2)),2)</f>
        <v>2709.13</v>
      </c>
      <c r="J492" s="10">
        <f>IF(Source!BA500&lt;&gt; 0, Source!BA500, 1)</f>
        <v>24.53</v>
      </c>
      <c r="K492" s="28">
        <f>Source!S500</f>
        <v>66454.960000000006</v>
      </c>
      <c r="W492">
        <f>I492</f>
        <v>2709.13</v>
      </c>
    </row>
    <row r="493" spans="1:27" ht="14.25" x14ac:dyDescent="0.2">
      <c r="A493" s="22"/>
      <c r="B493" s="23"/>
      <c r="C493" s="23" t="s">
        <v>971</v>
      </c>
      <c r="D493" s="25"/>
      <c r="E493" s="10"/>
      <c r="F493" s="27">
        <f>Source!AM500</f>
        <v>341.6</v>
      </c>
      <c r="G493" s="26" t="str">
        <f>Source!DE500</f>
        <v/>
      </c>
      <c r="H493" s="10">
        <f>Source!AV500</f>
        <v>1</v>
      </c>
      <c r="I493" s="28">
        <f>(ROUND((ROUND(((Source!ET500)*Source!AV500*Source!I500),2)),2)+ROUND((ROUND(((Source!AE500-(Source!EU500))*Source!AV500*Source!I500),2)),2))</f>
        <v>4167.5200000000004</v>
      </c>
      <c r="J493" s="10">
        <f>IF(Source!BB500&lt;&gt; 0, Source!BB500, 1)</f>
        <v>8.14</v>
      </c>
      <c r="K493" s="28">
        <f>Source!Q500</f>
        <v>33923.61</v>
      </c>
    </row>
    <row r="494" spans="1:27" ht="14.25" x14ac:dyDescent="0.2">
      <c r="A494" s="22"/>
      <c r="B494" s="23"/>
      <c r="C494" s="23" t="s">
        <v>972</v>
      </c>
      <c r="D494" s="25"/>
      <c r="E494" s="10"/>
      <c r="F494" s="27">
        <f>Source!AN500</f>
        <v>41.77</v>
      </c>
      <c r="G494" s="26" t="str">
        <f>Source!DF500</f>
        <v/>
      </c>
      <c r="H494" s="10">
        <f>Source!AV500</f>
        <v>1</v>
      </c>
      <c r="I494" s="30">
        <f>ROUND((ROUND((Source!AE500*Source!AV500*Source!I500),2)),2)</f>
        <v>509.59</v>
      </c>
      <c r="J494" s="10">
        <f>IF(Source!BS500&lt;&gt; 0, Source!BS500, 1)</f>
        <v>24.53</v>
      </c>
      <c r="K494" s="30">
        <f>Source!R500</f>
        <v>12500.24</v>
      </c>
      <c r="W494">
        <f>I494</f>
        <v>509.59</v>
      </c>
    </row>
    <row r="495" spans="1:27" ht="14.25" x14ac:dyDescent="0.2">
      <c r="A495" s="22"/>
      <c r="B495" s="23"/>
      <c r="C495" s="23" t="s">
        <v>973</v>
      </c>
      <c r="D495" s="25"/>
      <c r="E495" s="10"/>
      <c r="F495" s="27">
        <f>Source!AL500</f>
        <v>40.08</v>
      </c>
      <c r="G495" s="26" t="str">
        <f>Source!DD500</f>
        <v/>
      </c>
      <c r="H495" s="10">
        <f>Source!AW500</f>
        <v>1</v>
      </c>
      <c r="I495" s="28">
        <f>ROUND((ROUND((Source!AC500*Source!AW500*Source!I500),2)),2)</f>
        <v>488.98</v>
      </c>
      <c r="J495" s="10">
        <f>IF(Source!BC500&lt;&gt; 0, Source!BC500, 1)</f>
        <v>5.37</v>
      </c>
      <c r="K495" s="28">
        <f>Source!P500</f>
        <v>2625.82</v>
      </c>
    </row>
    <row r="496" spans="1:27" ht="71.25" x14ac:dyDescent="0.2">
      <c r="A496" s="22" t="str">
        <f>Source!E501</f>
        <v>65,1</v>
      </c>
      <c r="B496" s="23" t="str">
        <f>Source!F501</f>
        <v>1.4-1-6</v>
      </c>
      <c r="C496" s="23" t="s">
        <v>353</v>
      </c>
      <c r="D496" s="25" t="str">
        <f>Source!H501</f>
        <v>шт.</v>
      </c>
      <c r="E496" s="10">
        <f>Source!I501</f>
        <v>122</v>
      </c>
      <c r="F496" s="27">
        <f>Source!AK501</f>
        <v>330.55</v>
      </c>
      <c r="G496" s="33" t="s">
        <v>3</v>
      </c>
      <c r="H496" s="10">
        <f>Source!AW501</f>
        <v>1</v>
      </c>
      <c r="I496" s="28">
        <f>ROUND((ROUND((Source!AC501*Source!AW501*Source!I501),2)),2)+(ROUND((ROUND(((Source!ET501)*Source!AV501*Source!I501),2)),2)+ROUND((ROUND(((Source!AE501-(Source!EU501))*Source!AV501*Source!I501),2)),2))+ROUND((ROUND((Source!AF501*Source!AV501*Source!I501),2)),2)</f>
        <v>40327.1</v>
      </c>
      <c r="J496" s="10">
        <f>IF(Source!BC501&lt;&gt; 0, Source!BC501, 1)</f>
        <v>20.66</v>
      </c>
      <c r="K496" s="28">
        <f>Source!O501</f>
        <v>833157.89</v>
      </c>
      <c r="Q496">
        <f>ROUND((Source!DN501/100)*ROUND((ROUND((Source!AF501*Source!AV501*Source!I501),2)),2), 2)</f>
        <v>0</v>
      </c>
      <c r="R496">
        <f>Source!X501</f>
        <v>0</v>
      </c>
      <c r="S496">
        <f>ROUND((Source!DO501/100)*ROUND((ROUND((Source!AF501*Source!AV501*Source!I501),2)),2), 2)</f>
        <v>0</v>
      </c>
      <c r="T496">
        <f>Source!Y501</f>
        <v>0</v>
      </c>
      <c r="U496">
        <f>ROUND((175/100)*ROUND((ROUND((Source!AE501*Source!AV501*Source!I501),2)),2), 2)</f>
        <v>0</v>
      </c>
      <c r="V496">
        <f>ROUND((157/100)*ROUND(ROUND((ROUND((Source!AE501*Source!AV501*Source!I501),2)*Source!BS501),2), 2), 2)</f>
        <v>0</v>
      </c>
      <c r="X496">
        <f>IF(Source!BI501&lt;=1,I496, 0)</f>
        <v>40327.1</v>
      </c>
      <c r="Y496">
        <f>IF(Source!BI501=2,I496, 0)</f>
        <v>0</v>
      </c>
      <c r="Z496">
        <f>IF(Source!BI501=3,I496, 0)</f>
        <v>0</v>
      </c>
      <c r="AA496">
        <f>IF(Source!BI501=4,I496, 0)</f>
        <v>0</v>
      </c>
    </row>
    <row r="497" spans="1:38" ht="14.25" x14ac:dyDescent="0.2">
      <c r="A497" s="22"/>
      <c r="B497" s="23"/>
      <c r="C497" s="23" t="s">
        <v>974</v>
      </c>
      <c r="D497" s="25" t="s">
        <v>975</v>
      </c>
      <c r="E497" s="10">
        <f>Source!DN500</f>
        <v>187</v>
      </c>
      <c r="F497" s="27"/>
      <c r="G497" s="26"/>
      <c r="H497" s="10"/>
      <c r="I497" s="28">
        <f>SUM(Q490:Q496)</f>
        <v>5066.07</v>
      </c>
      <c r="J497" s="10">
        <f>Source!BZ500</f>
        <v>102</v>
      </c>
      <c r="K497" s="28">
        <f>SUM(R490:R496)</f>
        <v>67784.06</v>
      </c>
    </row>
    <row r="498" spans="1:38" ht="14.25" x14ac:dyDescent="0.2">
      <c r="A498" s="22"/>
      <c r="B498" s="23"/>
      <c r="C498" s="23" t="s">
        <v>976</v>
      </c>
      <c r="D498" s="25" t="s">
        <v>975</v>
      </c>
      <c r="E498" s="10">
        <f>Source!DO500</f>
        <v>101</v>
      </c>
      <c r="F498" s="27"/>
      <c r="G498" s="26"/>
      <c r="H498" s="10"/>
      <c r="I498" s="28">
        <f>SUM(S490:S497)</f>
        <v>2736.22</v>
      </c>
      <c r="J498" s="10">
        <f>Source!CA500</f>
        <v>47</v>
      </c>
      <c r="K498" s="28">
        <f>SUM(T490:T497)</f>
        <v>31233.83</v>
      </c>
    </row>
    <row r="499" spans="1:38" ht="14.25" x14ac:dyDescent="0.2">
      <c r="A499" s="22"/>
      <c r="B499" s="23"/>
      <c r="C499" s="23" t="s">
        <v>977</v>
      </c>
      <c r="D499" s="25" t="s">
        <v>975</v>
      </c>
      <c r="E499" s="10">
        <f>175</f>
        <v>175</v>
      </c>
      <c r="F499" s="27"/>
      <c r="G499" s="26"/>
      <c r="H499" s="10"/>
      <c r="I499" s="28">
        <f>SUM(U490:U498)</f>
        <v>891.78</v>
      </c>
      <c r="J499" s="10">
        <f>157</f>
        <v>157</v>
      </c>
      <c r="K499" s="28">
        <f>SUM(V490:V498)</f>
        <v>19625.38</v>
      </c>
    </row>
    <row r="500" spans="1:38" ht="14.25" x14ac:dyDescent="0.2">
      <c r="A500" s="22"/>
      <c r="B500" s="23"/>
      <c r="C500" s="23" t="s">
        <v>978</v>
      </c>
      <c r="D500" s="25" t="s">
        <v>979</v>
      </c>
      <c r="E500" s="10">
        <f>Source!AQ500</f>
        <v>18.010000000000002</v>
      </c>
      <c r="F500" s="27"/>
      <c r="G500" s="26" t="str">
        <f>Source!DI500</f>
        <v/>
      </c>
      <c r="H500" s="10">
        <f>Source!AV500</f>
        <v>1</v>
      </c>
      <c r="I500" s="28">
        <f>Source!U500</f>
        <v>219.72200000000001</v>
      </c>
      <c r="J500" s="10"/>
      <c r="K500" s="28"/>
    </row>
    <row r="501" spans="1:38" ht="15" x14ac:dyDescent="0.25">
      <c r="A501" s="32"/>
      <c r="B501" s="32"/>
      <c r="C501" s="32"/>
      <c r="D501" s="32"/>
      <c r="E501" s="32"/>
      <c r="F501" s="32"/>
      <c r="G501" s="32"/>
      <c r="H501" s="101">
        <f>I492+I493+I495+I497+I498+I499+SUM(I496:I496)</f>
        <v>56386.8</v>
      </c>
      <c r="I501" s="101"/>
      <c r="J501" s="101">
        <f>K492+K493+K495+K497+K498+K499+SUM(K496:K496)</f>
        <v>1054805.55</v>
      </c>
      <c r="K501" s="101"/>
      <c r="O501" s="31">
        <f>I492+I493+I495+I497+I498+I499+SUM(I496:I496)</f>
        <v>56386.8</v>
      </c>
      <c r="P501" s="31">
        <f>K492+K493+K495+K497+K498+K499+SUM(K496:K496)</f>
        <v>1054805.55</v>
      </c>
      <c r="X501">
        <f>IF(Source!BI500&lt;=1,I492+I493+I495+I497+I498+I499-0, 0)</f>
        <v>16059.7</v>
      </c>
      <c r="Y501">
        <f>IF(Source!BI500=2,I492+I493+I495+I497+I498+I499-0, 0)</f>
        <v>0</v>
      </c>
      <c r="Z501">
        <f>IF(Source!BI500=3,I492+I493+I495+I497+I498+I499-0, 0)</f>
        <v>0</v>
      </c>
      <c r="AA501">
        <f>IF(Source!BI500=4,I492+I493+I495+I497+I498+I499,0)</f>
        <v>0</v>
      </c>
    </row>
    <row r="503" spans="1:38" ht="15" x14ac:dyDescent="0.25">
      <c r="A503" s="100" t="str">
        <f>CONCATENATE("Итого по разделу: ",IF(Source!G503&lt;&gt;"Новый раздел", Source!G503, ""))</f>
        <v>Итого по разделу: 22.1 Посадка деревьев с комом 0,8х0,6 м, высотой от 3 м</v>
      </c>
      <c r="B503" s="100"/>
      <c r="C503" s="100"/>
      <c r="D503" s="100"/>
      <c r="E503" s="100"/>
      <c r="F503" s="100"/>
      <c r="G503" s="100"/>
      <c r="H503" s="98">
        <f>SUM(O451:O502)</f>
        <v>99811.28</v>
      </c>
      <c r="I503" s="99"/>
      <c r="J503" s="98">
        <f>SUM(P451:P502)</f>
        <v>1495338.02</v>
      </c>
      <c r="K503" s="99"/>
      <c r="AL503" s="36" t="str">
        <f>CONCATENATE("Итого по разделу: ",IF(Source!G503&lt;&gt;"Новый раздел", Source!G503, ""))</f>
        <v>Итого по разделу: 22.1 Посадка деревьев с комом 0,8х0,6 м, высотой от 3 м</v>
      </c>
    </row>
    <row r="504" spans="1:38" hidden="1" x14ac:dyDescent="0.2">
      <c r="A504" t="s">
        <v>980</v>
      </c>
      <c r="I504">
        <f>SUM(AC451:AC503)</f>
        <v>0</v>
      </c>
      <c r="J504">
        <f>SUM(AD451:AD503)</f>
        <v>0</v>
      </c>
    </row>
    <row r="505" spans="1:38" hidden="1" x14ac:dyDescent="0.2">
      <c r="A505" t="s">
        <v>981</v>
      </c>
      <c r="I505">
        <f>SUM(AE451:AE504)</f>
        <v>0</v>
      </c>
      <c r="J505">
        <f>SUM(AF451:AF504)</f>
        <v>0</v>
      </c>
    </row>
    <row r="506" spans="1:38" ht="14.25" x14ac:dyDescent="0.2">
      <c r="C506" s="96" t="str">
        <f>Source!H532</f>
        <v>с ндс</v>
      </c>
      <c r="D506" s="96"/>
      <c r="E506" s="96"/>
      <c r="F506" s="96"/>
      <c r="G506" s="96"/>
      <c r="H506" s="96"/>
      <c r="I506" s="96"/>
      <c r="J506" s="97">
        <f>IF(Source!F532=0, "", Source!F532)</f>
        <v>1794405.62</v>
      </c>
      <c r="K506" s="97"/>
    </row>
    <row r="508" spans="1:38" ht="16.5" x14ac:dyDescent="0.25">
      <c r="A508" s="102" t="str">
        <f>CONCATENATE("Раздел: ",IF(Source!G568&lt;&gt;"Новый раздел", Source!G568, ""))</f>
        <v>Раздел: 23.1. Устройство цветников (многолетники)</v>
      </c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</row>
    <row r="509" spans="1:38" ht="42.75" x14ac:dyDescent="0.2">
      <c r="A509" s="22" t="str">
        <f>Source!E572</f>
        <v>66</v>
      </c>
      <c r="B509" s="23" t="str">
        <f>Source!F572</f>
        <v>3.47-29-1</v>
      </c>
      <c r="C509" s="23" t="s">
        <v>359</v>
      </c>
      <c r="D509" s="25" t="str">
        <f>Source!H572</f>
        <v>100 м2 цветников</v>
      </c>
      <c r="E509" s="10">
        <f>Source!I572</f>
        <v>2.82</v>
      </c>
      <c r="F509" s="27"/>
      <c r="G509" s="26"/>
      <c r="H509" s="10"/>
      <c r="I509" s="28"/>
      <c r="J509" s="10"/>
      <c r="K509" s="28"/>
      <c r="Q509">
        <f>ROUND((Source!DN572/100)*ROUND((ROUND((Source!AF572*Source!AV572*Source!I572),2)),2), 2)</f>
        <v>2563.66</v>
      </c>
      <c r="R509">
        <f>Source!X572</f>
        <v>34301.74</v>
      </c>
      <c r="S509">
        <f>ROUND((Source!DO572/100)*ROUND((ROUND((Source!AF572*Source!AV572*Source!I572),2)),2), 2)</f>
        <v>1384.65</v>
      </c>
      <c r="T509">
        <f>Source!Y572</f>
        <v>15805.71</v>
      </c>
      <c r="U509">
        <f>ROUND((175/100)*ROUND((ROUND((Source!AE572*Source!AV572*Source!I572),2)),2), 2)</f>
        <v>0</v>
      </c>
      <c r="V509">
        <f>ROUND((157/100)*ROUND(ROUND((ROUND((Source!AE572*Source!AV572*Source!I572),2)*Source!BS572),2), 2), 2)</f>
        <v>0</v>
      </c>
    </row>
    <row r="510" spans="1:38" x14ac:dyDescent="0.2">
      <c r="C510" s="29" t="str">
        <f>"Объем: "&amp;Source!I572&amp;"=282/"&amp;"100"</f>
        <v>Объем: 2,82=282/100</v>
      </c>
    </row>
    <row r="511" spans="1:38" ht="14.25" x14ac:dyDescent="0.2">
      <c r="A511" s="22"/>
      <c r="B511" s="23"/>
      <c r="C511" s="23" t="s">
        <v>970</v>
      </c>
      <c r="D511" s="25"/>
      <c r="E511" s="10"/>
      <c r="F511" s="27">
        <f>Source!AO572</f>
        <v>486.15</v>
      </c>
      <c r="G511" s="26" t="str">
        <f>Source!DG572</f>
        <v/>
      </c>
      <c r="H511" s="10">
        <f>Source!AV572</f>
        <v>1</v>
      </c>
      <c r="I511" s="28">
        <f>ROUND((ROUND((Source!AF572*Source!AV572*Source!I572),2)),2)</f>
        <v>1370.94</v>
      </c>
      <c r="J511" s="10">
        <f>IF(Source!BA572&lt;&gt; 0, Source!BA572, 1)</f>
        <v>24.53</v>
      </c>
      <c r="K511" s="28">
        <f>Source!S572</f>
        <v>33629.160000000003</v>
      </c>
      <c r="W511">
        <f>I511</f>
        <v>1370.94</v>
      </c>
    </row>
    <row r="512" spans="1:38" ht="14.25" x14ac:dyDescent="0.2">
      <c r="A512" s="22" t="str">
        <f>Source!E573</f>
        <v>66,1</v>
      </c>
      <c r="B512" s="23" t="str">
        <f>Source!F573</f>
        <v>1.4-6-1</v>
      </c>
      <c r="C512" s="23" t="s">
        <v>281</v>
      </c>
      <c r="D512" s="25" t="str">
        <f>Source!H573</f>
        <v>м3</v>
      </c>
      <c r="E512" s="10">
        <f>Source!I573</f>
        <v>56.4</v>
      </c>
      <c r="F512" s="27">
        <f>Source!AK573</f>
        <v>146.84</v>
      </c>
      <c r="G512" s="33" t="s">
        <v>3</v>
      </c>
      <c r="H512" s="10">
        <f>Source!AW573</f>
        <v>1</v>
      </c>
      <c r="I512" s="28">
        <f>ROUND((ROUND((Source!AC573*Source!AW573*Source!I573),2)),2)+(ROUND((ROUND(((Source!ET573)*Source!AV573*Source!I573),2)),2)+ROUND((ROUND(((Source!AE573-(Source!EU573))*Source!AV573*Source!I573),2)),2))+ROUND((ROUND((Source!AF573*Source!AV573*Source!I573),2)),2)</f>
        <v>8281.7800000000007</v>
      </c>
      <c r="J512" s="10">
        <f>IF(Source!BC573&lt;&gt; 0, Source!BC573, 1)</f>
        <v>6.66</v>
      </c>
      <c r="K512" s="28">
        <f>Source!O573</f>
        <v>55156.65</v>
      </c>
      <c r="Q512">
        <f>ROUND((Source!DN573/100)*ROUND((ROUND((Source!AF573*Source!AV573*Source!I573),2)),2), 2)</f>
        <v>0</v>
      </c>
      <c r="R512">
        <f>Source!X573</f>
        <v>0</v>
      </c>
      <c r="S512">
        <f>ROUND((Source!DO573/100)*ROUND((ROUND((Source!AF573*Source!AV573*Source!I573),2)),2), 2)</f>
        <v>0</v>
      </c>
      <c r="T512">
        <f>Source!Y573</f>
        <v>0</v>
      </c>
      <c r="U512">
        <f>ROUND((175/100)*ROUND((ROUND((Source!AE573*Source!AV573*Source!I573),2)),2), 2)</f>
        <v>0</v>
      </c>
      <c r="V512">
        <f>ROUND((157/100)*ROUND(ROUND((ROUND((Source!AE573*Source!AV573*Source!I573),2)*Source!BS573),2), 2), 2)</f>
        <v>0</v>
      </c>
      <c r="X512">
        <f>IF(Source!BI573&lt;=1,I512, 0)</f>
        <v>8281.7800000000007</v>
      </c>
      <c r="Y512">
        <f>IF(Source!BI573=2,I512, 0)</f>
        <v>0</v>
      </c>
      <c r="Z512">
        <f>IF(Source!BI573=3,I512, 0)</f>
        <v>0</v>
      </c>
      <c r="AA512">
        <f>IF(Source!BI573=4,I512, 0)</f>
        <v>0</v>
      </c>
    </row>
    <row r="513" spans="1:27" ht="14.25" x14ac:dyDescent="0.2">
      <c r="A513" s="22"/>
      <c r="B513" s="23"/>
      <c r="C513" s="23" t="s">
        <v>974</v>
      </c>
      <c r="D513" s="25" t="s">
        <v>975</v>
      </c>
      <c r="E513" s="10">
        <f>Source!DN572</f>
        <v>187</v>
      </c>
      <c r="F513" s="27"/>
      <c r="G513" s="26"/>
      <c r="H513" s="10"/>
      <c r="I513" s="28">
        <f>SUM(Q509:Q512)</f>
        <v>2563.66</v>
      </c>
      <c r="J513" s="10">
        <f>Source!BZ572</f>
        <v>102</v>
      </c>
      <c r="K513" s="28">
        <f>SUM(R509:R512)</f>
        <v>34301.74</v>
      </c>
    </row>
    <row r="514" spans="1:27" ht="14.25" x14ac:dyDescent="0.2">
      <c r="A514" s="22"/>
      <c r="B514" s="23"/>
      <c r="C514" s="23" t="s">
        <v>976</v>
      </c>
      <c r="D514" s="25" t="s">
        <v>975</v>
      </c>
      <c r="E514" s="10">
        <f>Source!DO572</f>
        <v>101</v>
      </c>
      <c r="F514" s="27"/>
      <c r="G514" s="26"/>
      <c r="H514" s="10"/>
      <c r="I514" s="28">
        <f>SUM(S509:S513)</f>
        <v>1384.65</v>
      </c>
      <c r="J514" s="10">
        <f>Source!CA572</f>
        <v>47</v>
      </c>
      <c r="K514" s="28">
        <f>SUM(T509:T513)</f>
        <v>15805.71</v>
      </c>
    </row>
    <row r="515" spans="1:27" ht="14.25" x14ac:dyDescent="0.2">
      <c r="A515" s="22"/>
      <c r="B515" s="23"/>
      <c r="C515" s="23" t="s">
        <v>978</v>
      </c>
      <c r="D515" s="25" t="s">
        <v>979</v>
      </c>
      <c r="E515" s="10">
        <f>Source!AQ572</f>
        <v>46.7</v>
      </c>
      <c r="F515" s="27"/>
      <c r="G515" s="26" t="str">
        <f>Source!DI572</f>
        <v/>
      </c>
      <c r="H515" s="10">
        <f>Source!AV572</f>
        <v>1</v>
      </c>
      <c r="I515" s="28">
        <f>Source!U572</f>
        <v>131.69399999999999</v>
      </c>
      <c r="J515" s="10"/>
      <c r="K515" s="28"/>
    </row>
    <row r="516" spans="1:27" ht="15" x14ac:dyDescent="0.25">
      <c r="A516" s="32"/>
      <c r="B516" s="32"/>
      <c r="C516" s="32"/>
      <c r="D516" s="32"/>
      <c r="E516" s="32"/>
      <c r="F516" s="32"/>
      <c r="G516" s="32"/>
      <c r="H516" s="101">
        <f>I511+I513+I514+SUM(I512:I512)</f>
        <v>13601.03</v>
      </c>
      <c r="I516" s="101"/>
      <c r="J516" s="101">
        <f>K511+K513+K514+SUM(K512:K512)</f>
        <v>138893.25999999998</v>
      </c>
      <c r="K516" s="101"/>
      <c r="O516" s="31">
        <f>I511+I513+I514+SUM(I512:I512)</f>
        <v>13601.03</v>
      </c>
      <c r="P516" s="31">
        <f>K511+K513+K514+SUM(K512:K512)</f>
        <v>138893.25999999998</v>
      </c>
      <c r="X516">
        <f>IF(Source!BI572&lt;=1,I511+I513+I514-0, 0)</f>
        <v>5319.25</v>
      </c>
      <c r="Y516">
        <f>IF(Source!BI572=2,I511+I513+I514-0, 0)</f>
        <v>0</v>
      </c>
      <c r="Z516">
        <f>IF(Source!BI572=3,I511+I513+I514-0, 0)</f>
        <v>0</v>
      </c>
      <c r="AA516">
        <f>IF(Source!BI572=4,I511+I513+I514,0)</f>
        <v>0</v>
      </c>
    </row>
    <row r="517" spans="1:27" ht="42.75" x14ac:dyDescent="0.2">
      <c r="A517" s="22" t="str">
        <f>Source!E574</f>
        <v>67</v>
      </c>
      <c r="B517" s="23" t="str">
        <f>Source!F574</f>
        <v>3.47-29-2</v>
      </c>
      <c r="C517" s="23" t="s">
        <v>365</v>
      </c>
      <c r="D517" s="25" t="str">
        <f>Source!H574</f>
        <v>100 м2 цветников</v>
      </c>
      <c r="E517" s="10">
        <f>Source!I574</f>
        <v>2.82</v>
      </c>
      <c r="F517" s="27"/>
      <c r="G517" s="26"/>
      <c r="H517" s="10"/>
      <c r="I517" s="28"/>
      <c r="J517" s="10"/>
      <c r="K517" s="28"/>
      <c r="Q517">
        <f>ROUND((Source!DN574/100)*ROUND((ROUND((Source!AF574*Source!AV574*Source!I574),2)),2), 2)</f>
        <v>1190.1099999999999</v>
      </c>
      <c r="R517">
        <f>Source!X574</f>
        <v>15923.61</v>
      </c>
      <c r="S517">
        <f>ROUND((Source!DO574/100)*ROUND((ROUND((Source!AF574*Source!AV574*Source!I574),2)),2), 2)</f>
        <v>642.78</v>
      </c>
      <c r="T517">
        <f>Source!Y574</f>
        <v>7337.35</v>
      </c>
      <c r="U517">
        <f>ROUND((175/100)*ROUND((ROUND((Source!AE574*Source!AV574*Source!I574),2)),2), 2)</f>
        <v>0</v>
      </c>
      <c r="V517">
        <f>ROUND((157/100)*ROUND(ROUND((ROUND((Source!AE574*Source!AV574*Source!I574),2)*Source!BS574),2), 2), 2)</f>
        <v>0</v>
      </c>
    </row>
    <row r="518" spans="1:27" x14ac:dyDescent="0.2">
      <c r="C518" s="29" t="str">
        <f>"Объем: "&amp;Source!I574&amp;"=282/"&amp;"100"</f>
        <v>Объем: 2,82=282/100</v>
      </c>
    </row>
    <row r="519" spans="1:27" ht="14.25" x14ac:dyDescent="0.2">
      <c r="A519" s="22"/>
      <c r="B519" s="23"/>
      <c r="C519" s="23" t="s">
        <v>970</v>
      </c>
      <c r="D519" s="25"/>
      <c r="E519" s="10"/>
      <c r="F519" s="27">
        <f>Source!AO574</f>
        <v>56.42</v>
      </c>
      <c r="G519" s="26" t="str">
        <f>Source!DG574</f>
        <v>*4</v>
      </c>
      <c r="H519" s="10">
        <f>Source!AV574</f>
        <v>1</v>
      </c>
      <c r="I519" s="28">
        <f>ROUND((ROUND((Source!AF574*Source!AV574*Source!I574),2)),2)</f>
        <v>636.41999999999996</v>
      </c>
      <c r="J519" s="10">
        <f>IF(Source!BA574&lt;&gt; 0, Source!BA574, 1)</f>
        <v>24.53</v>
      </c>
      <c r="K519" s="28">
        <f>Source!S574</f>
        <v>15611.38</v>
      </c>
      <c r="W519">
        <f>I519</f>
        <v>636.41999999999996</v>
      </c>
    </row>
    <row r="520" spans="1:27" ht="14.25" x14ac:dyDescent="0.2">
      <c r="A520" s="22" t="str">
        <f>Source!E575</f>
        <v>67,1</v>
      </c>
      <c r="B520" s="23" t="str">
        <f>Source!F575</f>
        <v>1.4-6-1</v>
      </c>
      <c r="C520" s="23" t="s">
        <v>281</v>
      </c>
      <c r="D520" s="25" t="str">
        <f>Source!H575</f>
        <v>м3</v>
      </c>
      <c r="E520" s="10">
        <f>Source!I575</f>
        <v>56.4</v>
      </c>
      <c r="F520" s="27">
        <f>Source!AK575</f>
        <v>146.84</v>
      </c>
      <c r="G520" s="33" t="s">
        <v>982</v>
      </c>
      <c r="H520" s="10">
        <f>Source!AW575</f>
        <v>1</v>
      </c>
      <c r="I520" s="28">
        <f>ROUND((ROUND((Source!AC575*Source!AW575*Source!I575),2)),2)+(ROUND((ROUND(((Source!ET575)*Source!AV575*Source!I575),2)),2)+ROUND((ROUND(((Source!AE575-(Source!EU575))*Source!AV575*Source!I575),2)),2))+ROUND((ROUND((Source!AF575*Source!AV575*Source!I575),2)),2)</f>
        <v>8281.7800000000007</v>
      </c>
      <c r="J520" s="10">
        <f>IF(Source!BC575&lt;&gt; 0, Source!BC575, 1)</f>
        <v>6.66</v>
      </c>
      <c r="K520" s="28">
        <f>Source!O575</f>
        <v>55156.65</v>
      </c>
      <c r="Q520">
        <f>ROUND((Source!DN575/100)*ROUND((ROUND((Source!AF575*Source!AV575*Source!I575),2)),2), 2)</f>
        <v>0</v>
      </c>
      <c r="R520">
        <f>Source!X575</f>
        <v>0</v>
      </c>
      <c r="S520">
        <f>ROUND((Source!DO575/100)*ROUND((ROUND((Source!AF575*Source!AV575*Source!I575),2)),2), 2)</f>
        <v>0</v>
      </c>
      <c r="T520">
        <f>Source!Y575</f>
        <v>0</v>
      </c>
      <c r="U520">
        <f>ROUND((175/100)*ROUND((ROUND((Source!AE575*Source!AV575*Source!I575),2)),2), 2)</f>
        <v>0</v>
      </c>
      <c r="V520">
        <f>ROUND((157/100)*ROUND(ROUND((ROUND((Source!AE575*Source!AV575*Source!I575),2)*Source!BS575),2), 2), 2)</f>
        <v>0</v>
      </c>
      <c r="X520">
        <f>IF(Source!BI575&lt;=1,I520, 0)</f>
        <v>8281.7800000000007</v>
      </c>
      <c r="Y520">
        <f>IF(Source!BI575=2,I520, 0)</f>
        <v>0</v>
      </c>
      <c r="Z520">
        <f>IF(Source!BI575=3,I520, 0)</f>
        <v>0</v>
      </c>
      <c r="AA520">
        <f>IF(Source!BI575=4,I520, 0)</f>
        <v>0</v>
      </c>
    </row>
    <row r="521" spans="1:27" ht="14.25" x14ac:dyDescent="0.2">
      <c r="A521" s="22"/>
      <c r="B521" s="23"/>
      <c r="C521" s="23" t="s">
        <v>974</v>
      </c>
      <c r="D521" s="25" t="s">
        <v>975</v>
      </c>
      <c r="E521" s="10">
        <f>Source!DN574</f>
        <v>187</v>
      </c>
      <c r="F521" s="27"/>
      <c r="G521" s="26"/>
      <c r="H521" s="10"/>
      <c r="I521" s="28">
        <f>SUM(Q517:Q520)</f>
        <v>1190.1099999999999</v>
      </c>
      <c r="J521" s="10">
        <f>Source!BZ574</f>
        <v>102</v>
      </c>
      <c r="K521" s="28">
        <f>SUM(R517:R520)</f>
        <v>15923.61</v>
      </c>
    </row>
    <row r="522" spans="1:27" ht="14.25" x14ac:dyDescent="0.2">
      <c r="A522" s="22"/>
      <c r="B522" s="23"/>
      <c r="C522" s="23" t="s">
        <v>976</v>
      </c>
      <c r="D522" s="25" t="s">
        <v>975</v>
      </c>
      <c r="E522" s="10">
        <f>Source!DO574</f>
        <v>101</v>
      </c>
      <c r="F522" s="27"/>
      <c r="G522" s="26"/>
      <c r="H522" s="10"/>
      <c r="I522" s="28">
        <f>SUM(S517:S521)</f>
        <v>642.78</v>
      </c>
      <c r="J522" s="10">
        <f>Source!CA574</f>
        <v>47</v>
      </c>
      <c r="K522" s="28">
        <f>SUM(T517:T521)</f>
        <v>7337.35</v>
      </c>
    </row>
    <row r="523" spans="1:27" ht="14.25" x14ac:dyDescent="0.2">
      <c r="A523" s="22"/>
      <c r="B523" s="23"/>
      <c r="C523" s="23" t="s">
        <v>978</v>
      </c>
      <c r="D523" s="25" t="s">
        <v>979</v>
      </c>
      <c r="E523" s="10">
        <f>Source!AQ574</f>
        <v>5.42</v>
      </c>
      <c r="F523" s="27"/>
      <c r="G523" s="26" t="str">
        <f>Source!DI574</f>
        <v>*4</v>
      </c>
      <c r="H523" s="10">
        <f>Source!AV574</f>
        <v>1</v>
      </c>
      <c r="I523" s="28">
        <f>Source!U574</f>
        <v>61.137599999999999</v>
      </c>
      <c r="J523" s="10"/>
      <c r="K523" s="28"/>
    </row>
    <row r="524" spans="1:27" ht="15" x14ac:dyDescent="0.25">
      <c r="A524" s="32"/>
      <c r="B524" s="32"/>
      <c r="C524" s="32"/>
      <c r="D524" s="32"/>
      <c r="E524" s="32"/>
      <c r="F524" s="32"/>
      <c r="G524" s="32"/>
      <c r="H524" s="101">
        <f>I519+I521+I522+SUM(I520:I520)</f>
        <v>10751.09</v>
      </c>
      <c r="I524" s="101"/>
      <c r="J524" s="101">
        <f>K519+K521+K522+SUM(K520:K520)</f>
        <v>94028.989999999991</v>
      </c>
      <c r="K524" s="101"/>
      <c r="O524" s="31">
        <f>I519+I521+I522+SUM(I520:I520)</f>
        <v>10751.09</v>
      </c>
      <c r="P524" s="31">
        <f>K519+K521+K522+SUM(K520:K520)</f>
        <v>94028.989999999991</v>
      </c>
      <c r="X524">
        <f>IF(Source!BI574&lt;=1,I519+I521+I522-0, 0)</f>
        <v>2469.3099999999995</v>
      </c>
      <c r="Y524">
        <f>IF(Source!BI574=2,I519+I521+I522-0, 0)</f>
        <v>0</v>
      </c>
      <c r="Z524">
        <f>IF(Source!BI574=3,I519+I521+I522-0, 0)</f>
        <v>0</v>
      </c>
      <c r="AA524">
        <f>IF(Source!BI574=4,I519+I521+I522,0)</f>
        <v>0</v>
      </c>
    </row>
    <row r="525" spans="1:27" ht="42.75" x14ac:dyDescent="0.2">
      <c r="A525" s="22" t="str">
        <f>Source!E576</f>
        <v>68</v>
      </c>
      <c r="B525" s="23" t="str">
        <f>Source!F576</f>
        <v>3.47-31-1</v>
      </c>
      <c r="C525" s="23" t="s">
        <v>371</v>
      </c>
      <c r="D525" s="25" t="str">
        <f>Source!H576</f>
        <v>100 м2 цветников</v>
      </c>
      <c r="E525" s="10">
        <f>Source!I576</f>
        <v>1.41</v>
      </c>
      <c r="F525" s="27"/>
      <c r="G525" s="26"/>
      <c r="H525" s="10"/>
      <c r="I525" s="28"/>
      <c r="J525" s="10"/>
      <c r="K525" s="28"/>
      <c r="Q525">
        <f>ROUND((Source!DN576/100)*ROUND((ROUND((Source!AF576*Source!AV576*Source!I576),2)),2), 2)</f>
        <v>3912.23</v>
      </c>
      <c r="R525">
        <f>Source!X576</f>
        <v>52345.59</v>
      </c>
      <c r="S525">
        <f>ROUND((Source!DO576/100)*ROUND((ROUND((Source!AF576*Source!AV576*Source!I576),2)),2), 2)</f>
        <v>2113.02</v>
      </c>
      <c r="T525">
        <f>Source!Y576</f>
        <v>24120.03</v>
      </c>
      <c r="U525">
        <f>ROUND((175/100)*ROUND((ROUND((Source!AE576*Source!AV576*Source!I576),2)),2), 2)</f>
        <v>0</v>
      </c>
      <c r="V525">
        <f>ROUND((157/100)*ROUND(ROUND((ROUND((Source!AE576*Source!AV576*Source!I576),2)*Source!BS576),2), 2), 2)</f>
        <v>0</v>
      </c>
    </row>
    <row r="526" spans="1:27" x14ac:dyDescent="0.2">
      <c r="C526" s="29" t="str">
        <f>"Объем: "&amp;Source!I576&amp;"=141/"&amp;"100"</f>
        <v>Объем: 1,41=141/100</v>
      </c>
    </row>
    <row r="527" spans="1:27" ht="14.25" x14ac:dyDescent="0.2">
      <c r="A527" s="22"/>
      <c r="B527" s="23"/>
      <c r="C527" s="23" t="s">
        <v>970</v>
      </c>
      <c r="D527" s="25"/>
      <c r="E527" s="10"/>
      <c r="F527" s="27">
        <f>Source!AO576</f>
        <v>1483.76</v>
      </c>
      <c r="G527" s="26" t="str">
        <f>Source!DG576</f>
        <v/>
      </c>
      <c r="H527" s="10">
        <f>Source!AV576</f>
        <v>1</v>
      </c>
      <c r="I527" s="28">
        <f>ROUND((ROUND((Source!AF576*Source!AV576*Source!I576),2)),2)</f>
        <v>2092.1</v>
      </c>
      <c r="J527" s="10">
        <f>IF(Source!BA576&lt;&gt; 0, Source!BA576, 1)</f>
        <v>24.53</v>
      </c>
      <c r="K527" s="28">
        <f>Source!S576</f>
        <v>51319.21</v>
      </c>
      <c r="W527">
        <f>I527</f>
        <v>2092.1</v>
      </c>
    </row>
    <row r="528" spans="1:27" ht="14.25" x14ac:dyDescent="0.2">
      <c r="A528" s="22"/>
      <c r="B528" s="23"/>
      <c r="C528" s="23" t="s">
        <v>973</v>
      </c>
      <c r="D528" s="25"/>
      <c r="E528" s="10"/>
      <c r="F528" s="27">
        <f>Source!AL576</f>
        <v>1048.48</v>
      </c>
      <c r="G528" s="26" t="str">
        <f>Source!DD576</f>
        <v/>
      </c>
      <c r="H528" s="10">
        <f>Source!AW576</f>
        <v>1</v>
      </c>
      <c r="I528" s="28">
        <f>ROUND((ROUND((Source!AC576*Source!AW576*Source!I576),2)),2)</f>
        <v>1478.36</v>
      </c>
      <c r="J528" s="10">
        <f>IF(Source!BC576&lt;&gt; 0, Source!BC576, 1)</f>
        <v>2.87</v>
      </c>
      <c r="K528" s="28">
        <f>Source!P576</f>
        <v>4242.8900000000003</v>
      </c>
    </row>
    <row r="529" spans="1:27" ht="28.5" x14ac:dyDescent="0.2">
      <c r="A529" s="22" t="str">
        <f>Source!E577</f>
        <v>68,1</v>
      </c>
      <c r="B529" s="23" t="str">
        <f>Source!F577</f>
        <v>1.4-3-85</v>
      </c>
      <c r="C529" s="23" t="s">
        <v>375</v>
      </c>
      <c r="D529" s="25" t="str">
        <f>Source!H577</f>
        <v>шт.</v>
      </c>
      <c r="E529" s="10">
        <f>Source!I577</f>
        <v>2256</v>
      </c>
      <c r="F529" s="27">
        <f>Source!AK577</f>
        <v>45.36</v>
      </c>
      <c r="G529" s="33" t="s">
        <v>3</v>
      </c>
      <c r="H529" s="10">
        <f>Source!AW577</f>
        <v>1</v>
      </c>
      <c r="I529" s="28">
        <f>ROUND((ROUND((Source!AC577*Source!AW577*Source!I577),2)),2)+(ROUND((ROUND(((Source!ET577)*Source!AV577*Source!I577),2)),2)+ROUND((ROUND(((Source!AE577-(Source!EU577))*Source!AV577*Source!I577),2)),2))+ROUND((ROUND((Source!AF577*Source!AV577*Source!I577),2)),2)</f>
        <v>102332.16</v>
      </c>
      <c r="J529" s="10">
        <f>IF(Source!BC577&lt;&gt; 0, Source!BC577, 1)</f>
        <v>1.24</v>
      </c>
      <c r="K529" s="28">
        <f>Source!O577</f>
        <v>126891.88</v>
      </c>
      <c r="Q529">
        <f>ROUND((Source!DN577/100)*ROUND((ROUND((Source!AF577*Source!AV577*Source!I577),2)),2), 2)</f>
        <v>0</v>
      </c>
      <c r="R529">
        <f>Source!X577</f>
        <v>0</v>
      </c>
      <c r="S529">
        <f>ROUND((Source!DO577/100)*ROUND((ROUND((Source!AF577*Source!AV577*Source!I577),2)),2), 2)</f>
        <v>0</v>
      </c>
      <c r="T529">
        <f>Source!Y577</f>
        <v>0</v>
      </c>
      <c r="U529">
        <f>ROUND((175/100)*ROUND((ROUND((Source!AE577*Source!AV577*Source!I577),2)),2), 2)</f>
        <v>0</v>
      </c>
      <c r="V529">
        <f>ROUND((157/100)*ROUND(ROUND((ROUND((Source!AE577*Source!AV577*Source!I577),2)*Source!BS577),2), 2), 2)</f>
        <v>0</v>
      </c>
      <c r="X529">
        <f>IF(Source!BI577&lt;=1,I529, 0)</f>
        <v>102332.16</v>
      </c>
      <c r="Y529">
        <f>IF(Source!BI577=2,I529, 0)</f>
        <v>0</v>
      </c>
      <c r="Z529">
        <f>IF(Source!BI577=3,I529, 0)</f>
        <v>0</v>
      </c>
      <c r="AA529">
        <f>IF(Source!BI577=4,I529, 0)</f>
        <v>0</v>
      </c>
    </row>
    <row r="530" spans="1:27" ht="14.25" x14ac:dyDescent="0.2">
      <c r="A530" s="22"/>
      <c r="B530" s="23"/>
      <c r="C530" s="23" t="s">
        <v>974</v>
      </c>
      <c r="D530" s="25" t="s">
        <v>975</v>
      </c>
      <c r="E530" s="10">
        <f>Source!DN576</f>
        <v>187</v>
      </c>
      <c r="F530" s="27"/>
      <c r="G530" s="26"/>
      <c r="H530" s="10"/>
      <c r="I530" s="28">
        <f>SUM(Q525:Q529)</f>
        <v>3912.23</v>
      </c>
      <c r="J530" s="10">
        <f>Source!BZ576</f>
        <v>102</v>
      </c>
      <c r="K530" s="28">
        <f>SUM(R525:R529)</f>
        <v>52345.59</v>
      </c>
    </row>
    <row r="531" spans="1:27" ht="14.25" x14ac:dyDescent="0.2">
      <c r="A531" s="22"/>
      <c r="B531" s="23"/>
      <c r="C531" s="23" t="s">
        <v>976</v>
      </c>
      <c r="D531" s="25" t="s">
        <v>975</v>
      </c>
      <c r="E531" s="10">
        <f>Source!DO576</f>
        <v>101</v>
      </c>
      <c r="F531" s="27"/>
      <c r="G531" s="26"/>
      <c r="H531" s="10"/>
      <c r="I531" s="28">
        <f>SUM(S525:S530)</f>
        <v>2113.02</v>
      </c>
      <c r="J531" s="10">
        <f>Source!CA576</f>
        <v>47</v>
      </c>
      <c r="K531" s="28">
        <f>SUM(T525:T530)</f>
        <v>24120.03</v>
      </c>
    </row>
    <row r="532" spans="1:27" ht="14.25" x14ac:dyDescent="0.2">
      <c r="A532" s="22"/>
      <c r="B532" s="23"/>
      <c r="C532" s="23" t="s">
        <v>978</v>
      </c>
      <c r="D532" s="25" t="s">
        <v>979</v>
      </c>
      <c r="E532" s="10">
        <f>Source!AQ576</f>
        <v>135.01</v>
      </c>
      <c r="F532" s="27"/>
      <c r="G532" s="26" t="str">
        <f>Source!DI576</f>
        <v/>
      </c>
      <c r="H532" s="10">
        <f>Source!AV576</f>
        <v>1</v>
      </c>
      <c r="I532" s="28">
        <f>Source!U576</f>
        <v>190.36409999999998</v>
      </c>
      <c r="J532" s="10"/>
      <c r="K532" s="28"/>
    </row>
    <row r="533" spans="1:27" ht="15" x14ac:dyDescent="0.25">
      <c r="A533" s="32"/>
      <c r="B533" s="32"/>
      <c r="C533" s="32"/>
      <c r="D533" s="32"/>
      <c r="E533" s="32"/>
      <c r="F533" s="32"/>
      <c r="G533" s="32"/>
      <c r="H533" s="101">
        <f>I527+I528+I530+I531+SUM(I529:I529)</f>
        <v>111927.87000000001</v>
      </c>
      <c r="I533" s="101"/>
      <c r="J533" s="101">
        <f>K527+K528+K530+K531+SUM(K529:K529)</f>
        <v>258919.6</v>
      </c>
      <c r="K533" s="101"/>
      <c r="O533" s="31">
        <f>I527+I528+I530+I531+SUM(I529:I529)</f>
        <v>111927.87000000001</v>
      </c>
      <c r="P533" s="31">
        <f>K527+K528+K530+K531+SUM(K529:K529)</f>
        <v>258919.6</v>
      </c>
      <c r="X533">
        <f>IF(Source!BI576&lt;=1,I527+I528+I530+I531-0, 0)</f>
        <v>9595.7100000000009</v>
      </c>
      <c r="Y533">
        <f>IF(Source!BI576=2,I527+I528+I530+I531-0, 0)</f>
        <v>0</v>
      </c>
      <c r="Z533">
        <f>IF(Source!BI576=3,I527+I528+I530+I531-0, 0)</f>
        <v>0</v>
      </c>
      <c r="AA533">
        <f>IF(Source!BI576=4,I527+I528+I530+I531,0)</f>
        <v>0</v>
      </c>
    </row>
    <row r="534" spans="1:27" ht="42.75" x14ac:dyDescent="0.2">
      <c r="A534" s="22" t="str">
        <f>Source!E578</f>
        <v>69</v>
      </c>
      <c r="B534" s="23" t="str">
        <f>Source!F578</f>
        <v>3.47-31-1</v>
      </c>
      <c r="C534" s="23" t="s">
        <v>371</v>
      </c>
      <c r="D534" s="25" t="str">
        <f>Source!H578</f>
        <v>100 м2 цветников</v>
      </c>
      <c r="E534" s="10">
        <f>Source!I578</f>
        <v>1.41</v>
      </c>
      <c r="F534" s="27"/>
      <c r="G534" s="26"/>
      <c r="H534" s="10"/>
      <c r="I534" s="28"/>
      <c r="J534" s="10"/>
      <c r="K534" s="28"/>
      <c r="Q534">
        <f>ROUND((Source!DN578/100)*ROUND((ROUND((Source!AF578*Source!AV578*Source!I578),2)),2), 2)</f>
        <v>3912.23</v>
      </c>
      <c r="R534">
        <f>Source!X578</f>
        <v>52345.59</v>
      </c>
      <c r="S534">
        <f>ROUND((Source!DO578/100)*ROUND((ROUND((Source!AF578*Source!AV578*Source!I578),2)),2), 2)</f>
        <v>2113.02</v>
      </c>
      <c r="T534">
        <f>Source!Y578</f>
        <v>24120.03</v>
      </c>
      <c r="U534">
        <f>ROUND((175/100)*ROUND((ROUND((Source!AE578*Source!AV578*Source!I578),2)),2), 2)</f>
        <v>0</v>
      </c>
      <c r="V534">
        <f>ROUND((157/100)*ROUND(ROUND((ROUND((Source!AE578*Source!AV578*Source!I578),2)*Source!BS578),2), 2), 2)</f>
        <v>0</v>
      </c>
    </row>
    <row r="535" spans="1:27" x14ac:dyDescent="0.2">
      <c r="C535" s="29" t="str">
        <f>"Объем: "&amp;Source!I578&amp;"=141/"&amp;"100"</f>
        <v>Объем: 1,41=141/100</v>
      </c>
    </row>
    <row r="536" spans="1:27" ht="14.25" x14ac:dyDescent="0.2">
      <c r="A536" s="22"/>
      <c r="B536" s="23"/>
      <c r="C536" s="23" t="s">
        <v>970</v>
      </c>
      <c r="D536" s="25"/>
      <c r="E536" s="10"/>
      <c r="F536" s="27">
        <f>Source!AO578</f>
        <v>1483.76</v>
      </c>
      <c r="G536" s="26" t="str">
        <f>Source!DG578</f>
        <v/>
      </c>
      <c r="H536" s="10">
        <f>Source!AV578</f>
        <v>1</v>
      </c>
      <c r="I536" s="28">
        <f>ROUND((ROUND((Source!AF578*Source!AV578*Source!I578),2)),2)</f>
        <v>2092.1</v>
      </c>
      <c r="J536" s="10">
        <f>IF(Source!BA578&lt;&gt; 0, Source!BA578, 1)</f>
        <v>24.53</v>
      </c>
      <c r="K536" s="28">
        <f>Source!S578</f>
        <v>51319.21</v>
      </c>
      <c r="W536">
        <f>I536</f>
        <v>2092.1</v>
      </c>
    </row>
    <row r="537" spans="1:27" ht="14.25" x14ac:dyDescent="0.2">
      <c r="A537" s="22"/>
      <c r="B537" s="23"/>
      <c r="C537" s="23" t="s">
        <v>973</v>
      </c>
      <c r="D537" s="25"/>
      <c r="E537" s="10"/>
      <c r="F537" s="27">
        <f>Source!AL578</f>
        <v>1048.48</v>
      </c>
      <c r="G537" s="26" t="str">
        <f>Source!DD578</f>
        <v/>
      </c>
      <c r="H537" s="10">
        <f>Source!AW578</f>
        <v>1</v>
      </c>
      <c r="I537" s="28">
        <f>ROUND((ROUND((Source!AC578*Source!AW578*Source!I578),2)),2)</f>
        <v>1478.36</v>
      </c>
      <c r="J537" s="10">
        <f>IF(Source!BC578&lt;&gt; 0, Source!BC578, 1)</f>
        <v>2.87</v>
      </c>
      <c r="K537" s="28">
        <f>Source!P578</f>
        <v>4242.8900000000003</v>
      </c>
    </row>
    <row r="538" spans="1:27" ht="28.5" x14ac:dyDescent="0.2">
      <c r="A538" s="22" t="str">
        <f>Source!E579</f>
        <v>69,1</v>
      </c>
      <c r="B538" s="23" t="str">
        <f>Source!F579</f>
        <v>1.4-3-56</v>
      </c>
      <c r="C538" s="23" t="s">
        <v>380</v>
      </c>
      <c r="D538" s="25" t="str">
        <f>Source!H579</f>
        <v>шт.</v>
      </c>
      <c r="E538" s="10">
        <f>Source!I579</f>
        <v>2256</v>
      </c>
      <c r="F538" s="27">
        <f>Source!AK579</f>
        <v>37.04</v>
      </c>
      <c r="G538" s="33" t="s">
        <v>3</v>
      </c>
      <c r="H538" s="10">
        <f>Source!AW579</f>
        <v>1</v>
      </c>
      <c r="I538" s="28">
        <f>ROUND((ROUND((Source!AC579*Source!AW579*Source!I579),2)),2)+(ROUND((ROUND(((Source!ET579)*Source!AV579*Source!I579),2)),2)+ROUND((ROUND(((Source!AE579-(Source!EU579))*Source!AV579*Source!I579),2)),2))+ROUND((ROUND((Source!AF579*Source!AV579*Source!I579),2)),2)</f>
        <v>83562.240000000005</v>
      </c>
      <c r="J538" s="10">
        <f>IF(Source!BC579&lt;&gt; 0, Source!BC579, 1)</f>
        <v>1.18</v>
      </c>
      <c r="K538" s="28">
        <f>Source!O579</f>
        <v>98603.44</v>
      </c>
      <c r="Q538">
        <f>ROUND((Source!DN579/100)*ROUND((ROUND((Source!AF579*Source!AV579*Source!I579),2)),2), 2)</f>
        <v>0</v>
      </c>
      <c r="R538">
        <f>Source!X579</f>
        <v>0</v>
      </c>
      <c r="S538">
        <f>ROUND((Source!DO579/100)*ROUND((ROUND((Source!AF579*Source!AV579*Source!I579),2)),2), 2)</f>
        <v>0</v>
      </c>
      <c r="T538">
        <f>Source!Y579</f>
        <v>0</v>
      </c>
      <c r="U538">
        <f>ROUND((175/100)*ROUND((ROUND((Source!AE579*Source!AV579*Source!I579),2)),2), 2)</f>
        <v>0</v>
      </c>
      <c r="V538">
        <f>ROUND((157/100)*ROUND(ROUND((ROUND((Source!AE579*Source!AV579*Source!I579),2)*Source!BS579),2), 2), 2)</f>
        <v>0</v>
      </c>
      <c r="X538">
        <f>IF(Source!BI579&lt;=1,I538, 0)</f>
        <v>83562.240000000005</v>
      </c>
      <c r="Y538">
        <f>IF(Source!BI579=2,I538, 0)</f>
        <v>0</v>
      </c>
      <c r="Z538">
        <f>IF(Source!BI579=3,I538, 0)</f>
        <v>0</v>
      </c>
      <c r="AA538">
        <f>IF(Source!BI579=4,I538, 0)</f>
        <v>0</v>
      </c>
    </row>
    <row r="539" spans="1:27" ht="14.25" x14ac:dyDescent="0.2">
      <c r="A539" s="22"/>
      <c r="B539" s="23"/>
      <c r="C539" s="23" t="s">
        <v>974</v>
      </c>
      <c r="D539" s="25" t="s">
        <v>975</v>
      </c>
      <c r="E539" s="10">
        <f>Source!DN578</f>
        <v>187</v>
      </c>
      <c r="F539" s="27"/>
      <c r="G539" s="26"/>
      <c r="H539" s="10"/>
      <c r="I539" s="28">
        <f>SUM(Q534:Q538)</f>
        <v>3912.23</v>
      </c>
      <c r="J539" s="10">
        <f>Source!BZ578</f>
        <v>102</v>
      </c>
      <c r="K539" s="28">
        <f>SUM(R534:R538)</f>
        <v>52345.59</v>
      </c>
    </row>
    <row r="540" spans="1:27" ht="14.25" x14ac:dyDescent="0.2">
      <c r="A540" s="22"/>
      <c r="B540" s="23"/>
      <c r="C540" s="23" t="s">
        <v>976</v>
      </c>
      <c r="D540" s="25" t="s">
        <v>975</v>
      </c>
      <c r="E540" s="10">
        <f>Source!DO578</f>
        <v>101</v>
      </c>
      <c r="F540" s="27"/>
      <c r="G540" s="26"/>
      <c r="H540" s="10"/>
      <c r="I540" s="28">
        <f>SUM(S534:S539)</f>
        <v>2113.02</v>
      </c>
      <c r="J540" s="10">
        <f>Source!CA578</f>
        <v>47</v>
      </c>
      <c r="K540" s="28">
        <f>SUM(T534:T539)</f>
        <v>24120.03</v>
      </c>
    </row>
    <row r="541" spans="1:27" ht="14.25" x14ac:dyDescent="0.2">
      <c r="A541" s="22"/>
      <c r="B541" s="23"/>
      <c r="C541" s="23" t="s">
        <v>978</v>
      </c>
      <c r="D541" s="25" t="s">
        <v>979</v>
      </c>
      <c r="E541" s="10">
        <f>Source!AQ578</f>
        <v>135.01</v>
      </c>
      <c r="F541" s="27"/>
      <c r="G541" s="26" t="str">
        <f>Source!DI578</f>
        <v/>
      </c>
      <c r="H541" s="10">
        <f>Source!AV578</f>
        <v>1</v>
      </c>
      <c r="I541" s="28">
        <f>Source!U578</f>
        <v>190.36409999999998</v>
      </c>
      <c r="J541" s="10"/>
      <c r="K541" s="28"/>
    </row>
    <row r="542" spans="1:27" ht="15" x14ac:dyDescent="0.25">
      <c r="A542" s="32"/>
      <c r="B542" s="32"/>
      <c r="C542" s="32"/>
      <c r="D542" s="32"/>
      <c r="E542" s="32"/>
      <c r="F542" s="32"/>
      <c r="G542" s="32"/>
      <c r="H542" s="101">
        <f>I536+I537+I539+I540+SUM(I538:I538)</f>
        <v>93157.950000000012</v>
      </c>
      <c r="I542" s="101"/>
      <c r="J542" s="101">
        <f>K536+K537+K539+K540+SUM(K538:K538)</f>
        <v>230631.16</v>
      </c>
      <c r="K542" s="101"/>
      <c r="O542" s="31">
        <f>I536+I537+I539+I540+SUM(I538:I538)</f>
        <v>93157.950000000012</v>
      </c>
      <c r="P542" s="31">
        <f>K536+K537+K539+K540+SUM(K538:K538)</f>
        <v>230631.16</v>
      </c>
      <c r="X542">
        <f>IF(Source!BI578&lt;=1,I536+I537+I539+I540-0, 0)</f>
        <v>9595.7100000000009</v>
      </c>
      <c r="Y542">
        <f>IF(Source!BI578=2,I536+I537+I539+I540-0, 0)</f>
        <v>0</v>
      </c>
      <c r="Z542">
        <f>IF(Source!BI578=3,I536+I537+I539+I540-0, 0)</f>
        <v>0</v>
      </c>
      <c r="AA542">
        <f>IF(Source!BI578=4,I536+I537+I539+I540,0)</f>
        <v>0</v>
      </c>
    </row>
    <row r="543" spans="1:27" ht="42.75" x14ac:dyDescent="0.2">
      <c r="A543" s="22" t="str">
        <f>Source!E580</f>
        <v>70</v>
      </c>
      <c r="B543" s="23" t="str">
        <f>Source!F580</f>
        <v>3.47-31-2</v>
      </c>
      <c r="C543" s="23" t="s">
        <v>384</v>
      </c>
      <c r="D543" s="25" t="str">
        <f>Source!H580</f>
        <v>100 м2 цветников</v>
      </c>
      <c r="E543" s="10">
        <f>Source!I580</f>
        <v>1.41</v>
      </c>
      <c r="F543" s="27"/>
      <c r="G543" s="26"/>
      <c r="H543" s="10"/>
      <c r="I543" s="28"/>
      <c r="J543" s="10"/>
      <c r="K543" s="28"/>
      <c r="Q543">
        <f>ROUND((Source!DN580/100)*ROUND((ROUND((Source!AF580*Source!AV580*Source!I580),2)),2), 2)</f>
        <v>176.86</v>
      </c>
      <c r="R543">
        <f>Source!X580</f>
        <v>2366.4499999999998</v>
      </c>
      <c r="S543">
        <f>ROUND((Source!DO580/100)*ROUND((ROUND((Source!AF580*Source!AV580*Source!I580),2)),2), 2)</f>
        <v>95.53</v>
      </c>
      <c r="T543">
        <f>Source!Y580</f>
        <v>1090.42</v>
      </c>
      <c r="U543">
        <f>ROUND((175/100)*ROUND((ROUND((Source!AE580*Source!AV580*Source!I580),2)),2), 2)</f>
        <v>0</v>
      </c>
      <c r="V543">
        <f>ROUND((157/100)*ROUND(ROUND((ROUND((Source!AE580*Source!AV580*Source!I580),2)*Source!BS580),2), 2), 2)</f>
        <v>0</v>
      </c>
    </row>
    <row r="544" spans="1:27" x14ac:dyDescent="0.2">
      <c r="C544" s="29" t="str">
        <f>"Объем: "&amp;Source!I580&amp;"=141/"&amp;"100"</f>
        <v>Объем: 1,41=141/100</v>
      </c>
    </row>
    <row r="545" spans="1:27" ht="14.25" x14ac:dyDescent="0.2">
      <c r="A545" s="22"/>
      <c r="B545" s="23"/>
      <c r="C545" s="23" t="s">
        <v>970</v>
      </c>
      <c r="D545" s="25"/>
      <c r="E545" s="10"/>
      <c r="F545" s="27">
        <f>Source!AO580</f>
        <v>67.08</v>
      </c>
      <c r="G545" s="26" t="str">
        <f>Source!DG580</f>
        <v/>
      </c>
      <c r="H545" s="10">
        <f>Source!AV580</f>
        <v>1</v>
      </c>
      <c r="I545" s="28">
        <f>ROUND((ROUND((Source!AF580*Source!AV580*Source!I580),2)),2)</f>
        <v>94.58</v>
      </c>
      <c r="J545" s="10">
        <f>IF(Source!BA580&lt;&gt; 0, Source!BA580, 1)</f>
        <v>24.53</v>
      </c>
      <c r="K545" s="28">
        <f>Source!S580</f>
        <v>2320.0500000000002</v>
      </c>
      <c r="W545">
        <f>I545</f>
        <v>94.58</v>
      </c>
    </row>
    <row r="546" spans="1:27" ht="14.25" x14ac:dyDescent="0.2">
      <c r="A546" s="22"/>
      <c r="B546" s="23"/>
      <c r="C546" s="23" t="s">
        <v>973</v>
      </c>
      <c r="D546" s="25"/>
      <c r="E546" s="10"/>
      <c r="F546" s="27">
        <f>Source!AL580</f>
        <v>13.48</v>
      </c>
      <c r="G546" s="26" t="str">
        <f>Source!DD580</f>
        <v/>
      </c>
      <c r="H546" s="10">
        <f>Source!AW580</f>
        <v>1</v>
      </c>
      <c r="I546" s="28">
        <f>ROUND((ROUND((Source!AC580*Source!AW580*Source!I580),2)),2)</f>
        <v>19.010000000000002</v>
      </c>
      <c r="J546" s="10">
        <f>IF(Source!BC580&lt;&gt; 0, Source!BC580, 1)</f>
        <v>3.86</v>
      </c>
      <c r="K546" s="28">
        <f>Source!P580</f>
        <v>73.38</v>
      </c>
    </row>
    <row r="547" spans="1:27" ht="28.5" x14ac:dyDescent="0.2">
      <c r="A547" s="22" t="str">
        <f>Source!E581</f>
        <v>70,1</v>
      </c>
      <c r="B547" s="23" t="str">
        <f>Source!F581</f>
        <v>1.4-3-56</v>
      </c>
      <c r="C547" s="23" t="s">
        <v>380</v>
      </c>
      <c r="D547" s="25" t="str">
        <f>Source!H581</f>
        <v>шт.</v>
      </c>
      <c r="E547" s="10">
        <f>Source!I581</f>
        <v>1720.1999999999998</v>
      </c>
      <c r="F547" s="27">
        <f>Source!AK581</f>
        <v>37.04</v>
      </c>
      <c r="G547" s="33" t="s">
        <v>3</v>
      </c>
      <c r="H547" s="10">
        <f>Source!AW581</f>
        <v>1</v>
      </c>
      <c r="I547" s="28">
        <f>ROUND((ROUND((Source!AC581*Source!AW581*Source!I581),2)),2)+(ROUND((ROUND(((Source!ET581)*Source!AV581*Source!I581),2)),2)+ROUND((ROUND(((Source!AE581-(Source!EU581))*Source!AV581*Source!I581),2)),2))+ROUND((ROUND((Source!AF581*Source!AV581*Source!I581),2)),2)</f>
        <v>63716.21</v>
      </c>
      <c r="J547" s="10">
        <f>IF(Source!BC581&lt;&gt; 0, Source!BC581, 1)</f>
        <v>1.18</v>
      </c>
      <c r="K547" s="28">
        <f>Source!O581</f>
        <v>75185.13</v>
      </c>
      <c r="Q547">
        <f>ROUND((Source!DN581/100)*ROUND((ROUND((Source!AF581*Source!AV581*Source!I581),2)),2), 2)</f>
        <v>0</v>
      </c>
      <c r="R547">
        <f>Source!X581</f>
        <v>0</v>
      </c>
      <c r="S547">
        <f>ROUND((Source!DO581/100)*ROUND((ROUND((Source!AF581*Source!AV581*Source!I581),2)),2), 2)</f>
        <v>0</v>
      </c>
      <c r="T547">
        <f>Source!Y581</f>
        <v>0</v>
      </c>
      <c r="U547">
        <f>ROUND((175/100)*ROUND((ROUND((Source!AE581*Source!AV581*Source!I581),2)),2), 2)</f>
        <v>0</v>
      </c>
      <c r="V547">
        <f>ROUND((157/100)*ROUND(ROUND((ROUND((Source!AE581*Source!AV581*Source!I581),2)*Source!BS581),2), 2), 2)</f>
        <v>0</v>
      </c>
      <c r="X547">
        <f>IF(Source!BI581&lt;=1,I547, 0)</f>
        <v>63716.21</v>
      </c>
      <c r="Y547">
        <f>IF(Source!BI581=2,I547, 0)</f>
        <v>0</v>
      </c>
      <c r="Z547">
        <f>IF(Source!BI581=3,I547, 0)</f>
        <v>0</v>
      </c>
      <c r="AA547">
        <f>IF(Source!BI581=4,I547, 0)</f>
        <v>0</v>
      </c>
    </row>
    <row r="548" spans="1:27" ht="14.25" x14ac:dyDescent="0.2">
      <c r="A548" s="22"/>
      <c r="B548" s="23"/>
      <c r="C548" s="23" t="s">
        <v>974</v>
      </c>
      <c r="D548" s="25" t="s">
        <v>975</v>
      </c>
      <c r="E548" s="10">
        <f>Source!DN580</f>
        <v>187</v>
      </c>
      <c r="F548" s="27"/>
      <c r="G548" s="26"/>
      <c r="H548" s="10"/>
      <c r="I548" s="28">
        <f>SUM(Q543:Q547)</f>
        <v>176.86</v>
      </c>
      <c r="J548" s="10">
        <f>Source!BZ580</f>
        <v>102</v>
      </c>
      <c r="K548" s="28">
        <f>SUM(R543:R547)</f>
        <v>2366.4499999999998</v>
      </c>
    </row>
    <row r="549" spans="1:27" ht="14.25" x14ac:dyDescent="0.2">
      <c r="A549" s="22"/>
      <c r="B549" s="23"/>
      <c r="C549" s="23" t="s">
        <v>976</v>
      </c>
      <c r="D549" s="25" t="s">
        <v>975</v>
      </c>
      <c r="E549" s="10">
        <f>Source!DO580</f>
        <v>101</v>
      </c>
      <c r="F549" s="27"/>
      <c r="G549" s="26"/>
      <c r="H549" s="10"/>
      <c r="I549" s="28">
        <f>SUM(S543:S548)</f>
        <v>95.53</v>
      </c>
      <c r="J549" s="10">
        <f>Source!CA580</f>
        <v>47</v>
      </c>
      <c r="K549" s="28">
        <f>SUM(T543:T548)</f>
        <v>1090.42</v>
      </c>
    </row>
    <row r="550" spans="1:27" ht="14.25" x14ac:dyDescent="0.2">
      <c r="A550" s="22"/>
      <c r="B550" s="23"/>
      <c r="C550" s="23" t="s">
        <v>978</v>
      </c>
      <c r="D550" s="25" t="s">
        <v>979</v>
      </c>
      <c r="E550" s="10">
        <f>Source!AQ580</f>
        <v>6.88</v>
      </c>
      <c r="F550" s="27"/>
      <c r="G550" s="26" t="str">
        <f>Source!DI580</f>
        <v/>
      </c>
      <c r="H550" s="10">
        <f>Source!AV580</f>
        <v>1</v>
      </c>
      <c r="I550" s="28">
        <f>Source!U580</f>
        <v>9.7007999999999992</v>
      </c>
      <c r="J550" s="10"/>
      <c r="K550" s="28"/>
    </row>
    <row r="551" spans="1:27" ht="15" x14ac:dyDescent="0.25">
      <c r="A551" s="32"/>
      <c r="B551" s="32"/>
      <c r="C551" s="32"/>
      <c r="D551" s="32"/>
      <c r="E551" s="32"/>
      <c r="F551" s="32"/>
      <c r="G551" s="32"/>
      <c r="H551" s="101">
        <f>I545+I546+I548+I549+SUM(I547:I547)</f>
        <v>64102.19</v>
      </c>
      <c r="I551" s="101"/>
      <c r="J551" s="101">
        <f>K545+K546+K548+K549+SUM(K547:K547)</f>
        <v>81035.430000000008</v>
      </c>
      <c r="K551" s="101"/>
      <c r="O551" s="31">
        <f>I545+I546+I548+I549+SUM(I547:I547)</f>
        <v>64102.19</v>
      </c>
      <c r="P551" s="31">
        <f>K545+K546+K548+K549+SUM(K547:K547)</f>
        <v>81035.430000000008</v>
      </c>
      <c r="X551">
        <f>IF(Source!BI580&lt;=1,I545+I546+I548+I549-0, 0)</f>
        <v>385.98</v>
      </c>
      <c r="Y551">
        <f>IF(Source!BI580=2,I545+I546+I548+I549-0, 0)</f>
        <v>0</v>
      </c>
      <c r="Z551">
        <f>IF(Source!BI580=3,I545+I546+I548+I549-0, 0)</f>
        <v>0</v>
      </c>
      <c r="AA551">
        <f>IF(Source!BI580=4,I545+I546+I548+I549,0)</f>
        <v>0</v>
      </c>
    </row>
    <row r="553" spans="1:27" ht="15" x14ac:dyDescent="0.25">
      <c r="A553" s="100" t="str">
        <f>CONCATENATE("Итого по разделу: ",IF(Source!G583&lt;&gt;"Новый раздел", Source!G583, ""))</f>
        <v>Итого по разделу: 23.1. Устройство цветников (многолетники)</v>
      </c>
      <c r="B553" s="100"/>
      <c r="C553" s="100"/>
      <c r="D553" s="100"/>
      <c r="E553" s="100"/>
      <c r="F553" s="100"/>
      <c r="G553" s="100"/>
      <c r="H553" s="98">
        <f>SUM(O508:O552)</f>
        <v>293540.13</v>
      </c>
      <c r="I553" s="99"/>
      <c r="J553" s="98">
        <f>SUM(P508:P552)</f>
        <v>803508.44000000006</v>
      </c>
      <c r="K553" s="99"/>
    </row>
    <row r="554" spans="1:27" hidden="1" x14ac:dyDescent="0.2">
      <c r="A554" t="s">
        <v>980</v>
      </c>
      <c r="I554">
        <f>SUM(AC508:AC553)</f>
        <v>0</v>
      </c>
      <c r="J554">
        <f>SUM(AD508:AD553)</f>
        <v>0</v>
      </c>
    </row>
    <row r="555" spans="1:27" hidden="1" x14ac:dyDescent="0.2">
      <c r="A555" t="s">
        <v>981</v>
      </c>
      <c r="I555">
        <f>SUM(AE508:AE554)</f>
        <v>0</v>
      </c>
      <c r="J555">
        <f>SUM(AF508:AF554)</f>
        <v>0</v>
      </c>
    </row>
    <row r="556" spans="1:27" ht="14.25" x14ac:dyDescent="0.2">
      <c r="C556" s="96" t="str">
        <f>Source!H612</f>
        <v>с ндс</v>
      </c>
      <c r="D556" s="96"/>
      <c r="E556" s="96"/>
      <c r="F556" s="96"/>
      <c r="G556" s="96"/>
      <c r="H556" s="96"/>
      <c r="I556" s="96"/>
      <c r="J556" s="97">
        <f>IF(Source!F612=0, "", Source!F612)</f>
        <v>964210.13</v>
      </c>
      <c r="K556" s="97"/>
    </row>
    <row r="558" spans="1:27" ht="16.5" x14ac:dyDescent="0.25">
      <c r="A558" s="102" t="str">
        <f>CONCATENATE("Раздел: ",IF(Source!G648&lt;&gt;"Новый раздел", Source!G648, ""))</f>
        <v>Раздел: 27.1. Капитальный ремонт пешеходного покрытия из бетонной плитки 1503 м2</v>
      </c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</row>
    <row r="559" spans="1:27" ht="57" x14ac:dyDescent="0.2">
      <c r="A559" s="22" t="str">
        <f>Source!E652</f>
        <v>71</v>
      </c>
      <c r="B559" s="23" t="str">
        <f>Source!F652</f>
        <v>3.1-6-10</v>
      </c>
      <c r="C559" s="23" t="s">
        <v>203</v>
      </c>
      <c r="D559" s="25" t="str">
        <f>Source!H652</f>
        <v>100 м3 грунта</v>
      </c>
      <c r="E559" s="10">
        <f>Source!I652</f>
        <v>5.8166099999999998</v>
      </c>
      <c r="F559" s="27"/>
      <c r="G559" s="26"/>
      <c r="H559" s="10"/>
      <c r="I559" s="28"/>
      <c r="J559" s="10"/>
      <c r="K559" s="28"/>
      <c r="Q559">
        <f>ROUND((Source!DN652/100)*ROUND((ROUND((Source!AF652*Source!AV652*Source!I652),2)),2), 2)</f>
        <v>80.37</v>
      </c>
      <c r="R559">
        <f>Source!X652</f>
        <v>1850.77</v>
      </c>
      <c r="S559">
        <f>ROUND((Source!DO652/100)*ROUND((ROUND((Source!AF652*Source!AV652*Source!I652),2)),2), 2)</f>
        <v>63.15</v>
      </c>
      <c r="T559">
        <f>Source!Y652</f>
        <v>1005.86</v>
      </c>
      <c r="U559">
        <f>ROUND((175/100)*ROUND((ROUND((Source!AE652*Source!AV652*Source!I652),2)),2), 2)</f>
        <v>1429.96</v>
      </c>
      <c r="V559">
        <f>ROUND((157/100)*ROUND(ROUND((ROUND((Source!AE652*Source!AV652*Source!I652),2)*Source!BS652),2), 2), 2)</f>
        <v>31469</v>
      </c>
    </row>
    <row r="560" spans="1:27" x14ac:dyDescent="0.2">
      <c r="C560" s="29" t="str">
        <f>"Объем: "&amp;Source!I652&amp;"=1503*"&amp;"0,43*"&amp;"0,9/"&amp;"100"</f>
        <v>Объем: 5,81661=1503*0,43*0,9/100</v>
      </c>
    </row>
    <row r="561" spans="1:27" ht="14.25" x14ac:dyDescent="0.2">
      <c r="A561" s="22"/>
      <c r="B561" s="23"/>
      <c r="C561" s="23" t="s">
        <v>970</v>
      </c>
      <c r="D561" s="25"/>
      <c r="E561" s="10"/>
      <c r="F561" s="27">
        <f>Source!AO652</f>
        <v>14.1</v>
      </c>
      <c r="G561" s="26" t="str">
        <f>Source!DG652</f>
        <v/>
      </c>
      <c r="H561" s="10">
        <f>Source!AV652</f>
        <v>1</v>
      </c>
      <c r="I561" s="28">
        <f>ROUND((ROUND((Source!AF652*Source!AV652*Source!I652),2)),2)</f>
        <v>82.01</v>
      </c>
      <c r="J561" s="10">
        <f>IF(Source!BA652&lt;&gt; 0, Source!BA652, 1)</f>
        <v>24.53</v>
      </c>
      <c r="K561" s="28">
        <f>Source!S652</f>
        <v>2011.71</v>
      </c>
      <c r="W561">
        <f>I561</f>
        <v>82.01</v>
      </c>
    </row>
    <row r="562" spans="1:27" ht="14.25" x14ac:dyDescent="0.2">
      <c r="A562" s="22"/>
      <c r="B562" s="23"/>
      <c r="C562" s="23" t="s">
        <v>971</v>
      </c>
      <c r="D562" s="25"/>
      <c r="E562" s="10"/>
      <c r="F562" s="27">
        <f>Source!AM652</f>
        <v>757.55</v>
      </c>
      <c r="G562" s="26" t="str">
        <f>Source!DE652</f>
        <v/>
      </c>
      <c r="H562" s="10">
        <f>Source!AV652</f>
        <v>1</v>
      </c>
      <c r="I562" s="28">
        <f>(ROUND((ROUND(((Source!ET652)*Source!AV652*Source!I652),2)),2)+ROUND((ROUND(((Source!AE652-(Source!EU652))*Source!AV652*Source!I652),2)),2))</f>
        <v>4406.37</v>
      </c>
      <c r="J562" s="10">
        <f>IF(Source!BB652&lt;&gt; 0, Source!BB652, 1)</f>
        <v>9.82</v>
      </c>
      <c r="K562" s="28">
        <f>Source!Q652</f>
        <v>43270.55</v>
      </c>
    </row>
    <row r="563" spans="1:27" ht="14.25" x14ac:dyDescent="0.2">
      <c r="A563" s="22"/>
      <c r="B563" s="23"/>
      <c r="C563" s="23" t="s">
        <v>972</v>
      </c>
      <c r="D563" s="25"/>
      <c r="E563" s="10"/>
      <c r="F563" s="27">
        <f>Source!AN652</f>
        <v>140.47999999999999</v>
      </c>
      <c r="G563" s="26" t="str">
        <f>Source!DF652</f>
        <v/>
      </c>
      <c r="H563" s="10">
        <f>Source!AV652</f>
        <v>1</v>
      </c>
      <c r="I563" s="30">
        <f>ROUND((ROUND((Source!AE652*Source!AV652*Source!I652),2)),2)</f>
        <v>817.12</v>
      </c>
      <c r="J563" s="10">
        <f>IF(Source!BS652&lt;&gt; 0, Source!BS652, 1)</f>
        <v>24.53</v>
      </c>
      <c r="K563" s="30">
        <f>Source!R652</f>
        <v>20043.95</v>
      </c>
      <c r="W563">
        <f>I563</f>
        <v>817.12</v>
      </c>
    </row>
    <row r="564" spans="1:27" ht="14.25" x14ac:dyDescent="0.2">
      <c r="A564" s="22"/>
      <c r="B564" s="23"/>
      <c r="C564" s="23" t="s">
        <v>974</v>
      </c>
      <c r="D564" s="25" t="s">
        <v>975</v>
      </c>
      <c r="E564" s="10">
        <f>Source!DN652</f>
        <v>98</v>
      </c>
      <c r="F564" s="27"/>
      <c r="G564" s="26"/>
      <c r="H564" s="10"/>
      <c r="I564" s="28">
        <f>SUM(Q559:Q563)</f>
        <v>80.37</v>
      </c>
      <c r="J564" s="10">
        <f>Source!BZ652</f>
        <v>92</v>
      </c>
      <c r="K564" s="28">
        <f>SUM(R559:R563)</f>
        <v>1850.77</v>
      </c>
    </row>
    <row r="565" spans="1:27" ht="14.25" x14ac:dyDescent="0.2">
      <c r="A565" s="22"/>
      <c r="B565" s="23"/>
      <c r="C565" s="23" t="s">
        <v>976</v>
      </c>
      <c r="D565" s="25" t="s">
        <v>975</v>
      </c>
      <c r="E565" s="10">
        <f>Source!DO652</f>
        <v>77</v>
      </c>
      <c r="F565" s="27"/>
      <c r="G565" s="26"/>
      <c r="H565" s="10"/>
      <c r="I565" s="28">
        <f>SUM(S559:S564)</f>
        <v>63.15</v>
      </c>
      <c r="J565" s="10">
        <f>Source!CA652</f>
        <v>50</v>
      </c>
      <c r="K565" s="28">
        <f>SUM(T559:T564)</f>
        <v>1005.86</v>
      </c>
    </row>
    <row r="566" spans="1:27" ht="14.25" x14ac:dyDescent="0.2">
      <c r="A566" s="22"/>
      <c r="B566" s="23"/>
      <c r="C566" s="23" t="s">
        <v>977</v>
      </c>
      <c r="D566" s="25" t="s">
        <v>975</v>
      </c>
      <c r="E566" s="10">
        <f>175</f>
        <v>175</v>
      </c>
      <c r="F566" s="27"/>
      <c r="G566" s="26"/>
      <c r="H566" s="10"/>
      <c r="I566" s="28">
        <f>SUM(U559:U565)</f>
        <v>1429.96</v>
      </c>
      <c r="J566" s="10">
        <f>157</f>
        <v>157</v>
      </c>
      <c r="K566" s="28">
        <f>SUM(V559:V565)</f>
        <v>31469</v>
      </c>
    </row>
    <row r="567" spans="1:27" ht="14.25" x14ac:dyDescent="0.2">
      <c r="A567" s="22"/>
      <c r="B567" s="23"/>
      <c r="C567" s="23" t="s">
        <v>978</v>
      </c>
      <c r="D567" s="25" t="s">
        <v>979</v>
      </c>
      <c r="E567" s="10">
        <f>Source!AQ652</f>
        <v>1.38</v>
      </c>
      <c r="F567" s="27"/>
      <c r="G567" s="26" t="str">
        <f>Source!DI652</f>
        <v/>
      </c>
      <c r="H567" s="10">
        <f>Source!AV652</f>
        <v>1</v>
      </c>
      <c r="I567" s="28">
        <f>Source!U652</f>
        <v>8.0269217999999984</v>
      </c>
      <c r="J567" s="10"/>
      <c r="K567" s="28"/>
    </row>
    <row r="568" spans="1:27" ht="15" x14ac:dyDescent="0.25">
      <c r="A568" s="32"/>
      <c r="B568" s="32"/>
      <c r="C568" s="32"/>
      <c r="D568" s="32"/>
      <c r="E568" s="32"/>
      <c r="F568" s="32"/>
      <c r="G568" s="32"/>
      <c r="H568" s="101">
        <f>I561+I562+I564+I565+I566</f>
        <v>6061.86</v>
      </c>
      <c r="I568" s="101"/>
      <c r="J568" s="101">
        <f>K561+K562+K564+K565+K566</f>
        <v>79607.89</v>
      </c>
      <c r="K568" s="101"/>
      <c r="O568" s="31">
        <f>I561+I562+I564+I565+I566</f>
        <v>6061.86</v>
      </c>
      <c r="P568" s="31">
        <f>K561+K562+K564+K565+K566</f>
        <v>79607.89</v>
      </c>
      <c r="X568">
        <f>IF(Source!BI652&lt;=1,I561+I562+I564+I565+I566-0, 0)</f>
        <v>6061.86</v>
      </c>
      <c r="Y568">
        <f>IF(Source!BI652=2,I561+I562+I564+I565+I566-0, 0)</f>
        <v>0</v>
      </c>
      <c r="Z568">
        <f>IF(Source!BI652=3,I561+I562+I564+I565+I566-0, 0)</f>
        <v>0</v>
      </c>
      <c r="AA568">
        <f>IF(Source!BI652=4,I561+I562+I564+I565+I566,0)</f>
        <v>0</v>
      </c>
    </row>
    <row r="569" spans="1:27" ht="42.75" x14ac:dyDescent="0.2">
      <c r="A569" s="22" t="str">
        <f>Source!E653</f>
        <v>72</v>
      </c>
      <c r="B569" s="23" t="str">
        <f>Source!F653</f>
        <v>3.1-51-1</v>
      </c>
      <c r="C569" s="23" t="s">
        <v>210</v>
      </c>
      <c r="D569" s="25" t="str">
        <f>Source!H653</f>
        <v>100 м3 грунта</v>
      </c>
      <c r="E569" s="10">
        <f>Source!I653</f>
        <v>0.64629000000000003</v>
      </c>
      <c r="F569" s="27"/>
      <c r="G569" s="26"/>
      <c r="H569" s="10"/>
      <c r="I569" s="28"/>
      <c r="J569" s="10"/>
      <c r="K569" s="28"/>
      <c r="Q569">
        <f>ROUND((Source!DN653/100)*ROUND((ROUND((Source!AF653*Source!AV653*Source!I653),2)),2), 2)</f>
        <v>1386.13</v>
      </c>
      <c r="R569">
        <f>Source!X653</f>
        <v>27525.16</v>
      </c>
      <c r="S569">
        <f>ROUND((Source!DO653/100)*ROUND((ROUND((Source!AF653*Source!AV653*Source!I653),2)),2), 2)</f>
        <v>1016.49</v>
      </c>
      <c r="T569">
        <f>Source!Y653</f>
        <v>13276.84</v>
      </c>
      <c r="U569">
        <f>ROUND((175/100)*ROUND((ROUND((Source!AE653*Source!AV653*Source!I653),2)),2), 2)</f>
        <v>0</v>
      </c>
      <c r="V569">
        <f>ROUND((157/100)*ROUND(ROUND((ROUND((Source!AE653*Source!AV653*Source!I653),2)*Source!BS653),2), 2), 2)</f>
        <v>0</v>
      </c>
    </row>
    <row r="570" spans="1:27" x14ac:dyDescent="0.2">
      <c r="C570" s="29" t="str">
        <f>"Объем: "&amp;Source!I653&amp;"=1503*"&amp;"0,43*"&amp;"0,1/"&amp;"100"</f>
        <v>Объем: 0,64629=1503*0,43*0,1/100</v>
      </c>
    </row>
    <row r="571" spans="1:27" ht="14.25" x14ac:dyDescent="0.2">
      <c r="A571" s="22"/>
      <c r="B571" s="23"/>
      <c r="C571" s="23" t="s">
        <v>970</v>
      </c>
      <c r="D571" s="25"/>
      <c r="E571" s="10"/>
      <c r="F571" s="27">
        <f>Source!AO653</f>
        <v>2042.62</v>
      </c>
      <c r="G571" s="26" t="str">
        <f>Source!DG653</f>
        <v/>
      </c>
      <c r="H571" s="10">
        <f>Source!AV653</f>
        <v>1</v>
      </c>
      <c r="I571" s="28">
        <f>ROUND((ROUND((Source!AF653*Source!AV653*Source!I653),2)),2)</f>
        <v>1320.12</v>
      </c>
      <c r="J571" s="10">
        <f>IF(Source!BA653&lt;&gt; 0, Source!BA653, 1)</f>
        <v>24.53</v>
      </c>
      <c r="K571" s="28">
        <f>Source!S653</f>
        <v>32382.54</v>
      </c>
      <c r="W571">
        <f>I571</f>
        <v>1320.12</v>
      </c>
    </row>
    <row r="572" spans="1:27" ht="14.25" x14ac:dyDescent="0.2">
      <c r="A572" s="22"/>
      <c r="B572" s="23"/>
      <c r="C572" s="23" t="s">
        <v>974</v>
      </c>
      <c r="D572" s="25" t="s">
        <v>975</v>
      </c>
      <c r="E572" s="10">
        <f>Source!DN653</f>
        <v>105</v>
      </c>
      <c r="F572" s="27"/>
      <c r="G572" s="26"/>
      <c r="H572" s="10"/>
      <c r="I572" s="28">
        <f>SUM(Q569:Q571)</f>
        <v>1386.13</v>
      </c>
      <c r="J572" s="10">
        <f>Source!BZ653</f>
        <v>85</v>
      </c>
      <c r="K572" s="28">
        <f>SUM(R569:R571)</f>
        <v>27525.16</v>
      </c>
    </row>
    <row r="573" spans="1:27" ht="14.25" x14ac:dyDescent="0.2">
      <c r="A573" s="22"/>
      <c r="B573" s="23"/>
      <c r="C573" s="23" t="s">
        <v>976</v>
      </c>
      <c r="D573" s="25" t="s">
        <v>975</v>
      </c>
      <c r="E573" s="10">
        <f>Source!DO653</f>
        <v>77</v>
      </c>
      <c r="F573" s="27"/>
      <c r="G573" s="26"/>
      <c r="H573" s="10"/>
      <c r="I573" s="28">
        <f>SUM(S569:S572)</f>
        <v>1016.49</v>
      </c>
      <c r="J573" s="10">
        <f>Source!CA653</f>
        <v>41</v>
      </c>
      <c r="K573" s="28">
        <f>SUM(T569:T572)</f>
        <v>13276.84</v>
      </c>
    </row>
    <row r="574" spans="1:27" ht="14.25" x14ac:dyDescent="0.2">
      <c r="A574" s="22"/>
      <c r="B574" s="23"/>
      <c r="C574" s="23" t="s">
        <v>978</v>
      </c>
      <c r="D574" s="25" t="s">
        <v>979</v>
      </c>
      <c r="E574" s="10">
        <f>Source!AQ653</f>
        <v>192.7</v>
      </c>
      <c r="F574" s="27"/>
      <c r="G574" s="26" t="str">
        <f>Source!DI653</f>
        <v/>
      </c>
      <c r="H574" s="10">
        <f>Source!AV653</f>
        <v>1</v>
      </c>
      <c r="I574" s="28">
        <f>Source!U653</f>
        <v>124.540083</v>
      </c>
      <c r="J574" s="10"/>
      <c r="K574" s="28"/>
    </row>
    <row r="575" spans="1:27" ht="15" x14ac:dyDescent="0.25">
      <c r="A575" s="32"/>
      <c r="B575" s="32"/>
      <c r="C575" s="32"/>
      <c r="D575" s="32"/>
      <c r="E575" s="32"/>
      <c r="F575" s="32"/>
      <c r="G575" s="32"/>
      <c r="H575" s="101">
        <f>I571+I572+I573</f>
        <v>3722.74</v>
      </c>
      <c r="I575" s="101"/>
      <c r="J575" s="101">
        <f>K571+K572+K573</f>
        <v>73184.539999999994</v>
      </c>
      <c r="K575" s="101"/>
      <c r="O575" s="31">
        <f>I571+I572+I573</f>
        <v>3722.74</v>
      </c>
      <c r="P575" s="31">
        <f>K571+K572+K573</f>
        <v>73184.539999999994</v>
      </c>
      <c r="X575">
        <f>IF(Source!BI653&lt;=1,I571+I572+I573-0, 0)</f>
        <v>3722.74</v>
      </c>
      <c r="Y575">
        <f>IF(Source!BI653=2,I571+I572+I573-0, 0)</f>
        <v>0</v>
      </c>
      <c r="Z575">
        <f>IF(Source!BI653=3,I571+I572+I573-0, 0)</f>
        <v>0</v>
      </c>
      <c r="AA575">
        <f>IF(Source!BI653=4,I571+I572+I573,0)</f>
        <v>0</v>
      </c>
    </row>
    <row r="576" spans="1:27" ht="28.5" x14ac:dyDescent="0.2">
      <c r="A576" s="22" t="str">
        <f>Source!E654</f>
        <v>73</v>
      </c>
      <c r="B576" s="23" t="str">
        <f>Source!F654</f>
        <v>6.51-6-1</v>
      </c>
      <c r="C576" s="23" t="s">
        <v>216</v>
      </c>
      <c r="D576" s="25" t="str">
        <f>Source!H654</f>
        <v>100 м3 грунта</v>
      </c>
      <c r="E576" s="10">
        <f>Source!I654</f>
        <v>0.64629000000000003</v>
      </c>
      <c r="F576" s="27"/>
      <c r="G576" s="26"/>
      <c r="H576" s="10"/>
      <c r="I576" s="28"/>
      <c r="J576" s="10"/>
      <c r="K576" s="28"/>
      <c r="Q576">
        <f>ROUND((Source!DN654/100)*ROUND((ROUND((Source!AF654*Source!AV654*Source!I654),2)),2), 2)</f>
        <v>467.64</v>
      </c>
      <c r="R576">
        <f>Source!X654</f>
        <v>9202.18</v>
      </c>
      <c r="S576">
        <f>ROUND((Source!DO654/100)*ROUND((ROUND((Source!AF654*Source!AV654*Source!I654),2)),2), 2)</f>
        <v>344.31</v>
      </c>
      <c r="T576">
        <f>Source!Y654</f>
        <v>5168.3500000000004</v>
      </c>
      <c r="U576">
        <f>ROUND((175/100)*ROUND((ROUND((Source!AE654*Source!AV654*Source!I654),2)),2), 2)</f>
        <v>0</v>
      </c>
      <c r="V576">
        <f>ROUND((157/100)*ROUND(ROUND((ROUND((Source!AE654*Source!AV654*Source!I654),2)*Source!BS654),2), 2), 2)</f>
        <v>0</v>
      </c>
    </row>
    <row r="577" spans="1:27" x14ac:dyDescent="0.2">
      <c r="C577" s="29" t="str">
        <f>"Объем: "&amp;Source!I654&amp;"="&amp;Source!I653&amp;"*"&amp;"100/"&amp;"100"</f>
        <v>Объем: 0,64629=0,64629*100/100</v>
      </c>
    </row>
    <row r="578" spans="1:27" ht="14.25" x14ac:dyDescent="0.2">
      <c r="A578" s="22"/>
      <c r="B578" s="23"/>
      <c r="C578" s="23" t="s">
        <v>970</v>
      </c>
      <c r="D578" s="25"/>
      <c r="E578" s="10"/>
      <c r="F578" s="27">
        <f>Source!AO654</f>
        <v>795.14</v>
      </c>
      <c r="G578" s="26" t="str">
        <f>Source!DG654</f>
        <v/>
      </c>
      <c r="H578" s="10">
        <f>Source!AV654</f>
        <v>1</v>
      </c>
      <c r="I578" s="28">
        <f>ROUND((ROUND((Source!AF654*Source!AV654*Source!I654),2)),2)</f>
        <v>513.89</v>
      </c>
      <c r="J578" s="10">
        <f>IF(Source!BA654&lt;&gt; 0, Source!BA654, 1)</f>
        <v>24.53</v>
      </c>
      <c r="K578" s="28">
        <f>Source!S654</f>
        <v>12605.72</v>
      </c>
      <c r="W578">
        <f>I578</f>
        <v>513.89</v>
      </c>
    </row>
    <row r="579" spans="1:27" ht="14.25" x14ac:dyDescent="0.2">
      <c r="A579" s="22"/>
      <c r="B579" s="23"/>
      <c r="C579" s="23" t="s">
        <v>974</v>
      </c>
      <c r="D579" s="25" t="s">
        <v>975</v>
      </c>
      <c r="E579" s="10">
        <f>Source!DN654</f>
        <v>91</v>
      </c>
      <c r="F579" s="27"/>
      <c r="G579" s="26"/>
      <c r="H579" s="10"/>
      <c r="I579" s="28">
        <f>SUM(Q576:Q578)</f>
        <v>467.64</v>
      </c>
      <c r="J579" s="10">
        <f>Source!BZ654</f>
        <v>73</v>
      </c>
      <c r="K579" s="28">
        <f>SUM(R576:R578)</f>
        <v>9202.18</v>
      </c>
    </row>
    <row r="580" spans="1:27" ht="14.25" x14ac:dyDescent="0.2">
      <c r="A580" s="22"/>
      <c r="B580" s="23"/>
      <c r="C580" s="23" t="s">
        <v>976</v>
      </c>
      <c r="D580" s="25" t="s">
        <v>975</v>
      </c>
      <c r="E580" s="10">
        <f>Source!DO654</f>
        <v>67</v>
      </c>
      <c r="F580" s="27"/>
      <c r="G580" s="26"/>
      <c r="H580" s="10"/>
      <c r="I580" s="28">
        <f>SUM(S576:S579)</f>
        <v>344.31</v>
      </c>
      <c r="J580" s="10">
        <f>Source!CA654</f>
        <v>41</v>
      </c>
      <c r="K580" s="28">
        <f>SUM(T576:T579)</f>
        <v>5168.3500000000004</v>
      </c>
    </row>
    <row r="581" spans="1:27" ht="14.25" x14ac:dyDescent="0.2">
      <c r="A581" s="22"/>
      <c r="B581" s="23"/>
      <c r="C581" s="23" t="s">
        <v>978</v>
      </c>
      <c r="D581" s="25" t="s">
        <v>979</v>
      </c>
      <c r="E581" s="10">
        <f>Source!AQ654</f>
        <v>83</v>
      </c>
      <c r="F581" s="27"/>
      <c r="G581" s="26" t="str">
        <f>Source!DI654</f>
        <v/>
      </c>
      <c r="H581" s="10">
        <f>Source!AV654</f>
        <v>1</v>
      </c>
      <c r="I581" s="28">
        <f>Source!U654</f>
        <v>53.642070000000004</v>
      </c>
      <c r="J581" s="10"/>
      <c r="K581" s="28"/>
    </row>
    <row r="582" spans="1:27" ht="15" x14ac:dyDescent="0.25">
      <c r="A582" s="32"/>
      <c r="B582" s="32"/>
      <c r="C582" s="32"/>
      <c r="D582" s="32"/>
      <c r="E582" s="32"/>
      <c r="F582" s="32"/>
      <c r="G582" s="32"/>
      <c r="H582" s="101">
        <f>I578+I579+I580</f>
        <v>1325.84</v>
      </c>
      <c r="I582" s="101"/>
      <c r="J582" s="101">
        <f>K578+K579+K580</f>
        <v>26976.25</v>
      </c>
      <c r="K582" s="101"/>
      <c r="O582" s="31">
        <f>I578+I579+I580</f>
        <v>1325.84</v>
      </c>
      <c r="P582" s="31">
        <f>K578+K579+K580</f>
        <v>26976.25</v>
      </c>
      <c r="X582">
        <f>IF(Source!BI654&lt;=1,I578+I579+I580-0, 0)</f>
        <v>1325.84</v>
      </c>
      <c r="Y582">
        <f>IF(Source!BI654=2,I578+I579+I580-0, 0)</f>
        <v>0</v>
      </c>
      <c r="Z582">
        <f>IF(Source!BI654=3,I578+I579+I580-0, 0)</f>
        <v>0</v>
      </c>
      <c r="AA582">
        <f>IF(Source!BI654=4,I578+I579+I580,0)</f>
        <v>0</v>
      </c>
    </row>
    <row r="583" spans="1:27" ht="99.75" x14ac:dyDescent="0.2">
      <c r="A583" s="22" t="str">
        <f>Source!E657</f>
        <v>76</v>
      </c>
      <c r="B583" s="23" t="str">
        <f>Source!F657</f>
        <v>3.27-12-1</v>
      </c>
      <c r="C583" s="23" t="s">
        <v>184</v>
      </c>
      <c r="D583" s="25" t="str">
        <f>Source!H657</f>
        <v>100 м3 материала основания (в плотном теле)</v>
      </c>
      <c r="E583" s="10">
        <f>Source!I657</f>
        <v>3.0059999999999998</v>
      </c>
      <c r="F583" s="27"/>
      <c r="G583" s="26"/>
      <c r="H583" s="10"/>
      <c r="I583" s="28"/>
      <c r="J583" s="10"/>
      <c r="K583" s="28"/>
      <c r="Q583">
        <f>ROUND((Source!DN657/100)*ROUND((ROUND((Source!AF657*Source!AV657*Source!I657),2)),2), 2)</f>
        <v>733.16</v>
      </c>
      <c r="R583">
        <f>Source!X657</f>
        <v>14633.32</v>
      </c>
      <c r="S583">
        <f>ROUND((Source!DO657/100)*ROUND((ROUND((Source!AF657*Source!AV657*Source!I657),2)),2), 2)</f>
        <v>487.26</v>
      </c>
      <c r="T583">
        <f>Source!Y657</f>
        <v>6032.05</v>
      </c>
      <c r="U583">
        <f>ROUND((175/100)*ROUND((ROUND((Source!AE657*Source!AV657*Source!I657),2)),2), 2)</f>
        <v>626.26</v>
      </c>
      <c r="V583">
        <f>ROUND((157/100)*ROUND(ROUND((ROUND((Source!AE657*Source!AV657*Source!I657),2)*Source!BS657),2), 2), 2)</f>
        <v>13781.95</v>
      </c>
    </row>
    <row r="584" spans="1:27" x14ac:dyDescent="0.2">
      <c r="C584" s="29" t="str">
        <f>"Объем: "&amp;Source!I657&amp;"=1503*"&amp;"0,2/"&amp;"100"</f>
        <v>Объем: 3,006=1503*0,2/100</v>
      </c>
    </row>
    <row r="585" spans="1:27" ht="14.25" x14ac:dyDescent="0.2">
      <c r="A585" s="22"/>
      <c r="B585" s="23"/>
      <c r="C585" s="23" t="s">
        <v>970</v>
      </c>
      <c r="D585" s="25"/>
      <c r="E585" s="10"/>
      <c r="F585" s="27">
        <f>Source!AO657</f>
        <v>151.49</v>
      </c>
      <c r="G585" s="26" t="str">
        <f>Source!DG657</f>
        <v/>
      </c>
      <c r="H585" s="10">
        <f>Source!AV657</f>
        <v>1</v>
      </c>
      <c r="I585" s="28">
        <f>ROUND((ROUND((Source!AF657*Source!AV657*Source!I657),2)),2)</f>
        <v>455.38</v>
      </c>
      <c r="J585" s="10">
        <f>IF(Source!BA657&lt;&gt; 0, Source!BA657, 1)</f>
        <v>24.53</v>
      </c>
      <c r="K585" s="28">
        <f>Source!S657</f>
        <v>11170.47</v>
      </c>
      <c r="W585">
        <f>I585</f>
        <v>455.38</v>
      </c>
    </row>
    <row r="586" spans="1:27" ht="14.25" x14ac:dyDescent="0.2">
      <c r="A586" s="22"/>
      <c r="B586" s="23"/>
      <c r="C586" s="23" t="s">
        <v>971</v>
      </c>
      <c r="D586" s="25"/>
      <c r="E586" s="10"/>
      <c r="F586" s="27">
        <f>Source!AM657</f>
        <v>676.47</v>
      </c>
      <c r="G586" s="26" t="str">
        <f>Source!DE657</f>
        <v/>
      </c>
      <c r="H586" s="10">
        <f>Source!AV657</f>
        <v>1</v>
      </c>
      <c r="I586" s="28">
        <f>(ROUND((ROUND(((Source!ET657)*Source!AV657*Source!I657),2)),2)+ROUND((ROUND(((Source!AE657-(Source!EU657))*Source!AV657*Source!I657),2)),2))</f>
        <v>2033.47</v>
      </c>
      <c r="J586" s="10">
        <f>IF(Source!BB657&lt;&gt; 0, Source!BB657, 1)</f>
        <v>9.4499999999999993</v>
      </c>
      <c r="K586" s="28">
        <f>Source!Q657</f>
        <v>19216.29</v>
      </c>
    </row>
    <row r="587" spans="1:27" ht="14.25" x14ac:dyDescent="0.2">
      <c r="A587" s="22"/>
      <c r="B587" s="23"/>
      <c r="C587" s="23" t="s">
        <v>972</v>
      </c>
      <c r="D587" s="25"/>
      <c r="E587" s="10"/>
      <c r="F587" s="27">
        <f>Source!AN657</f>
        <v>119.05</v>
      </c>
      <c r="G587" s="26" t="str">
        <f>Source!DF657</f>
        <v/>
      </c>
      <c r="H587" s="10">
        <f>Source!AV657</f>
        <v>1</v>
      </c>
      <c r="I587" s="30">
        <f>ROUND((ROUND((Source!AE657*Source!AV657*Source!I657),2)),2)</f>
        <v>357.86</v>
      </c>
      <c r="J587" s="10">
        <f>IF(Source!BS657&lt;&gt; 0, Source!BS657, 1)</f>
        <v>24.53</v>
      </c>
      <c r="K587" s="30">
        <f>Source!R657</f>
        <v>8778.31</v>
      </c>
      <c r="W587">
        <f>I587</f>
        <v>357.86</v>
      </c>
    </row>
    <row r="588" spans="1:27" ht="14.25" x14ac:dyDescent="0.2">
      <c r="A588" s="22"/>
      <c r="B588" s="23"/>
      <c r="C588" s="23" t="s">
        <v>973</v>
      </c>
      <c r="D588" s="25"/>
      <c r="E588" s="10"/>
      <c r="F588" s="27">
        <f>Source!AL657</f>
        <v>35.35</v>
      </c>
      <c r="G588" s="26" t="str">
        <f>Source!DD657</f>
        <v/>
      </c>
      <c r="H588" s="10">
        <f>Source!AW657</f>
        <v>1</v>
      </c>
      <c r="I588" s="28">
        <f>ROUND((ROUND((Source!AC657*Source!AW657*Source!I657),2)),2)</f>
        <v>106.26</v>
      </c>
      <c r="J588" s="10">
        <f>IF(Source!BC657&lt;&gt; 0, Source!BC657, 1)</f>
        <v>4.99</v>
      </c>
      <c r="K588" s="28">
        <f>Source!P657</f>
        <v>530.24</v>
      </c>
    </row>
    <row r="589" spans="1:27" ht="28.5" x14ac:dyDescent="0.2">
      <c r="A589" s="22" t="str">
        <f>Source!E658</f>
        <v>76,1</v>
      </c>
      <c r="B589" s="23" t="str">
        <f>Source!F658</f>
        <v>1.1-1-766</v>
      </c>
      <c r="C589" s="23" t="s">
        <v>191</v>
      </c>
      <c r="D589" s="25" t="str">
        <f>Source!H658</f>
        <v>м3</v>
      </c>
      <c r="E589" s="10">
        <f>Source!I658</f>
        <v>330.66</v>
      </c>
      <c r="F589" s="27">
        <f>Source!AK658</f>
        <v>104.99</v>
      </c>
      <c r="G589" s="33" t="s">
        <v>3</v>
      </c>
      <c r="H589" s="10">
        <f>Source!AW658</f>
        <v>1</v>
      </c>
      <c r="I589" s="28">
        <f>ROUND((ROUND((Source!AC658*Source!AW658*Source!I658),2)),2)+(ROUND((ROUND(((Source!ET658)*Source!AV658*Source!I658),2)),2)+ROUND((ROUND(((Source!AE658-(Source!EU658))*Source!AV658*Source!I658),2)),2))+ROUND((ROUND((Source!AF658*Source!AV658*Source!I658),2)),2)</f>
        <v>34715.99</v>
      </c>
      <c r="J589" s="10">
        <f>IF(Source!BC658&lt;&gt; 0, Source!BC658, 1)</f>
        <v>5.26</v>
      </c>
      <c r="K589" s="28">
        <f>Source!O658</f>
        <v>182606.11</v>
      </c>
      <c r="Q589">
        <f>ROUND((Source!DN658/100)*ROUND((ROUND((Source!AF658*Source!AV658*Source!I658),2)),2), 2)</f>
        <v>0</v>
      </c>
      <c r="R589">
        <f>Source!X658</f>
        <v>0</v>
      </c>
      <c r="S589">
        <f>ROUND((Source!DO658/100)*ROUND((ROUND((Source!AF658*Source!AV658*Source!I658),2)),2), 2)</f>
        <v>0</v>
      </c>
      <c r="T589">
        <f>Source!Y658</f>
        <v>0</v>
      </c>
      <c r="U589">
        <f>ROUND((175/100)*ROUND((ROUND((Source!AE658*Source!AV658*Source!I658),2)),2), 2)</f>
        <v>0</v>
      </c>
      <c r="V589">
        <f>ROUND((157/100)*ROUND(ROUND((ROUND((Source!AE658*Source!AV658*Source!I658),2)*Source!BS658),2), 2), 2)</f>
        <v>0</v>
      </c>
      <c r="X589">
        <f>IF(Source!BI658&lt;=1,I589, 0)</f>
        <v>34715.99</v>
      </c>
      <c r="Y589">
        <f>IF(Source!BI658=2,I589, 0)</f>
        <v>0</v>
      </c>
      <c r="Z589">
        <f>IF(Source!BI658=3,I589, 0)</f>
        <v>0</v>
      </c>
      <c r="AA589">
        <f>IF(Source!BI658=4,I589, 0)</f>
        <v>0</v>
      </c>
    </row>
    <row r="590" spans="1:27" ht="14.25" x14ac:dyDescent="0.2">
      <c r="A590" s="22"/>
      <c r="B590" s="23"/>
      <c r="C590" s="23" t="s">
        <v>974</v>
      </c>
      <c r="D590" s="25" t="s">
        <v>975</v>
      </c>
      <c r="E590" s="10">
        <f>Source!DN657</f>
        <v>161</v>
      </c>
      <c r="F590" s="27"/>
      <c r="G590" s="26"/>
      <c r="H590" s="10"/>
      <c r="I590" s="28">
        <f>SUM(Q583:Q589)</f>
        <v>733.16</v>
      </c>
      <c r="J590" s="10">
        <f>Source!BZ657</f>
        <v>131</v>
      </c>
      <c r="K590" s="28">
        <f>SUM(R583:R589)</f>
        <v>14633.32</v>
      </c>
    </row>
    <row r="591" spans="1:27" ht="14.25" x14ac:dyDescent="0.2">
      <c r="A591" s="22"/>
      <c r="B591" s="23"/>
      <c r="C591" s="23" t="s">
        <v>976</v>
      </c>
      <c r="D591" s="25" t="s">
        <v>975</v>
      </c>
      <c r="E591" s="10">
        <f>Source!DO657</f>
        <v>107</v>
      </c>
      <c r="F591" s="27"/>
      <c r="G591" s="26"/>
      <c r="H591" s="10"/>
      <c r="I591" s="28">
        <f>SUM(S583:S590)</f>
        <v>487.26</v>
      </c>
      <c r="J591" s="10">
        <f>Source!CA657</f>
        <v>54</v>
      </c>
      <c r="K591" s="28">
        <f>SUM(T583:T590)</f>
        <v>6032.05</v>
      </c>
    </row>
    <row r="592" spans="1:27" ht="14.25" x14ac:dyDescent="0.2">
      <c r="A592" s="22"/>
      <c r="B592" s="23"/>
      <c r="C592" s="23" t="s">
        <v>977</v>
      </c>
      <c r="D592" s="25" t="s">
        <v>975</v>
      </c>
      <c r="E592" s="10">
        <f>175</f>
        <v>175</v>
      </c>
      <c r="F592" s="27"/>
      <c r="G592" s="26"/>
      <c r="H592" s="10"/>
      <c r="I592" s="28">
        <f>SUM(U583:U591)</f>
        <v>626.26</v>
      </c>
      <c r="J592" s="10">
        <f>157</f>
        <v>157</v>
      </c>
      <c r="K592" s="28">
        <f>SUM(V583:V591)</f>
        <v>13781.95</v>
      </c>
    </row>
    <row r="593" spans="1:27" ht="14.25" x14ac:dyDescent="0.2">
      <c r="A593" s="22"/>
      <c r="B593" s="23"/>
      <c r="C593" s="23" t="s">
        <v>978</v>
      </c>
      <c r="D593" s="25" t="s">
        <v>979</v>
      </c>
      <c r="E593" s="10">
        <f>Source!AQ657</f>
        <v>14.4</v>
      </c>
      <c r="F593" s="27"/>
      <c r="G593" s="26" t="str">
        <f>Source!DI657</f>
        <v/>
      </c>
      <c r="H593" s="10">
        <f>Source!AV657</f>
        <v>1</v>
      </c>
      <c r="I593" s="28">
        <f>Source!U657</f>
        <v>43.2864</v>
      </c>
      <c r="J593" s="10"/>
      <c r="K593" s="28"/>
    </row>
    <row r="594" spans="1:27" ht="15" x14ac:dyDescent="0.25">
      <c r="A594" s="32"/>
      <c r="B594" s="32"/>
      <c r="C594" s="32"/>
      <c r="D594" s="32"/>
      <c r="E594" s="32"/>
      <c r="F594" s="32"/>
      <c r="G594" s="32"/>
      <c r="H594" s="101">
        <f>I585+I586+I588+I590+I591+I592+SUM(I589:I589)</f>
        <v>39157.78</v>
      </c>
      <c r="I594" s="101"/>
      <c r="J594" s="101">
        <f>K585+K586+K588+K590+K591+K592+SUM(K589:K589)</f>
        <v>247970.43</v>
      </c>
      <c r="K594" s="101"/>
      <c r="O594" s="31">
        <f>I585+I586+I588+I590+I591+I592+SUM(I589:I589)</f>
        <v>39157.78</v>
      </c>
      <c r="P594" s="31">
        <f>K585+K586+K588+K590+K591+K592+SUM(K589:K589)</f>
        <v>247970.43</v>
      </c>
      <c r="X594">
        <f>IF(Source!BI657&lt;=1,I585+I586+I588+I590+I591+I592-0, 0)</f>
        <v>4441.79</v>
      </c>
      <c r="Y594">
        <f>IF(Source!BI657=2,I585+I586+I588+I590+I591+I592-0, 0)</f>
        <v>0</v>
      </c>
      <c r="Z594">
        <f>IF(Source!BI657=3,I585+I586+I588+I590+I591+I592-0, 0)</f>
        <v>0</v>
      </c>
      <c r="AA594">
        <f>IF(Source!BI657=4,I585+I586+I588+I590+I591+I592,0)</f>
        <v>0</v>
      </c>
    </row>
    <row r="595" spans="1:27" ht="99.75" x14ac:dyDescent="0.2">
      <c r="A595" s="22" t="str">
        <f>Source!E659</f>
        <v>77</v>
      </c>
      <c r="B595" s="23" t="str">
        <f>Source!F659</f>
        <v>3.27-12-2</v>
      </c>
      <c r="C595" s="23" t="s">
        <v>234</v>
      </c>
      <c r="D595" s="25" t="str">
        <f>Source!H659</f>
        <v>100 м3 материала основания (в плотном теле)</v>
      </c>
      <c r="E595" s="10">
        <f>Source!I659</f>
        <v>1.8036000000000001</v>
      </c>
      <c r="F595" s="27"/>
      <c r="G595" s="26"/>
      <c r="H595" s="10"/>
      <c r="I595" s="28"/>
      <c r="J595" s="10"/>
      <c r="K595" s="28"/>
      <c r="Q595">
        <f>ROUND((Source!DN659/100)*ROUND((ROUND((Source!AF659*Source!AV659*Source!I659),2)),2), 2)</f>
        <v>659.83</v>
      </c>
      <c r="R595">
        <f>Source!X659</f>
        <v>13169.6</v>
      </c>
      <c r="S595">
        <f>ROUND((Source!DO659/100)*ROUND((ROUND((Source!AF659*Source!AV659*Source!I659),2)),2), 2)</f>
        <v>438.52</v>
      </c>
      <c r="T595">
        <f>Source!Y659</f>
        <v>5428.69</v>
      </c>
      <c r="U595">
        <f>ROUND((175/100)*ROUND((ROUND((Source!AE659*Source!AV659*Source!I659),2)),2), 2)</f>
        <v>1995.42</v>
      </c>
      <c r="V595">
        <f>ROUND((157/100)*ROUND(ROUND((ROUND((Source!AE659*Source!AV659*Source!I659),2)*Source!BS659),2), 2), 2)</f>
        <v>43913.04</v>
      </c>
    </row>
    <row r="596" spans="1:27" x14ac:dyDescent="0.2">
      <c r="C596" s="29" t="str">
        <f>"Объем: "&amp;Source!I659&amp;"=1503*"&amp;"0,12/"&amp;"100"</f>
        <v>Объем: 1,8036=1503*0,12/100</v>
      </c>
    </row>
    <row r="597" spans="1:27" ht="14.25" x14ac:dyDescent="0.2">
      <c r="A597" s="22"/>
      <c r="B597" s="23"/>
      <c r="C597" s="23" t="s">
        <v>970</v>
      </c>
      <c r="D597" s="25"/>
      <c r="E597" s="10"/>
      <c r="F597" s="27">
        <f>Source!AO659</f>
        <v>227.23</v>
      </c>
      <c r="G597" s="26" t="str">
        <f>Source!DG659</f>
        <v/>
      </c>
      <c r="H597" s="10">
        <f>Source!AV659</f>
        <v>1</v>
      </c>
      <c r="I597" s="28">
        <f>ROUND((ROUND((Source!AF659*Source!AV659*Source!I659),2)),2)</f>
        <v>409.83</v>
      </c>
      <c r="J597" s="10">
        <f>IF(Source!BA659&lt;&gt; 0, Source!BA659, 1)</f>
        <v>24.53</v>
      </c>
      <c r="K597" s="28">
        <f>Source!S659</f>
        <v>10053.129999999999</v>
      </c>
      <c r="W597">
        <f>I597</f>
        <v>409.83</v>
      </c>
    </row>
    <row r="598" spans="1:27" ht="14.25" x14ac:dyDescent="0.2">
      <c r="A598" s="22"/>
      <c r="B598" s="23"/>
      <c r="C598" s="23" t="s">
        <v>971</v>
      </c>
      <c r="D598" s="25"/>
      <c r="E598" s="10"/>
      <c r="F598" s="27">
        <f>Source!AM659</f>
        <v>3024.67</v>
      </c>
      <c r="G598" s="26" t="str">
        <f>Source!DE659</f>
        <v/>
      </c>
      <c r="H598" s="10">
        <f>Source!AV659</f>
        <v>1</v>
      </c>
      <c r="I598" s="28">
        <f>(ROUND((ROUND(((Source!ET659)*Source!AV659*Source!I659),2)),2)+ROUND((ROUND(((Source!AE659-(Source!EU659))*Source!AV659*Source!I659),2)),2))</f>
        <v>5455.29</v>
      </c>
      <c r="J598" s="10">
        <f>IF(Source!BB659&lt;&gt; 0, Source!BB659, 1)</f>
        <v>8.4700000000000006</v>
      </c>
      <c r="K598" s="28">
        <f>Source!Q659</f>
        <v>46206.31</v>
      </c>
    </row>
    <row r="599" spans="1:27" ht="14.25" x14ac:dyDescent="0.2">
      <c r="A599" s="22"/>
      <c r="B599" s="23"/>
      <c r="C599" s="23" t="s">
        <v>972</v>
      </c>
      <c r="D599" s="25"/>
      <c r="E599" s="10"/>
      <c r="F599" s="27">
        <f>Source!AN659</f>
        <v>632.20000000000005</v>
      </c>
      <c r="G599" s="26" t="str">
        <f>Source!DF659</f>
        <v/>
      </c>
      <c r="H599" s="10">
        <f>Source!AV659</f>
        <v>1</v>
      </c>
      <c r="I599" s="30">
        <f>ROUND((ROUND((Source!AE659*Source!AV659*Source!I659),2)),2)</f>
        <v>1140.24</v>
      </c>
      <c r="J599" s="10">
        <f>IF(Source!BS659&lt;&gt; 0, Source!BS659, 1)</f>
        <v>24.53</v>
      </c>
      <c r="K599" s="30">
        <f>Source!R659</f>
        <v>27970.09</v>
      </c>
      <c r="W599">
        <f>I599</f>
        <v>1140.24</v>
      </c>
    </row>
    <row r="600" spans="1:27" ht="14.25" x14ac:dyDescent="0.2">
      <c r="A600" s="22"/>
      <c r="B600" s="23"/>
      <c r="C600" s="23" t="s">
        <v>973</v>
      </c>
      <c r="D600" s="25"/>
      <c r="E600" s="10"/>
      <c r="F600" s="27">
        <f>Source!AL659</f>
        <v>49.49</v>
      </c>
      <c r="G600" s="26" t="str">
        <f>Source!DD659</f>
        <v/>
      </c>
      <c r="H600" s="10">
        <f>Source!AW659</f>
        <v>1</v>
      </c>
      <c r="I600" s="28">
        <f>ROUND((ROUND((Source!AC659*Source!AW659*Source!I659),2)),2)</f>
        <v>89.26</v>
      </c>
      <c r="J600" s="10">
        <f>IF(Source!BC659&lt;&gt; 0, Source!BC659, 1)</f>
        <v>4.99</v>
      </c>
      <c r="K600" s="28">
        <f>Source!P659</f>
        <v>445.41</v>
      </c>
    </row>
    <row r="601" spans="1:27" ht="42.75" x14ac:dyDescent="0.2">
      <c r="A601" s="22" t="str">
        <f>Source!E660</f>
        <v>77,1</v>
      </c>
      <c r="B601" s="23" t="str">
        <f>Source!F660</f>
        <v>1.1-1-1550</v>
      </c>
      <c r="C601" s="23" t="s">
        <v>65</v>
      </c>
      <c r="D601" s="25" t="str">
        <f>Source!H660</f>
        <v>м3</v>
      </c>
      <c r="E601" s="10">
        <f>Source!I660</f>
        <v>227.25360000000001</v>
      </c>
      <c r="F601" s="27">
        <f>Source!AK660</f>
        <v>173.37</v>
      </c>
      <c r="G601" s="33" t="s">
        <v>3</v>
      </c>
      <c r="H601" s="10">
        <f>Source!AW660</f>
        <v>1</v>
      </c>
      <c r="I601" s="28">
        <f>ROUND((ROUND((Source!AC660*Source!AW660*Source!I660),2)),2)+(ROUND((ROUND(((Source!ET660)*Source!AV660*Source!I660),2)),2)+ROUND((ROUND(((Source!AE660-(Source!EU660))*Source!AV660*Source!I660),2)),2))+ROUND((ROUND((Source!AF660*Source!AV660*Source!I660),2)),2)</f>
        <v>39398.959999999999</v>
      </c>
      <c r="J601" s="10">
        <f>IF(Source!BC660&lt;&gt; 0, Source!BC660, 1)</f>
        <v>10.78</v>
      </c>
      <c r="K601" s="28">
        <f>Source!O660</f>
        <v>424720.79</v>
      </c>
      <c r="Q601">
        <f>ROUND((Source!DN660/100)*ROUND((ROUND((Source!AF660*Source!AV660*Source!I660),2)),2), 2)</f>
        <v>0</v>
      </c>
      <c r="R601">
        <f>Source!X660</f>
        <v>0</v>
      </c>
      <c r="S601">
        <f>ROUND((Source!DO660/100)*ROUND((ROUND((Source!AF660*Source!AV660*Source!I660),2)),2), 2)</f>
        <v>0</v>
      </c>
      <c r="T601">
        <f>Source!Y660</f>
        <v>0</v>
      </c>
      <c r="U601">
        <f>ROUND((175/100)*ROUND((ROUND((Source!AE660*Source!AV660*Source!I660),2)),2), 2)</f>
        <v>0</v>
      </c>
      <c r="V601">
        <f>ROUND((157/100)*ROUND(ROUND((ROUND((Source!AE660*Source!AV660*Source!I660),2)*Source!BS660),2), 2), 2)</f>
        <v>0</v>
      </c>
      <c r="X601">
        <f>IF(Source!BI660&lt;=1,I601, 0)</f>
        <v>39398.959999999999</v>
      </c>
      <c r="Y601">
        <f>IF(Source!BI660=2,I601, 0)</f>
        <v>0</v>
      </c>
      <c r="Z601">
        <f>IF(Source!BI660=3,I601, 0)</f>
        <v>0</v>
      </c>
      <c r="AA601">
        <f>IF(Source!BI660=4,I601, 0)</f>
        <v>0</v>
      </c>
    </row>
    <row r="602" spans="1:27" ht="14.25" x14ac:dyDescent="0.2">
      <c r="A602" s="22"/>
      <c r="B602" s="23"/>
      <c r="C602" s="23" t="s">
        <v>974</v>
      </c>
      <c r="D602" s="25" t="s">
        <v>975</v>
      </c>
      <c r="E602" s="10">
        <f>Source!DN659</f>
        <v>161</v>
      </c>
      <c r="F602" s="27"/>
      <c r="G602" s="26"/>
      <c r="H602" s="10"/>
      <c r="I602" s="28">
        <f>SUM(Q595:Q601)</f>
        <v>659.83</v>
      </c>
      <c r="J602" s="10">
        <f>Source!BZ659</f>
        <v>131</v>
      </c>
      <c r="K602" s="28">
        <f>SUM(R595:R601)</f>
        <v>13169.6</v>
      </c>
    </row>
    <row r="603" spans="1:27" ht="14.25" x14ac:dyDescent="0.2">
      <c r="A603" s="22"/>
      <c r="B603" s="23"/>
      <c r="C603" s="23" t="s">
        <v>976</v>
      </c>
      <c r="D603" s="25" t="s">
        <v>975</v>
      </c>
      <c r="E603" s="10">
        <f>Source!DO659</f>
        <v>107</v>
      </c>
      <c r="F603" s="27"/>
      <c r="G603" s="26"/>
      <c r="H603" s="10"/>
      <c r="I603" s="28">
        <f>SUM(S595:S602)</f>
        <v>438.52</v>
      </c>
      <c r="J603" s="10">
        <f>Source!CA659</f>
        <v>54</v>
      </c>
      <c r="K603" s="28">
        <f>SUM(T595:T602)</f>
        <v>5428.69</v>
      </c>
    </row>
    <row r="604" spans="1:27" ht="14.25" x14ac:dyDescent="0.2">
      <c r="A604" s="22"/>
      <c r="B604" s="23"/>
      <c r="C604" s="23" t="s">
        <v>977</v>
      </c>
      <c r="D604" s="25" t="s">
        <v>975</v>
      </c>
      <c r="E604" s="10">
        <f>175</f>
        <v>175</v>
      </c>
      <c r="F604" s="27"/>
      <c r="G604" s="26"/>
      <c r="H604" s="10"/>
      <c r="I604" s="28">
        <f>SUM(U595:U603)</f>
        <v>1995.42</v>
      </c>
      <c r="J604" s="10">
        <f>157</f>
        <v>157</v>
      </c>
      <c r="K604" s="28">
        <f>SUM(V595:V603)</f>
        <v>43913.04</v>
      </c>
    </row>
    <row r="605" spans="1:27" ht="14.25" x14ac:dyDescent="0.2">
      <c r="A605" s="22"/>
      <c r="B605" s="23"/>
      <c r="C605" s="23" t="s">
        <v>978</v>
      </c>
      <c r="D605" s="25" t="s">
        <v>979</v>
      </c>
      <c r="E605" s="10">
        <f>Source!AQ659</f>
        <v>21.6</v>
      </c>
      <c r="F605" s="27"/>
      <c r="G605" s="26" t="str">
        <f>Source!DI659</f>
        <v/>
      </c>
      <c r="H605" s="10">
        <f>Source!AV659</f>
        <v>1</v>
      </c>
      <c r="I605" s="28">
        <f>Source!U659</f>
        <v>38.957760000000007</v>
      </c>
      <c r="J605" s="10"/>
      <c r="K605" s="28"/>
    </row>
    <row r="606" spans="1:27" ht="15" x14ac:dyDescent="0.25">
      <c r="A606" s="32"/>
      <c r="B606" s="32"/>
      <c r="C606" s="32"/>
      <c r="D606" s="32"/>
      <c r="E606" s="32"/>
      <c r="F606" s="32"/>
      <c r="G606" s="32"/>
      <c r="H606" s="101">
        <f>I597+I598+I600+I602+I603+I604+SUM(I601:I601)</f>
        <v>48447.11</v>
      </c>
      <c r="I606" s="101"/>
      <c r="J606" s="101">
        <f>K597+K598+K600+K602+K603+K604+SUM(K601:K601)</f>
        <v>543936.97</v>
      </c>
      <c r="K606" s="101"/>
      <c r="O606" s="31">
        <f>I597+I598+I600+I602+I603+I604+SUM(I601:I601)</f>
        <v>48447.11</v>
      </c>
      <c r="P606" s="31">
        <f>K597+K598+K600+K602+K603+K604+SUM(K601:K601)</f>
        <v>543936.97</v>
      </c>
      <c r="X606">
        <f>IF(Source!BI659&lt;=1,I597+I598+I600+I602+I603+I604-0, 0)</f>
        <v>9048.15</v>
      </c>
      <c r="Y606">
        <f>IF(Source!BI659=2,I597+I598+I600+I602+I603+I604-0, 0)</f>
        <v>0</v>
      </c>
      <c r="Z606">
        <f>IF(Source!BI659=3,I597+I598+I600+I602+I603+I604-0, 0)</f>
        <v>0</v>
      </c>
      <c r="AA606">
        <f>IF(Source!BI659=4,I597+I598+I600+I602+I603+I604,0)</f>
        <v>0</v>
      </c>
    </row>
    <row r="607" spans="1:27" ht="42.75" x14ac:dyDescent="0.2">
      <c r="A607" s="22" t="str">
        <f>Source!E661</f>
        <v>78</v>
      </c>
      <c r="B607" s="23" t="str">
        <f>Source!F661</f>
        <v>3.47-69-1</v>
      </c>
      <c r="C607" s="23" t="s">
        <v>400</v>
      </c>
      <c r="D607" s="25" t="str">
        <f>Source!H661</f>
        <v>100 м2</v>
      </c>
      <c r="E607" s="10">
        <f>Source!I661</f>
        <v>15.03</v>
      </c>
      <c r="F607" s="27"/>
      <c r="G607" s="26"/>
      <c r="H607" s="10"/>
      <c r="I607" s="28"/>
      <c r="J607" s="10"/>
      <c r="K607" s="28"/>
      <c r="Q607">
        <f>ROUND((Source!DN661/100)*ROUND((ROUND((Source!AF661*Source!AV661*Source!I661),2)),2), 2)</f>
        <v>26046.32</v>
      </c>
      <c r="R607">
        <f>Source!X661</f>
        <v>505411.29</v>
      </c>
      <c r="S607">
        <f>ROUND((Source!DO661/100)*ROUND((ROUND((Source!AF661*Source!AV661*Source!I661),2)),2), 2)</f>
        <v>16133.17</v>
      </c>
      <c r="T607">
        <f>Source!Y661</f>
        <v>195489.27</v>
      </c>
      <c r="U607">
        <f>ROUND((175/100)*ROUND((ROUND((Source!AE661*Source!AV661*Source!I661),2)),2), 2)</f>
        <v>707.02</v>
      </c>
      <c r="V607">
        <f>ROUND((157/100)*ROUND(ROUND((ROUND((Source!AE661*Source!AV661*Source!I661),2)*Source!BS661),2), 2), 2)</f>
        <v>15559.28</v>
      </c>
    </row>
    <row r="608" spans="1:27" x14ac:dyDescent="0.2">
      <c r="C608" s="29" t="str">
        <f>"Объем: "&amp;Source!I661&amp;"=1503/"&amp;"100"</f>
        <v>Объем: 15,03=1503/100</v>
      </c>
    </row>
    <row r="609" spans="1:38" ht="14.25" x14ac:dyDescent="0.2">
      <c r="A609" s="22"/>
      <c r="B609" s="23"/>
      <c r="C609" s="23" t="s">
        <v>970</v>
      </c>
      <c r="D609" s="25"/>
      <c r="E609" s="10"/>
      <c r="F609" s="27">
        <f>Source!AO661</f>
        <v>1293.25</v>
      </c>
      <c r="G609" s="26" t="str">
        <f>Source!DG661</f>
        <v/>
      </c>
      <c r="H609" s="10">
        <f>Source!AV661</f>
        <v>1</v>
      </c>
      <c r="I609" s="28">
        <f>ROUND((ROUND((Source!AF661*Source!AV661*Source!I661),2)),2)</f>
        <v>19437.55</v>
      </c>
      <c r="J609" s="10">
        <f>IF(Source!BA661&lt;&gt; 0, Source!BA661, 1)</f>
        <v>24.53</v>
      </c>
      <c r="K609" s="28">
        <f>Source!S661</f>
        <v>476803.1</v>
      </c>
      <c r="W609">
        <f>I609</f>
        <v>19437.55</v>
      </c>
    </row>
    <row r="610" spans="1:38" ht="14.25" x14ac:dyDescent="0.2">
      <c r="A610" s="22"/>
      <c r="B610" s="23"/>
      <c r="C610" s="23" t="s">
        <v>971</v>
      </c>
      <c r="D610" s="25"/>
      <c r="E610" s="10"/>
      <c r="F610" s="27">
        <f>Source!AM661</f>
        <v>275.43</v>
      </c>
      <c r="G610" s="26" t="str">
        <f>Source!DE661</f>
        <v/>
      </c>
      <c r="H610" s="10">
        <f>Source!AV661</f>
        <v>1</v>
      </c>
      <c r="I610" s="28">
        <f>(ROUND((ROUND(((Source!ET661)*Source!AV661*Source!I661),2)),2)+ROUND((ROUND(((Source!AE661-(Source!EU661))*Source!AV661*Source!I661),2)),2))</f>
        <v>4139.71</v>
      </c>
      <c r="J610" s="10">
        <f>IF(Source!BB661&lt;&gt; 0, Source!BB661, 1)</f>
        <v>7.93</v>
      </c>
      <c r="K610" s="28">
        <f>Source!Q661</f>
        <v>32827.9</v>
      </c>
    </row>
    <row r="611" spans="1:38" ht="14.25" x14ac:dyDescent="0.2">
      <c r="A611" s="22"/>
      <c r="B611" s="23"/>
      <c r="C611" s="23" t="s">
        <v>972</v>
      </c>
      <c r="D611" s="25"/>
      <c r="E611" s="10"/>
      <c r="F611" s="27">
        <f>Source!AN661</f>
        <v>26.88</v>
      </c>
      <c r="G611" s="26" t="str">
        <f>Source!DF661</f>
        <v/>
      </c>
      <c r="H611" s="10">
        <f>Source!AV661</f>
        <v>1</v>
      </c>
      <c r="I611" s="30">
        <f>ROUND((ROUND((Source!AE661*Source!AV661*Source!I661),2)),2)</f>
        <v>404.01</v>
      </c>
      <c r="J611" s="10">
        <f>IF(Source!BS661&lt;&gt; 0, Source!BS661, 1)</f>
        <v>24.53</v>
      </c>
      <c r="K611" s="30">
        <f>Source!R661</f>
        <v>9910.3700000000008</v>
      </c>
      <c r="W611">
        <f>I611</f>
        <v>404.01</v>
      </c>
    </row>
    <row r="612" spans="1:38" ht="14.25" x14ac:dyDescent="0.2">
      <c r="A612" s="22"/>
      <c r="B612" s="23"/>
      <c r="C612" s="23" t="s">
        <v>973</v>
      </c>
      <c r="D612" s="25"/>
      <c r="E612" s="10"/>
      <c r="F612" s="27">
        <f>Source!AL661</f>
        <v>22.05</v>
      </c>
      <c r="G612" s="26" t="str">
        <f>Source!DD661</f>
        <v/>
      </c>
      <c r="H612" s="10">
        <f>Source!AW661</f>
        <v>1</v>
      </c>
      <c r="I612" s="28">
        <f>ROUND((ROUND((Source!AC661*Source!AW661*Source!I661),2)),2)</f>
        <v>331.41</v>
      </c>
      <c r="J612" s="10">
        <f>IF(Source!BC661&lt;&gt; 0, Source!BC661, 1)</f>
        <v>5.26</v>
      </c>
      <c r="K612" s="28">
        <f>Source!P661</f>
        <v>1743.22</v>
      </c>
    </row>
    <row r="613" spans="1:38" ht="28.5" x14ac:dyDescent="0.2">
      <c r="A613" s="22" t="str">
        <f>Source!E662</f>
        <v>78,1</v>
      </c>
      <c r="B613" s="23" t="str">
        <f>Source!F662</f>
        <v>1.7-3-75</v>
      </c>
      <c r="C613" s="23" t="s">
        <v>406</v>
      </c>
      <c r="D613" s="25" t="str">
        <f>Source!H662</f>
        <v>шт.</v>
      </c>
      <c r="E613" s="10">
        <f>Source!I662</f>
        <v>51.101999999999997</v>
      </c>
      <c r="F613" s="27">
        <f>Source!AK662</f>
        <v>437.82</v>
      </c>
      <c r="G613" s="33" t="s">
        <v>3</v>
      </c>
      <c r="H613" s="10">
        <f>Source!AW662</f>
        <v>1</v>
      </c>
      <c r="I613" s="28">
        <f>ROUND((ROUND((Source!AC662*Source!AW662*Source!I662),2)),2)+(ROUND((ROUND(((Source!ET662)*Source!AV662*Source!I662),2)),2)+ROUND((ROUND(((Source!AE662-(Source!EU662))*Source!AV662*Source!I662),2)),2))+ROUND((ROUND((Source!AF662*Source!AV662*Source!I662),2)),2)</f>
        <v>22373.48</v>
      </c>
      <c r="J613" s="10">
        <f>IF(Source!BC662&lt;&gt; 0, Source!BC662, 1)</f>
        <v>1.69</v>
      </c>
      <c r="K613" s="28">
        <f>Source!O662</f>
        <v>37811.18</v>
      </c>
      <c r="Q613">
        <f>ROUND((Source!DN662/100)*ROUND((ROUND((Source!AF662*Source!AV662*Source!I662),2)),2), 2)</f>
        <v>0</v>
      </c>
      <c r="R613">
        <f>Source!X662</f>
        <v>0</v>
      </c>
      <c r="S613">
        <f>ROUND((Source!DO662/100)*ROUND((ROUND((Source!AF662*Source!AV662*Source!I662),2)),2), 2)</f>
        <v>0</v>
      </c>
      <c r="T613">
        <f>Source!Y662</f>
        <v>0</v>
      </c>
      <c r="U613">
        <f>ROUND((175/100)*ROUND((ROUND((Source!AE662*Source!AV662*Source!I662),2)),2), 2)</f>
        <v>0</v>
      </c>
      <c r="V613">
        <f>ROUND((157/100)*ROUND(ROUND((ROUND((Source!AE662*Source!AV662*Source!I662),2)*Source!BS662),2), 2), 2)</f>
        <v>0</v>
      </c>
      <c r="X613">
        <f>IF(Source!BI662&lt;=1,I613, 0)</f>
        <v>22373.48</v>
      </c>
      <c r="Y613">
        <f>IF(Source!BI662=2,I613, 0)</f>
        <v>0</v>
      </c>
      <c r="Z613">
        <f>IF(Source!BI662=3,I613, 0)</f>
        <v>0</v>
      </c>
      <c r="AA613">
        <f>IF(Source!BI662=4,I613, 0)</f>
        <v>0</v>
      </c>
    </row>
    <row r="614" spans="1:38" ht="28.5" x14ac:dyDescent="0.2">
      <c r="A614" s="22" t="str">
        <f>Source!E663</f>
        <v>78,2</v>
      </c>
      <c r="B614" s="23" t="str">
        <f>Source!F663</f>
        <v>1.5-3-421</v>
      </c>
      <c r="C614" s="23" t="s">
        <v>410</v>
      </c>
      <c r="D614" s="25" t="str">
        <f>Source!H663</f>
        <v>м2</v>
      </c>
      <c r="E614" s="10">
        <f>Source!I663</f>
        <v>1503</v>
      </c>
      <c r="F614" s="27">
        <f>Source!AK663</f>
        <v>283.43</v>
      </c>
      <c r="G614" s="33" t="s">
        <v>3</v>
      </c>
      <c r="H614" s="10">
        <f>Source!AW663</f>
        <v>1</v>
      </c>
      <c r="I614" s="28">
        <f>ROUND((ROUND((Source!AC663*Source!AW663*Source!I663),2)),2)+(ROUND((ROUND(((Source!ET663)*Source!AV663*Source!I663),2)),2)+ROUND((ROUND(((Source!AE663-(Source!EU663))*Source!AV663*Source!I663),2)),2))+ROUND((ROUND((Source!AF663*Source!AV663*Source!I663),2)),2)</f>
        <v>425995.29</v>
      </c>
      <c r="J614" s="10">
        <f>IF(Source!BC663&lt;&gt; 0, Source!BC663, 1)</f>
        <v>3.23</v>
      </c>
      <c r="K614" s="28">
        <f>Source!O663</f>
        <v>1375964.79</v>
      </c>
      <c r="Q614">
        <f>ROUND((Source!DN663/100)*ROUND((ROUND((Source!AF663*Source!AV663*Source!I663),2)),2), 2)</f>
        <v>0</v>
      </c>
      <c r="R614">
        <f>Source!X663</f>
        <v>0</v>
      </c>
      <c r="S614">
        <f>ROUND((Source!DO663/100)*ROUND((ROUND((Source!AF663*Source!AV663*Source!I663),2)),2), 2)</f>
        <v>0</v>
      </c>
      <c r="T614">
        <f>Source!Y663</f>
        <v>0</v>
      </c>
      <c r="U614">
        <f>ROUND((175/100)*ROUND((ROUND((Source!AE663*Source!AV663*Source!I663),2)),2), 2)</f>
        <v>0</v>
      </c>
      <c r="V614">
        <f>ROUND((157/100)*ROUND(ROUND((ROUND((Source!AE663*Source!AV663*Source!I663),2)*Source!BS663),2), 2), 2)</f>
        <v>0</v>
      </c>
      <c r="X614">
        <f>IF(Source!BI663&lt;=1,I614, 0)</f>
        <v>425995.29</v>
      </c>
      <c r="Y614">
        <f>IF(Source!BI663=2,I614, 0)</f>
        <v>0</v>
      </c>
      <c r="Z614">
        <f>IF(Source!BI663=3,I614, 0)</f>
        <v>0</v>
      </c>
      <c r="AA614">
        <f>IF(Source!BI663=4,I614, 0)</f>
        <v>0</v>
      </c>
    </row>
    <row r="615" spans="1:38" ht="57" x14ac:dyDescent="0.2">
      <c r="A615" s="22" t="str">
        <f>Source!E664</f>
        <v>78,3</v>
      </c>
      <c r="B615" s="23" t="str">
        <f>Source!F664</f>
        <v>1.3-2-18</v>
      </c>
      <c r="C615" s="23" t="s">
        <v>415</v>
      </c>
      <c r="D615" s="25" t="str">
        <f>Source!H664</f>
        <v>т</v>
      </c>
      <c r="E615" s="10">
        <f>Source!I664</f>
        <v>33.817500000000003</v>
      </c>
      <c r="F615" s="27">
        <f>Source!AK664</f>
        <v>438.37</v>
      </c>
      <c r="G615" s="33" t="s">
        <v>3</v>
      </c>
      <c r="H615" s="10">
        <f>Source!AW664</f>
        <v>1</v>
      </c>
      <c r="I615" s="28">
        <f>ROUND((ROUND((Source!AC664*Source!AW664*Source!I664),2)),2)+(ROUND((ROUND(((Source!ET664)*Source!AV664*Source!I664),2)),2)+ROUND((ROUND(((Source!AE664-(Source!EU664))*Source!AV664*Source!I664),2)),2))+ROUND((ROUND((Source!AF664*Source!AV664*Source!I664),2)),2)</f>
        <v>14824.58</v>
      </c>
      <c r="J615" s="10">
        <f>IF(Source!BC664&lt;&gt; 0, Source!BC664, 1)</f>
        <v>7.27</v>
      </c>
      <c r="K615" s="28">
        <f>Source!O664</f>
        <v>107774.7</v>
      </c>
      <c r="Q615">
        <f>ROUND((Source!DN664/100)*ROUND((ROUND((Source!AF664*Source!AV664*Source!I664),2)),2), 2)</f>
        <v>0</v>
      </c>
      <c r="R615">
        <f>Source!X664</f>
        <v>0</v>
      </c>
      <c r="S615">
        <f>ROUND((Source!DO664/100)*ROUND((ROUND((Source!AF664*Source!AV664*Source!I664),2)),2), 2)</f>
        <v>0</v>
      </c>
      <c r="T615">
        <f>Source!Y664</f>
        <v>0</v>
      </c>
      <c r="U615">
        <f>ROUND((175/100)*ROUND((ROUND((Source!AE664*Source!AV664*Source!I664),2)),2), 2)</f>
        <v>0</v>
      </c>
      <c r="V615">
        <f>ROUND((157/100)*ROUND(ROUND((ROUND((Source!AE664*Source!AV664*Source!I664),2)*Source!BS664),2), 2), 2)</f>
        <v>0</v>
      </c>
      <c r="X615">
        <f>IF(Source!BI664&lt;=1,I615, 0)</f>
        <v>14824.58</v>
      </c>
      <c r="Y615">
        <f>IF(Source!BI664=2,I615, 0)</f>
        <v>0</v>
      </c>
      <c r="Z615">
        <f>IF(Source!BI664=3,I615, 0)</f>
        <v>0</v>
      </c>
      <c r="AA615">
        <f>IF(Source!BI664=4,I615, 0)</f>
        <v>0</v>
      </c>
    </row>
    <row r="616" spans="1:38" ht="14.25" x14ac:dyDescent="0.2">
      <c r="A616" s="22"/>
      <c r="B616" s="23"/>
      <c r="C616" s="23" t="s">
        <v>974</v>
      </c>
      <c r="D616" s="25" t="s">
        <v>975</v>
      </c>
      <c r="E616" s="10">
        <f>Source!DN661</f>
        <v>134</v>
      </c>
      <c r="F616" s="27"/>
      <c r="G616" s="26"/>
      <c r="H616" s="10"/>
      <c r="I616" s="28">
        <f>SUM(Q607:Q615)</f>
        <v>26046.32</v>
      </c>
      <c r="J616" s="10">
        <f>Source!BZ661</f>
        <v>106</v>
      </c>
      <c r="K616" s="28">
        <f>SUM(R607:R615)</f>
        <v>505411.29</v>
      </c>
    </row>
    <row r="617" spans="1:38" ht="14.25" x14ac:dyDescent="0.2">
      <c r="A617" s="22"/>
      <c r="B617" s="23"/>
      <c r="C617" s="23" t="s">
        <v>976</v>
      </c>
      <c r="D617" s="25" t="s">
        <v>975</v>
      </c>
      <c r="E617" s="10">
        <f>Source!DO661</f>
        <v>83</v>
      </c>
      <c r="F617" s="27"/>
      <c r="G617" s="26"/>
      <c r="H617" s="10"/>
      <c r="I617" s="28">
        <f>SUM(S607:S616)</f>
        <v>16133.17</v>
      </c>
      <c r="J617" s="10">
        <f>Source!CA661</f>
        <v>41</v>
      </c>
      <c r="K617" s="28">
        <f>SUM(T607:T616)</f>
        <v>195489.27</v>
      </c>
    </row>
    <row r="618" spans="1:38" ht="14.25" x14ac:dyDescent="0.2">
      <c r="A618" s="22"/>
      <c r="B618" s="23"/>
      <c r="C618" s="23" t="s">
        <v>977</v>
      </c>
      <c r="D618" s="25" t="s">
        <v>975</v>
      </c>
      <c r="E618" s="10">
        <f>175</f>
        <v>175</v>
      </c>
      <c r="F618" s="27"/>
      <c r="G618" s="26"/>
      <c r="H618" s="10"/>
      <c r="I618" s="28">
        <f>SUM(U607:U617)</f>
        <v>707.02</v>
      </c>
      <c r="J618" s="10">
        <f>157</f>
        <v>157</v>
      </c>
      <c r="K618" s="28">
        <f>SUM(V607:V617)</f>
        <v>15559.28</v>
      </c>
    </row>
    <row r="619" spans="1:38" ht="14.25" x14ac:dyDescent="0.2">
      <c r="A619" s="22"/>
      <c r="B619" s="23"/>
      <c r="C619" s="23" t="s">
        <v>978</v>
      </c>
      <c r="D619" s="25" t="s">
        <v>979</v>
      </c>
      <c r="E619" s="10">
        <f>Source!AQ661</f>
        <v>116.59</v>
      </c>
      <c r="F619" s="27"/>
      <c r="G619" s="26" t="str">
        <f>Source!DI661</f>
        <v/>
      </c>
      <c r="H619" s="10">
        <f>Source!AV661</f>
        <v>1</v>
      </c>
      <c r="I619" s="28">
        <f>Source!U661</f>
        <v>1752.3477</v>
      </c>
      <c r="J619" s="10"/>
      <c r="K619" s="28"/>
    </row>
    <row r="620" spans="1:38" ht="15" x14ac:dyDescent="0.25">
      <c r="A620" s="32"/>
      <c r="B620" s="32"/>
      <c r="C620" s="32"/>
      <c r="D620" s="32"/>
      <c r="E620" s="32"/>
      <c r="F620" s="32"/>
      <c r="G620" s="32"/>
      <c r="H620" s="101">
        <f>I609+I610+I612+I616+I617+I618+SUM(I613:I615)</f>
        <v>529988.53</v>
      </c>
      <c r="I620" s="101"/>
      <c r="J620" s="101">
        <f>K609+K610+K612+K616+K617+K618+SUM(K613:K615)</f>
        <v>2749384.73</v>
      </c>
      <c r="K620" s="101"/>
      <c r="O620" s="31">
        <f>I609+I610+I612+I616+I617+I618+SUM(I613:I615)</f>
        <v>529988.53</v>
      </c>
      <c r="P620" s="31">
        <f>K609+K610+K612+K616+K617+K618+SUM(K613:K615)</f>
        <v>2749384.73</v>
      </c>
      <c r="X620">
        <f>IF(Source!BI661&lt;=1,I609+I610+I612+I616+I617+I618-0, 0)</f>
        <v>66795.180000000008</v>
      </c>
      <c r="Y620">
        <f>IF(Source!BI661=2,I609+I610+I612+I616+I617+I618-0, 0)</f>
        <v>0</v>
      </c>
      <c r="Z620">
        <f>IF(Source!BI661=3,I609+I610+I612+I616+I617+I618-0, 0)</f>
        <v>0</v>
      </c>
      <c r="AA620">
        <f>IF(Source!BI661=4,I609+I610+I612+I616+I617+I618,0)</f>
        <v>0</v>
      </c>
    </row>
    <row r="622" spans="1:38" ht="30" x14ac:dyDescent="0.25">
      <c r="A622" s="100" t="str">
        <f>CONCATENATE("Итого по разделу: ",IF(Source!G666&lt;&gt;"Новый раздел", Source!G666, ""))</f>
        <v>Итого по разделу: 27.1. Капитальный ремонт пешеходного покрытия из бетонной плитки 1503 м2</v>
      </c>
      <c r="B622" s="100"/>
      <c r="C622" s="100"/>
      <c r="D622" s="100"/>
      <c r="E622" s="100"/>
      <c r="F622" s="100"/>
      <c r="G622" s="100"/>
      <c r="H622" s="98">
        <f>SUM(O558:O621)</f>
        <v>628703.86</v>
      </c>
      <c r="I622" s="99"/>
      <c r="J622" s="98">
        <f>SUM(P558:P621)</f>
        <v>3721060.81</v>
      </c>
      <c r="K622" s="99"/>
      <c r="AL622" s="36" t="str">
        <f>CONCATENATE("Итого по разделу: ",IF(Source!G666&lt;&gt;"Новый раздел", Source!G666, ""))</f>
        <v>Итого по разделу: 27.1. Капитальный ремонт пешеходного покрытия из бетонной плитки 1503 м2</v>
      </c>
    </row>
    <row r="623" spans="1:38" hidden="1" x14ac:dyDescent="0.2">
      <c r="A623" t="s">
        <v>980</v>
      </c>
      <c r="I623">
        <f>SUM(AC558:AC622)</f>
        <v>0</v>
      </c>
      <c r="J623">
        <f>SUM(AD558:AD622)</f>
        <v>0</v>
      </c>
    </row>
    <row r="624" spans="1:38" hidden="1" x14ac:dyDescent="0.2">
      <c r="A624" t="s">
        <v>981</v>
      </c>
      <c r="I624">
        <f>SUM(AE558:AE623)</f>
        <v>0</v>
      </c>
      <c r="J624">
        <f>SUM(AF558:AF623)</f>
        <v>0</v>
      </c>
    </row>
    <row r="625" spans="1:27" ht="14.25" x14ac:dyDescent="0.2">
      <c r="C625" s="96" t="str">
        <f>Source!H695</f>
        <v>ндс</v>
      </c>
      <c r="D625" s="96"/>
      <c r="E625" s="96"/>
      <c r="F625" s="96"/>
      <c r="G625" s="96"/>
      <c r="H625" s="96"/>
      <c r="I625" s="96"/>
      <c r="J625" s="97">
        <f>IF(Source!F695=0, "", Source!F695)</f>
        <v>4465272.97</v>
      </c>
      <c r="K625" s="97"/>
    </row>
    <row r="627" spans="1:27" ht="16.5" x14ac:dyDescent="0.25">
      <c r="A627" s="102" t="str">
        <f>CONCATENATE("Раздел: ",IF(Source!G697&lt;&gt;"Новый раздел", Source!G697, ""))</f>
        <v>Раздел: 28. Камень бортовой садовый</v>
      </c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</row>
    <row r="628" spans="1:27" ht="28.5" x14ac:dyDescent="0.2">
      <c r="A628" s="22" t="str">
        <f>Source!E701</f>
        <v>79</v>
      </c>
      <c r="B628" s="23" t="str">
        <f>Source!F701</f>
        <v>6.68-53-1</v>
      </c>
      <c r="C628" s="23" t="s">
        <v>175</v>
      </c>
      <c r="D628" s="25" t="str">
        <f>Source!H701</f>
        <v>100 м</v>
      </c>
      <c r="E628" s="10">
        <f>Source!I701</f>
        <v>12.61</v>
      </c>
      <c r="F628" s="27"/>
      <c r="G628" s="26"/>
      <c r="H628" s="10"/>
      <c r="I628" s="28"/>
      <c r="J628" s="10"/>
      <c r="K628" s="28"/>
      <c r="Q628">
        <f>ROUND((Source!DN701/100)*ROUND((ROUND((Source!AF701*Source!AV701*Source!I701),2)),2), 2)</f>
        <v>8650.56</v>
      </c>
      <c r="R628">
        <f>Source!X701</f>
        <v>180368.5</v>
      </c>
      <c r="S628">
        <f>ROUND((Source!DO701/100)*ROUND((ROUND((Source!AF701*Source!AV701*Source!I701),2)),2), 2)</f>
        <v>5947.26</v>
      </c>
      <c r="T628">
        <f>Source!Y701</f>
        <v>108751.6</v>
      </c>
      <c r="U628">
        <f>ROUND((175/100)*ROUND((ROUND((Source!AE701*Source!AV701*Source!I701),2)),2), 2)</f>
        <v>0</v>
      </c>
      <c r="V628">
        <f>ROUND((157/100)*ROUND(ROUND((ROUND((Source!AE701*Source!AV701*Source!I701),2)*Source!BS701),2), 2), 2)</f>
        <v>0</v>
      </c>
    </row>
    <row r="629" spans="1:27" x14ac:dyDescent="0.2">
      <c r="C629" s="29" t="str">
        <f>"Объем: "&amp;Source!I701&amp;"=1261/"&amp;"100"</f>
        <v>Объем: 12,61=1261/100</v>
      </c>
    </row>
    <row r="630" spans="1:27" ht="14.25" x14ac:dyDescent="0.2">
      <c r="A630" s="22"/>
      <c r="B630" s="23"/>
      <c r="C630" s="23" t="s">
        <v>970</v>
      </c>
      <c r="D630" s="25"/>
      <c r="E630" s="10"/>
      <c r="F630" s="27">
        <f>Source!AO701</f>
        <v>857.51</v>
      </c>
      <c r="G630" s="26" t="str">
        <f>Source!DG701</f>
        <v/>
      </c>
      <c r="H630" s="10">
        <f>Source!AV701</f>
        <v>1</v>
      </c>
      <c r="I630" s="28">
        <f>ROUND((ROUND((Source!AF701*Source!AV701*Source!I701),2)),2)</f>
        <v>10813.2</v>
      </c>
      <c r="J630" s="10">
        <f>IF(Source!BA701&lt;&gt; 0, Source!BA701, 1)</f>
        <v>24.53</v>
      </c>
      <c r="K630" s="28">
        <f>Source!S701</f>
        <v>265247.8</v>
      </c>
      <c r="W630">
        <f>I630</f>
        <v>10813.2</v>
      </c>
    </row>
    <row r="631" spans="1:27" ht="14.25" x14ac:dyDescent="0.2">
      <c r="A631" s="22"/>
      <c r="B631" s="23"/>
      <c r="C631" s="23" t="s">
        <v>974</v>
      </c>
      <c r="D631" s="25" t="s">
        <v>975</v>
      </c>
      <c r="E631" s="10">
        <f>Source!DN701</f>
        <v>80</v>
      </c>
      <c r="F631" s="27"/>
      <c r="G631" s="26"/>
      <c r="H631" s="10"/>
      <c r="I631" s="28">
        <f>SUM(Q628:Q630)</f>
        <v>8650.56</v>
      </c>
      <c r="J631" s="10">
        <f>Source!BZ701</f>
        <v>68</v>
      </c>
      <c r="K631" s="28">
        <f>SUM(R628:R630)</f>
        <v>180368.5</v>
      </c>
    </row>
    <row r="632" spans="1:27" ht="14.25" x14ac:dyDescent="0.2">
      <c r="A632" s="22"/>
      <c r="B632" s="23"/>
      <c r="C632" s="23" t="s">
        <v>976</v>
      </c>
      <c r="D632" s="25" t="s">
        <v>975</v>
      </c>
      <c r="E632" s="10">
        <f>Source!DO701</f>
        <v>55</v>
      </c>
      <c r="F632" s="27"/>
      <c r="G632" s="26"/>
      <c r="H632" s="10"/>
      <c r="I632" s="28">
        <f>SUM(S628:S631)</f>
        <v>5947.26</v>
      </c>
      <c r="J632" s="10">
        <f>Source!CA701</f>
        <v>41</v>
      </c>
      <c r="K632" s="28">
        <f>SUM(T628:T631)</f>
        <v>108751.6</v>
      </c>
    </row>
    <row r="633" spans="1:27" ht="14.25" x14ac:dyDescent="0.2">
      <c r="A633" s="22"/>
      <c r="B633" s="23"/>
      <c r="C633" s="23" t="s">
        <v>978</v>
      </c>
      <c r="D633" s="25" t="s">
        <v>979</v>
      </c>
      <c r="E633" s="10">
        <f>Source!AQ701</f>
        <v>76.7</v>
      </c>
      <c r="F633" s="27"/>
      <c r="G633" s="26" t="str">
        <f>Source!DI701</f>
        <v/>
      </c>
      <c r="H633" s="10">
        <f>Source!AV701</f>
        <v>1</v>
      </c>
      <c r="I633" s="28">
        <f>Source!U701</f>
        <v>967.18700000000001</v>
      </c>
      <c r="J633" s="10"/>
      <c r="K633" s="28"/>
    </row>
    <row r="634" spans="1:27" ht="15" x14ac:dyDescent="0.25">
      <c r="A634" s="32"/>
      <c r="B634" s="32"/>
      <c r="C634" s="32"/>
      <c r="D634" s="32"/>
      <c r="E634" s="32"/>
      <c r="F634" s="32"/>
      <c r="G634" s="32"/>
      <c r="H634" s="101">
        <f>I630+I631+I632</f>
        <v>25411.020000000004</v>
      </c>
      <c r="I634" s="101"/>
      <c r="J634" s="101">
        <f>K630+K631+K632</f>
        <v>554367.9</v>
      </c>
      <c r="K634" s="101"/>
      <c r="O634" s="31">
        <f>I630+I631+I632</f>
        <v>25411.020000000004</v>
      </c>
      <c r="P634" s="31">
        <f>K630+K631+K632</f>
        <v>554367.9</v>
      </c>
      <c r="X634">
        <f>IF(Source!BI701&lt;=1,I630+I631+I632-0, 0)</f>
        <v>25411.020000000004</v>
      </c>
      <c r="Y634">
        <f>IF(Source!BI701=2,I630+I631+I632-0, 0)</f>
        <v>0</v>
      </c>
      <c r="Z634">
        <f>IF(Source!BI701=3,I630+I631+I632-0, 0)</f>
        <v>0</v>
      </c>
      <c r="AA634">
        <f>IF(Source!BI701=4,I630+I631+I632,0)</f>
        <v>0</v>
      </c>
    </row>
    <row r="635" spans="1:27" ht="28.5" x14ac:dyDescent="0.2">
      <c r="A635" s="22" t="str">
        <f>Source!E702</f>
        <v>80</v>
      </c>
      <c r="B635" s="23" t="str">
        <f>Source!F702</f>
        <v>6.66-86-1</v>
      </c>
      <c r="C635" s="23" t="s">
        <v>421</v>
      </c>
      <c r="D635" s="25" t="str">
        <f>Source!H702</f>
        <v>1 Т</v>
      </c>
      <c r="E635" s="10">
        <f>Source!I702</f>
        <v>18.884740000000001</v>
      </c>
      <c r="F635" s="27"/>
      <c r="G635" s="26"/>
      <c r="H635" s="10"/>
      <c r="I635" s="28"/>
      <c r="J635" s="10"/>
      <c r="K635" s="28"/>
      <c r="Q635">
        <f>ROUND((Source!DN702/100)*ROUND((ROUND((Source!AF702*Source!AV702*Source!I702),2)),2), 2)</f>
        <v>229.07</v>
      </c>
      <c r="R635">
        <f>Source!X702</f>
        <v>4507.71</v>
      </c>
      <c r="S635">
        <f>ROUND((Source!DO702/100)*ROUND((ROUND((Source!AF702*Source!AV702*Source!I702),2)),2), 2)</f>
        <v>176.21</v>
      </c>
      <c r="T635">
        <f>Source!Y702</f>
        <v>2531.73</v>
      </c>
      <c r="U635">
        <f>ROUND((175/100)*ROUND((ROUND((Source!AE702*Source!AV702*Source!I702),2)),2), 2)</f>
        <v>230.69</v>
      </c>
      <c r="V635">
        <f>ROUND((157/100)*ROUND(ROUND((ROUND((Source!AE702*Source!AV702*Source!I702),2)*Source!BS702),2), 2), 2)</f>
        <v>5076.66</v>
      </c>
    </row>
    <row r="636" spans="1:27" ht="38.25" x14ac:dyDescent="0.2">
      <c r="C636" s="29" t="str">
        <f>"Объем: "&amp;Source!I702&amp;"="&amp;Source!I701&amp;"*"&amp;"100*"&amp;"(0,058*"&amp;"0,8+"&amp;"0,016)*"&amp;"2,4*"&amp;"0,1"</f>
        <v>Объем: 18,88474=12,61*100*(0,058*0,8+0,016)*2,4*0,1</v>
      </c>
    </row>
    <row r="637" spans="1:27" ht="14.25" x14ac:dyDescent="0.2">
      <c r="A637" s="22"/>
      <c r="B637" s="23"/>
      <c r="C637" s="23" t="s">
        <v>970</v>
      </c>
      <c r="D637" s="25"/>
      <c r="E637" s="10"/>
      <c r="F637" s="27">
        <f>Source!AO702</f>
        <v>13.33</v>
      </c>
      <c r="G637" s="26" t="str">
        <f>Source!DG702</f>
        <v/>
      </c>
      <c r="H637" s="10">
        <f>Source!AV702</f>
        <v>1</v>
      </c>
      <c r="I637" s="28">
        <f>ROUND((ROUND((Source!AF702*Source!AV702*Source!I702),2)),2)</f>
        <v>251.73</v>
      </c>
      <c r="J637" s="10">
        <f>IF(Source!BA702&lt;&gt; 0, Source!BA702, 1)</f>
        <v>24.53</v>
      </c>
      <c r="K637" s="28">
        <f>Source!S702</f>
        <v>6174.94</v>
      </c>
      <c r="W637">
        <f>I637</f>
        <v>251.73</v>
      </c>
    </row>
    <row r="638" spans="1:27" ht="14.25" x14ac:dyDescent="0.2">
      <c r="A638" s="22"/>
      <c r="B638" s="23"/>
      <c r="C638" s="23" t="s">
        <v>971</v>
      </c>
      <c r="D638" s="25"/>
      <c r="E638" s="10"/>
      <c r="F638" s="27">
        <f>Source!AM702</f>
        <v>16.04</v>
      </c>
      <c r="G638" s="26" t="str">
        <f>Source!DE702</f>
        <v/>
      </c>
      <c r="H638" s="10">
        <f>Source!AV702</f>
        <v>1</v>
      </c>
      <c r="I638" s="28">
        <f>(ROUND((ROUND(((Source!ET702)*Source!AV702*Source!I702),2)),2)+ROUND((ROUND(((Source!AE702-(Source!EU702))*Source!AV702*Source!I702),2)),2))</f>
        <v>302.91000000000003</v>
      </c>
      <c r="J638" s="10">
        <f>IF(Source!BB702&lt;&gt; 0, Source!BB702, 1)</f>
        <v>13.06</v>
      </c>
      <c r="K638" s="28">
        <f>Source!Q702</f>
        <v>3956</v>
      </c>
    </row>
    <row r="639" spans="1:27" ht="14.25" x14ac:dyDescent="0.2">
      <c r="A639" s="22"/>
      <c r="B639" s="23"/>
      <c r="C639" s="23" t="s">
        <v>972</v>
      </c>
      <c r="D639" s="25"/>
      <c r="E639" s="10"/>
      <c r="F639" s="27">
        <f>Source!AN702</f>
        <v>6.98</v>
      </c>
      <c r="G639" s="26" t="str">
        <f>Source!DF702</f>
        <v/>
      </c>
      <c r="H639" s="10">
        <f>Source!AV702</f>
        <v>1</v>
      </c>
      <c r="I639" s="30">
        <f>ROUND((ROUND((Source!AE702*Source!AV702*Source!I702),2)),2)</f>
        <v>131.82</v>
      </c>
      <c r="J639" s="10">
        <f>IF(Source!BS702&lt;&gt; 0, Source!BS702, 1)</f>
        <v>24.53</v>
      </c>
      <c r="K639" s="30">
        <f>Source!R702</f>
        <v>3233.54</v>
      </c>
      <c r="W639">
        <f>I639</f>
        <v>131.82</v>
      </c>
    </row>
    <row r="640" spans="1:27" ht="14.25" x14ac:dyDescent="0.2">
      <c r="A640" s="22"/>
      <c r="B640" s="23"/>
      <c r="C640" s="23" t="s">
        <v>974</v>
      </c>
      <c r="D640" s="25" t="s">
        <v>975</v>
      </c>
      <c r="E640" s="10">
        <f>Source!DN702</f>
        <v>91</v>
      </c>
      <c r="F640" s="27"/>
      <c r="G640" s="26"/>
      <c r="H640" s="10"/>
      <c r="I640" s="28">
        <f>SUM(Q635:Q639)</f>
        <v>229.07</v>
      </c>
      <c r="J640" s="10">
        <f>Source!BZ702</f>
        <v>73</v>
      </c>
      <c r="K640" s="28">
        <f>SUM(R635:R639)</f>
        <v>4507.71</v>
      </c>
    </row>
    <row r="641" spans="1:27" ht="14.25" x14ac:dyDescent="0.2">
      <c r="A641" s="22"/>
      <c r="B641" s="23"/>
      <c r="C641" s="23" t="s">
        <v>976</v>
      </c>
      <c r="D641" s="25" t="s">
        <v>975</v>
      </c>
      <c r="E641" s="10">
        <f>Source!DO702</f>
        <v>70</v>
      </c>
      <c r="F641" s="27"/>
      <c r="G641" s="26"/>
      <c r="H641" s="10"/>
      <c r="I641" s="28">
        <f>SUM(S635:S640)</f>
        <v>176.21</v>
      </c>
      <c r="J641" s="10">
        <f>Source!CA702</f>
        <v>41</v>
      </c>
      <c r="K641" s="28">
        <f>SUM(T635:T640)</f>
        <v>2531.73</v>
      </c>
    </row>
    <row r="642" spans="1:27" ht="14.25" x14ac:dyDescent="0.2">
      <c r="A642" s="22"/>
      <c r="B642" s="23"/>
      <c r="C642" s="23" t="s">
        <v>977</v>
      </c>
      <c r="D642" s="25" t="s">
        <v>975</v>
      </c>
      <c r="E642" s="10">
        <f>175</f>
        <v>175</v>
      </c>
      <c r="F642" s="27"/>
      <c r="G642" s="26"/>
      <c r="H642" s="10"/>
      <c r="I642" s="28">
        <f>SUM(U635:U641)</f>
        <v>230.69</v>
      </c>
      <c r="J642" s="10">
        <f>157</f>
        <v>157</v>
      </c>
      <c r="K642" s="28">
        <f>SUM(V635:V641)</f>
        <v>5076.66</v>
      </c>
    </row>
    <row r="643" spans="1:27" ht="14.25" x14ac:dyDescent="0.2">
      <c r="A643" s="22"/>
      <c r="B643" s="23"/>
      <c r="C643" s="23" t="s">
        <v>978</v>
      </c>
      <c r="D643" s="25" t="s">
        <v>979</v>
      </c>
      <c r="E643" s="10">
        <f>Source!AQ702</f>
        <v>1.1200000000000001</v>
      </c>
      <c r="F643" s="27"/>
      <c r="G643" s="26" t="str">
        <f>Source!DI702</f>
        <v/>
      </c>
      <c r="H643" s="10">
        <f>Source!AV702</f>
        <v>1</v>
      </c>
      <c r="I643" s="28">
        <f>Source!U702</f>
        <v>21.150908800000003</v>
      </c>
      <c r="J643" s="10"/>
      <c r="K643" s="28"/>
    </row>
    <row r="644" spans="1:27" ht="15" x14ac:dyDescent="0.25">
      <c r="A644" s="32"/>
      <c r="B644" s="32"/>
      <c r="C644" s="32"/>
      <c r="D644" s="32"/>
      <c r="E644" s="32"/>
      <c r="F644" s="32"/>
      <c r="G644" s="32"/>
      <c r="H644" s="101">
        <f>I637+I638+I640+I641+I642</f>
        <v>1190.6100000000001</v>
      </c>
      <c r="I644" s="101"/>
      <c r="J644" s="101">
        <f>K637+K638+K640+K641+K642</f>
        <v>22247.039999999997</v>
      </c>
      <c r="K644" s="101"/>
      <c r="O644" s="31">
        <f>I637+I638+I640+I641+I642</f>
        <v>1190.6100000000001</v>
      </c>
      <c r="P644" s="31">
        <f>K637+K638+K640+K641+K642</f>
        <v>22247.039999999997</v>
      </c>
      <c r="X644">
        <f>IF(Source!BI702&lt;=1,I637+I638+I640+I641+I642-0, 0)</f>
        <v>1190.6100000000001</v>
      </c>
      <c r="Y644">
        <f>IF(Source!BI702=2,I637+I638+I640+I641+I642-0, 0)</f>
        <v>0</v>
      </c>
      <c r="Z644">
        <f>IF(Source!BI702=3,I637+I638+I640+I641+I642-0, 0)</f>
        <v>0</v>
      </c>
      <c r="AA644">
        <f>IF(Source!BI702=4,I637+I638+I640+I641+I642,0)</f>
        <v>0</v>
      </c>
    </row>
    <row r="645" spans="1:27" ht="42.75" x14ac:dyDescent="0.2">
      <c r="A645" s="22" t="str">
        <f>Source!E703</f>
        <v>81</v>
      </c>
      <c r="B645" s="23" t="str">
        <f>Source!F703</f>
        <v>6.69-19-1</v>
      </c>
      <c r="C645" s="23" t="s">
        <v>37</v>
      </c>
      <c r="D645" s="25" t="str">
        <f>Source!H703</f>
        <v>1 Т</v>
      </c>
      <c r="E645" s="10">
        <f>Source!I703</f>
        <v>169.96261999999999</v>
      </c>
      <c r="F645" s="27"/>
      <c r="G645" s="26"/>
      <c r="H645" s="10"/>
      <c r="I645" s="28"/>
      <c r="J645" s="10"/>
      <c r="K645" s="28"/>
      <c r="Q645">
        <f>ROUND((Source!DN703/100)*ROUND((ROUND((Source!AF703*Source!AV703*Source!I703),2)),2), 2)</f>
        <v>1487.89</v>
      </c>
      <c r="R645">
        <f>Source!X703</f>
        <v>29278.5</v>
      </c>
      <c r="S645">
        <f>ROUND((Source!DO703/100)*ROUND((ROUND((Source!AF703*Source!AV703*Source!I703),2)),2), 2)</f>
        <v>1144.53</v>
      </c>
      <c r="T645">
        <f>Source!Y703</f>
        <v>16444.09</v>
      </c>
      <c r="U645">
        <f>ROUND((175/100)*ROUND((ROUND((Source!AE703*Source!AV703*Source!I703),2)),2), 2)</f>
        <v>0</v>
      </c>
      <c r="V645">
        <f>ROUND((157/100)*ROUND(ROUND((ROUND((Source!AE703*Source!AV703*Source!I703),2)*Source!BS703),2), 2), 2)</f>
        <v>0</v>
      </c>
    </row>
    <row r="646" spans="1:27" ht="38.25" x14ac:dyDescent="0.2">
      <c r="C646" s="29" t="str">
        <f>"Объем: "&amp;Source!I703&amp;"="&amp;Source!I701&amp;"*"&amp;"100*"&amp;"(0,058*"&amp;"0,8+"&amp;"0,016)*"&amp;"2,4*"&amp;"0,9"</f>
        <v>Объем: 169,96262=12,61*100*(0,058*0,8+0,016)*2,4*0,9</v>
      </c>
    </row>
    <row r="647" spans="1:27" ht="14.25" x14ac:dyDescent="0.2">
      <c r="A647" s="22"/>
      <c r="B647" s="23"/>
      <c r="C647" s="23" t="s">
        <v>970</v>
      </c>
      <c r="D647" s="25"/>
      <c r="E647" s="10"/>
      <c r="F647" s="27">
        <f>Source!AO703</f>
        <v>9.6199999999999992</v>
      </c>
      <c r="G647" s="26" t="str">
        <f>Source!DG703</f>
        <v/>
      </c>
      <c r="H647" s="10">
        <f>Source!AV703</f>
        <v>1</v>
      </c>
      <c r="I647" s="28">
        <f>ROUND((ROUND((Source!AF703*Source!AV703*Source!I703),2)),2)</f>
        <v>1635.04</v>
      </c>
      <c r="J647" s="10">
        <f>IF(Source!BA703&lt;&gt; 0, Source!BA703, 1)</f>
        <v>24.53</v>
      </c>
      <c r="K647" s="28">
        <f>Source!S703</f>
        <v>40107.53</v>
      </c>
      <c r="W647">
        <f>I647</f>
        <v>1635.04</v>
      </c>
    </row>
    <row r="648" spans="1:27" ht="14.25" x14ac:dyDescent="0.2">
      <c r="A648" s="22"/>
      <c r="B648" s="23"/>
      <c r="C648" s="23" t="s">
        <v>974</v>
      </c>
      <c r="D648" s="25" t="s">
        <v>975</v>
      </c>
      <c r="E648" s="10">
        <f>Source!DN703</f>
        <v>91</v>
      </c>
      <c r="F648" s="27"/>
      <c r="G648" s="26"/>
      <c r="H648" s="10"/>
      <c r="I648" s="28">
        <f>SUM(Q645:Q647)</f>
        <v>1487.89</v>
      </c>
      <c r="J648" s="10">
        <f>Source!BZ703</f>
        <v>73</v>
      </c>
      <c r="K648" s="28">
        <f>SUM(R645:R647)</f>
        <v>29278.5</v>
      </c>
    </row>
    <row r="649" spans="1:27" ht="14.25" x14ac:dyDescent="0.2">
      <c r="A649" s="22"/>
      <c r="B649" s="23"/>
      <c r="C649" s="23" t="s">
        <v>976</v>
      </c>
      <c r="D649" s="25" t="s">
        <v>975</v>
      </c>
      <c r="E649" s="10">
        <f>Source!DO703</f>
        <v>70</v>
      </c>
      <c r="F649" s="27"/>
      <c r="G649" s="26"/>
      <c r="H649" s="10"/>
      <c r="I649" s="28">
        <f>SUM(S645:S648)</f>
        <v>1144.53</v>
      </c>
      <c r="J649" s="10">
        <f>Source!CA703</f>
        <v>41</v>
      </c>
      <c r="K649" s="28">
        <f>SUM(T645:T648)</f>
        <v>16444.09</v>
      </c>
    </row>
    <row r="650" spans="1:27" ht="14.25" x14ac:dyDescent="0.2">
      <c r="A650" s="22"/>
      <c r="B650" s="23"/>
      <c r="C650" s="23" t="s">
        <v>978</v>
      </c>
      <c r="D650" s="25" t="s">
        <v>979</v>
      </c>
      <c r="E650" s="10">
        <f>Source!AQ703</f>
        <v>1.02</v>
      </c>
      <c r="F650" s="27"/>
      <c r="G650" s="26" t="str">
        <f>Source!DI703</f>
        <v/>
      </c>
      <c r="H650" s="10">
        <f>Source!AV703</f>
        <v>1</v>
      </c>
      <c r="I650" s="28">
        <f>Source!U703</f>
        <v>173.36187239999998</v>
      </c>
      <c r="J650" s="10"/>
      <c r="K650" s="28"/>
    </row>
    <row r="651" spans="1:27" ht="15" x14ac:dyDescent="0.25">
      <c r="A651" s="32"/>
      <c r="B651" s="32"/>
      <c r="C651" s="32"/>
      <c r="D651" s="32"/>
      <c r="E651" s="32"/>
      <c r="F651" s="32"/>
      <c r="G651" s="32"/>
      <c r="H651" s="101">
        <f>I647+I648+I649</f>
        <v>4267.46</v>
      </c>
      <c r="I651" s="101"/>
      <c r="J651" s="101">
        <f>K647+K648+K649</f>
        <v>85830.12</v>
      </c>
      <c r="K651" s="101"/>
      <c r="O651" s="31">
        <f>I647+I648+I649</f>
        <v>4267.46</v>
      </c>
      <c r="P651" s="31">
        <f>K647+K648+K649</f>
        <v>85830.12</v>
      </c>
      <c r="X651">
        <f>IF(Source!BI703&lt;=1,I647+I648+I649-0, 0)</f>
        <v>4267.46</v>
      </c>
      <c r="Y651">
        <f>IF(Source!BI703=2,I647+I648+I649-0, 0)</f>
        <v>0</v>
      </c>
      <c r="Z651">
        <f>IF(Source!BI703=3,I647+I648+I649-0, 0)</f>
        <v>0</v>
      </c>
      <c r="AA651">
        <f>IF(Source!BI703=4,I647+I648+I649,0)</f>
        <v>0</v>
      </c>
    </row>
    <row r="652" spans="1:27" ht="99.75" x14ac:dyDescent="0.2">
      <c r="A652" s="22" t="str">
        <f>Source!E706</f>
        <v>84</v>
      </c>
      <c r="B652" s="23" t="str">
        <f>Source!F706</f>
        <v>3.27-12-1</v>
      </c>
      <c r="C652" s="23" t="s">
        <v>184</v>
      </c>
      <c r="D652" s="25" t="str">
        <f>Source!H706</f>
        <v>100 м3 материала основания (в плотном теле)</v>
      </c>
      <c r="E652" s="10">
        <f>Source!I706</f>
        <v>0.25219999999999998</v>
      </c>
      <c r="F652" s="27"/>
      <c r="G652" s="26"/>
      <c r="H652" s="10"/>
      <c r="I652" s="28"/>
      <c r="J652" s="10"/>
      <c r="K652" s="28"/>
      <c r="Q652">
        <f>ROUND((Source!DN706/100)*ROUND((ROUND((Source!AF706*Source!AV706*Source!I706),2)),2), 2)</f>
        <v>61.52</v>
      </c>
      <c r="R652">
        <f>Source!X706</f>
        <v>1227.8499999999999</v>
      </c>
      <c r="S652">
        <f>ROUND((Source!DO706/100)*ROUND((ROUND((Source!AF706*Source!AV706*Source!I706),2)),2), 2)</f>
        <v>40.880000000000003</v>
      </c>
      <c r="T652">
        <f>Source!Y706</f>
        <v>506.14</v>
      </c>
      <c r="U652">
        <f>ROUND((175/100)*ROUND((ROUND((Source!AE706*Source!AV706*Source!I706),2)),2), 2)</f>
        <v>52.54</v>
      </c>
      <c r="V652">
        <f>ROUND((157/100)*ROUND(ROUND((ROUND((Source!AE706*Source!AV706*Source!I706),2)*Source!BS706),2), 2), 2)</f>
        <v>1156.1300000000001</v>
      </c>
    </row>
    <row r="653" spans="1:27" x14ac:dyDescent="0.2">
      <c r="C653" s="29" t="str">
        <f>"Объем: "&amp;Source!I706&amp;"=1261*"&amp;"0,2*"&amp;"0,1/"&amp;"100"</f>
        <v>Объем: 0,2522=1261*0,2*0,1/100</v>
      </c>
    </row>
    <row r="654" spans="1:27" ht="14.25" x14ac:dyDescent="0.2">
      <c r="A654" s="22"/>
      <c r="B654" s="23"/>
      <c r="C654" s="23" t="s">
        <v>970</v>
      </c>
      <c r="D654" s="25"/>
      <c r="E654" s="10"/>
      <c r="F654" s="27">
        <f>Source!AO706</f>
        <v>151.49</v>
      </c>
      <c r="G654" s="26" t="str">
        <f>Source!DG706</f>
        <v/>
      </c>
      <c r="H654" s="10">
        <f>Source!AV706</f>
        <v>1</v>
      </c>
      <c r="I654" s="28">
        <f>ROUND((ROUND((Source!AF706*Source!AV706*Source!I706),2)),2)</f>
        <v>38.21</v>
      </c>
      <c r="J654" s="10">
        <f>IF(Source!BA706&lt;&gt; 0, Source!BA706, 1)</f>
        <v>24.53</v>
      </c>
      <c r="K654" s="28">
        <f>Source!S706</f>
        <v>937.29</v>
      </c>
      <c r="W654">
        <f>I654</f>
        <v>38.21</v>
      </c>
    </row>
    <row r="655" spans="1:27" ht="14.25" x14ac:dyDescent="0.2">
      <c r="A655" s="22"/>
      <c r="B655" s="23"/>
      <c r="C655" s="23" t="s">
        <v>971</v>
      </c>
      <c r="D655" s="25"/>
      <c r="E655" s="10"/>
      <c r="F655" s="27">
        <f>Source!AM706</f>
        <v>676.47</v>
      </c>
      <c r="G655" s="26" t="str">
        <f>Source!DE706</f>
        <v/>
      </c>
      <c r="H655" s="10">
        <f>Source!AV706</f>
        <v>1</v>
      </c>
      <c r="I655" s="28">
        <f>(ROUND((ROUND(((Source!ET706)*Source!AV706*Source!I706),2)),2)+ROUND((ROUND(((Source!AE706-(Source!EU706))*Source!AV706*Source!I706),2)),2))</f>
        <v>170.61</v>
      </c>
      <c r="J655" s="10">
        <f>IF(Source!BB706&lt;&gt; 0, Source!BB706, 1)</f>
        <v>9.4499999999999993</v>
      </c>
      <c r="K655" s="28">
        <f>Source!Q706</f>
        <v>1612.26</v>
      </c>
    </row>
    <row r="656" spans="1:27" ht="14.25" x14ac:dyDescent="0.2">
      <c r="A656" s="22"/>
      <c r="B656" s="23"/>
      <c r="C656" s="23" t="s">
        <v>972</v>
      </c>
      <c r="D656" s="25"/>
      <c r="E656" s="10"/>
      <c r="F656" s="27">
        <f>Source!AN706</f>
        <v>119.05</v>
      </c>
      <c r="G656" s="26" t="str">
        <f>Source!DF706</f>
        <v/>
      </c>
      <c r="H656" s="10">
        <f>Source!AV706</f>
        <v>1</v>
      </c>
      <c r="I656" s="30">
        <f>ROUND((ROUND((Source!AE706*Source!AV706*Source!I706),2)),2)</f>
        <v>30.02</v>
      </c>
      <c r="J656" s="10">
        <f>IF(Source!BS706&lt;&gt; 0, Source!BS706, 1)</f>
        <v>24.53</v>
      </c>
      <c r="K656" s="30">
        <f>Source!R706</f>
        <v>736.39</v>
      </c>
      <c r="W656">
        <f>I656</f>
        <v>30.02</v>
      </c>
    </row>
    <row r="657" spans="1:27" ht="14.25" x14ac:dyDescent="0.2">
      <c r="A657" s="22"/>
      <c r="B657" s="23"/>
      <c r="C657" s="23" t="s">
        <v>973</v>
      </c>
      <c r="D657" s="25"/>
      <c r="E657" s="10"/>
      <c r="F657" s="27">
        <f>Source!AL706</f>
        <v>35.35</v>
      </c>
      <c r="G657" s="26" t="str">
        <f>Source!DD706</f>
        <v/>
      </c>
      <c r="H657" s="10">
        <f>Source!AW706</f>
        <v>1</v>
      </c>
      <c r="I657" s="28">
        <f>ROUND((ROUND((Source!AC706*Source!AW706*Source!I706),2)),2)</f>
        <v>8.92</v>
      </c>
      <c r="J657" s="10">
        <f>IF(Source!BC706&lt;&gt; 0, Source!BC706, 1)</f>
        <v>4.99</v>
      </c>
      <c r="K657" s="28">
        <f>Source!P706</f>
        <v>44.51</v>
      </c>
    </row>
    <row r="658" spans="1:27" ht="28.5" x14ac:dyDescent="0.2">
      <c r="A658" s="22" t="str">
        <f>Source!E707</f>
        <v>84,1</v>
      </c>
      <c r="B658" s="23" t="str">
        <f>Source!F707</f>
        <v>1.1-1-766</v>
      </c>
      <c r="C658" s="23" t="s">
        <v>191</v>
      </c>
      <c r="D658" s="25" t="str">
        <f>Source!H707</f>
        <v>м3</v>
      </c>
      <c r="E658" s="10">
        <f>Source!I707</f>
        <v>27.742000000000001</v>
      </c>
      <c r="F658" s="27">
        <f>Source!AK707</f>
        <v>104.99</v>
      </c>
      <c r="G658" s="33" t="s">
        <v>3</v>
      </c>
      <c r="H658" s="10">
        <f>Source!AW707</f>
        <v>1</v>
      </c>
      <c r="I658" s="28">
        <f>ROUND((ROUND((Source!AC707*Source!AW707*Source!I707),2)),2)+(ROUND((ROUND(((Source!ET707)*Source!AV707*Source!I707),2)),2)+ROUND((ROUND(((Source!AE707-(Source!EU707))*Source!AV707*Source!I707),2)),2))+ROUND((ROUND((Source!AF707*Source!AV707*Source!I707),2)),2)</f>
        <v>2912.63</v>
      </c>
      <c r="J658" s="10">
        <f>IF(Source!BC707&lt;&gt; 0, Source!BC707, 1)</f>
        <v>5.26</v>
      </c>
      <c r="K658" s="28">
        <f>Source!O707</f>
        <v>15320.43</v>
      </c>
      <c r="Q658">
        <f>ROUND((Source!DN707/100)*ROUND((ROUND((Source!AF707*Source!AV707*Source!I707),2)),2), 2)</f>
        <v>0</v>
      </c>
      <c r="R658">
        <f>Source!X707</f>
        <v>0</v>
      </c>
      <c r="S658">
        <f>ROUND((Source!DO707/100)*ROUND((ROUND((Source!AF707*Source!AV707*Source!I707),2)),2), 2)</f>
        <v>0</v>
      </c>
      <c r="T658">
        <f>Source!Y707</f>
        <v>0</v>
      </c>
      <c r="U658">
        <f>ROUND((175/100)*ROUND((ROUND((Source!AE707*Source!AV707*Source!I707),2)),2), 2)</f>
        <v>0</v>
      </c>
      <c r="V658">
        <f>ROUND((157/100)*ROUND(ROUND((ROUND((Source!AE707*Source!AV707*Source!I707),2)*Source!BS707),2), 2), 2)</f>
        <v>0</v>
      </c>
      <c r="X658">
        <f>IF(Source!BI707&lt;=1,I658, 0)</f>
        <v>2912.63</v>
      </c>
      <c r="Y658">
        <f>IF(Source!BI707=2,I658, 0)</f>
        <v>0</v>
      </c>
      <c r="Z658">
        <f>IF(Source!BI707=3,I658, 0)</f>
        <v>0</v>
      </c>
      <c r="AA658">
        <f>IF(Source!BI707=4,I658, 0)</f>
        <v>0</v>
      </c>
    </row>
    <row r="659" spans="1:27" ht="14.25" x14ac:dyDescent="0.2">
      <c r="A659" s="22"/>
      <c r="B659" s="23"/>
      <c r="C659" s="23" t="s">
        <v>974</v>
      </c>
      <c r="D659" s="25" t="s">
        <v>975</v>
      </c>
      <c r="E659" s="10">
        <f>Source!DN706</f>
        <v>161</v>
      </c>
      <c r="F659" s="27"/>
      <c r="G659" s="26"/>
      <c r="H659" s="10"/>
      <c r="I659" s="28">
        <f>SUM(Q652:Q658)</f>
        <v>61.52</v>
      </c>
      <c r="J659" s="10">
        <f>Source!BZ706</f>
        <v>131</v>
      </c>
      <c r="K659" s="28">
        <f>SUM(R652:R658)</f>
        <v>1227.8499999999999</v>
      </c>
    </row>
    <row r="660" spans="1:27" ht="14.25" x14ac:dyDescent="0.2">
      <c r="A660" s="22"/>
      <c r="B660" s="23"/>
      <c r="C660" s="23" t="s">
        <v>976</v>
      </c>
      <c r="D660" s="25" t="s">
        <v>975</v>
      </c>
      <c r="E660" s="10">
        <f>Source!DO706</f>
        <v>107</v>
      </c>
      <c r="F660" s="27"/>
      <c r="G660" s="26"/>
      <c r="H660" s="10"/>
      <c r="I660" s="28">
        <f>SUM(S652:S659)</f>
        <v>40.880000000000003</v>
      </c>
      <c r="J660" s="10">
        <f>Source!CA706</f>
        <v>54</v>
      </c>
      <c r="K660" s="28">
        <f>SUM(T652:T659)</f>
        <v>506.14</v>
      </c>
    </row>
    <row r="661" spans="1:27" ht="14.25" x14ac:dyDescent="0.2">
      <c r="A661" s="22"/>
      <c r="B661" s="23"/>
      <c r="C661" s="23" t="s">
        <v>977</v>
      </c>
      <c r="D661" s="25" t="s">
        <v>975</v>
      </c>
      <c r="E661" s="10">
        <f>175</f>
        <v>175</v>
      </c>
      <c r="F661" s="27"/>
      <c r="G661" s="26"/>
      <c r="H661" s="10"/>
      <c r="I661" s="28">
        <f>SUM(U652:U660)</f>
        <v>52.54</v>
      </c>
      <c r="J661" s="10">
        <f>157</f>
        <v>157</v>
      </c>
      <c r="K661" s="28">
        <f>SUM(V652:V660)</f>
        <v>1156.1300000000001</v>
      </c>
    </row>
    <row r="662" spans="1:27" ht="14.25" x14ac:dyDescent="0.2">
      <c r="A662" s="22"/>
      <c r="B662" s="23"/>
      <c r="C662" s="23" t="s">
        <v>978</v>
      </c>
      <c r="D662" s="25" t="s">
        <v>979</v>
      </c>
      <c r="E662" s="10">
        <f>Source!AQ706</f>
        <v>14.4</v>
      </c>
      <c r="F662" s="27"/>
      <c r="G662" s="26" t="str">
        <f>Source!DI706</f>
        <v/>
      </c>
      <c r="H662" s="10">
        <f>Source!AV706</f>
        <v>1</v>
      </c>
      <c r="I662" s="28">
        <f>Source!U706</f>
        <v>3.6316799999999998</v>
      </c>
      <c r="J662" s="10"/>
      <c r="K662" s="28"/>
    </row>
    <row r="663" spans="1:27" ht="15" x14ac:dyDescent="0.25">
      <c r="A663" s="32"/>
      <c r="B663" s="32"/>
      <c r="C663" s="32"/>
      <c r="D663" s="32"/>
      <c r="E663" s="32"/>
      <c r="F663" s="32"/>
      <c r="G663" s="32"/>
      <c r="H663" s="101">
        <f>I654+I655+I657+I659+I660+I661+SUM(I658:I658)</f>
        <v>3285.31</v>
      </c>
      <c r="I663" s="101"/>
      <c r="J663" s="101">
        <f>K654+K655+K657+K659+K660+K661+SUM(K658:K658)</f>
        <v>20804.61</v>
      </c>
      <c r="K663" s="101"/>
      <c r="O663" s="31">
        <f>I654+I655+I657+I659+I660+I661+SUM(I658:I658)</f>
        <v>3285.31</v>
      </c>
      <c r="P663" s="31">
        <f>K654+K655+K657+K659+K660+K661+SUM(K658:K658)</f>
        <v>20804.61</v>
      </c>
      <c r="X663">
        <f>IF(Source!BI706&lt;=1,I654+I655+I657+I659+I660+I661-0, 0)</f>
        <v>372.68</v>
      </c>
      <c r="Y663">
        <f>IF(Source!BI706=2,I654+I655+I657+I659+I660+I661-0, 0)</f>
        <v>0</v>
      </c>
      <c r="Z663">
        <f>IF(Source!BI706=3,I654+I655+I657+I659+I660+I661-0, 0)</f>
        <v>0</v>
      </c>
      <c r="AA663">
        <f>IF(Source!BI706=4,I654+I655+I657+I659+I660+I661,0)</f>
        <v>0</v>
      </c>
    </row>
    <row r="664" spans="1:27" ht="42.75" x14ac:dyDescent="0.2">
      <c r="A664" s="22" t="str">
        <f>Source!E708</f>
        <v>85</v>
      </c>
      <c r="B664" s="23" t="str">
        <f>Source!F708</f>
        <v>3.27-26-6</v>
      </c>
      <c r="C664" s="23" t="s">
        <v>250</v>
      </c>
      <c r="D664" s="25" t="str">
        <f>Source!H708</f>
        <v>100 м бортового камня</v>
      </c>
      <c r="E664" s="10">
        <f>Source!I708</f>
        <v>12.61</v>
      </c>
      <c r="F664" s="27"/>
      <c r="G664" s="26"/>
      <c r="H664" s="10"/>
      <c r="I664" s="28"/>
      <c r="J664" s="10"/>
      <c r="K664" s="28"/>
      <c r="Q664">
        <f>ROUND((Source!DN708/100)*ROUND((ROUND((Source!AF708*Source!AV708*Source!I708),2)),2), 2)</f>
        <v>14252.28</v>
      </c>
      <c r="R664">
        <f>Source!X708</f>
        <v>284464.08</v>
      </c>
      <c r="S664">
        <f>ROUND((Source!DO708/100)*ROUND((ROUND((Source!AF708*Source!AV708*Source!I708),2)),2), 2)</f>
        <v>9472.01</v>
      </c>
      <c r="T664">
        <f>Source!Y708</f>
        <v>117260</v>
      </c>
      <c r="U664">
        <f>ROUND((175/100)*ROUND((ROUND((Source!AE708*Source!AV708*Source!I708),2)),2), 2)</f>
        <v>182.49</v>
      </c>
      <c r="V664">
        <f>ROUND((157/100)*ROUND(ROUND((ROUND((Source!AE708*Source!AV708*Source!I708),2)*Source!BS708),2), 2), 2)</f>
        <v>4016.04</v>
      </c>
    </row>
    <row r="665" spans="1:27" x14ac:dyDescent="0.2">
      <c r="C665" s="29" t="str">
        <f>"Объем: "&amp;Source!I708&amp;"=1261/"&amp;"100"</f>
        <v>Объем: 12,61=1261/100</v>
      </c>
    </row>
    <row r="666" spans="1:27" ht="14.25" x14ac:dyDescent="0.2">
      <c r="A666" s="22"/>
      <c r="B666" s="23"/>
      <c r="C666" s="23" t="s">
        <v>970</v>
      </c>
      <c r="D666" s="25"/>
      <c r="E666" s="10"/>
      <c r="F666" s="27">
        <f>Source!AO708</f>
        <v>702.01</v>
      </c>
      <c r="G666" s="26" t="str">
        <f>Source!DG708</f>
        <v/>
      </c>
      <c r="H666" s="10">
        <f>Source!AV708</f>
        <v>1</v>
      </c>
      <c r="I666" s="28">
        <f>ROUND((ROUND((Source!AF708*Source!AV708*Source!I708),2)),2)</f>
        <v>8852.35</v>
      </c>
      <c r="J666" s="10">
        <f>IF(Source!BA708&lt;&gt; 0, Source!BA708, 1)</f>
        <v>24.53</v>
      </c>
      <c r="K666" s="28">
        <f>Source!S708</f>
        <v>217148.15</v>
      </c>
      <c r="W666">
        <f>I666</f>
        <v>8852.35</v>
      </c>
    </row>
    <row r="667" spans="1:27" ht="14.25" x14ac:dyDescent="0.2">
      <c r="A667" s="22"/>
      <c r="B667" s="23"/>
      <c r="C667" s="23" t="s">
        <v>971</v>
      </c>
      <c r="D667" s="25"/>
      <c r="E667" s="10"/>
      <c r="F667" s="27">
        <f>Source!AM708</f>
        <v>53.54</v>
      </c>
      <c r="G667" s="26" t="str">
        <f>Source!DE708</f>
        <v/>
      </c>
      <c r="H667" s="10">
        <f>Source!AV708</f>
        <v>1</v>
      </c>
      <c r="I667" s="28">
        <f>(ROUND((ROUND(((Source!ET708)*Source!AV708*Source!I708),2)),2)+ROUND((ROUND(((Source!AE708-(Source!EU708))*Source!AV708*Source!I708),2)),2))</f>
        <v>675.14</v>
      </c>
      <c r="J667" s="10">
        <f>IF(Source!BB708&lt;&gt; 0, Source!BB708, 1)</f>
        <v>8.94</v>
      </c>
      <c r="K667" s="28">
        <f>Source!Q708</f>
        <v>6035.75</v>
      </c>
    </row>
    <row r="668" spans="1:27" ht="14.25" x14ac:dyDescent="0.2">
      <c r="A668" s="22"/>
      <c r="B668" s="23"/>
      <c r="C668" s="23" t="s">
        <v>972</v>
      </c>
      <c r="D668" s="25"/>
      <c r="E668" s="10"/>
      <c r="F668" s="27">
        <f>Source!AN708</f>
        <v>8.27</v>
      </c>
      <c r="G668" s="26" t="str">
        <f>Source!DF708</f>
        <v/>
      </c>
      <c r="H668" s="10">
        <f>Source!AV708</f>
        <v>1</v>
      </c>
      <c r="I668" s="30">
        <f>ROUND((ROUND((Source!AE708*Source!AV708*Source!I708),2)),2)</f>
        <v>104.28</v>
      </c>
      <c r="J668" s="10">
        <f>IF(Source!BS708&lt;&gt; 0, Source!BS708, 1)</f>
        <v>24.53</v>
      </c>
      <c r="K668" s="30">
        <f>Source!R708</f>
        <v>2557.9899999999998</v>
      </c>
      <c r="W668">
        <f>I668</f>
        <v>104.28</v>
      </c>
    </row>
    <row r="669" spans="1:27" ht="14.25" x14ac:dyDescent="0.2">
      <c r="A669" s="22"/>
      <c r="B669" s="23"/>
      <c r="C669" s="23" t="s">
        <v>973</v>
      </c>
      <c r="D669" s="25"/>
      <c r="E669" s="10"/>
      <c r="F669" s="27">
        <f>Source!AL708</f>
        <v>3709.87</v>
      </c>
      <c r="G669" s="26" t="str">
        <f>Source!DD708</f>
        <v/>
      </c>
      <c r="H669" s="10">
        <f>Source!AW708</f>
        <v>1</v>
      </c>
      <c r="I669" s="28">
        <f>ROUND((ROUND((Source!AC708*Source!AW708*Source!I708),2)),2)</f>
        <v>46781.46</v>
      </c>
      <c r="J669" s="10">
        <f>IF(Source!BC708&lt;&gt; 0, Source!BC708, 1)</f>
        <v>5.61</v>
      </c>
      <c r="K669" s="28">
        <f>Source!P708</f>
        <v>262443.99</v>
      </c>
    </row>
    <row r="670" spans="1:27" ht="28.5" x14ac:dyDescent="0.2">
      <c r="A670" s="22" t="str">
        <f>Source!E709</f>
        <v>85,1</v>
      </c>
      <c r="B670" s="23" t="str">
        <f>Source!F709</f>
        <v>1.5-3-499</v>
      </c>
      <c r="C670" s="23" t="s">
        <v>256</v>
      </c>
      <c r="D670" s="25" t="str">
        <f>Source!H709</f>
        <v>м3</v>
      </c>
      <c r="E670" s="10">
        <f>Source!I709</f>
        <v>20.175999999999998</v>
      </c>
      <c r="F670" s="27">
        <f>Source!AK709</f>
        <v>2385.71</v>
      </c>
      <c r="G670" s="33" t="s">
        <v>3</v>
      </c>
      <c r="H670" s="10">
        <f>Source!AW709</f>
        <v>1</v>
      </c>
      <c r="I670" s="28">
        <f>ROUND((ROUND((Source!AC709*Source!AW709*Source!I709),2)),2)+(ROUND((ROUND(((Source!ET709)*Source!AV709*Source!I709),2)),2)+ROUND((ROUND(((Source!AE709-(Source!EU709))*Source!AV709*Source!I709),2)),2))+ROUND((ROUND((Source!AF709*Source!AV709*Source!I709),2)),2)</f>
        <v>48134.080000000002</v>
      </c>
      <c r="J670" s="10">
        <f>IF(Source!BC709&lt;&gt; 0, Source!BC709, 1)</f>
        <v>3.57</v>
      </c>
      <c r="K670" s="28">
        <f>Source!O709</f>
        <v>171838.67</v>
      </c>
      <c r="Q670">
        <f>ROUND((Source!DN709/100)*ROUND((ROUND((Source!AF709*Source!AV709*Source!I709),2)),2), 2)</f>
        <v>0</v>
      </c>
      <c r="R670">
        <f>Source!X709</f>
        <v>0</v>
      </c>
      <c r="S670">
        <f>ROUND((Source!DO709/100)*ROUND((ROUND((Source!AF709*Source!AV709*Source!I709),2)),2), 2)</f>
        <v>0</v>
      </c>
      <c r="T670">
        <f>Source!Y709</f>
        <v>0</v>
      </c>
      <c r="U670">
        <f>ROUND((175/100)*ROUND((ROUND((Source!AE709*Source!AV709*Source!I709),2)),2), 2)</f>
        <v>0</v>
      </c>
      <c r="V670">
        <f>ROUND((157/100)*ROUND(ROUND((ROUND((Source!AE709*Source!AV709*Source!I709),2)*Source!BS709),2), 2), 2)</f>
        <v>0</v>
      </c>
      <c r="X670">
        <f>IF(Source!BI709&lt;=1,I670, 0)</f>
        <v>48134.080000000002</v>
      </c>
      <c r="Y670">
        <f>IF(Source!BI709=2,I670, 0)</f>
        <v>0</v>
      </c>
      <c r="Z670">
        <f>IF(Source!BI709=3,I670, 0)</f>
        <v>0</v>
      </c>
      <c r="AA670">
        <f>IF(Source!BI709=4,I670, 0)</f>
        <v>0</v>
      </c>
    </row>
    <row r="671" spans="1:27" ht="14.25" x14ac:dyDescent="0.2">
      <c r="A671" s="22"/>
      <c r="B671" s="23"/>
      <c r="C671" s="23" t="s">
        <v>974</v>
      </c>
      <c r="D671" s="25" t="s">
        <v>975</v>
      </c>
      <c r="E671" s="10">
        <f>Source!DN708</f>
        <v>161</v>
      </c>
      <c r="F671" s="27"/>
      <c r="G671" s="26"/>
      <c r="H671" s="10"/>
      <c r="I671" s="28">
        <f>SUM(Q664:Q670)</f>
        <v>14252.28</v>
      </c>
      <c r="J671" s="10">
        <f>Source!BZ708</f>
        <v>131</v>
      </c>
      <c r="K671" s="28">
        <f>SUM(R664:R670)</f>
        <v>284464.08</v>
      </c>
    </row>
    <row r="672" spans="1:27" ht="14.25" x14ac:dyDescent="0.2">
      <c r="A672" s="22"/>
      <c r="B672" s="23"/>
      <c r="C672" s="23" t="s">
        <v>976</v>
      </c>
      <c r="D672" s="25" t="s">
        <v>975</v>
      </c>
      <c r="E672" s="10">
        <f>Source!DO708</f>
        <v>107</v>
      </c>
      <c r="F672" s="27"/>
      <c r="G672" s="26"/>
      <c r="H672" s="10"/>
      <c r="I672" s="28">
        <f>SUM(S664:S671)</f>
        <v>9472.01</v>
      </c>
      <c r="J672" s="10">
        <f>Source!CA708</f>
        <v>54</v>
      </c>
      <c r="K672" s="28">
        <f>SUM(T664:T671)</f>
        <v>117260</v>
      </c>
    </row>
    <row r="673" spans="1:27" ht="14.25" x14ac:dyDescent="0.2">
      <c r="A673" s="22"/>
      <c r="B673" s="23"/>
      <c r="C673" s="23" t="s">
        <v>977</v>
      </c>
      <c r="D673" s="25" t="s">
        <v>975</v>
      </c>
      <c r="E673" s="10">
        <f>175</f>
        <v>175</v>
      </c>
      <c r="F673" s="27"/>
      <c r="G673" s="26"/>
      <c r="H673" s="10"/>
      <c r="I673" s="28">
        <f>SUM(U664:U672)</f>
        <v>182.49</v>
      </c>
      <c r="J673" s="10">
        <f>157</f>
        <v>157</v>
      </c>
      <c r="K673" s="28">
        <f>SUM(V664:V672)</f>
        <v>4016.04</v>
      </c>
    </row>
    <row r="674" spans="1:27" ht="14.25" x14ac:dyDescent="0.2">
      <c r="A674" s="22"/>
      <c r="B674" s="23"/>
      <c r="C674" s="23" t="s">
        <v>978</v>
      </c>
      <c r="D674" s="25" t="s">
        <v>979</v>
      </c>
      <c r="E674" s="10">
        <f>Source!AQ708</f>
        <v>63.44</v>
      </c>
      <c r="F674" s="27"/>
      <c r="G674" s="26" t="str">
        <f>Source!DI708</f>
        <v/>
      </c>
      <c r="H674" s="10">
        <f>Source!AV708</f>
        <v>1</v>
      </c>
      <c r="I674" s="28">
        <f>Source!U708</f>
        <v>799.97839999999997</v>
      </c>
      <c r="J674" s="10"/>
      <c r="K674" s="28"/>
    </row>
    <row r="675" spans="1:27" ht="15" x14ac:dyDescent="0.25">
      <c r="A675" s="32"/>
      <c r="B675" s="32"/>
      <c r="C675" s="32"/>
      <c r="D675" s="32"/>
      <c r="E675" s="32"/>
      <c r="F675" s="32"/>
      <c r="G675" s="32"/>
      <c r="H675" s="101">
        <f>I666+I667+I669+I671+I672+I673+SUM(I670:I670)</f>
        <v>128349.81</v>
      </c>
      <c r="I675" s="101"/>
      <c r="J675" s="101">
        <f>K666+K667+K669+K671+K672+K673+SUM(K670:K670)</f>
        <v>1063206.68</v>
      </c>
      <c r="K675" s="101"/>
      <c r="O675" s="31">
        <f>I666+I667+I669+I671+I672+I673+SUM(I670:I670)</f>
        <v>128349.81</v>
      </c>
      <c r="P675" s="31">
        <f>K666+K667+K669+K671+K672+K673+SUM(K670:K670)</f>
        <v>1063206.68</v>
      </c>
      <c r="X675">
        <f>IF(Source!BI708&lt;=1,I666+I667+I669+I671+I672+I673-0, 0)</f>
        <v>80215.73</v>
      </c>
      <c r="Y675">
        <f>IF(Source!BI708=2,I666+I667+I669+I671+I672+I673-0, 0)</f>
        <v>0</v>
      </c>
      <c r="Z675">
        <f>IF(Source!BI708=3,I666+I667+I669+I671+I672+I673-0, 0)</f>
        <v>0</v>
      </c>
      <c r="AA675">
        <f>IF(Source!BI708=4,I666+I667+I669+I671+I672+I673,0)</f>
        <v>0</v>
      </c>
    </row>
    <row r="677" spans="1:27" ht="15" x14ac:dyDescent="0.25">
      <c r="A677" s="100" t="str">
        <f>CONCATENATE("Итого по разделу: ",IF(Source!G711&lt;&gt;"Новый раздел", Source!G711, ""))</f>
        <v>Итого по разделу: 28. Камень бортовой садовый</v>
      </c>
      <c r="B677" s="100"/>
      <c r="C677" s="100"/>
      <c r="D677" s="100"/>
      <c r="E677" s="100"/>
      <c r="F677" s="100"/>
      <c r="G677" s="100"/>
      <c r="H677" s="98">
        <f>SUM(O627:O676)</f>
        <v>162504.21</v>
      </c>
      <c r="I677" s="99"/>
      <c r="J677" s="98">
        <f>SUM(P627:P676)</f>
        <v>1746456.35</v>
      </c>
      <c r="K677" s="99"/>
    </row>
    <row r="678" spans="1:27" hidden="1" x14ac:dyDescent="0.2">
      <c r="A678" t="s">
        <v>980</v>
      </c>
      <c r="I678">
        <f>SUM(AC627:AC677)</f>
        <v>0</v>
      </c>
      <c r="J678">
        <f>SUM(AD627:AD677)</f>
        <v>0</v>
      </c>
    </row>
    <row r="679" spans="1:27" hidden="1" x14ac:dyDescent="0.2">
      <c r="A679" t="s">
        <v>981</v>
      </c>
      <c r="I679">
        <f>SUM(AE627:AE678)</f>
        <v>0</v>
      </c>
      <c r="J679">
        <f>SUM(AF627:AF678)</f>
        <v>0</v>
      </c>
    </row>
    <row r="680" spans="1:27" ht="14.25" x14ac:dyDescent="0.2">
      <c r="C680" s="96" t="str">
        <f>Source!H740</f>
        <v>ндс</v>
      </c>
      <c r="D680" s="96"/>
      <c r="E680" s="96"/>
      <c r="F680" s="96"/>
      <c r="G680" s="96"/>
      <c r="H680" s="96"/>
      <c r="I680" s="96"/>
      <c r="J680" s="97">
        <f>IF(Source!F740=0, "", Source!F740)</f>
        <v>2095747.62</v>
      </c>
      <c r="K680" s="97"/>
    </row>
    <row r="682" spans="1:27" ht="16.5" x14ac:dyDescent="0.25">
      <c r="A682" s="102" t="str">
        <f>CONCATENATE("Раздел: ",IF(Source!G776&lt;&gt;"Новый раздел", Source!G776, ""))</f>
        <v>Раздел: 30.2. Окраска подпорной стенки по штукатурке с расчисткой</v>
      </c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</row>
    <row r="683" spans="1:27" ht="42.75" x14ac:dyDescent="0.2">
      <c r="A683" s="22" t="str">
        <f>Source!E780</f>
        <v>86</v>
      </c>
      <c r="B683" s="23" t="str">
        <f>Source!F780</f>
        <v>6.61-26-1</v>
      </c>
      <c r="C683" s="23" t="s">
        <v>439</v>
      </c>
      <c r="D683" s="25" t="str">
        <f>Source!H780</f>
        <v>100 м2</v>
      </c>
      <c r="E683" s="10">
        <f>Source!I780</f>
        <v>0.3</v>
      </c>
      <c r="F683" s="27"/>
      <c r="G683" s="26"/>
      <c r="H683" s="10"/>
      <c r="I683" s="28"/>
      <c r="J683" s="10"/>
      <c r="K683" s="28"/>
      <c r="Q683">
        <f>ROUND((Source!DN780/100)*ROUND((ROUND((Source!AF780*Source!AV780*Source!I780),2)),2), 2)</f>
        <v>141.04</v>
      </c>
      <c r="R683">
        <f>Source!X780</f>
        <v>2940.76</v>
      </c>
      <c r="S683">
        <f>ROUND((Source!DO780/100)*ROUND((ROUND((Source!AF780*Source!AV780*Source!I780),2)),2), 2)</f>
        <v>96.97</v>
      </c>
      <c r="T683">
        <f>Source!Y780</f>
        <v>1773.1</v>
      </c>
      <c r="U683">
        <f>ROUND((175/100)*ROUND((ROUND((Source!AE780*Source!AV780*Source!I780),2)),2), 2)</f>
        <v>0</v>
      </c>
      <c r="V683">
        <f>ROUND((157/100)*ROUND(ROUND((ROUND((Source!AE780*Source!AV780*Source!I780),2)*Source!BS780),2), 2), 2)</f>
        <v>0</v>
      </c>
    </row>
    <row r="684" spans="1:27" x14ac:dyDescent="0.2">
      <c r="C684" s="29" t="str">
        <f>"Объем: "&amp;Source!I780&amp;"=200*"&amp;"0,0015"</f>
        <v>Объем: 0,3=200*0,0015</v>
      </c>
    </row>
    <row r="685" spans="1:27" ht="14.25" x14ac:dyDescent="0.2">
      <c r="A685" s="22"/>
      <c r="B685" s="23"/>
      <c r="C685" s="23" t="s">
        <v>970</v>
      </c>
      <c r="D685" s="25"/>
      <c r="E685" s="10"/>
      <c r="F685" s="27">
        <f>Source!AO780</f>
        <v>587.65</v>
      </c>
      <c r="G685" s="26" t="str">
        <f>Source!DG780</f>
        <v/>
      </c>
      <c r="H685" s="10">
        <f>Source!AV780</f>
        <v>1</v>
      </c>
      <c r="I685" s="28">
        <f>ROUND((ROUND((Source!AF780*Source!AV780*Source!I780),2)),2)</f>
        <v>176.3</v>
      </c>
      <c r="J685" s="10">
        <f>IF(Source!BA780&lt;&gt; 0, Source!BA780, 1)</f>
        <v>24.53</v>
      </c>
      <c r="K685" s="28">
        <f>Source!S780</f>
        <v>4324.6400000000003</v>
      </c>
      <c r="W685">
        <f>I685</f>
        <v>176.3</v>
      </c>
    </row>
    <row r="686" spans="1:27" ht="14.25" x14ac:dyDescent="0.2">
      <c r="A686" s="22"/>
      <c r="B686" s="23"/>
      <c r="C686" s="23" t="s">
        <v>974</v>
      </c>
      <c r="D686" s="25" t="s">
        <v>975</v>
      </c>
      <c r="E686" s="10">
        <f>Source!DN780</f>
        <v>80</v>
      </c>
      <c r="F686" s="27"/>
      <c r="G686" s="26"/>
      <c r="H686" s="10"/>
      <c r="I686" s="28">
        <f>SUM(Q683:Q685)</f>
        <v>141.04</v>
      </c>
      <c r="J686" s="10">
        <f>Source!BZ780</f>
        <v>68</v>
      </c>
      <c r="K686" s="28">
        <f>SUM(R683:R685)</f>
        <v>2940.76</v>
      </c>
    </row>
    <row r="687" spans="1:27" ht="14.25" x14ac:dyDescent="0.2">
      <c r="A687" s="22"/>
      <c r="B687" s="23"/>
      <c r="C687" s="23" t="s">
        <v>976</v>
      </c>
      <c r="D687" s="25" t="s">
        <v>975</v>
      </c>
      <c r="E687" s="10">
        <f>Source!DO780</f>
        <v>55</v>
      </c>
      <c r="F687" s="27"/>
      <c r="G687" s="26"/>
      <c r="H687" s="10"/>
      <c r="I687" s="28">
        <f>SUM(S683:S686)</f>
        <v>96.97</v>
      </c>
      <c r="J687" s="10">
        <f>Source!CA780</f>
        <v>41</v>
      </c>
      <c r="K687" s="28">
        <f>SUM(T683:T686)</f>
        <v>1773.1</v>
      </c>
    </row>
    <row r="688" spans="1:27" ht="14.25" x14ac:dyDescent="0.2">
      <c r="A688" s="22"/>
      <c r="B688" s="23"/>
      <c r="C688" s="23" t="s">
        <v>978</v>
      </c>
      <c r="D688" s="25" t="s">
        <v>979</v>
      </c>
      <c r="E688" s="10">
        <f>Source!AQ780</f>
        <v>57.5</v>
      </c>
      <c r="F688" s="27"/>
      <c r="G688" s="26" t="str">
        <f>Source!DI780</f>
        <v/>
      </c>
      <c r="H688" s="10">
        <f>Source!AV780</f>
        <v>1</v>
      </c>
      <c r="I688" s="28">
        <f>Source!U780</f>
        <v>17.25</v>
      </c>
      <c r="J688" s="10"/>
      <c r="K688" s="28"/>
    </row>
    <row r="689" spans="1:27" ht="15" x14ac:dyDescent="0.25">
      <c r="A689" s="32"/>
      <c r="B689" s="32"/>
      <c r="C689" s="32"/>
      <c r="D689" s="32"/>
      <c r="E689" s="32"/>
      <c r="F689" s="32"/>
      <c r="G689" s="32"/>
      <c r="H689" s="101">
        <f>I685+I686+I687</f>
        <v>414.31000000000006</v>
      </c>
      <c r="I689" s="101"/>
      <c r="J689" s="101">
        <f>K685+K686+K687</f>
        <v>9038.5</v>
      </c>
      <c r="K689" s="101"/>
      <c r="O689" s="31">
        <f>I685+I686+I687</f>
        <v>414.31000000000006</v>
      </c>
      <c r="P689" s="31">
        <f>K685+K686+K687</f>
        <v>9038.5</v>
      </c>
      <c r="X689">
        <f>IF(Source!BI780&lt;=1,I685+I686+I687-0, 0)</f>
        <v>414.31000000000006</v>
      </c>
      <c r="Y689">
        <f>IF(Source!BI780=2,I685+I686+I687-0, 0)</f>
        <v>0</v>
      </c>
      <c r="Z689">
        <f>IF(Source!BI780=3,I685+I686+I687-0, 0)</f>
        <v>0</v>
      </c>
      <c r="AA689">
        <f>IF(Source!BI780=4,I685+I686+I687,0)</f>
        <v>0</v>
      </c>
    </row>
    <row r="690" spans="1:27" ht="42.75" x14ac:dyDescent="0.2">
      <c r="A690" s="22" t="str">
        <f>Source!E781</f>
        <v>87</v>
      </c>
      <c r="B690" s="23" t="str">
        <f>Source!F781</f>
        <v>6.69-19-1</v>
      </c>
      <c r="C690" s="23" t="s">
        <v>37</v>
      </c>
      <c r="D690" s="25" t="str">
        <f>Source!H781</f>
        <v>1 Т</v>
      </c>
      <c r="E690" s="10">
        <f>Source!I781</f>
        <v>1.38</v>
      </c>
      <c r="F690" s="27"/>
      <c r="G690" s="26"/>
      <c r="H690" s="10"/>
      <c r="I690" s="28"/>
      <c r="J690" s="10"/>
      <c r="K690" s="28"/>
      <c r="Q690">
        <f>ROUND((Source!DN781/100)*ROUND((ROUND((Source!AF781*Source!AV781*Source!I781),2)),2), 2)</f>
        <v>12.08</v>
      </c>
      <c r="R690">
        <f>Source!X781</f>
        <v>237.8</v>
      </c>
      <c r="S690">
        <f>ROUND((Source!DO781/100)*ROUND((ROUND((Source!AF781*Source!AV781*Source!I781),2)),2), 2)</f>
        <v>9.3000000000000007</v>
      </c>
      <c r="T690">
        <f>Source!Y781</f>
        <v>133.56</v>
      </c>
      <c r="U690">
        <f>ROUND((175/100)*ROUND((ROUND((Source!AE781*Source!AV781*Source!I781),2)),2), 2)</f>
        <v>0</v>
      </c>
      <c r="V690">
        <f>ROUND((157/100)*ROUND(ROUND((ROUND((Source!AE781*Source!AV781*Source!I781),2)*Source!BS781),2), 2), 2)</f>
        <v>0</v>
      </c>
    </row>
    <row r="691" spans="1:27" x14ac:dyDescent="0.2">
      <c r="C691" s="29" t="str">
        <f>"Объем: "&amp;Source!I781&amp;"="&amp;Source!I780&amp;"*"&amp;"4,6"</f>
        <v>Объем: 1,38=0,3*4,6</v>
      </c>
    </row>
    <row r="692" spans="1:27" ht="14.25" x14ac:dyDescent="0.2">
      <c r="A692" s="22"/>
      <c r="B692" s="23"/>
      <c r="C692" s="23" t="s">
        <v>970</v>
      </c>
      <c r="D692" s="25"/>
      <c r="E692" s="10"/>
      <c r="F692" s="27">
        <f>Source!AO781</f>
        <v>9.6199999999999992</v>
      </c>
      <c r="G692" s="26" t="str">
        <f>Source!DG781</f>
        <v/>
      </c>
      <c r="H692" s="10">
        <f>Source!AV781</f>
        <v>1</v>
      </c>
      <c r="I692" s="28">
        <f>ROUND((ROUND((Source!AF781*Source!AV781*Source!I781),2)),2)</f>
        <v>13.28</v>
      </c>
      <c r="J692" s="10">
        <f>IF(Source!BA781&lt;&gt; 0, Source!BA781, 1)</f>
        <v>24.53</v>
      </c>
      <c r="K692" s="28">
        <f>Source!S781</f>
        <v>325.76</v>
      </c>
      <c r="W692">
        <f>I692</f>
        <v>13.28</v>
      </c>
    </row>
    <row r="693" spans="1:27" ht="14.25" x14ac:dyDescent="0.2">
      <c r="A693" s="22"/>
      <c r="B693" s="23"/>
      <c r="C693" s="23" t="s">
        <v>974</v>
      </c>
      <c r="D693" s="25" t="s">
        <v>975</v>
      </c>
      <c r="E693" s="10">
        <f>Source!DN781</f>
        <v>91</v>
      </c>
      <c r="F693" s="27"/>
      <c r="G693" s="26"/>
      <c r="H693" s="10"/>
      <c r="I693" s="28">
        <f>SUM(Q690:Q692)</f>
        <v>12.08</v>
      </c>
      <c r="J693" s="10">
        <f>Source!BZ781</f>
        <v>73</v>
      </c>
      <c r="K693" s="28">
        <f>SUM(R690:R692)</f>
        <v>237.8</v>
      </c>
    </row>
    <row r="694" spans="1:27" ht="14.25" x14ac:dyDescent="0.2">
      <c r="A694" s="22"/>
      <c r="B694" s="23"/>
      <c r="C694" s="23" t="s">
        <v>976</v>
      </c>
      <c r="D694" s="25" t="s">
        <v>975</v>
      </c>
      <c r="E694" s="10">
        <f>Source!DO781</f>
        <v>70</v>
      </c>
      <c r="F694" s="27"/>
      <c r="G694" s="26"/>
      <c r="H694" s="10"/>
      <c r="I694" s="28">
        <f>SUM(S690:S693)</f>
        <v>9.3000000000000007</v>
      </c>
      <c r="J694" s="10">
        <f>Source!CA781</f>
        <v>41</v>
      </c>
      <c r="K694" s="28">
        <f>SUM(T690:T693)</f>
        <v>133.56</v>
      </c>
    </row>
    <row r="695" spans="1:27" ht="14.25" x14ac:dyDescent="0.2">
      <c r="A695" s="22"/>
      <c r="B695" s="23"/>
      <c r="C695" s="23" t="s">
        <v>978</v>
      </c>
      <c r="D695" s="25" t="s">
        <v>979</v>
      </c>
      <c r="E695" s="10">
        <f>Source!AQ781</f>
        <v>1.02</v>
      </c>
      <c r="F695" s="27"/>
      <c r="G695" s="26" t="str">
        <f>Source!DI781</f>
        <v/>
      </c>
      <c r="H695" s="10">
        <f>Source!AV781</f>
        <v>1</v>
      </c>
      <c r="I695" s="28">
        <f>Source!U781</f>
        <v>1.4076</v>
      </c>
      <c r="J695" s="10"/>
      <c r="K695" s="28"/>
    </row>
    <row r="696" spans="1:27" ht="15" x14ac:dyDescent="0.25">
      <c r="A696" s="32"/>
      <c r="B696" s="32"/>
      <c r="C696" s="32"/>
      <c r="D696" s="32"/>
      <c r="E696" s="32"/>
      <c r="F696" s="32"/>
      <c r="G696" s="32"/>
      <c r="H696" s="101">
        <f>I692+I693+I694</f>
        <v>34.659999999999997</v>
      </c>
      <c r="I696" s="101"/>
      <c r="J696" s="101">
        <f>K692+K693+K694</f>
        <v>697.11999999999989</v>
      </c>
      <c r="K696" s="101"/>
      <c r="O696" s="31">
        <f>I692+I693+I694</f>
        <v>34.659999999999997</v>
      </c>
      <c r="P696" s="31">
        <f>K692+K693+K694</f>
        <v>697.11999999999989</v>
      </c>
      <c r="X696">
        <f>IF(Source!BI781&lt;=1,I692+I693+I694-0, 0)</f>
        <v>34.659999999999997</v>
      </c>
      <c r="Y696">
        <f>IF(Source!BI781=2,I692+I693+I694-0, 0)</f>
        <v>0</v>
      </c>
      <c r="Z696">
        <f>IF(Source!BI781=3,I692+I693+I694-0, 0)</f>
        <v>0</v>
      </c>
      <c r="AA696">
        <f>IF(Source!BI781=4,I692+I693+I694,0)</f>
        <v>0</v>
      </c>
    </row>
    <row r="697" spans="1:27" ht="42.75" x14ac:dyDescent="0.2">
      <c r="A697" s="22" t="str">
        <f>Source!E782</f>
        <v>88</v>
      </c>
      <c r="B697" s="23" t="str">
        <f>Source!F782</f>
        <v>15.2-27-11</v>
      </c>
      <c r="C697" s="23" t="s">
        <v>446</v>
      </c>
      <c r="D697" s="25" t="str">
        <f>Source!H782</f>
        <v>т</v>
      </c>
      <c r="E697" s="10">
        <f>Source!I782</f>
        <v>0</v>
      </c>
      <c r="F697" s="27"/>
      <c r="G697" s="26"/>
      <c r="H697" s="10"/>
      <c r="I697" s="28"/>
      <c r="J697" s="10"/>
      <c r="K697" s="28"/>
      <c r="Q697">
        <f>ROUND((Source!DN782/100)*ROUND((ROUND((Source!AF782*Source!AV782*Source!I782),2)),2), 2)</f>
        <v>0</v>
      </c>
      <c r="R697">
        <f>Source!X782</f>
        <v>0</v>
      </c>
      <c r="S697">
        <f>ROUND((Source!DO782/100)*ROUND((ROUND((Source!AF782*Source!AV782*Source!I782),2)),2), 2)</f>
        <v>0</v>
      </c>
      <c r="T697">
        <f>Source!Y782</f>
        <v>0</v>
      </c>
      <c r="U697">
        <f>ROUND((175/100)*ROUND((ROUND((Source!AE782*Source!AV782*Source!I782),2)),2), 2)</f>
        <v>0</v>
      </c>
      <c r="V697">
        <f>ROUND((157/100)*ROUND(ROUND((ROUND((Source!AE782*Source!AV782*Source!I782),2)*Source!BS782),2), 2), 2)</f>
        <v>0</v>
      </c>
    </row>
    <row r="698" spans="1:27" ht="14.25" x14ac:dyDescent="0.2">
      <c r="A698" s="22"/>
      <c r="B698" s="23"/>
      <c r="C698" s="23" t="s">
        <v>971</v>
      </c>
      <c r="D698" s="25"/>
      <c r="E698" s="10"/>
      <c r="F698" s="27">
        <f>Source!AM782</f>
        <v>32.270000000000003</v>
      </c>
      <c r="G698" s="26" t="str">
        <f>Source!DE782</f>
        <v/>
      </c>
      <c r="H698" s="10">
        <f>Source!AV782</f>
        <v>1</v>
      </c>
      <c r="I698" s="28">
        <f>(ROUND((ROUND(((Source!ET782)*Source!AV782*Source!I782),2)),2)+ROUND((ROUND(((Source!AE782-(Source!EU782))*Source!AV782*Source!I782),2)),2))</f>
        <v>0</v>
      </c>
      <c r="J698" s="10">
        <f>IF(Source!BB782&lt;&gt; 0, Source!BB782, 1)</f>
        <v>10.11</v>
      </c>
      <c r="K698" s="28">
        <f>Source!Q782</f>
        <v>0</v>
      </c>
    </row>
    <row r="699" spans="1:27" ht="15" x14ac:dyDescent="0.25">
      <c r="A699" s="32"/>
      <c r="B699" s="32"/>
      <c r="C699" s="32"/>
      <c r="D699" s="32"/>
      <c r="E699" s="32"/>
      <c r="F699" s="32"/>
      <c r="G699" s="32"/>
      <c r="H699" s="101">
        <f>I698</f>
        <v>0</v>
      </c>
      <c r="I699" s="101"/>
      <c r="J699" s="101">
        <f>K698</f>
        <v>0</v>
      </c>
      <c r="K699" s="101"/>
      <c r="O699" s="31">
        <f>I698</f>
        <v>0</v>
      </c>
      <c r="P699" s="31">
        <f>K698</f>
        <v>0</v>
      </c>
      <c r="X699">
        <f>IF(Source!BI782&lt;=1,I698-0, 0)</f>
        <v>0</v>
      </c>
      <c r="Y699">
        <f>IF(Source!BI782=2,I698-0, 0)</f>
        <v>0</v>
      </c>
      <c r="Z699">
        <f>IF(Source!BI782=3,I698-0, 0)</f>
        <v>0</v>
      </c>
      <c r="AA699">
        <f>IF(Source!BI782=4,I698,0)</f>
        <v>0</v>
      </c>
    </row>
    <row r="700" spans="1:27" ht="28.5" x14ac:dyDescent="0.2">
      <c r="A700" s="22" t="str">
        <f>Source!E783</f>
        <v>89</v>
      </c>
      <c r="B700" s="23" t="str">
        <f>Source!F783</f>
        <v>15.1-1201-02</v>
      </c>
      <c r="C700" s="23" t="s">
        <v>450</v>
      </c>
      <c r="D700" s="25" t="str">
        <f>Source!H783</f>
        <v>1 Т</v>
      </c>
      <c r="E700" s="10">
        <f>Source!I783</f>
        <v>0</v>
      </c>
      <c r="F700" s="27"/>
      <c r="G700" s="26"/>
      <c r="H700" s="10"/>
      <c r="I700" s="28"/>
      <c r="J700" s="10"/>
      <c r="K700" s="28"/>
      <c r="Q700">
        <f>ROUND((Source!DN783/100)*ROUND((ROUND((Source!AF783*Source!AV783*Source!I783),2)),2), 2)</f>
        <v>0</v>
      </c>
      <c r="R700">
        <f>Source!X783</f>
        <v>0</v>
      </c>
      <c r="S700">
        <f>ROUND((Source!DO783/100)*ROUND((ROUND((Source!AF783*Source!AV783*Source!I783),2)),2), 2)</f>
        <v>0</v>
      </c>
      <c r="T700">
        <f>Source!Y783</f>
        <v>0</v>
      </c>
      <c r="U700">
        <f>ROUND((175/100)*ROUND((ROUND((Source!AE783*Source!AV783*Source!I783),2)),2), 2)</f>
        <v>0</v>
      </c>
      <c r="V700">
        <f>ROUND((157/100)*ROUND(ROUND((ROUND((Source!AE783*Source!AV783*Source!I783),2)*Source!BS783),2), 2), 2)</f>
        <v>0</v>
      </c>
    </row>
    <row r="701" spans="1:27" ht="14.25" x14ac:dyDescent="0.2">
      <c r="A701" s="22"/>
      <c r="B701" s="23"/>
      <c r="C701" s="23" t="s">
        <v>971</v>
      </c>
      <c r="D701" s="25"/>
      <c r="E701" s="10"/>
      <c r="F701" s="27">
        <f>Source!AM783</f>
        <v>21.71</v>
      </c>
      <c r="G701" s="26" t="str">
        <f>Source!DE783</f>
        <v/>
      </c>
      <c r="H701" s="10">
        <f>Source!AV783</f>
        <v>1</v>
      </c>
      <c r="I701" s="28">
        <f>(ROUND((ROUND(((Source!ET783)*Source!AV783*Source!I783),2)),2)+ROUND((ROUND(((Source!AE783-(Source!EU783))*Source!AV783*Source!I783),2)),2))</f>
        <v>0</v>
      </c>
      <c r="J701" s="10">
        <f>IF(Source!BB783&lt;&gt; 0, Source!BB783, 1)</f>
        <v>7.63</v>
      </c>
      <c r="K701" s="28">
        <f>Source!Q783</f>
        <v>0</v>
      </c>
    </row>
    <row r="702" spans="1:27" ht="15" x14ac:dyDescent="0.25">
      <c r="A702" s="32"/>
      <c r="B702" s="32"/>
      <c r="C702" s="32"/>
      <c r="D702" s="32"/>
      <c r="E702" s="32"/>
      <c r="F702" s="32"/>
      <c r="G702" s="32"/>
      <c r="H702" s="101">
        <f>I701</f>
        <v>0</v>
      </c>
      <c r="I702" s="101"/>
      <c r="J702" s="101">
        <f>K701</f>
        <v>0</v>
      </c>
      <c r="K702" s="101"/>
      <c r="O702" s="31">
        <f>I701</f>
        <v>0</v>
      </c>
      <c r="P702" s="31">
        <f>K701</f>
        <v>0</v>
      </c>
      <c r="X702">
        <f>IF(Source!BI783&lt;=1,I701-0, 0)</f>
        <v>0</v>
      </c>
      <c r="Y702">
        <f>IF(Source!BI783=2,I701-0, 0)</f>
        <v>0</v>
      </c>
      <c r="Z702">
        <f>IF(Source!BI783=3,I701-0, 0)</f>
        <v>0</v>
      </c>
      <c r="AA702">
        <f>IF(Source!BI783=4,I701,0)</f>
        <v>0</v>
      </c>
    </row>
    <row r="703" spans="1:27" ht="42.75" x14ac:dyDescent="0.2">
      <c r="A703" s="22" t="str">
        <f>Source!E784</f>
        <v>90</v>
      </c>
      <c r="B703" s="23" t="str">
        <f>Source!F784</f>
        <v>6.62-31-1</v>
      </c>
      <c r="C703" s="23" t="s">
        <v>454</v>
      </c>
      <c r="D703" s="25" t="str">
        <f>Source!H784</f>
        <v>1 м2 поверхности</v>
      </c>
      <c r="E703" s="10">
        <f>Source!I784</f>
        <v>60</v>
      </c>
      <c r="F703" s="27"/>
      <c r="G703" s="26"/>
      <c r="H703" s="10"/>
      <c r="I703" s="28"/>
      <c r="J703" s="10"/>
      <c r="K703" s="28"/>
      <c r="Q703">
        <f>ROUND((Source!DN784/100)*ROUND((ROUND((Source!AF784*Source!AV784*Source!I784),2)),2), 2)</f>
        <v>367.8</v>
      </c>
      <c r="R703">
        <f>Source!X784</f>
        <v>7307.93</v>
      </c>
      <c r="S703">
        <f>ROUND((Source!DO784/100)*ROUND((ROUND((Source!AF784*Source!AV784*Source!I784),2)),2), 2)</f>
        <v>235.39</v>
      </c>
      <c r="T703">
        <f>Source!Y784</f>
        <v>3699.07</v>
      </c>
      <c r="U703">
        <f>ROUND((175/100)*ROUND((ROUND((Source!AE784*Source!AV784*Source!I784),2)),2), 2)</f>
        <v>0</v>
      </c>
      <c r="V703">
        <f>ROUND((157/100)*ROUND(ROUND((ROUND((Source!AE784*Source!AV784*Source!I784),2)*Source!BS784),2), 2), 2)</f>
        <v>0</v>
      </c>
    </row>
    <row r="704" spans="1:27" x14ac:dyDescent="0.2">
      <c r="C704" s="29" t="str">
        <f>"Объем: "&amp;Source!I784&amp;"=200*"&amp;"0,3"</f>
        <v>Объем: 60=200*0,3</v>
      </c>
    </row>
    <row r="705" spans="1:27" ht="14.25" x14ac:dyDescent="0.2">
      <c r="A705" s="22"/>
      <c r="B705" s="23"/>
      <c r="C705" s="23" t="s">
        <v>970</v>
      </c>
      <c r="D705" s="25"/>
      <c r="E705" s="10"/>
      <c r="F705" s="27">
        <f>Source!AO784</f>
        <v>6.13</v>
      </c>
      <c r="G705" s="26" t="str">
        <f>Source!DG784</f>
        <v/>
      </c>
      <c r="H705" s="10">
        <f>Source!AV784</f>
        <v>1</v>
      </c>
      <c r="I705" s="28">
        <f>ROUND((ROUND((Source!AF784*Source!AV784*Source!I784),2)),2)</f>
        <v>367.8</v>
      </c>
      <c r="J705" s="10">
        <f>IF(Source!BA784&lt;&gt; 0, Source!BA784, 1)</f>
        <v>24.53</v>
      </c>
      <c r="K705" s="28">
        <f>Source!S784</f>
        <v>9022.1299999999992</v>
      </c>
      <c r="W705">
        <f>I705</f>
        <v>367.8</v>
      </c>
    </row>
    <row r="706" spans="1:27" ht="14.25" x14ac:dyDescent="0.2">
      <c r="A706" s="22"/>
      <c r="B706" s="23"/>
      <c r="C706" s="23" t="s">
        <v>974</v>
      </c>
      <c r="D706" s="25" t="s">
        <v>975</v>
      </c>
      <c r="E706" s="10">
        <f>Source!DN784</f>
        <v>100</v>
      </c>
      <c r="F706" s="27"/>
      <c r="G706" s="26"/>
      <c r="H706" s="10"/>
      <c r="I706" s="28">
        <f>SUM(Q703:Q705)</f>
        <v>367.8</v>
      </c>
      <c r="J706" s="10">
        <f>Source!BZ784</f>
        <v>81</v>
      </c>
      <c r="K706" s="28">
        <f>SUM(R703:R705)</f>
        <v>7307.93</v>
      </c>
    </row>
    <row r="707" spans="1:27" ht="14.25" x14ac:dyDescent="0.2">
      <c r="A707" s="22"/>
      <c r="B707" s="23"/>
      <c r="C707" s="23" t="s">
        <v>976</v>
      </c>
      <c r="D707" s="25" t="s">
        <v>975</v>
      </c>
      <c r="E707" s="10">
        <f>Source!DO784</f>
        <v>64</v>
      </c>
      <c r="F707" s="27"/>
      <c r="G707" s="26"/>
      <c r="H707" s="10"/>
      <c r="I707" s="28">
        <f>SUM(S703:S706)</f>
        <v>235.39</v>
      </c>
      <c r="J707" s="10">
        <f>Source!CA784</f>
        <v>41</v>
      </c>
      <c r="K707" s="28">
        <f>SUM(T703:T706)</f>
        <v>3699.07</v>
      </c>
    </row>
    <row r="708" spans="1:27" ht="14.25" x14ac:dyDescent="0.2">
      <c r="A708" s="22"/>
      <c r="B708" s="23"/>
      <c r="C708" s="23" t="s">
        <v>978</v>
      </c>
      <c r="D708" s="25" t="s">
        <v>979</v>
      </c>
      <c r="E708" s="10">
        <f>Source!AQ784</f>
        <v>0.6</v>
      </c>
      <c r="F708" s="27"/>
      <c r="G708" s="26" t="str">
        <f>Source!DI784</f>
        <v/>
      </c>
      <c r="H708" s="10">
        <f>Source!AV784</f>
        <v>1</v>
      </c>
      <c r="I708" s="28">
        <f>Source!U784</f>
        <v>36</v>
      </c>
      <c r="J708" s="10"/>
      <c r="K708" s="28"/>
    </row>
    <row r="709" spans="1:27" ht="15" x14ac:dyDescent="0.25">
      <c r="A709" s="32"/>
      <c r="B709" s="32"/>
      <c r="C709" s="32"/>
      <c r="D709" s="32"/>
      <c r="E709" s="32"/>
      <c r="F709" s="32"/>
      <c r="G709" s="32"/>
      <c r="H709" s="101">
        <f>I705+I706+I707</f>
        <v>970.99</v>
      </c>
      <c r="I709" s="101"/>
      <c r="J709" s="101">
        <f>K705+K706+K707</f>
        <v>20029.13</v>
      </c>
      <c r="K709" s="101"/>
      <c r="O709" s="31">
        <f>I705+I706+I707</f>
        <v>970.99</v>
      </c>
      <c r="P709" s="31">
        <f>K705+K706+K707</f>
        <v>20029.13</v>
      </c>
      <c r="X709">
        <f>IF(Source!BI784&lt;=1,I705+I706+I707-0, 0)</f>
        <v>970.99</v>
      </c>
      <c r="Y709">
        <f>IF(Source!BI784=2,I705+I706+I707-0, 0)</f>
        <v>0</v>
      </c>
      <c r="Z709">
        <f>IF(Source!BI784=3,I705+I706+I707-0, 0)</f>
        <v>0</v>
      </c>
      <c r="AA709">
        <f>IF(Source!BI784=4,I705+I706+I707,0)</f>
        <v>0</v>
      </c>
    </row>
    <row r="710" spans="1:27" ht="85.5" x14ac:dyDescent="0.2">
      <c r="A710" s="22" t="str">
        <f>Source!E785</f>
        <v>91</v>
      </c>
      <c r="B710" s="23" t="str">
        <f>Source!F785</f>
        <v>3.15-41-1</v>
      </c>
      <c r="C710" s="23" t="s">
        <v>461</v>
      </c>
      <c r="D710" s="25" t="str">
        <f>Source!H785</f>
        <v>100 м2 оштукатуриваемой поверхности</v>
      </c>
      <c r="E710" s="10">
        <f>Source!I785</f>
        <v>0.3</v>
      </c>
      <c r="F710" s="27"/>
      <c r="G710" s="26"/>
      <c r="H710" s="10"/>
      <c r="I710" s="28"/>
      <c r="J710" s="10"/>
      <c r="K710" s="28"/>
      <c r="Q710">
        <f>ROUND((Source!DN785/100)*ROUND((ROUND((Source!AF785*Source!AV785*Source!I785),2)),2), 2)</f>
        <v>277.58</v>
      </c>
      <c r="R710">
        <f>Source!X785</f>
        <v>4993.37</v>
      </c>
      <c r="S710">
        <f>ROUND((Source!DO785/100)*ROUND((ROUND((Source!AF785*Source!AV785*Source!I785),2)),2), 2)</f>
        <v>194.31</v>
      </c>
      <c r="T710">
        <f>Source!Y785</f>
        <v>2383.1999999999998</v>
      </c>
      <c r="U710">
        <f>ROUND((175/100)*ROUND((ROUND((Source!AE785*Source!AV785*Source!I785),2)),2), 2)</f>
        <v>18.88</v>
      </c>
      <c r="V710">
        <f>ROUND((157/100)*ROUND(ROUND((ROUND((Source!AE785*Source!AV785*Source!I785),2)*Source!BS785),2), 2), 2)</f>
        <v>415.55</v>
      </c>
    </row>
    <row r="711" spans="1:27" x14ac:dyDescent="0.2">
      <c r="C711" s="29" t="str">
        <f>"Объем: "&amp;Source!I785&amp;"=200*"&amp;"0,0015"</f>
        <v>Объем: 0,3=200*0,0015</v>
      </c>
    </row>
    <row r="712" spans="1:27" ht="14.25" x14ac:dyDescent="0.2">
      <c r="A712" s="22"/>
      <c r="B712" s="23"/>
      <c r="C712" s="23" t="s">
        <v>970</v>
      </c>
      <c r="D712" s="25"/>
      <c r="E712" s="10"/>
      <c r="F712" s="27">
        <f>Source!AO785</f>
        <v>771.08</v>
      </c>
      <c r="G712" s="26" t="str">
        <f>Source!DG785</f>
        <v/>
      </c>
      <c r="H712" s="10">
        <f>Source!AV785</f>
        <v>1</v>
      </c>
      <c r="I712" s="28">
        <f>ROUND((ROUND((Source!AF785*Source!AV785*Source!I785),2)),2)</f>
        <v>231.32</v>
      </c>
      <c r="J712" s="10">
        <f>IF(Source!BA785&lt;&gt; 0, Source!BA785, 1)</f>
        <v>24.53</v>
      </c>
      <c r="K712" s="28">
        <f>Source!S785</f>
        <v>5674.28</v>
      </c>
      <c r="W712">
        <f>I712</f>
        <v>231.32</v>
      </c>
    </row>
    <row r="713" spans="1:27" ht="14.25" x14ac:dyDescent="0.2">
      <c r="A713" s="22"/>
      <c r="B713" s="23"/>
      <c r="C713" s="23" t="s">
        <v>971</v>
      </c>
      <c r="D713" s="25"/>
      <c r="E713" s="10"/>
      <c r="F713" s="27">
        <f>Source!AM785</f>
        <v>156.80000000000001</v>
      </c>
      <c r="G713" s="26" t="str">
        <f>Source!DE785</f>
        <v/>
      </c>
      <c r="H713" s="10">
        <f>Source!AV785</f>
        <v>1</v>
      </c>
      <c r="I713" s="28">
        <f>(ROUND((ROUND(((Source!ET785)*Source!AV785*Source!I785),2)),2)+ROUND((ROUND(((Source!AE785-(Source!EU785))*Source!AV785*Source!I785),2)),2))</f>
        <v>47.04</v>
      </c>
      <c r="J713" s="10">
        <f>IF(Source!BB785&lt;&gt; 0, Source!BB785, 1)</f>
        <v>10.64</v>
      </c>
      <c r="K713" s="28">
        <f>Source!Q785</f>
        <v>500.51</v>
      </c>
    </row>
    <row r="714" spans="1:27" ht="14.25" x14ac:dyDescent="0.2">
      <c r="A714" s="22"/>
      <c r="B714" s="23"/>
      <c r="C714" s="23" t="s">
        <v>972</v>
      </c>
      <c r="D714" s="25"/>
      <c r="E714" s="10"/>
      <c r="F714" s="27">
        <f>Source!AN785</f>
        <v>35.979999999999997</v>
      </c>
      <c r="G714" s="26" t="str">
        <f>Source!DF785</f>
        <v/>
      </c>
      <c r="H714" s="10">
        <f>Source!AV785</f>
        <v>1</v>
      </c>
      <c r="I714" s="30">
        <f>ROUND((ROUND((Source!AE785*Source!AV785*Source!I785),2)),2)</f>
        <v>10.79</v>
      </c>
      <c r="J714" s="10">
        <f>IF(Source!BS785&lt;&gt; 0, Source!BS785, 1)</f>
        <v>24.53</v>
      </c>
      <c r="K714" s="30">
        <f>Source!R785</f>
        <v>264.68</v>
      </c>
      <c r="W714">
        <f>I714</f>
        <v>10.79</v>
      </c>
    </row>
    <row r="715" spans="1:27" ht="14.25" x14ac:dyDescent="0.2">
      <c r="A715" s="22"/>
      <c r="B715" s="23"/>
      <c r="C715" s="23" t="s">
        <v>973</v>
      </c>
      <c r="D715" s="25"/>
      <c r="E715" s="10"/>
      <c r="F715" s="27">
        <f>Source!AL785</f>
        <v>1.41</v>
      </c>
      <c r="G715" s="26" t="str">
        <f>Source!DD785</f>
        <v/>
      </c>
      <c r="H715" s="10">
        <f>Source!AW785</f>
        <v>1</v>
      </c>
      <c r="I715" s="28">
        <f>ROUND((ROUND((Source!AC785*Source!AW785*Source!I785),2)),2)</f>
        <v>0.42</v>
      </c>
      <c r="J715" s="10">
        <f>IF(Source!BC785&lt;&gt; 0, Source!BC785, 1)</f>
        <v>5.69</v>
      </c>
      <c r="K715" s="28">
        <f>Source!P785</f>
        <v>2.39</v>
      </c>
    </row>
    <row r="716" spans="1:27" ht="14.25" x14ac:dyDescent="0.2">
      <c r="A716" s="22" t="str">
        <f>Source!E786</f>
        <v>91,1</v>
      </c>
      <c r="B716" s="23" t="str">
        <f>Source!F786</f>
        <v>1.1-1-118</v>
      </c>
      <c r="C716" s="23" t="s">
        <v>468</v>
      </c>
      <c r="D716" s="25" t="str">
        <f>Source!H786</f>
        <v>м3</v>
      </c>
      <c r="E716" s="10">
        <f>Source!I786</f>
        <v>3.1752000000000002E-2</v>
      </c>
      <c r="F716" s="27">
        <f>Source!AK786</f>
        <v>7.07</v>
      </c>
      <c r="G716" s="33" t="s">
        <v>3</v>
      </c>
      <c r="H716" s="10">
        <f>Source!AW786</f>
        <v>1</v>
      </c>
      <c r="I716" s="28">
        <f>ROUND((ROUND((Source!AC786*Source!AW786*Source!I786),2)),2)+(ROUND((ROUND(((Source!ET786)*Source!AV786*Source!I786),2)),2)+ROUND((ROUND(((Source!AE786-(Source!EU786))*Source!AV786*Source!I786),2)),2))+ROUND((ROUND((Source!AF786*Source!AV786*Source!I786),2)),2)</f>
        <v>0.22</v>
      </c>
      <c r="J716" s="10">
        <f>IF(Source!BC786&lt;&gt; 0, Source!BC786, 1)</f>
        <v>4.99</v>
      </c>
      <c r="K716" s="28">
        <f>Source!O786</f>
        <v>1.1000000000000001</v>
      </c>
      <c r="Q716">
        <f>ROUND((Source!DN786/100)*ROUND((ROUND((Source!AF786*Source!AV786*Source!I786),2)),2), 2)</f>
        <v>0</v>
      </c>
      <c r="R716">
        <f>Source!X786</f>
        <v>0</v>
      </c>
      <c r="S716">
        <f>ROUND((Source!DO786/100)*ROUND((ROUND((Source!AF786*Source!AV786*Source!I786),2)),2), 2)</f>
        <v>0</v>
      </c>
      <c r="T716">
        <f>Source!Y786</f>
        <v>0</v>
      </c>
      <c r="U716">
        <f>ROUND((175/100)*ROUND((ROUND((Source!AE786*Source!AV786*Source!I786),2)),2), 2)</f>
        <v>0</v>
      </c>
      <c r="V716">
        <f>ROUND((157/100)*ROUND(ROUND((ROUND((Source!AE786*Source!AV786*Source!I786),2)*Source!BS786),2), 2), 2)</f>
        <v>0</v>
      </c>
      <c r="X716">
        <f>IF(Source!BI786&lt;=1,I716, 0)</f>
        <v>0.22</v>
      </c>
      <c r="Y716">
        <f>IF(Source!BI786=2,I716, 0)</f>
        <v>0</v>
      </c>
      <c r="Z716">
        <f>IF(Source!BI786=3,I716, 0)</f>
        <v>0</v>
      </c>
      <c r="AA716">
        <f>IF(Source!BI786=4,I716, 0)</f>
        <v>0</v>
      </c>
    </row>
    <row r="717" spans="1:27" ht="71.25" x14ac:dyDescent="0.2">
      <c r="A717" s="22" t="str">
        <f>Source!E787</f>
        <v>91,2</v>
      </c>
      <c r="B717" s="23" t="str">
        <f>Source!F787</f>
        <v>1.3-2-24</v>
      </c>
      <c r="C717" s="23" t="s">
        <v>472</v>
      </c>
      <c r="D717" s="25" t="str">
        <f>Source!H787</f>
        <v>т</v>
      </c>
      <c r="E717" s="10">
        <f>Source!I787</f>
        <v>0.18143999999999999</v>
      </c>
      <c r="F717" s="27">
        <f>Source!AK787</f>
        <v>796.76</v>
      </c>
      <c r="G717" s="33" t="s">
        <v>3</v>
      </c>
      <c r="H717" s="10">
        <f>Source!AW787</f>
        <v>1</v>
      </c>
      <c r="I717" s="28">
        <f>ROUND((ROUND((Source!AC787*Source!AW787*Source!I787),2)),2)+(ROUND((ROUND(((Source!ET787)*Source!AV787*Source!I787),2)),2)+ROUND((ROUND(((Source!AE787-(Source!EU787))*Source!AV787*Source!I787),2)),2))+ROUND((ROUND((Source!AF787*Source!AV787*Source!I787),2)),2)</f>
        <v>144.56</v>
      </c>
      <c r="J717" s="10">
        <f>IF(Source!BC787&lt;&gt; 0, Source!BC787, 1)</f>
        <v>6.2</v>
      </c>
      <c r="K717" s="28">
        <f>Source!O787</f>
        <v>896.27</v>
      </c>
      <c r="Q717">
        <f>ROUND((Source!DN787/100)*ROUND((ROUND((Source!AF787*Source!AV787*Source!I787),2)),2), 2)</f>
        <v>0</v>
      </c>
      <c r="R717">
        <f>Source!X787</f>
        <v>0</v>
      </c>
      <c r="S717">
        <f>ROUND((Source!DO787/100)*ROUND((ROUND((Source!AF787*Source!AV787*Source!I787),2)),2), 2)</f>
        <v>0</v>
      </c>
      <c r="T717">
        <f>Source!Y787</f>
        <v>0</v>
      </c>
      <c r="U717">
        <f>ROUND((175/100)*ROUND((ROUND((Source!AE787*Source!AV787*Source!I787),2)),2), 2)</f>
        <v>0</v>
      </c>
      <c r="V717">
        <f>ROUND((157/100)*ROUND(ROUND((ROUND((Source!AE787*Source!AV787*Source!I787),2)*Source!BS787),2), 2), 2)</f>
        <v>0</v>
      </c>
      <c r="X717">
        <f>IF(Source!BI787&lt;=1,I717, 0)</f>
        <v>144.56</v>
      </c>
      <c r="Y717">
        <f>IF(Source!BI787=2,I717, 0)</f>
        <v>0</v>
      </c>
      <c r="Z717">
        <f>IF(Source!BI787=3,I717, 0)</f>
        <v>0</v>
      </c>
      <c r="AA717">
        <f>IF(Source!BI787=4,I717, 0)</f>
        <v>0</v>
      </c>
    </row>
    <row r="718" spans="1:27" ht="28.5" x14ac:dyDescent="0.2">
      <c r="A718" s="22" t="str">
        <f>Source!E788</f>
        <v>91,3</v>
      </c>
      <c r="B718" s="23" t="str">
        <f>Source!F788</f>
        <v>1.3-2-13</v>
      </c>
      <c r="C718" s="23" t="s">
        <v>476</v>
      </c>
      <c r="D718" s="25" t="str">
        <f>Source!H788</f>
        <v>м3</v>
      </c>
      <c r="E718" s="10">
        <f>Source!I788</f>
        <v>0.4536</v>
      </c>
      <c r="F718" s="27">
        <f>Source!AK788</f>
        <v>481.69</v>
      </c>
      <c r="G718" s="33" t="s">
        <v>3</v>
      </c>
      <c r="H718" s="10">
        <f>Source!AW788</f>
        <v>1</v>
      </c>
      <c r="I718" s="28">
        <f>ROUND((ROUND((Source!AC788*Source!AW788*Source!I788),2)),2)+(ROUND((ROUND(((Source!ET788)*Source!AV788*Source!I788),2)),2)+ROUND((ROUND(((Source!AE788-(Source!EU788))*Source!AV788*Source!I788),2)),2))+ROUND((ROUND((Source!AF788*Source!AV788*Source!I788),2)),2)</f>
        <v>218.49</v>
      </c>
      <c r="J718" s="10">
        <f>IF(Source!BC788&lt;&gt; 0, Source!BC788, 1)</f>
        <v>6.69</v>
      </c>
      <c r="K718" s="28">
        <f>Source!O788</f>
        <v>1461.7</v>
      </c>
      <c r="Q718">
        <f>ROUND((Source!DN788/100)*ROUND((ROUND((Source!AF788*Source!AV788*Source!I788),2)),2), 2)</f>
        <v>0</v>
      </c>
      <c r="R718">
        <f>Source!X788</f>
        <v>0</v>
      </c>
      <c r="S718">
        <f>ROUND((Source!DO788/100)*ROUND((ROUND((Source!AF788*Source!AV788*Source!I788),2)),2), 2)</f>
        <v>0</v>
      </c>
      <c r="T718">
        <f>Source!Y788</f>
        <v>0</v>
      </c>
      <c r="U718">
        <f>ROUND((175/100)*ROUND((ROUND((Source!AE788*Source!AV788*Source!I788),2)),2), 2)</f>
        <v>0</v>
      </c>
      <c r="V718">
        <f>ROUND((157/100)*ROUND(ROUND((ROUND((Source!AE788*Source!AV788*Source!I788),2)*Source!BS788),2), 2), 2)</f>
        <v>0</v>
      </c>
      <c r="X718">
        <f>IF(Source!BI788&lt;=1,I718, 0)</f>
        <v>218.49</v>
      </c>
      <c r="Y718">
        <f>IF(Source!BI788=2,I718, 0)</f>
        <v>0</v>
      </c>
      <c r="Z718">
        <f>IF(Source!BI788=3,I718, 0)</f>
        <v>0</v>
      </c>
      <c r="AA718">
        <f>IF(Source!BI788=4,I718, 0)</f>
        <v>0</v>
      </c>
    </row>
    <row r="719" spans="1:27" ht="14.25" x14ac:dyDescent="0.2">
      <c r="A719" s="22"/>
      <c r="B719" s="23"/>
      <c r="C719" s="23" t="s">
        <v>974</v>
      </c>
      <c r="D719" s="25" t="s">
        <v>975</v>
      </c>
      <c r="E719" s="10">
        <f>Source!DN785</f>
        <v>120</v>
      </c>
      <c r="F719" s="27"/>
      <c r="G719" s="26"/>
      <c r="H719" s="10"/>
      <c r="I719" s="28">
        <f>SUM(Q710:Q718)</f>
        <v>277.58</v>
      </c>
      <c r="J719" s="10">
        <f>Source!BZ785</f>
        <v>88</v>
      </c>
      <c r="K719" s="28">
        <f>SUM(R710:R718)</f>
        <v>4993.37</v>
      </c>
    </row>
    <row r="720" spans="1:27" ht="14.25" x14ac:dyDescent="0.2">
      <c r="A720" s="22"/>
      <c r="B720" s="23"/>
      <c r="C720" s="23" t="s">
        <v>976</v>
      </c>
      <c r="D720" s="25" t="s">
        <v>975</v>
      </c>
      <c r="E720" s="10">
        <f>Source!DO785</f>
        <v>84</v>
      </c>
      <c r="F720" s="27"/>
      <c r="G720" s="26"/>
      <c r="H720" s="10"/>
      <c r="I720" s="28">
        <f>SUM(S710:S719)</f>
        <v>194.31</v>
      </c>
      <c r="J720" s="10">
        <f>Source!CA785</f>
        <v>42</v>
      </c>
      <c r="K720" s="28">
        <f>SUM(T710:T719)</f>
        <v>2383.1999999999998</v>
      </c>
    </row>
    <row r="721" spans="1:27" ht="14.25" x14ac:dyDescent="0.2">
      <c r="A721" s="22"/>
      <c r="B721" s="23"/>
      <c r="C721" s="23" t="s">
        <v>977</v>
      </c>
      <c r="D721" s="25" t="s">
        <v>975</v>
      </c>
      <c r="E721" s="10">
        <f>175</f>
        <v>175</v>
      </c>
      <c r="F721" s="27"/>
      <c r="G721" s="26"/>
      <c r="H721" s="10"/>
      <c r="I721" s="28">
        <f>SUM(U710:U720)</f>
        <v>18.88</v>
      </c>
      <c r="J721" s="10">
        <f>157</f>
        <v>157</v>
      </c>
      <c r="K721" s="28">
        <f>SUM(V710:V720)</f>
        <v>415.55</v>
      </c>
    </row>
    <row r="722" spans="1:27" ht="14.25" x14ac:dyDescent="0.2">
      <c r="A722" s="22"/>
      <c r="B722" s="23"/>
      <c r="C722" s="23" t="s">
        <v>978</v>
      </c>
      <c r="D722" s="25" t="s">
        <v>979</v>
      </c>
      <c r="E722" s="10">
        <f>Source!AQ785</f>
        <v>61.1</v>
      </c>
      <c r="F722" s="27"/>
      <c r="G722" s="26" t="str">
        <f>Source!DI785</f>
        <v/>
      </c>
      <c r="H722" s="10">
        <f>Source!AV785</f>
        <v>1</v>
      </c>
      <c r="I722" s="28">
        <f>Source!U785</f>
        <v>18.329999999999998</v>
      </c>
      <c r="J722" s="10"/>
      <c r="K722" s="28"/>
    </row>
    <row r="723" spans="1:27" ht="15" x14ac:dyDescent="0.25">
      <c r="A723" s="32"/>
      <c r="B723" s="32"/>
      <c r="C723" s="32"/>
      <c r="D723" s="32"/>
      <c r="E723" s="32"/>
      <c r="F723" s="32"/>
      <c r="G723" s="32"/>
      <c r="H723" s="101">
        <f>I712+I713+I715+I719+I720+I721+SUM(I716:I718)</f>
        <v>1132.8200000000002</v>
      </c>
      <c r="I723" s="101"/>
      <c r="J723" s="101">
        <f>K712+K713+K715+K719+K720+K721+SUM(K716:K718)</f>
        <v>16328.369999999999</v>
      </c>
      <c r="K723" s="101"/>
      <c r="O723" s="31">
        <f>I712+I713+I715+I719+I720+I721+SUM(I716:I718)</f>
        <v>1132.8200000000002</v>
      </c>
      <c r="P723" s="31">
        <f>K712+K713+K715+K719+K720+K721+SUM(K716:K718)</f>
        <v>16328.369999999999</v>
      </c>
      <c r="X723">
        <f>IF(Source!BI785&lt;=1,I712+I713+I715+I719+I720+I721-0, 0)</f>
        <v>769.55000000000007</v>
      </c>
      <c r="Y723">
        <f>IF(Source!BI785=2,I712+I713+I715+I719+I720+I721-0, 0)</f>
        <v>0</v>
      </c>
      <c r="Z723">
        <f>IF(Source!BI785=3,I712+I713+I715+I719+I720+I721-0, 0)</f>
        <v>0</v>
      </c>
      <c r="AA723">
        <f>IF(Source!BI785=4,I712+I713+I715+I719+I720+I721,0)</f>
        <v>0</v>
      </c>
    </row>
    <row r="724" spans="1:27" ht="71.25" x14ac:dyDescent="0.2">
      <c r="A724" s="22" t="str">
        <f>Source!E789</f>
        <v>92</v>
      </c>
      <c r="B724" s="23" t="str">
        <f>Source!F789</f>
        <v>3.15-83-1</v>
      </c>
      <c r="C724" s="23" t="s">
        <v>480</v>
      </c>
      <c r="D724" s="25" t="str">
        <f>Source!H789</f>
        <v>100 м2 окрашиваемой поверхности</v>
      </c>
      <c r="E724" s="10">
        <f>Source!I789</f>
        <v>2</v>
      </c>
      <c r="F724" s="27"/>
      <c r="G724" s="26"/>
      <c r="H724" s="10"/>
      <c r="I724" s="28"/>
      <c r="J724" s="10"/>
      <c r="K724" s="28"/>
      <c r="Q724">
        <f>ROUND((Source!DN789/100)*ROUND((ROUND((Source!AF789*Source!AV789*Source!I789),2)),2), 2)</f>
        <v>418.18</v>
      </c>
      <c r="R724">
        <f>Source!X789</f>
        <v>7522.42</v>
      </c>
      <c r="S724">
        <f>ROUND((Source!DO789/100)*ROUND((ROUND((Source!AF789*Source!AV789*Source!I789),2)),2), 2)</f>
        <v>292.72000000000003</v>
      </c>
      <c r="T724">
        <f>Source!Y789</f>
        <v>3590.25</v>
      </c>
      <c r="U724">
        <f>ROUND((175/100)*ROUND((ROUND((Source!AE789*Source!AV789*Source!I789),2)),2), 2)</f>
        <v>6.02</v>
      </c>
      <c r="V724">
        <f>ROUND((157/100)*ROUND(ROUND((ROUND((Source!AE789*Source!AV789*Source!I789),2)*Source!BS789),2), 2), 2)</f>
        <v>132.47999999999999</v>
      </c>
    </row>
    <row r="725" spans="1:27" x14ac:dyDescent="0.2">
      <c r="C725" s="29" t="str">
        <f>"Объем: "&amp;Source!I789&amp;"=(200)/"&amp;"100"</f>
        <v>Объем: 2=(200)/100</v>
      </c>
    </row>
    <row r="726" spans="1:27" ht="14.25" x14ac:dyDescent="0.2">
      <c r="A726" s="22"/>
      <c r="B726" s="23"/>
      <c r="C726" s="23" t="s">
        <v>970</v>
      </c>
      <c r="D726" s="25"/>
      <c r="E726" s="10"/>
      <c r="F726" s="27">
        <f>Source!AO789</f>
        <v>174.24</v>
      </c>
      <c r="G726" s="26" t="str">
        <f>Source!DG789</f>
        <v/>
      </c>
      <c r="H726" s="10">
        <f>Source!AV789</f>
        <v>1</v>
      </c>
      <c r="I726" s="28">
        <f>ROUND((ROUND((Source!AF789*Source!AV789*Source!I789),2)),2)</f>
        <v>348.48</v>
      </c>
      <c r="J726" s="10">
        <f>IF(Source!BA789&lt;&gt; 0, Source!BA789, 1)</f>
        <v>24.53</v>
      </c>
      <c r="K726" s="28">
        <f>Source!S789</f>
        <v>8548.2099999999991</v>
      </c>
      <c r="W726">
        <f>I726</f>
        <v>348.48</v>
      </c>
    </row>
    <row r="727" spans="1:27" ht="14.25" x14ac:dyDescent="0.2">
      <c r="A727" s="22"/>
      <c r="B727" s="23"/>
      <c r="C727" s="23" t="s">
        <v>971</v>
      </c>
      <c r="D727" s="25"/>
      <c r="E727" s="10"/>
      <c r="F727" s="27">
        <f>Source!AM789</f>
        <v>8.7200000000000006</v>
      </c>
      <c r="G727" s="26" t="str">
        <f>Source!DE789</f>
        <v/>
      </c>
      <c r="H727" s="10">
        <f>Source!AV789</f>
        <v>1</v>
      </c>
      <c r="I727" s="28">
        <f>(ROUND((ROUND(((Source!ET789)*Source!AV789*Source!I789),2)),2)+ROUND((ROUND(((Source!AE789-(Source!EU789))*Source!AV789*Source!I789),2)),2))</f>
        <v>17.440000000000001</v>
      </c>
      <c r="J727" s="10">
        <f>IF(Source!BB789&lt;&gt; 0, Source!BB789, 1)</f>
        <v>9.57</v>
      </c>
      <c r="K727" s="28">
        <f>Source!Q789</f>
        <v>166.9</v>
      </c>
    </row>
    <row r="728" spans="1:27" ht="14.25" x14ac:dyDescent="0.2">
      <c r="A728" s="22"/>
      <c r="B728" s="23"/>
      <c r="C728" s="23" t="s">
        <v>972</v>
      </c>
      <c r="D728" s="25"/>
      <c r="E728" s="10"/>
      <c r="F728" s="27">
        <f>Source!AN789</f>
        <v>1.72</v>
      </c>
      <c r="G728" s="26" t="str">
        <f>Source!DF789</f>
        <v/>
      </c>
      <c r="H728" s="10">
        <f>Source!AV789</f>
        <v>1</v>
      </c>
      <c r="I728" s="30">
        <f>ROUND((ROUND((Source!AE789*Source!AV789*Source!I789),2)),2)</f>
        <v>3.44</v>
      </c>
      <c r="J728" s="10">
        <f>IF(Source!BS789&lt;&gt; 0, Source!BS789, 1)</f>
        <v>24.53</v>
      </c>
      <c r="K728" s="30">
        <f>Source!R789</f>
        <v>84.38</v>
      </c>
      <c r="W728">
        <f>I728</f>
        <v>3.44</v>
      </c>
    </row>
    <row r="729" spans="1:27" ht="14.25" x14ac:dyDescent="0.2">
      <c r="A729" s="22"/>
      <c r="B729" s="23"/>
      <c r="C729" s="23" t="s">
        <v>973</v>
      </c>
      <c r="D729" s="25"/>
      <c r="E729" s="10"/>
      <c r="F729" s="27">
        <f>Source!AL789</f>
        <v>426.17</v>
      </c>
      <c r="G729" s="26" t="str">
        <f>Source!DD789</f>
        <v/>
      </c>
      <c r="H729" s="10">
        <f>Source!AW789</f>
        <v>1</v>
      </c>
      <c r="I729" s="28">
        <f>ROUND((ROUND((Source!AC789*Source!AW789*Source!I789),2)),2)</f>
        <v>852.34</v>
      </c>
      <c r="J729" s="10">
        <f>IF(Source!BC789&lt;&gt; 0, Source!BC789, 1)</f>
        <v>7.44</v>
      </c>
      <c r="K729" s="28">
        <f>Source!P789</f>
        <v>6341.41</v>
      </c>
    </row>
    <row r="730" spans="1:27" ht="28.5" x14ac:dyDescent="0.2">
      <c r="A730" s="22" t="str">
        <f>Source!E790</f>
        <v>92,1</v>
      </c>
      <c r="B730" s="23" t="str">
        <f>Source!F790</f>
        <v>1.1-1-450</v>
      </c>
      <c r="C730" s="23" t="s">
        <v>487</v>
      </c>
      <c r="D730" s="25" t="str">
        <f>Source!H790</f>
        <v>т</v>
      </c>
      <c r="E730" s="10">
        <f>Source!I790</f>
        <v>0.11799999999999999</v>
      </c>
      <c r="F730" s="27">
        <f>Source!AK790</f>
        <v>16138.28</v>
      </c>
      <c r="G730" s="33" t="s">
        <v>3</v>
      </c>
      <c r="H730" s="10">
        <f>Source!AW790</f>
        <v>1</v>
      </c>
      <c r="I730" s="28">
        <f>ROUND((ROUND((Source!AC790*Source!AW790*Source!I790),2)),2)+(ROUND((ROUND(((Source!ET790)*Source!AV790*Source!I790),2)),2)+ROUND((ROUND(((Source!AE790-(Source!EU790))*Source!AV790*Source!I790),2)),2))+ROUND((ROUND((Source!AF790*Source!AV790*Source!I790),2)),2)</f>
        <v>1904.32</v>
      </c>
      <c r="J730" s="10">
        <f>IF(Source!BC790&lt;&gt; 0, Source!BC790, 1)</f>
        <v>5.3</v>
      </c>
      <c r="K730" s="28">
        <f>Source!O790</f>
        <v>10092.9</v>
      </c>
      <c r="Q730">
        <f>ROUND((Source!DN790/100)*ROUND((ROUND((Source!AF790*Source!AV790*Source!I790),2)),2), 2)</f>
        <v>0</v>
      </c>
      <c r="R730">
        <f>Source!X790</f>
        <v>0</v>
      </c>
      <c r="S730">
        <f>ROUND((Source!DO790/100)*ROUND((ROUND((Source!AF790*Source!AV790*Source!I790),2)),2), 2)</f>
        <v>0</v>
      </c>
      <c r="T730">
        <f>Source!Y790</f>
        <v>0</v>
      </c>
      <c r="U730">
        <f>ROUND((175/100)*ROUND((ROUND((Source!AE790*Source!AV790*Source!I790),2)),2), 2)</f>
        <v>0</v>
      </c>
      <c r="V730">
        <f>ROUND((157/100)*ROUND(ROUND((ROUND((Source!AE790*Source!AV790*Source!I790),2)*Source!BS790),2), 2), 2)</f>
        <v>0</v>
      </c>
      <c r="X730">
        <f>IF(Source!BI790&lt;=1,I730, 0)</f>
        <v>1904.32</v>
      </c>
      <c r="Y730">
        <f>IF(Source!BI790=2,I730, 0)</f>
        <v>0</v>
      </c>
      <c r="Z730">
        <f>IF(Source!BI790=3,I730, 0)</f>
        <v>0</v>
      </c>
      <c r="AA730">
        <f>IF(Source!BI790=4,I730, 0)</f>
        <v>0</v>
      </c>
    </row>
    <row r="731" spans="1:27" ht="14.25" x14ac:dyDescent="0.2">
      <c r="A731" s="22"/>
      <c r="B731" s="23"/>
      <c r="C731" s="23" t="s">
        <v>974</v>
      </c>
      <c r="D731" s="25" t="s">
        <v>975</v>
      </c>
      <c r="E731" s="10">
        <f>Source!DN789</f>
        <v>120</v>
      </c>
      <c r="F731" s="27"/>
      <c r="G731" s="26"/>
      <c r="H731" s="10"/>
      <c r="I731" s="28">
        <f>SUM(Q724:Q730)</f>
        <v>418.18</v>
      </c>
      <c r="J731" s="10">
        <f>Source!BZ789</f>
        <v>88</v>
      </c>
      <c r="K731" s="28">
        <f>SUM(R724:R730)</f>
        <v>7522.42</v>
      </c>
    </row>
    <row r="732" spans="1:27" ht="14.25" x14ac:dyDescent="0.2">
      <c r="A732" s="22"/>
      <c r="B732" s="23"/>
      <c r="C732" s="23" t="s">
        <v>976</v>
      </c>
      <c r="D732" s="25" t="s">
        <v>975</v>
      </c>
      <c r="E732" s="10">
        <f>Source!DO789</f>
        <v>84</v>
      </c>
      <c r="F732" s="27"/>
      <c r="G732" s="26"/>
      <c r="H732" s="10"/>
      <c r="I732" s="28">
        <f>SUM(S724:S731)</f>
        <v>292.72000000000003</v>
      </c>
      <c r="J732" s="10">
        <f>Source!CA789</f>
        <v>42</v>
      </c>
      <c r="K732" s="28">
        <f>SUM(T724:T731)</f>
        <v>3590.25</v>
      </c>
    </row>
    <row r="733" spans="1:27" ht="14.25" x14ac:dyDescent="0.2">
      <c r="A733" s="22"/>
      <c r="B733" s="23"/>
      <c r="C733" s="23" t="s">
        <v>977</v>
      </c>
      <c r="D733" s="25" t="s">
        <v>975</v>
      </c>
      <c r="E733" s="10">
        <f>175</f>
        <v>175</v>
      </c>
      <c r="F733" s="27"/>
      <c r="G733" s="26"/>
      <c r="H733" s="10"/>
      <c r="I733" s="28">
        <f>SUM(U724:U732)</f>
        <v>6.02</v>
      </c>
      <c r="J733" s="10">
        <f>157</f>
        <v>157</v>
      </c>
      <c r="K733" s="28">
        <f>SUM(V724:V732)</f>
        <v>132.47999999999999</v>
      </c>
    </row>
    <row r="734" spans="1:27" ht="14.25" x14ac:dyDescent="0.2">
      <c r="A734" s="22"/>
      <c r="B734" s="23"/>
      <c r="C734" s="23" t="s">
        <v>978</v>
      </c>
      <c r="D734" s="25" t="s">
        <v>979</v>
      </c>
      <c r="E734" s="10">
        <f>Source!AQ789</f>
        <v>13.2</v>
      </c>
      <c r="F734" s="27"/>
      <c r="G734" s="26" t="str">
        <f>Source!DI789</f>
        <v/>
      </c>
      <c r="H734" s="10">
        <f>Source!AV789</f>
        <v>1</v>
      </c>
      <c r="I734" s="28">
        <f>Source!U789</f>
        <v>26.4</v>
      </c>
      <c r="J734" s="10"/>
      <c r="K734" s="28"/>
    </row>
    <row r="735" spans="1:27" ht="15" x14ac:dyDescent="0.25">
      <c r="A735" s="32"/>
      <c r="B735" s="32"/>
      <c r="C735" s="32"/>
      <c r="D735" s="32"/>
      <c r="E735" s="32"/>
      <c r="F735" s="32"/>
      <c r="G735" s="32"/>
      <c r="H735" s="101">
        <f>I726+I727+I729+I731+I732+I733+SUM(I730:I730)</f>
        <v>3839.5</v>
      </c>
      <c r="I735" s="101"/>
      <c r="J735" s="101">
        <f>K726+K727+K729+K731+K732+K733+SUM(K730:K730)</f>
        <v>36394.57</v>
      </c>
      <c r="K735" s="101"/>
      <c r="O735" s="31">
        <f>I726+I727+I729+I731+I732+I733+SUM(I730:I730)</f>
        <v>3839.5</v>
      </c>
      <c r="P735" s="31">
        <f>K726+K727+K729+K731+K732+K733+SUM(K730:K730)</f>
        <v>36394.57</v>
      </c>
      <c r="X735">
        <f>IF(Source!BI789&lt;=1,I726+I727+I729+I731+I732+I733-0, 0)</f>
        <v>1935.18</v>
      </c>
      <c r="Y735">
        <f>IF(Source!BI789=2,I726+I727+I729+I731+I732+I733-0, 0)</f>
        <v>0</v>
      </c>
      <c r="Z735">
        <f>IF(Source!BI789=3,I726+I727+I729+I731+I732+I733-0, 0)</f>
        <v>0</v>
      </c>
      <c r="AA735">
        <f>IF(Source!BI789=4,I726+I727+I729+I731+I732+I733,0)</f>
        <v>0</v>
      </c>
    </row>
    <row r="737" spans="1:38" ht="15" x14ac:dyDescent="0.25">
      <c r="A737" s="100" t="str">
        <f>CONCATENATE("Итого по разделу: ",IF(Source!G792&lt;&gt;"Новый раздел", Source!G792, ""))</f>
        <v>Итого по разделу: 30.2. Окраска подпорной стенки по штукатурке с расчисткой</v>
      </c>
      <c r="B737" s="100"/>
      <c r="C737" s="100"/>
      <c r="D737" s="100"/>
      <c r="E737" s="100"/>
      <c r="F737" s="100"/>
      <c r="G737" s="100"/>
      <c r="H737" s="98">
        <f>SUM(O682:O736)</f>
        <v>6392.2800000000007</v>
      </c>
      <c r="I737" s="99"/>
      <c r="J737" s="98">
        <f>SUM(P682:P736)</f>
        <v>82487.69</v>
      </c>
      <c r="K737" s="99"/>
      <c r="AL737" s="36" t="str">
        <f>CONCATENATE("Итого по разделу: ",IF(Source!G792&lt;&gt;"Новый раздел", Source!G792, ""))</f>
        <v>Итого по разделу: 30.2. Окраска подпорной стенки по штукатурке с расчисткой</v>
      </c>
    </row>
    <row r="738" spans="1:38" hidden="1" x14ac:dyDescent="0.2">
      <c r="A738" t="s">
        <v>980</v>
      </c>
      <c r="I738">
        <f>SUM(AC682:AC737)</f>
        <v>0</v>
      </c>
      <c r="J738">
        <f>SUM(AD682:AD737)</f>
        <v>0</v>
      </c>
    </row>
    <row r="739" spans="1:38" hidden="1" x14ac:dyDescent="0.2">
      <c r="A739" t="s">
        <v>981</v>
      </c>
      <c r="I739">
        <f>SUM(AE682:AE738)</f>
        <v>0</v>
      </c>
      <c r="J739">
        <f>SUM(AF682:AF738)</f>
        <v>0</v>
      </c>
    </row>
    <row r="740" spans="1:38" ht="14.25" x14ac:dyDescent="0.2">
      <c r="C740" s="96" t="str">
        <f>Source!H821</f>
        <v>ндс</v>
      </c>
      <c r="D740" s="96"/>
      <c r="E740" s="96"/>
      <c r="F740" s="96"/>
      <c r="G740" s="96"/>
      <c r="H740" s="96"/>
      <c r="I740" s="96"/>
      <c r="J740" s="97">
        <f>IF(Source!F821=0, "", Source!F821)</f>
        <v>98985.23</v>
      </c>
      <c r="K740" s="97"/>
    </row>
    <row r="742" spans="1:38" ht="16.5" x14ac:dyDescent="0.25">
      <c r="A742" s="102" t="str">
        <f>CONCATENATE("Раздел: ",IF(Source!G857&lt;&gt;"Новый раздел", Source!G857, ""))</f>
        <v>Раздел: 31.5. Накрывные элементы на подпорные стены (природный камень)</v>
      </c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</row>
    <row r="743" spans="1:38" ht="42.75" x14ac:dyDescent="0.2">
      <c r="A743" s="22" t="str">
        <f>Source!E861</f>
        <v>93</v>
      </c>
      <c r="B743" s="23" t="str">
        <f>Source!F861</f>
        <v>3.11-18-1</v>
      </c>
      <c r="C743" s="23" t="s">
        <v>493</v>
      </c>
      <c r="D743" s="25" t="str">
        <f>Source!H861</f>
        <v>100 м2 покрытия</v>
      </c>
      <c r="E743" s="10">
        <f>Source!I861</f>
        <v>0.4</v>
      </c>
      <c r="F743" s="27"/>
      <c r="G743" s="26"/>
      <c r="H743" s="10"/>
      <c r="I743" s="28"/>
      <c r="J743" s="10"/>
      <c r="K743" s="28"/>
      <c r="Q743">
        <f>ROUND((Source!DN861/100)*ROUND((ROUND((Source!AF861*Source!AV861*Source!I861),2)),2), 2)</f>
        <v>379.49</v>
      </c>
      <c r="R743">
        <f>Source!X861</f>
        <v>6748.91</v>
      </c>
      <c r="S743">
        <f>ROUND((Source!DO861/100)*ROUND((ROUND((Source!AF861*Source!AV861*Source!I861),2)),2), 2)</f>
        <v>265.64</v>
      </c>
      <c r="T743">
        <f>Source!Y861</f>
        <v>3180.52</v>
      </c>
      <c r="U743">
        <f>ROUND((175/100)*ROUND((ROUND((Source!AE861*Source!AV861*Source!I861),2)),2), 2)</f>
        <v>38.83</v>
      </c>
      <c r="V743">
        <f>ROUND((157/100)*ROUND(ROUND((ROUND((Source!AE861*Source!AV861*Source!I861),2)*Source!BS861),2), 2), 2)</f>
        <v>854.58</v>
      </c>
    </row>
    <row r="744" spans="1:38" x14ac:dyDescent="0.2">
      <c r="C744" s="29" t="str">
        <f>"Объем: "&amp;Source!I861&amp;"=40/"&amp;"100"</f>
        <v>Объем: 0,4=40/100</v>
      </c>
    </row>
    <row r="745" spans="1:38" ht="14.25" x14ac:dyDescent="0.2">
      <c r="A745" s="22"/>
      <c r="B745" s="23"/>
      <c r="C745" s="23" t="s">
        <v>970</v>
      </c>
      <c r="D745" s="25"/>
      <c r="E745" s="10"/>
      <c r="F745" s="27">
        <f>Source!AO861</f>
        <v>790.61</v>
      </c>
      <c r="G745" s="26" t="str">
        <f>Source!DG861</f>
        <v/>
      </c>
      <c r="H745" s="10">
        <f>Source!AV861</f>
        <v>1</v>
      </c>
      <c r="I745" s="28">
        <f>ROUND((ROUND((Source!AF861*Source!AV861*Source!I861),2)),2)</f>
        <v>316.24</v>
      </c>
      <c r="J745" s="10">
        <f>IF(Source!BA861&lt;&gt; 0, Source!BA861, 1)</f>
        <v>24.53</v>
      </c>
      <c r="K745" s="28">
        <f>Source!S861</f>
        <v>7757.37</v>
      </c>
      <c r="W745">
        <f>I745</f>
        <v>316.24</v>
      </c>
    </row>
    <row r="746" spans="1:38" ht="14.25" x14ac:dyDescent="0.2">
      <c r="A746" s="22"/>
      <c r="B746" s="23"/>
      <c r="C746" s="23" t="s">
        <v>971</v>
      </c>
      <c r="D746" s="25"/>
      <c r="E746" s="10"/>
      <c r="F746" s="27">
        <f>Source!AM861</f>
        <v>228.62</v>
      </c>
      <c r="G746" s="26" t="str">
        <f>Source!DE861</f>
        <v/>
      </c>
      <c r="H746" s="10">
        <f>Source!AV861</f>
        <v>1</v>
      </c>
      <c r="I746" s="28">
        <f>(ROUND((ROUND(((Source!ET861)*Source!AV861*Source!I861),2)),2)+ROUND((ROUND(((Source!AE861-(Source!EU861))*Source!AV861*Source!I861),2)),2))</f>
        <v>91.45</v>
      </c>
      <c r="J746" s="10">
        <f>IF(Source!BB861&lt;&gt; 0, Source!BB861, 1)</f>
        <v>10.25</v>
      </c>
      <c r="K746" s="28">
        <f>Source!Q861</f>
        <v>937.36</v>
      </c>
    </row>
    <row r="747" spans="1:38" ht="14.25" x14ac:dyDescent="0.2">
      <c r="A747" s="22"/>
      <c r="B747" s="23"/>
      <c r="C747" s="23" t="s">
        <v>972</v>
      </c>
      <c r="D747" s="25"/>
      <c r="E747" s="10"/>
      <c r="F747" s="27">
        <f>Source!AN861</f>
        <v>55.48</v>
      </c>
      <c r="G747" s="26" t="str">
        <f>Source!DF861</f>
        <v/>
      </c>
      <c r="H747" s="10">
        <f>Source!AV861</f>
        <v>1</v>
      </c>
      <c r="I747" s="30">
        <f>ROUND((ROUND((Source!AE861*Source!AV861*Source!I861),2)),2)</f>
        <v>22.19</v>
      </c>
      <c r="J747" s="10">
        <f>IF(Source!BS861&lt;&gt; 0, Source!BS861, 1)</f>
        <v>24.53</v>
      </c>
      <c r="K747" s="30">
        <f>Source!R861</f>
        <v>544.32000000000005</v>
      </c>
      <c r="W747">
        <f>I747</f>
        <v>22.19</v>
      </c>
    </row>
    <row r="748" spans="1:38" ht="14.25" x14ac:dyDescent="0.2">
      <c r="A748" s="22"/>
      <c r="B748" s="23"/>
      <c r="C748" s="23" t="s">
        <v>973</v>
      </c>
      <c r="D748" s="25"/>
      <c r="E748" s="10"/>
      <c r="F748" s="27">
        <f>Source!AL861</f>
        <v>1016.28</v>
      </c>
      <c r="G748" s="26" t="str">
        <f>Source!DD861</f>
        <v/>
      </c>
      <c r="H748" s="10">
        <f>Source!AW861</f>
        <v>1</v>
      </c>
      <c r="I748" s="28">
        <f>ROUND((ROUND((Source!AC861*Source!AW861*Source!I861),2)),2)</f>
        <v>406.51</v>
      </c>
      <c r="J748" s="10">
        <f>IF(Source!BC861&lt;&gt; 0, Source!BC861, 1)</f>
        <v>7.11</v>
      </c>
      <c r="K748" s="28">
        <f>Source!P861</f>
        <v>2890.29</v>
      </c>
    </row>
    <row r="749" spans="1:38" ht="42.75" x14ac:dyDescent="0.2">
      <c r="A749" s="22" t="str">
        <f>Source!E862</f>
        <v>93,1</v>
      </c>
      <c r="B749" s="23" t="str">
        <f>Source!F862</f>
        <v>1.11-3-9</v>
      </c>
      <c r="C749" s="23" t="s">
        <v>499</v>
      </c>
      <c r="D749" s="25" t="str">
        <f>Source!H862</f>
        <v>м2</v>
      </c>
      <c r="E749" s="10">
        <f>Source!I862</f>
        <v>40</v>
      </c>
      <c r="F749" s="27">
        <f>Source!AK862</f>
        <v>1206.3800000000001</v>
      </c>
      <c r="G749" s="33" t="s">
        <v>3</v>
      </c>
      <c r="H749" s="10">
        <f>Source!AW862</f>
        <v>1</v>
      </c>
      <c r="I749" s="28">
        <f>ROUND((ROUND((Source!AC862*Source!AW862*Source!I862),2)),2)+(ROUND((ROUND(((Source!ET862)*Source!AV862*Source!I862),2)),2)+ROUND((ROUND(((Source!AE862-(Source!EU862))*Source!AV862*Source!I862),2)),2))+ROUND((ROUND((Source!AF862*Source!AV862*Source!I862),2)),2)</f>
        <v>48255.199999999997</v>
      </c>
      <c r="J749" s="10">
        <f>IF(Source!BC862&lt;&gt; 0, Source!BC862, 1)</f>
        <v>3.48</v>
      </c>
      <c r="K749" s="28">
        <f>Source!O862</f>
        <v>167928.1</v>
      </c>
      <c r="Q749">
        <f>ROUND((Source!DN862/100)*ROUND((ROUND((Source!AF862*Source!AV862*Source!I862),2)),2), 2)</f>
        <v>0</v>
      </c>
      <c r="R749">
        <f>Source!X862</f>
        <v>0</v>
      </c>
      <c r="S749">
        <f>ROUND((Source!DO862/100)*ROUND((ROUND((Source!AF862*Source!AV862*Source!I862),2)),2), 2)</f>
        <v>0</v>
      </c>
      <c r="T749">
        <f>Source!Y862</f>
        <v>0</v>
      </c>
      <c r="U749">
        <f>ROUND((175/100)*ROUND((ROUND((Source!AE862*Source!AV862*Source!I862),2)),2), 2)</f>
        <v>0</v>
      </c>
      <c r="V749">
        <f>ROUND((157/100)*ROUND(ROUND((ROUND((Source!AE862*Source!AV862*Source!I862),2)*Source!BS862),2), 2), 2)</f>
        <v>0</v>
      </c>
      <c r="X749">
        <f>IF(Source!BI862&lt;=1,I749, 0)</f>
        <v>48255.199999999997</v>
      </c>
      <c r="Y749">
        <f>IF(Source!BI862=2,I749, 0)</f>
        <v>0</v>
      </c>
      <c r="Z749">
        <f>IF(Source!BI862=3,I749, 0)</f>
        <v>0</v>
      </c>
      <c r="AA749">
        <f>IF(Source!BI862=4,I749, 0)</f>
        <v>0</v>
      </c>
    </row>
    <row r="750" spans="1:38" ht="14.25" x14ac:dyDescent="0.2">
      <c r="A750" s="22"/>
      <c r="B750" s="23"/>
      <c r="C750" s="23" t="s">
        <v>974</v>
      </c>
      <c r="D750" s="25" t="s">
        <v>975</v>
      </c>
      <c r="E750" s="10">
        <f>Source!DN861</f>
        <v>120</v>
      </c>
      <c r="F750" s="27"/>
      <c r="G750" s="26"/>
      <c r="H750" s="10"/>
      <c r="I750" s="28">
        <f>SUM(Q743:Q749)</f>
        <v>379.49</v>
      </c>
      <c r="J750" s="10">
        <f>Source!BZ861</f>
        <v>87</v>
      </c>
      <c r="K750" s="28">
        <f>SUM(R743:R749)</f>
        <v>6748.91</v>
      </c>
    </row>
    <row r="751" spans="1:38" ht="14.25" x14ac:dyDescent="0.2">
      <c r="A751" s="22"/>
      <c r="B751" s="23"/>
      <c r="C751" s="23" t="s">
        <v>976</v>
      </c>
      <c r="D751" s="25" t="s">
        <v>975</v>
      </c>
      <c r="E751" s="10">
        <f>Source!DO861</f>
        <v>84</v>
      </c>
      <c r="F751" s="27"/>
      <c r="G751" s="26"/>
      <c r="H751" s="10"/>
      <c r="I751" s="28">
        <f>SUM(S743:S750)</f>
        <v>265.64</v>
      </c>
      <c r="J751" s="10">
        <f>Source!CA861</f>
        <v>41</v>
      </c>
      <c r="K751" s="28">
        <f>SUM(T743:T750)</f>
        <v>3180.52</v>
      </c>
    </row>
    <row r="752" spans="1:38" ht="14.25" x14ac:dyDescent="0.2">
      <c r="A752" s="22"/>
      <c r="B752" s="23"/>
      <c r="C752" s="23" t="s">
        <v>977</v>
      </c>
      <c r="D752" s="25" t="s">
        <v>975</v>
      </c>
      <c r="E752" s="10">
        <f>175</f>
        <v>175</v>
      </c>
      <c r="F752" s="27"/>
      <c r="G752" s="26"/>
      <c r="H752" s="10"/>
      <c r="I752" s="28">
        <f>SUM(U743:U751)</f>
        <v>38.83</v>
      </c>
      <c r="J752" s="10">
        <f>157</f>
        <v>157</v>
      </c>
      <c r="K752" s="28">
        <f>SUM(V743:V751)</f>
        <v>854.58</v>
      </c>
    </row>
    <row r="753" spans="1:38" ht="14.25" x14ac:dyDescent="0.2">
      <c r="A753" s="22"/>
      <c r="B753" s="23"/>
      <c r="C753" s="23" t="s">
        <v>978</v>
      </c>
      <c r="D753" s="25" t="s">
        <v>979</v>
      </c>
      <c r="E753" s="10">
        <f>Source!AQ861</f>
        <v>72.599999999999994</v>
      </c>
      <c r="F753" s="27"/>
      <c r="G753" s="26" t="str">
        <f>Source!DI861</f>
        <v/>
      </c>
      <c r="H753" s="10">
        <f>Source!AV861</f>
        <v>1</v>
      </c>
      <c r="I753" s="28">
        <f>Source!U861</f>
        <v>29.04</v>
      </c>
      <c r="J753" s="10"/>
      <c r="K753" s="28"/>
    </row>
    <row r="754" spans="1:38" ht="15" x14ac:dyDescent="0.25">
      <c r="A754" s="32"/>
      <c r="B754" s="32"/>
      <c r="C754" s="32"/>
      <c r="D754" s="32"/>
      <c r="E754" s="32"/>
      <c r="F754" s="32"/>
      <c r="G754" s="32"/>
      <c r="H754" s="101">
        <f>I745+I746+I748+I750+I751+I752+SUM(I749:I749)</f>
        <v>49753.36</v>
      </c>
      <c r="I754" s="101"/>
      <c r="J754" s="101">
        <f>K745+K746+K748+K750+K751+K752+SUM(K749:K749)</f>
        <v>190297.13</v>
      </c>
      <c r="K754" s="101"/>
      <c r="O754" s="31">
        <f>I745+I746+I748+I750+I751+I752+SUM(I749:I749)</f>
        <v>49753.36</v>
      </c>
      <c r="P754" s="31">
        <f>K745+K746+K748+K750+K751+K752+SUM(K749:K749)</f>
        <v>190297.13</v>
      </c>
      <c r="X754">
        <f>IF(Source!BI861&lt;=1,I745+I746+I748+I750+I751+I752-0, 0)</f>
        <v>1498.1599999999999</v>
      </c>
      <c r="Y754">
        <f>IF(Source!BI861=2,I745+I746+I748+I750+I751+I752-0, 0)</f>
        <v>0</v>
      </c>
      <c r="Z754">
        <f>IF(Source!BI861=3,I745+I746+I748+I750+I751+I752-0, 0)</f>
        <v>0</v>
      </c>
      <c r="AA754">
        <f>IF(Source!BI861=4,I745+I746+I748+I750+I751+I752,0)</f>
        <v>0</v>
      </c>
    </row>
    <row r="756" spans="1:38" ht="15" x14ac:dyDescent="0.25">
      <c r="A756" s="100" t="str">
        <f>CONCATENATE("Итого по разделу: ",IF(Source!G864&lt;&gt;"Новый раздел", Source!G864, ""))</f>
        <v>Итого по разделу: 31.5. Накрывные элементы на подпорные стены (природный камень)</v>
      </c>
      <c r="B756" s="100"/>
      <c r="C756" s="100"/>
      <c r="D756" s="100"/>
      <c r="E756" s="100"/>
      <c r="F756" s="100"/>
      <c r="G756" s="100"/>
      <c r="H756" s="98">
        <f>SUM(O742:O755)</f>
        <v>49753.36</v>
      </c>
      <c r="I756" s="99"/>
      <c r="J756" s="98">
        <f>SUM(P742:P755)</f>
        <v>190297.13</v>
      </c>
      <c r="K756" s="99"/>
      <c r="AL756" s="36" t="str">
        <f>CONCATENATE("Итого по разделу: ",IF(Source!G864&lt;&gt;"Новый раздел", Source!G864, ""))</f>
        <v>Итого по разделу: 31.5. Накрывные элементы на подпорные стены (природный камень)</v>
      </c>
    </row>
    <row r="757" spans="1:38" hidden="1" x14ac:dyDescent="0.2">
      <c r="A757" t="s">
        <v>980</v>
      </c>
      <c r="I757">
        <f>SUM(AC742:AC756)</f>
        <v>0</v>
      </c>
      <c r="J757">
        <f>SUM(AD742:AD756)</f>
        <v>0</v>
      </c>
    </row>
    <row r="758" spans="1:38" hidden="1" x14ac:dyDescent="0.2">
      <c r="A758" t="s">
        <v>981</v>
      </c>
      <c r="I758">
        <f>SUM(AE742:AE757)</f>
        <v>0</v>
      </c>
      <c r="J758">
        <f>SUM(AF742:AF757)</f>
        <v>0</v>
      </c>
    </row>
    <row r="759" spans="1:38" ht="14.25" x14ac:dyDescent="0.2">
      <c r="C759" s="96" t="str">
        <f>Source!H893</f>
        <v>ндс</v>
      </c>
      <c r="D759" s="96"/>
      <c r="E759" s="96"/>
      <c r="F759" s="96"/>
      <c r="G759" s="96"/>
      <c r="H759" s="96"/>
      <c r="I759" s="96"/>
      <c r="J759" s="97">
        <f>IF(Source!F893=0, "", Source!F893)</f>
        <v>228356.56</v>
      </c>
      <c r="K759" s="97"/>
    </row>
    <row r="761" spans="1:38" ht="16.5" x14ac:dyDescent="0.25">
      <c r="A761" s="102" t="str">
        <f>CONCATENATE("Раздел: ",IF(Source!G997&lt;&gt;"Новый раздел", Source!G997, ""))</f>
        <v>Раздел: 36. Установка ограждения детской площадки 1,2 м</v>
      </c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</row>
    <row r="762" spans="1:38" ht="42.75" x14ac:dyDescent="0.2">
      <c r="A762" s="22" t="str">
        <f>Source!E1001</f>
        <v>94</v>
      </c>
      <c r="B762" s="23" t="str">
        <f>Source!F1001</f>
        <v>6.68-72-1</v>
      </c>
      <c r="C762" s="23" t="s">
        <v>507</v>
      </c>
      <c r="D762" s="25" t="str">
        <f>Source!H1001</f>
        <v>10 шт.</v>
      </c>
      <c r="E762" s="10">
        <f>Source!I1001</f>
        <v>35.299999999999997</v>
      </c>
      <c r="F762" s="27"/>
      <c r="G762" s="26"/>
      <c r="H762" s="10"/>
      <c r="I762" s="28"/>
      <c r="J762" s="10"/>
      <c r="K762" s="28"/>
      <c r="Q762">
        <f>ROUND((Source!DN1001/100)*ROUND((ROUND((Source!AF1001*Source!AV1001*Source!I1001),2)),2), 2)</f>
        <v>1932.34</v>
      </c>
      <c r="R762">
        <f>Source!X1001</f>
        <v>27346.34</v>
      </c>
      <c r="S762">
        <f>ROUND((Source!DO1001/100)*ROUND((ROUND((Source!AF1001*Source!AV1001*Source!I1001),2)),2), 2)</f>
        <v>1040.49</v>
      </c>
      <c r="T762">
        <f>Source!Y1001</f>
        <v>12457.78</v>
      </c>
      <c r="U762">
        <f>ROUND((175/100)*ROUND((ROUND((Source!AE1001*Source!AV1001*Source!I1001),2)),2), 2)</f>
        <v>74.739999999999995</v>
      </c>
      <c r="V762">
        <f>ROUND((157/100)*ROUND(ROUND((ROUND((Source!AE1001*Source!AV1001*Source!I1001),2)*Source!BS1001),2), 2), 2)</f>
        <v>1644.86</v>
      </c>
    </row>
    <row r="763" spans="1:38" x14ac:dyDescent="0.2">
      <c r="C763" s="29" t="str">
        <f>"Объем: "&amp;Source!I1001&amp;"=706/"&amp;"10/"&amp;"2"</f>
        <v>Объем: 35,3=706/10/2</v>
      </c>
    </row>
    <row r="764" spans="1:38" ht="14.25" x14ac:dyDescent="0.2">
      <c r="A764" s="22"/>
      <c r="B764" s="23"/>
      <c r="C764" s="23" t="s">
        <v>970</v>
      </c>
      <c r="D764" s="25"/>
      <c r="E764" s="10"/>
      <c r="F764" s="27">
        <f>Source!AO1001</f>
        <v>35.090000000000003</v>
      </c>
      <c r="G764" s="26" t="str">
        <f>Source!DG1001</f>
        <v/>
      </c>
      <c r="H764" s="10">
        <f>Source!AV1001</f>
        <v>1</v>
      </c>
      <c r="I764" s="28">
        <f>ROUND((ROUND((Source!AF1001*Source!AV1001*Source!I1001),2)),2)</f>
        <v>1238.68</v>
      </c>
      <c r="J764" s="10">
        <f>IF(Source!BA1001&lt;&gt; 0, Source!BA1001, 1)</f>
        <v>24.53</v>
      </c>
      <c r="K764" s="28">
        <f>Source!S1001</f>
        <v>30384.82</v>
      </c>
      <c r="W764">
        <f>I764</f>
        <v>1238.68</v>
      </c>
    </row>
    <row r="765" spans="1:38" ht="14.25" x14ac:dyDescent="0.2">
      <c r="A765" s="22"/>
      <c r="B765" s="23"/>
      <c r="C765" s="23" t="s">
        <v>971</v>
      </c>
      <c r="D765" s="25"/>
      <c r="E765" s="10"/>
      <c r="F765" s="27">
        <f>Source!AM1001</f>
        <v>19.62</v>
      </c>
      <c r="G765" s="26" t="str">
        <f>Source!DE1001</f>
        <v/>
      </c>
      <c r="H765" s="10">
        <f>Source!AV1001</f>
        <v>1</v>
      </c>
      <c r="I765" s="28">
        <f>(ROUND((ROUND(((Source!ET1001)*Source!AV1001*Source!I1001),2)),2)+ROUND((ROUND(((Source!AE1001-(Source!EU1001))*Source!AV1001*Source!I1001),2)),2))</f>
        <v>692.59</v>
      </c>
      <c r="J765" s="10">
        <f>IF(Source!BB1001&lt;&gt; 0, Source!BB1001, 1)</f>
        <v>7.74</v>
      </c>
      <c r="K765" s="28">
        <f>Source!Q1001</f>
        <v>5360.65</v>
      </c>
    </row>
    <row r="766" spans="1:38" ht="14.25" x14ac:dyDescent="0.2">
      <c r="A766" s="22"/>
      <c r="B766" s="23"/>
      <c r="C766" s="23" t="s">
        <v>972</v>
      </c>
      <c r="D766" s="25"/>
      <c r="E766" s="10"/>
      <c r="F766" s="27">
        <f>Source!AN1001</f>
        <v>1.21</v>
      </c>
      <c r="G766" s="26" t="str">
        <f>Source!DF1001</f>
        <v/>
      </c>
      <c r="H766" s="10">
        <f>Source!AV1001</f>
        <v>1</v>
      </c>
      <c r="I766" s="30">
        <f>ROUND((ROUND((Source!AE1001*Source!AV1001*Source!I1001),2)),2)</f>
        <v>42.71</v>
      </c>
      <c r="J766" s="10">
        <f>IF(Source!BS1001&lt;&gt; 0, Source!BS1001, 1)</f>
        <v>24.53</v>
      </c>
      <c r="K766" s="30">
        <f>Source!R1001</f>
        <v>1047.68</v>
      </c>
      <c r="W766">
        <f>I766</f>
        <v>42.71</v>
      </c>
    </row>
    <row r="767" spans="1:38" ht="14.25" x14ac:dyDescent="0.2">
      <c r="A767" s="22"/>
      <c r="B767" s="23"/>
      <c r="C767" s="23" t="s">
        <v>973</v>
      </c>
      <c r="D767" s="25"/>
      <c r="E767" s="10"/>
      <c r="F767" s="27">
        <f>Source!AL1001</f>
        <v>0.06</v>
      </c>
      <c r="G767" s="26" t="str">
        <f>Source!DD1001</f>
        <v/>
      </c>
      <c r="H767" s="10">
        <f>Source!AW1001</f>
        <v>1</v>
      </c>
      <c r="I767" s="28">
        <f>ROUND((ROUND((Source!AC1001*Source!AW1001*Source!I1001),2)),2)</f>
        <v>2.12</v>
      </c>
      <c r="J767" s="10">
        <f>IF(Source!BC1001&lt;&gt; 0, Source!BC1001, 1)</f>
        <v>10.5</v>
      </c>
      <c r="K767" s="28">
        <f>Source!P1001</f>
        <v>22.26</v>
      </c>
    </row>
    <row r="768" spans="1:38" ht="57" x14ac:dyDescent="0.2">
      <c r="A768" s="22" t="str">
        <f>Source!E1002</f>
        <v>94,1</v>
      </c>
      <c r="B768" s="23" t="str">
        <f>Source!F1002</f>
        <v>1.1-1-2350</v>
      </c>
      <c r="C768" s="23" t="s">
        <v>514</v>
      </c>
      <c r="D768" s="25" t="str">
        <f>Source!H1002</f>
        <v>т</v>
      </c>
      <c r="E768" s="10">
        <f>Source!I1002</f>
        <v>3.83711</v>
      </c>
      <c r="F768" s="27">
        <f>Source!AK1002</f>
        <v>11726.55</v>
      </c>
      <c r="G768" s="33" t="s">
        <v>3</v>
      </c>
      <c r="H768" s="10">
        <f>Source!AW1002</f>
        <v>1</v>
      </c>
      <c r="I768" s="28">
        <f>ROUND((ROUND((Source!AC1002*Source!AW1002*Source!I1002),2)),2)+(ROUND((ROUND(((Source!ET1002)*Source!AV1002*Source!I1002),2)),2)+ROUND((ROUND(((Source!AE1002-(Source!EU1002))*Source!AV1002*Source!I1002),2)),2))+ROUND((ROUND((Source!AF1002*Source!AV1002*Source!I1002),2)),2)</f>
        <v>44996.06</v>
      </c>
      <c r="J768" s="10">
        <f>IF(Source!BC1002&lt;&gt; 0, Source!BC1002, 1)</f>
        <v>3.06</v>
      </c>
      <c r="K768" s="28">
        <f>Source!O1002</f>
        <v>137687.94</v>
      </c>
      <c r="Q768">
        <f>ROUND((Source!DN1002/100)*ROUND((ROUND((Source!AF1002*Source!AV1002*Source!I1002),2)),2), 2)</f>
        <v>0</v>
      </c>
      <c r="R768">
        <f>Source!X1002</f>
        <v>0</v>
      </c>
      <c r="S768">
        <f>ROUND((Source!DO1002/100)*ROUND((ROUND((Source!AF1002*Source!AV1002*Source!I1002),2)),2), 2)</f>
        <v>0</v>
      </c>
      <c r="T768">
        <f>Source!Y1002</f>
        <v>0</v>
      </c>
      <c r="U768">
        <f>ROUND((175/100)*ROUND((ROUND((Source!AE1002*Source!AV1002*Source!I1002),2)),2), 2)</f>
        <v>0</v>
      </c>
      <c r="V768">
        <f>ROUND((157/100)*ROUND(ROUND((ROUND((Source!AE1002*Source!AV1002*Source!I1002),2)*Source!BS1002),2), 2), 2)</f>
        <v>0</v>
      </c>
      <c r="X768">
        <f>IF(Source!BI1002&lt;=1,I768, 0)</f>
        <v>44996.06</v>
      </c>
      <c r="Y768">
        <f>IF(Source!BI1002=2,I768, 0)</f>
        <v>0</v>
      </c>
      <c r="Z768">
        <f>IF(Source!BI1002=3,I768, 0)</f>
        <v>0</v>
      </c>
      <c r="AA768">
        <f>IF(Source!BI1002=4,I768, 0)</f>
        <v>0</v>
      </c>
    </row>
    <row r="769" spans="1:27" ht="14.25" x14ac:dyDescent="0.2">
      <c r="A769" s="22"/>
      <c r="B769" s="23"/>
      <c r="C769" s="23" t="s">
        <v>974</v>
      </c>
      <c r="D769" s="25" t="s">
        <v>975</v>
      </c>
      <c r="E769" s="10">
        <f>Source!DN1001</f>
        <v>156</v>
      </c>
      <c r="F769" s="27"/>
      <c r="G769" s="26"/>
      <c r="H769" s="10"/>
      <c r="I769" s="28">
        <f>SUM(Q762:Q768)</f>
        <v>1932.34</v>
      </c>
      <c r="J769" s="10">
        <f>Source!BZ1001</f>
        <v>90</v>
      </c>
      <c r="K769" s="28">
        <f>SUM(R762:R768)</f>
        <v>27346.34</v>
      </c>
    </row>
    <row r="770" spans="1:27" ht="14.25" x14ac:dyDescent="0.2">
      <c r="A770" s="22"/>
      <c r="B770" s="23"/>
      <c r="C770" s="23" t="s">
        <v>976</v>
      </c>
      <c r="D770" s="25" t="s">
        <v>975</v>
      </c>
      <c r="E770" s="10">
        <f>Source!DO1001</f>
        <v>84</v>
      </c>
      <c r="F770" s="27"/>
      <c r="G770" s="26"/>
      <c r="H770" s="10"/>
      <c r="I770" s="28">
        <f>SUM(S762:S769)</f>
        <v>1040.49</v>
      </c>
      <c r="J770" s="10">
        <f>Source!CA1001</f>
        <v>41</v>
      </c>
      <c r="K770" s="28">
        <f>SUM(T762:T769)</f>
        <v>12457.78</v>
      </c>
    </row>
    <row r="771" spans="1:27" ht="14.25" x14ac:dyDescent="0.2">
      <c r="A771" s="22"/>
      <c r="B771" s="23"/>
      <c r="C771" s="23" t="s">
        <v>977</v>
      </c>
      <c r="D771" s="25" t="s">
        <v>975</v>
      </c>
      <c r="E771" s="10">
        <f>175</f>
        <v>175</v>
      </c>
      <c r="F771" s="27"/>
      <c r="G771" s="26"/>
      <c r="H771" s="10"/>
      <c r="I771" s="28">
        <f>SUM(U762:U770)</f>
        <v>74.739999999999995</v>
      </c>
      <c r="J771" s="10">
        <f>157</f>
        <v>157</v>
      </c>
      <c r="K771" s="28">
        <f>SUM(V762:V770)</f>
        <v>1644.86</v>
      </c>
    </row>
    <row r="772" spans="1:27" ht="14.25" x14ac:dyDescent="0.2">
      <c r="A772" s="22"/>
      <c r="B772" s="23"/>
      <c r="C772" s="23" t="s">
        <v>978</v>
      </c>
      <c r="D772" s="25" t="s">
        <v>979</v>
      </c>
      <c r="E772" s="10">
        <f>Source!AQ1001</f>
        <v>2.66</v>
      </c>
      <c r="F772" s="27"/>
      <c r="G772" s="26" t="str">
        <f>Source!DI1001</f>
        <v/>
      </c>
      <c r="H772" s="10">
        <f>Source!AV1001</f>
        <v>1</v>
      </c>
      <c r="I772" s="28">
        <f>Source!U1001</f>
        <v>93.897999999999996</v>
      </c>
      <c r="J772" s="10"/>
      <c r="K772" s="28"/>
    </row>
    <row r="773" spans="1:27" ht="15" x14ac:dyDescent="0.25">
      <c r="A773" s="32"/>
      <c r="B773" s="32"/>
      <c r="C773" s="32"/>
      <c r="D773" s="32"/>
      <c r="E773" s="32"/>
      <c r="F773" s="32"/>
      <c r="G773" s="32"/>
      <c r="H773" s="101">
        <f>I764+I765+I767+I769+I770+I771+SUM(I768:I768)</f>
        <v>49977.02</v>
      </c>
      <c r="I773" s="101"/>
      <c r="J773" s="101">
        <f>K764+K765+K767+K769+K770+K771+SUM(K768:K768)</f>
        <v>214904.65000000002</v>
      </c>
      <c r="K773" s="101"/>
      <c r="O773" s="31">
        <f>I764+I765+I767+I769+I770+I771+SUM(I768:I768)</f>
        <v>49977.02</v>
      </c>
      <c r="P773" s="31">
        <f>K764+K765+K767+K769+K770+K771+SUM(K768:K768)</f>
        <v>214904.65000000002</v>
      </c>
      <c r="X773">
        <f>IF(Source!BI1001&lt;=1,I764+I765+I767+I769+I770+I771-0, 0)</f>
        <v>4980.9599999999991</v>
      </c>
      <c r="Y773">
        <f>IF(Source!BI1001=2,I764+I765+I767+I769+I770+I771-0, 0)</f>
        <v>0</v>
      </c>
      <c r="Z773">
        <f>IF(Source!BI1001=3,I764+I765+I767+I769+I770+I771-0, 0)</f>
        <v>0</v>
      </c>
      <c r="AA773">
        <f>IF(Source!BI1001=4,I764+I765+I767+I769+I770+I771,0)</f>
        <v>0</v>
      </c>
    </row>
    <row r="774" spans="1:27" ht="42.75" x14ac:dyDescent="0.2">
      <c r="A774" s="22" t="str">
        <f>Source!E1003</f>
        <v>95</v>
      </c>
      <c r="B774" s="23" t="str">
        <f>Source!F1003</f>
        <v>6.68-72-2</v>
      </c>
      <c r="C774" s="23" t="s">
        <v>518</v>
      </c>
      <c r="D774" s="25" t="str">
        <f>Source!H1003</f>
        <v>10 шт.</v>
      </c>
      <c r="E774" s="10">
        <f>Source!I1003</f>
        <v>35.299999999999997</v>
      </c>
      <c r="F774" s="27"/>
      <c r="G774" s="26"/>
      <c r="H774" s="10"/>
      <c r="I774" s="28"/>
      <c r="J774" s="10"/>
      <c r="K774" s="28"/>
      <c r="Q774">
        <f>ROUND((Source!DN1003/100)*ROUND((ROUND((Source!AF1003*Source!AV1003*Source!I1003),2)),2), 2)</f>
        <v>3620.73</v>
      </c>
      <c r="R774">
        <f>Source!X1003</f>
        <v>51240.28</v>
      </c>
      <c r="S774">
        <f>ROUND((Source!DO1003/100)*ROUND((ROUND((Source!AF1003*Source!AV1003*Source!I1003),2)),2), 2)</f>
        <v>1949.62</v>
      </c>
      <c r="T774">
        <f>Source!Y1003</f>
        <v>23342.79</v>
      </c>
      <c r="U774">
        <f>ROUND((175/100)*ROUND((ROUND((Source!AE1003*Source!AV1003*Source!I1003),2)),2), 2)</f>
        <v>17.920000000000002</v>
      </c>
      <c r="V774">
        <f>ROUND((157/100)*ROUND(ROUND((ROUND((Source!AE1003*Source!AV1003*Source!I1003),2)*Source!BS1003),2), 2), 2)</f>
        <v>394.37</v>
      </c>
    </row>
    <row r="775" spans="1:27" x14ac:dyDescent="0.2">
      <c r="C775" s="29" t="str">
        <f>"Объем: "&amp;Source!I1003&amp;"=706/"&amp;"10/"&amp;"2"</f>
        <v>Объем: 35,3=706/10/2</v>
      </c>
    </row>
    <row r="776" spans="1:27" ht="14.25" x14ac:dyDescent="0.2">
      <c r="A776" s="22"/>
      <c r="B776" s="23"/>
      <c r="C776" s="23" t="s">
        <v>970</v>
      </c>
      <c r="D776" s="25"/>
      <c r="E776" s="10"/>
      <c r="F776" s="27">
        <f>Source!AO1003</f>
        <v>65.75</v>
      </c>
      <c r="G776" s="26" t="str">
        <f>Source!DG1003</f>
        <v/>
      </c>
      <c r="H776" s="10">
        <f>Source!AV1003</f>
        <v>1</v>
      </c>
      <c r="I776" s="28">
        <f>ROUND((ROUND((Source!AF1003*Source!AV1003*Source!I1003),2)),2)</f>
        <v>2320.98</v>
      </c>
      <c r="J776" s="10">
        <f>IF(Source!BA1003&lt;&gt; 0, Source!BA1003, 1)</f>
        <v>24.53</v>
      </c>
      <c r="K776" s="28">
        <f>Source!S1003</f>
        <v>56933.64</v>
      </c>
      <c r="W776">
        <f>I776</f>
        <v>2320.98</v>
      </c>
    </row>
    <row r="777" spans="1:27" ht="14.25" x14ac:dyDescent="0.2">
      <c r="A777" s="22"/>
      <c r="B777" s="23"/>
      <c r="C777" s="23" t="s">
        <v>971</v>
      </c>
      <c r="D777" s="25"/>
      <c r="E777" s="10"/>
      <c r="F777" s="27">
        <f>Source!AM1003</f>
        <v>1.54</v>
      </c>
      <c r="G777" s="26" t="str">
        <f>Source!DE1003</f>
        <v/>
      </c>
      <c r="H777" s="10">
        <f>Source!AV1003</f>
        <v>1</v>
      </c>
      <c r="I777" s="28">
        <f>(ROUND((ROUND(((Source!ET1003)*Source!AV1003*Source!I1003),2)),2)+ROUND((ROUND(((Source!AE1003-(Source!EU1003))*Source!AV1003*Source!I1003),2)),2))</f>
        <v>54.36</v>
      </c>
      <c r="J777" s="10">
        <f>IF(Source!BB1003&lt;&gt; 0, Source!BB1003, 1)</f>
        <v>9.3699999999999992</v>
      </c>
      <c r="K777" s="28">
        <f>Source!Q1003</f>
        <v>509.35</v>
      </c>
    </row>
    <row r="778" spans="1:27" ht="14.25" x14ac:dyDescent="0.2">
      <c r="A778" s="22"/>
      <c r="B778" s="23"/>
      <c r="C778" s="23" t="s">
        <v>972</v>
      </c>
      <c r="D778" s="25"/>
      <c r="E778" s="10"/>
      <c r="F778" s="27">
        <f>Source!AN1003</f>
        <v>0.28999999999999998</v>
      </c>
      <c r="G778" s="26" t="str">
        <f>Source!DF1003</f>
        <v/>
      </c>
      <c r="H778" s="10">
        <f>Source!AV1003</f>
        <v>1</v>
      </c>
      <c r="I778" s="30">
        <f>ROUND((ROUND((Source!AE1003*Source!AV1003*Source!I1003),2)),2)</f>
        <v>10.24</v>
      </c>
      <c r="J778" s="10">
        <f>IF(Source!BS1003&lt;&gt; 0, Source!BS1003, 1)</f>
        <v>24.53</v>
      </c>
      <c r="K778" s="30">
        <f>Source!R1003</f>
        <v>251.19</v>
      </c>
      <c r="W778">
        <f>I778</f>
        <v>10.24</v>
      </c>
    </row>
    <row r="779" spans="1:27" ht="14.25" x14ac:dyDescent="0.2">
      <c r="A779" s="22"/>
      <c r="B779" s="23"/>
      <c r="C779" s="23" t="s">
        <v>973</v>
      </c>
      <c r="D779" s="25"/>
      <c r="E779" s="10"/>
      <c r="F779" s="27">
        <f>Source!AL1003</f>
        <v>67.53</v>
      </c>
      <c r="G779" s="26" t="str">
        <f>Source!DD1003</f>
        <v/>
      </c>
      <c r="H779" s="10">
        <f>Source!AW1003</f>
        <v>1</v>
      </c>
      <c r="I779" s="28">
        <f>ROUND((ROUND((Source!AC1003*Source!AW1003*Source!I1003),2)),2)</f>
        <v>2383.81</v>
      </c>
      <c r="J779" s="10">
        <f>IF(Source!BC1003&lt;&gt; 0, Source!BC1003, 1)</f>
        <v>9.33</v>
      </c>
      <c r="K779" s="28">
        <f>Source!P1003</f>
        <v>22240.95</v>
      </c>
    </row>
    <row r="780" spans="1:27" ht="14.25" x14ac:dyDescent="0.2">
      <c r="A780" s="22"/>
      <c r="B780" s="23"/>
      <c r="C780" s="23" t="s">
        <v>974</v>
      </c>
      <c r="D780" s="25" t="s">
        <v>975</v>
      </c>
      <c r="E780" s="10">
        <f>Source!DN1003</f>
        <v>156</v>
      </c>
      <c r="F780" s="27"/>
      <c r="G780" s="26"/>
      <c r="H780" s="10"/>
      <c r="I780" s="28">
        <f>SUM(Q774:Q779)</f>
        <v>3620.73</v>
      </c>
      <c r="J780" s="10">
        <f>Source!BZ1003</f>
        <v>90</v>
      </c>
      <c r="K780" s="28">
        <f>SUM(R774:R779)</f>
        <v>51240.28</v>
      </c>
    </row>
    <row r="781" spans="1:27" ht="14.25" x14ac:dyDescent="0.2">
      <c r="A781" s="22"/>
      <c r="B781" s="23"/>
      <c r="C781" s="23" t="s">
        <v>976</v>
      </c>
      <c r="D781" s="25" t="s">
        <v>975</v>
      </c>
      <c r="E781" s="10">
        <f>Source!DO1003</f>
        <v>84</v>
      </c>
      <c r="F781" s="27"/>
      <c r="G781" s="26"/>
      <c r="H781" s="10"/>
      <c r="I781" s="28">
        <f>SUM(S774:S780)</f>
        <v>1949.62</v>
      </c>
      <c r="J781" s="10">
        <f>Source!CA1003</f>
        <v>41</v>
      </c>
      <c r="K781" s="28">
        <f>SUM(T774:T780)</f>
        <v>23342.79</v>
      </c>
    </row>
    <row r="782" spans="1:27" ht="14.25" x14ac:dyDescent="0.2">
      <c r="A782" s="22"/>
      <c r="B782" s="23"/>
      <c r="C782" s="23" t="s">
        <v>977</v>
      </c>
      <c r="D782" s="25" t="s">
        <v>975</v>
      </c>
      <c r="E782" s="10">
        <f>175</f>
        <v>175</v>
      </c>
      <c r="F782" s="27"/>
      <c r="G782" s="26"/>
      <c r="H782" s="10"/>
      <c r="I782" s="28">
        <f>SUM(U774:U781)</f>
        <v>17.920000000000002</v>
      </c>
      <c r="J782" s="10">
        <f>157</f>
        <v>157</v>
      </c>
      <c r="K782" s="28">
        <f>SUM(V774:V781)</f>
        <v>394.37</v>
      </c>
    </row>
    <row r="783" spans="1:27" ht="14.25" x14ac:dyDescent="0.2">
      <c r="A783" s="22"/>
      <c r="B783" s="23"/>
      <c r="C783" s="23" t="s">
        <v>978</v>
      </c>
      <c r="D783" s="25" t="s">
        <v>979</v>
      </c>
      <c r="E783" s="10">
        <f>Source!AQ1003</f>
        <v>6.22</v>
      </c>
      <c r="F783" s="27"/>
      <c r="G783" s="26" t="str">
        <f>Source!DI1003</f>
        <v/>
      </c>
      <c r="H783" s="10">
        <f>Source!AV1003</f>
        <v>1</v>
      </c>
      <c r="I783" s="28">
        <f>Source!U1003</f>
        <v>219.56599999999997</v>
      </c>
      <c r="J783" s="10"/>
      <c r="K783" s="28"/>
    </row>
    <row r="784" spans="1:27" ht="15" x14ac:dyDescent="0.25">
      <c r="A784" s="32"/>
      <c r="B784" s="32"/>
      <c r="C784" s="32"/>
      <c r="D784" s="32"/>
      <c r="E784" s="32"/>
      <c r="F784" s="32"/>
      <c r="G784" s="32"/>
      <c r="H784" s="101">
        <f>I776+I777+I779+I780+I781+I782</f>
        <v>10347.42</v>
      </c>
      <c r="I784" s="101"/>
      <c r="J784" s="101">
        <f>K776+K777+K779+K780+K781+K782</f>
        <v>154661.38</v>
      </c>
      <c r="K784" s="101"/>
      <c r="O784" s="31">
        <f>I776+I777+I779+I780+I781+I782</f>
        <v>10347.42</v>
      </c>
      <c r="P784" s="31">
        <f>K776+K777+K779+K780+K781+K782</f>
        <v>154661.38</v>
      </c>
      <c r="X784">
        <f>IF(Source!BI1003&lt;=1,I776+I777+I779+I780+I781+I782-0, 0)</f>
        <v>10347.42</v>
      </c>
      <c r="Y784">
        <f>IF(Source!BI1003=2,I776+I777+I779+I780+I781+I782-0, 0)</f>
        <v>0</v>
      </c>
      <c r="Z784">
        <f>IF(Source!BI1003=3,I776+I777+I779+I780+I781+I782-0, 0)</f>
        <v>0</v>
      </c>
      <c r="AA784">
        <f>IF(Source!BI1003=4,I776+I777+I779+I780+I781+I782,0)</f>
        <v>0</v>
      </c>
    </row>
    <row r="785" spans="1:27" ht="57" x14ac:dyDescent="0.2">
      <c r="A785" s="22" t="str">
        <f>Source!E1004</f>
        <v>96</v>
      </c>
      <c r="B785" s="23" t="str">
        <f>Source!F1004</f>
        <v>6.68-73-1</v>
      </c>
      <c r="C785" s="23" t="s">
        <v>522</v>
      </c>
      <c r="D785" s="25" t="str">
        <f>Source!H1004</f>
        <v>1 м2</v>
      </c>
      <c r="E785" s="10">
        <f>Source!I1004</f>
        <v>847.2</v>
      </c>
      <c r="F785" s="27"/>
      <c r="G785" s="26"/>
      <c r="H785" s="10"/>
      <c r="I785" s="28"/>
      <c r="J785" s="10"/>
      <c r="K785" s="28"/>
      <c r="Q785">
        <f>ROUND((Source!DN1004/100)*ROUND((ROUND((Source!AF1004*Source!AV1004*Source!I1004),2)),2), 2)</f>
        <v>28045.02</v>
      </c>
      <c r="R785">
        <f>Source!X1004</f>
        <v>396891.04</v>
      </c>
      <c r="S785">
        <f>ROUND((Source!DO1004/100)*ROUND((ROUND((Source!AF1004*Source!AV1004*Source!I1004),2)),2), 2)</f>
        <v>15101.17</v>
      </c>
      <c r="T785">
        <f>Source!Y1004</f>
        <v>180805.92</v>
      </c>
      <c r="U785">
        <f>ROUND((175/100)*ROUND((ROUND((Source!AE1004*Source!AV1004*Source!I1004),2)),2), 2)</f>
        <v>2268.39</v>
      </c>
      <c r="V785">
        <f>ROUND((157/100)*ROUND(ROUND((ROUND((Source!AE1004*Source!AV1004*Source!I1004),2)*Source!BS1004),2), 2), 2)</f>
        <v>49920.160000000003</v>
      </c>
    </row>
    <row r="786" spans="1:27" x14ac:dyDescent="0.2">
      <c r="C786" s="29" t="str">
        <f>"Объем: "&amp;Source!I1004&amp;"=1,2*"&amp;"706*"&amp;"2/"&amp;"2"</f>
        <v>Объем: 847,2=1,2*706*2/2</v>
      </c>
    </row>
    <row r="787" spans="1:27" ht="14.25" x14ac:dyDescent="0.2">
      <c r="A787" s="22"/>
      <c r="B787" s="23"/>
      <c r="C787" s="23" t="s">
        <v>970</v>
      </c>
      <c r="D787" s="25"/>
      <c r="E787" s="10"/>
      <c r="F787" s="27">
        <f>Source!AO1004</f>
        <v>21.22</v>
      </c>
      <c r="G787" s="26" t="str">
        <f>Source!DG1004</f>
        <v/>
      </c>
      <c r="H787" s="10">
        <f>Source!AV1004</f>
        <v>1</v>
      </c>
      <c r="I787" s="28">
        <f>ROUND((ROUND((Source!AF1004*Source!AV1004*Source!I1004),2)),2)</f>
        <v>17977.580000000002</v>
      </c>
      <c r="J787" s="10">
        <f>IF(Source!BA1004&lt;&gt; 0, Source!BA1004, 1)</f>
        <v>24.53</v>
      </c>
      <c r="K787" s="28">
        <f>Source!S1004</f>
        <v>440990.04</v>
      </c>
      <c r="W787">
        <f>I787</f>
        <v>17977.580000000002</v>
      </c>
    </row>
    <row r="788" spans="1:27" ht="14.25" x14ac:dyDescent="0.2">
      <c r="A788" s="22"/>
      <c r="B788" s="23"/>
      <c r="C788" s="23" t="s">
        <v>971</v>
      </c>
      <c r="D788" s="25"/>
      <c r="E788" s="10"/>
      <c r="F788" s="27">
        <f>Source!AM1004</f>
        <v>6.25</v>
      </c>
      <c r="G788" s="26" t="str">
        <f>Source!DE1004</f>
        <v/>
      </c>
      <c r="H788" s="10">
        <f>Source!AV1004</f>
        <v>1</v>
      </c>
      <c r="I788" s="28">
        <f>(ROUND((ROUND(((Source!ET1004)*Source!AV1004*Source!I1004),2)),2)+ROUND((ROUND(((Source!AE1004-(Source!EU1004))*Source!AV1004*Source!I1004),2)),2))</f>
        <v>5295</v>
      </c>
      <c r="J788" s="10">
        <f>IF(Source!BB1004&lt;&gt; 0, Source!BB1004, 1)</f>
        <v>9.7100000000000009</v>
      </c>
      <c r="K788" s="28">
        <f>Source!Q1004</f>
        <v>51414.45</v>
      </c>
    </row>
    <row r="789" spans="1:27" ht="14.25" x14ac:dyDescent="0.2">
      <c r="A789" s="22"/>
      <c r="B789" s="23"/>
      <c r="C789" s="23" t="s">
        <v>972</v>
      </c>
      <c r="D789" s="25"/>
      <c r="E789" s="10"/>
      <c r="F789" s="27">
        <f>Source!AN1004</f>
        <v>1.53</v>
      </c>
      <c r="G789" s="26" t="str">
        <f>Source!DF1004</f>
        <v/>
      </c>
      <c r="H789" s="10">
        <f>Source!AV1004</f>
        <v>1</v>
      </c>
      <c r="I789" s="30">
        <f>ROUND((ROUND((Source!AE1004*Source!AV1004*Source!I1004),2)),2)</f>
        <v>1296.22</v>
      </c>
      <c r="J789" s="10">
        <f>IF(Source!BS1004&lt;&gt; 0, Source!BS1004, 1)</f>
        <v>24.53</v>
      </c>
      <c r="K789" s="30">
        <f>Source!R1004</f>
        <v>31796.28</v>
      </c>
      <c r="W789">
        <f>I789</f>
        <v>1296.22</v>
      </c>
    </row>
    <row r="790" spans="1:27" ht="14.25" x14ac:dyDescent="0.2">
      <c r="A790" s="22"/>
      <c r="B790" s="23"/>
      <c r="C790" s="23" t="s">
        <v>973</v>
      </c>
      <c r="D790" s="25"/>
      <c r="E790" s="10"/>
      <c r="F790" s="27">
        <f>Source!AL1004</f>
        <v>2.02</v>
      </c>
      <c r="G790" s="26" t="str">
        <f>Source!DD1004</f>
        <v/>
      </c>
      <c r="H790" s="10">
        <f>Source!AW1004</f>
        <v>1</v>
      </c>
      <c r="I790" s="28">
        <f>ROUND((ROUND((Source!AC1004*Source!AW1004*Source!I1004),2)),2)</f>
        <v>1711.34</v>
      </c>
      <c r="J790" s="10">
        <f>IF(Source!BC1004&lt;&gt; 0, Source!BC1004, 1)</f>
        <v>11.91</v>
      </c>
      <c r="K790" s="28">
        <f>Source!P1004</f>
        <v>20382.060000000001</v>
      </c>
    </row>
    <row r="791" spans="1:27" ht="57" x14ac:dyDescent="0.2">
      <c r="A791" s="22" t="str">
        <f>Source!E1005</f>
        <v>96,1</v>
      </c>
      <c r="B791" s="23" t="str">
        <f>Source!F1005</f>
        <v>1.1-1-2303</v>
      </c>
      <c r="C791" s="23" t="s">
        <v>527</v>
      </c>
      <c r="D791" s="25" t="str">
        <f>Source!H1005</f>
        <v>т</v>
      </c>
      <c r="E791" s="10">
        <f>Source!I1005</f>
        <v>4.3207199999999997</v>
      </c>
      <c r="F791" s="27">
        <f>Source!AK1005</f>
        <v>11978.98</v>
      </c>
      <c r="G791" s="33" t="s">
        <v>3</v>
      </c>
      <c r="H791" s="10">
        <f>Source!AW1005</f>
        <v>1</v>
      </c>
      <c r="I791" s="28">
        <f>ROUND((ROUND((Source!AC1005*Source!AW1005*Source!I1005),2)),2)+(ROUND((ROUND(((Source!ET1005)*Source!AV1005*Source!I1005),2)),2)+ROUND((ROUND(((Source!AE1005-(Source!EU1005))*Source!AV1005*Source!I1005),2)),2))+ROUND((ROUND((Source!AF1005*Source!AV1005*Source!I1005),2)),2)</f>
        <v>51757.82</v>
      </c>
      <c r="J791" s="10">
        <f>IF(Source!BC1005&lt;&gt; 0, Source!BC1005, 1)</f>
        <v>3.52</v>
      </c>
      <c r="K791" s="28">
        <f>Source!O1005</f>
        <v>182187.53</v>
      </c>
      <c r="Q791">
        <f>ROUND((Source!DN1005/100)*ROUND((ROUND((Source!AF1005*Source!AV1005*Source!I1005),2)),2), 2)</f>
        <v>0</v>
      </c>
      <c r="R791">
        <f>Source!X1005</f>
        <v>0</v>
      </c>
      <c r="S791">
        <f>ROUND((Source!DO1005/100)*ROUND((ROUND((Source!AF1005*Source!AV1005*Source!I1005),2)),2), 2)</f>
        <v>0</v>
      </c>
      <c r="T791">
        <f>Source!Y1005</f>
        <v>0</v>
      </c>
      <c r="U791">
        <f>ROUND((175/100)*ROUND((ROUND((Source!AE1005*Source!AV1005*Source!I1005),2)),2), 2)</f>
        <v>0</v>
      </c>
      <c r="V791">
        <f>ROUND((157/100)*ROUND(ROUND((ROUND((Source!AE1005*Source!AV1005*Source!I1005),2)*Source!BS1005),2), 2), 2)</f>
        <v>0</v>
      </c>
      <c r="X791">
        <f>IF(Source!BI1005&lt;=1,I791, 0)</f>
        <v>51757.82</v>
      </c>
      <c r="Y791">
        <f>IF(Source!BI1005=2,I791, 0)</f>
        <v>0</v>
      </c>
      <c r="Z791">
        <f>IF(Source!BI1005=3,I791, 0)</f>
        <v>0</v>
      </c>
      <c r="AA791">
        <f>IF(Source!BI1005=4,I791, 0)</f>
        <v>0</v>
      </c>
    </row>
    <row r="792" spans="1:27" ht="42.75" x14ac:dyDescent="0.2">
      <c r="A792" s="22" t="str">
        <f>Source!E1006</f>
        <v>96,2</v>
      </c>
      <c r="B792" s="23" t="str">
        <f>Source!F1006</f>
        <v>1.1-1-1080</v>
      </c>
      <c r="C792" s="23" t="s">
        <v>531</v>
      </c>
      <c r="D792" s="25" t="str">
        <f>Source!H1006</f>
        <v>т</v>
      </c>
      <c r="E792" s="10">
        <f>Source!I1006</f>
        <v>5.9219280000000003</v>
      </c>
      <c r="F792" s="27">
        <f>Source!AK1006</f>
        <v>6446.56</v>
      </c>
      <c r="G792" s="33" t="s">
        <v>3</v>
      </c>
      <c r="H792" s="10">
        <f>Source!AW1006</f>
        <v>1</v>
      </c>
      <c r="I792" s="28">
        <f>ROUND((ROUND((Source!AC1006*Source!AW1006*Source!I1006),2)),2)+(ROUND((ROUND(((Source!ET1006)*Source!AV1006*Source!I1006),2)),2)+ROUND((ROUND(((Source!AE1006-(Source!EU1006))*Source!AV1006*Source!I1006),2)),2))+ROUND((ROUND((Source!AF1006*Source!AV1006*Source!I1006),2)),2)</f>
        <v>38176.06</v>
      </c>
      <c r="J792" s="10">
        <f>IF(Source!BC1006&lt;&gt; 0, Source!BC1006, 1)</f>
        <v>3.87</v>
      </c>
      <c r="K792" s="28">
        <f>Source!O1006</f>
        <v>147741.35</v>
      </c>
      <c r="Q792">
        <f>ROUND((Source!DN1006/100)*ROUND((ROUND((Source!AF1006*Source!AV1006*Source!I1006),2)),2), 2)</f>
        <v>0</v>
      </c>
      <c r="R792">
        <f>Source!X1006</f>
        <v>0</v>
      </c>
      <c r="S792">
        <f>ROUND((Source!DO1006/100)*ROUND((ROUND((Source!AF1006*Source!AV1006*Source!I1006),2)),2), 2)</f>
        <v>0</v>
      </c>
      <c r="T792">
        <f>Source!Y1006</f>
        <v>0</v>
      </c>
      <c r="U792">
        <f>ROUND((175/100)*ROUND((ROUND((Source!AE1006*Source!AV1006*Source!I1006),2)),2), 2)</f>
        <v>0</v>
      </c>
      <c r="V792">
        <f>ROUND((157/100)*ROUND(ROUND((ROUND((Source!AE1006*Source!AV1006*Source!I1006),2)*Source!BS1006),2), 2), 2)</f>
        <v>0</v>
      </c>
      <c r="X792">
        <f>IF(Source!BI1006&lt;=1,I792, 0)</f>
        <v>38176.06</v>
      </c>
      <c r="Y792">
        <f>IF(Source!BI1006=2,I792, 0)</f>
        <v>0</v>
      </c>
      <c r="Z792">
        <f>IF(Source!BI1006=3,I792, 0)</f>
        <v>0</v>
      </c>
      <c r="AA792">
        <f>IF(Source!BI1006=4,I792, 0)</f>
        <v>0</v>
      </c>
    </row>
    <row r="793" spans="1:27" ht="14.25" x14ac:dyDescent="0.2">
      <c r="A793" s="22"/>
      <c r="B793" s="23"/>
      <c r="C793" s="23" t="s">
        <v>974</v>
      </c>
      <c r="D793" s="25" t="s">
        <v>975</v>
      </c>
      <c r="E793" s="10">
        <f>Source!DN1004</f>
        <v>156</v>
      </c>
      <c r="F793" s="27"/>
      <c r="G793" s="26"/>
      <c r="H793" s="10"/>
      <c r="I793" s="28">
        <f>SUM(Q785:Q792)</f>
        <v>28045.02</v>
      </c>
      <c r="J793" s="10">
        <f>Source!BZ1004</f>
        <v>90</v>
      </c>
      <c r="K793" s="28">
        <f>SUM(R785:R792)</f>
        <v>396891.04</v>
      </c>
    </row>
    <row r="794" spans="1:27" ht="14.25" x14ac:dyDescent="0.2">
      <c r="A794" s="22"/>
      <c r="B794" s="23"/>
      <c r="C794" s="23" t="s">
        <v>976</v>
      </c>
      <c r="D794" s="25" t="s">
        <v>975</v>
      </c>
      <c r="E794" s="10">
        <f>Source!DO1004</f>
        <v>84</v>
      </c>
      <c r="F794" s="27"/>
      <c r="G794" s="26"/>
      <c r="H794" s="10"/>
      <c r="I794" s="28">
        <f>SUM(S785:S793)</f>
        <v>15101.17</v>
      </c>
      <c r="J794" s="10">
        <f>Source!CA1004</f>
        <v>41</v>
      </c>
      <c r="K794" s="28">
        <f>SUM(T785:T793)</f>
        <v>180805.92</v>
      </c>
    </row>
    <row r="795" spans="1:27" ht="14.25" x14ac:dyDescent="0.2">
      <c r="A795" s="22"/>
      <c r="B795" s="23"/>
      <c r="C795" s="23" t="s">
        <v>977</v>
      </c>
      <c r="D795" s="25" t="s">
        <v>975</v>
      </c>
      <c r="E795" s="10">
        <f>175</f>
        <v>175</v>
      </c>
      <c r="F795" s="27"/>
      <c r="G795" s="26"/>
      <c r="H795" s="10"/>
      <c r="I795" s="28">
        <f>SUM(U785:U794)</f>
        <v>2268.39</v>
      </c>
      <c r="J795" s="10">
        <f>157</f>
        <v>157</v>
      </c>
      <c r="K795" s="28">
        <f>SUM(V785:V794)</f>
        <v>49920.160000000003</v>
      </c>
    </row>
    <row r="796" spans="1:27" ht="14.25" x14ac:dyDescent="0.2">
      <c r="A796" s="22"/>
      <c r="B796" s="23"/>
      <c r="C796" s="23" t="s">
        <v>978</v>
      </c>
      <c r="D796" s="25" t="s">
        <v>979</v>
      </c>
      <c r="E796" s="10">
        <f>Source!AQ1004</f>
        <v>1.83</v>
      </c>
      <c r="F796" s="27"/>
      <c r="G796" s="26" t="str">
        <f>Source!DI1004</f>
        <v/>
      </c>
      <c r="H796" s="10">
        <f>Source!AV1004</f>
        <v>1</v>
      </c>
      <c r="I796" s="28">
        <f>Source!U1004</f>
        <v>1550.3760000000002</v>
      </c>
      <c r="J796" s="10"/>
      <c r="K796" s="28"/>
    </row>
    <row r="797" spans="1:27" ht="15" x14ac:dyDescent="0.25">
      <c r="A797" s="32"/>
      <c r="B797" s="32"/>
      <c r="C797" s="32"/>
      <c r="D797" s="32"/>
      <c r="E797" s="32"/>
      <c r="F797" s="32"/>
      <c r="G797" s="32"/>
      <c r="H797" s="101">
        <f>I787+I788+I790+I793+I794+I795+SUM(I791:I792)</f>
        <v>160332.38</v>
      </c>
      <c r="I797" s="101"/>
      <c r="J797" s="101">
        <f>K787+K788+K790+K793+K794+K795+SUM(K791:K792)</f>
        <v>1470332.5499999998</v>
      </c>
      <c r="K797" s="101"/>
      <c r="O797" s="31">
        <f>I787+I788+I790+I793+I794+I795+SUM(I791:I792)</f>
        <v>160332.38</v>
      </c>
      <c r="P797" s="31">
        <f>K787+K788+K790+K793+K794+K795+SUM(K791:K792)</f>
        <v>1470332.5499999998</v>
      </c>
      <c r="X797">
        <f>IF(Source!BI1004&lt;=1,I787+I788+I790+I793+I794+I795-0, 0)</f>
        <v>70398.5</v>
      </c>
      <c r="Y797">
        <f>IF(Source!BI1004=2,I787+I788+I790+I793+I794+I795-0, 0)</f>
        <v>0</v>
      </c>
      <c r="Z797">
        <f>IF(Source!BI1004=3,I787+I788+I790+I793+I794+I795-0, 0)</f>
        <v>0</v>
      </c>
      <c r="AA797">
        <f>IF(Source!BI1004=4,I787+I788+I790+I793+I794+I795,0)</f>
        <v>0</v>
      </c>
    </row>
    <row r="798" spans="1:27" ht="57" x14ac:dyDescent="0.2">
      <c r="A798" s="22" t="str">
        <f>Source!E1007</f>
        <v>97</v>
      </c>
      <c r="B798" s="23" t="str">
        <f>Source!F1007</f>
        <v>6.68-73-2</v>
      </c>
      <c r="C798" s="23" t="s">
        <v>535</v>
      </c>
      <c r="D798" s="25" t="str">
        <f>Source!H1007</f>
        <v>1 м2</v>
      </c>
      <c r="E798" s="10">
        <f>Source!I1007</f>
        <v>847.2</v>
      </c>
      <c r="F798" s="27"/>
      <c r="G798" s="26"/>
      <c r="H798" s="10"/>
      <c r="I798" s="28"/>
      <c r="J798" s="10"/>
      <c r="K798" s="28"/>
      <c r="Q798">
        <f>ROUND((Source!DN1007/100)*ROUND((ROUND((Source!AF1007*Source!AV1007*Source!I1007),2)),2), 2)</f>
        <v>1969.23</v>
      </c>
      <c r="R798">
        <f>Source!X1007</f>
        <v>27868.46</v>
      </c>
      <c r="S798">
        <f>ROUND((Source!DO1007/100)*ROUND((ROUND((Source!AF1007*Source!AV1007*Source!I1007),2)),2), 2)</f>
        <v>1060.3599999999999</v>
      </c>
      <c r="T798">
        <f>Source!Y1007</f>
        <v>12695.63</v>
      </c>
      <c r="U798">
        <f>ROUND((175/100)*ROUND((ROUND((Source!AE1007*Source!AV1007*Source!I1007),2)),2), 2)</f>
        <v>281.7</v>
      </c>
      <c r="V798">
        <f>ROUND((157/100)*ROUND(ROUND((ROUND((Source!AE1007*Source!AV1007*Source!I1007),2)*Source!BS1007),2), 2), 2)</f>
        <v>6199.29</v>
      </c>
    </row>
    <row r="799" spans="1:27" ht="14.25" x14ac:dyDescent="0.2">
      <c r="A799" s="22"/>
      <c r="B799" s="23"/>
      <c r="C799" s="23" t="s">
        <v>970</v>
      </c>
      <c r="D799" s="25"/>
      <c r="E799" s="10"/>
      <c r="F799" s="27">
        <f>Source!AO1007</f>
        <v>1.49</v>
      </c>
      <c r="G799" s="26" t="str">
        <f>Source!DG1007</f>
        <v/>
      </c>
      <c r="H799" s="10">
        <f>Source!AV1007</f>
        <v>1</v>
      </c>
      <c r="I799" s="28">
        <f>ROUND((ROUND((Source!AF1007*Source!AV1007*Source!I1007),2)),2)</f>
        <v>1262.33</v>
      </c>
      <c r="J799" s="10">
        <f>IF(Source!BA1007&lt;&gt; 0, Source!BA1007, 1)</f>
        <v>24.53</v>
      </c>
      <c r="K799" s="28">
        <f>Source!S1007</f>
        <v>30964.95</v>
      </c>
      <c r="W799">
        <f>I799</f>
        <v>1262.33</v>
      </c>
    </row>
    <row r="800" spans="1:27" ht="14.25" x14ac:dyDescent="0.2">
      <c r="A800" s="22"/>
      <c r="B800" s="23"/>
      <c r="C800" s="23" t="s">
        <v>971</v>
      </c>
      <c r="D800" s="25"/>
      <c r="E800" s="10"/>
      <c r="F800" s="27">
        <f>Source!AM1007</f>
        <v>1.65</v>
      </c>
      <c r="G800" s="26" t="str">
        <f>Source!DE1007</f>
        <v/>
      </c>
      <c r="H800" s="10">
        <f>Source!AV1007</f>
        <v>1</v>
      </c>
      <c r="I800" s="28">
        <f>(ROUND((ROUND(((Source!ET1007)*Source!AV1007*Source!I1007),2)),2)+ROUND((ROUND(((Source!AE1007-(Source!EU1007))*Source!AV1007*Source!I1007),2)),2))</f>
        <v>1397.88</v>
      </c>
      <c r="J800" s="10">
        <f>IF(Source!BB1007&lt;&gt; 0, Source!BB1007, 1)</f>
        <v>8.39</v>
      </c>
      <c r="K800" s="28">
        <f>Source!Q1007</f>
        <v>11728.21</v>
      </c>
    </row>
    <row r="801" spans="1:27" ht="14.25" x14ac:dyDescent="0.2">
      <c r="A801" s="22"/>
      <c r="B801" s="23"/>
      <c r="C801" s="23" t="s">
        <v>972</v>
      </c>
      <c r="D801" s="25"/>
      <c r="E801" s="10"/>
      <c r="F801" s="27">
        <f>Source!AN1007</f>
        <v>0.19</v>
      </c>
      <c r="G801" s="26" t="str">
        <f>Source!DF1007</f>
        <v/>
      </c>
      <c r="H801" s="10">
        <f>Source!AV1007</f>
        <v>1</v>
      </c>
      <c r="I801" s="30">
        <f>ROUND((ROUND((Source!AE1007*Source!AV1007*Source!I1007),2)),2)</f>
        <v>160.97</v>
      </c>
      <c r="J801" s="10">
        <f>IF(Source!BS1007&lt;&gt; 0, Source!BS1007, 1)</f>
        <v>24.53</v>
      </c>
      <c r="K801" s="30">
        <f>Source!R1007</f>
        <v>3948.59</v>
      </c>
      <c r="W801">
        <f>I801</f>
        <v>160.97</v>
      </c>
    </row>
    <row r="802" spans="1:27" ht="14.25" x14ac:dyDescent="0.2">
      <c r="A802" s="22"/>
      <c r="B802" s="23"/>
      <c r="C802" s="23" t="s">
        <v>973</v>
      </c>
      <c r="D802" s="25"/>
      <c r="E802" s="10"/>
      <c r="F802" s="27">
        <f>Source!AL1007</f>
        <v>0.22</v>
      </c>
      <c r="G802" s="26" t="str">
        <f>Source!DD1007</f>
        <v/>
      </c>
      <c r="H802" s="10">
        <f>Source!AW1007</f>
        <v>1</v>
      </c>
      <c r="I802" s="28">
        <f>ROUND((ROUND((Source!AC1007*Source!AW1007*Source!I1007),2)),2)</f>
        <v>186.38</v>
      </c>
      <c r="J802" s="10">
        <f>IF(Source!BC1007&lt;&gt; 0, Source!BC1007, 1)</f>
        <v>11.95</v>
      </c>
      <c r="K802" s="28">
        <f>Source!P1007</f>
        <v>2227.2399999999998</v>
      </c>
    </row>
    <row r="803" spans="1:27" ht="14.25" x14ac:dyDescent="0.2">
      <c r="A803" s="22"/>
      <c r="B803" s="23"/>
      <c r="C803" s="23" t="s">
        <v>974</v>
      </c>
      <c r="D803" s="25" t="s">
        <v>975</v>
      </c>
      <c r="E803" s="10">
        <f>Source!DN1007</f>
        <v>156</v>
      </c>
      <c r="F803" s="27"/>
      <c r="G803" s="26"/>
      <c r="H803" s="10"/>
      <c r="I803" s="28">
        <f>SUM(Q798:Q802)</f>
        <v>1969.23</v>
      </c>
      <c r="J803" s="10">
        <f>Source!BZ1007</f>
        <v>90</v>
      </c>
      <c r="K803" s="28">
        <f>SUM(R798:R802)</f>
        <v>27868.46</v>
      </c>
    </row>
    <row r="804" spans="1:27" ht="14.25" x14ac:dyDescent="0.2">
      <c r="A804" s="22"/>
      <c r="B804" s="23"/>
      <c r="C804" s="23" t="s">
        <v>976</v>
      </c>
      <c r="D804" s="25" t="s">
        <v>975</v>
      </c>
      <c r="E804" s="10">
        <f>Source!DO1007</f>
        <v>84</v>
      </c>
      <c r="F804" s="27"/>
      <c r="G804" s="26"/>
      <c r="H804" s="10"/>
      <c r="I804" s="28">
        <f>SUM(S798:S803)</f>
        <v>1060.3599999999999</v>
      </c>
      <c r="J804" s="10">
        <f>Source!CA1007</f>
        <v>41</v>
      </c>
      <c r="K804" s="28">
        <f>SUM(T798:T803)</f>
        <v>12695.63</v>
      </c>
    </row>
    <row r="805" spans="1:27" ht="14.25" x14ac:dyDescent="0.2">
      <c r="A805" s="22"/>
      <c r="B805" s="23"/>
      <c r="C805" s="23" t="s">
        <v>977</v>
      </c>
      <c r="D805" s="25" t="s">
        <v>975</v>
      </c>
      <c r="E805" s="10">
        <f>175</f>
        <v>175</v>
      </c>
      <c r="F805" s="27"/>
      <c r="G805" s="26"/>
      <c r="H805" s="10"/>
      <c r="I805" s="28">
        <f>SUM(U798:U804)</f>
        <v>281.7</v>
      </c>
      <c r="J805" s="10">
        <f>157</f>
        <v>157</v>
      </c>
      <c r="K805" s="28">
        <f>SUM(V798:V804)</f>
        <v>6199.29</v>
      </c>
    </row>
    <row r="806" spans="1:27" ht="14.25" x14ac:dyDescent="0.2">
      <c r="A806" s="22"/>
      <c r="B806" s="23"/>
      <c r="C806" s="23" t="s">
        <v>978</v>
      </c>
      <c r="D806" s="25" t="s">
        <v>979</v>
      </c>
      <c r="E806" s="10">
        <f>Source!AQ1007</f>
        <v>0.12</v>
      </c>
      <c r="F806" s="27"/>
      <c r="G806" s="26" t="str">
        <f>Source!DI1007</f>
        <v/>
      </c>
      <c r="H806" s="10">
        <f>Source!AV1007</f>
        <v>1</v>
      </c>
      <c r="I806" s="28">
        <f>Source!U1007</f>
        <v>101.664</v>
      </c>
      <c r="J806" s="10"/>
      <c r="K806" s="28"/>
    </row>
    <row r="807" spans="1:27" ht="15" x14ac:dyDescent="0.25">
      <c r="A807" s="32"/>
      <c r="B807" s="32"/>
      <c r="C807" s="32"/>
      <c r="D807" s="32"/>
      <c r="E807" s="32"/>
      <c r="F807" s="32"/>
      <c r="G807" s="32"/>
      <c r="H807" s="101">
        <f>I799+I800+I802+I803+I804+I805</f>
        <v>6157.8799999999992</v>
      </c>
      <c r="I807" s="101"/>
      <c r="J807" s="101">
        <f>K799+K800+K802+K803+K804+K805</f>
        <v>91683.78</v>
      </c>
      <c r="K807" s="101"/>
      <c r="O807" s="31">
        <f>I799+I800+I802+I803+I804+I805</f>
        <v>6157.8799999999992</v>
      </c>
      <c r="P807" s="31">
        <f>K799+K800+K802+K803+K804+K805</f>
        <v>91683.78</v>
      </c>
      <c r="X807">
        <f>IF(Source!BI1007&lt;=1,I799+I800+I802+I803+I804+I805-0, 0)</f>
        <v>6157.8799999999992</v>
      </c>
      <c r="Y807">
        <f>IF(Source!BI1007=2,I799+I800+I802+I803+I804+I805-0, 0)</f>
        <v>0</v>
      </c>
      <c r="Z807">
        <f>IF(Source!BI1007=3,I799+I800+I802+I803+I804+I805-0, 0)</f>
        <v>0</v>
      </c>
      <c r="AA807">
        <f>IF(Source!BI1007=4,I799+I800+I802+I803+I804+I805,0)</f>
        <v>0</v>
      </c>
    </row>
    <row r="808" spans="1:27" ht="42.75" x14ac:dyDescent="0.2">
      <c r="A808" s="22" t="str">
        <f>Source!E1008</f>
        <v>98</v>
      </c>
      <c r="B808" s="23" t="str">
        <f>Source!F1008</f>
        <v>3.13-9-2</v>
      </c>
      <c r="C808" s="23" t="s">
        <v>539</v>
      </c>
      <c r="D808" s="25" t="str">
        <f>Source!H1008</f>
        <v>100 м2</v>
      </c>
      <c r="E808" s="10">
        <f>Source!I1008</f>
        <v>9.1800022160000001</v>
      </c>
      <c r="F808" s="27"/>
      <c r="G808" s="26"/>
      <c r="H808" s="10"/>
      <c r="I808" s="28"/>
      <c r="J808" s="10"/>
      <c r="K808" s="28"/>
      <c r="Q808">
        <f>ROUND((Source!DN1008/100)*ROUND((ROUND((Source!AF1008*Source!AV1008*Source!I1008),2)),2), 2)</f>
        <v>714.54</v>
      </c>
      <c r="R808">
        <f>Source!X1008</f>
        <v>14188.97</v>
      </c>
      <c r="S808">
        <f>ROUND((Source!DO1008/100)*ROUND((ROUND((Source!AF1008*Source!AV1008*Source!I1008),2)),2), 2)</f>
        <v>523.99</v>
      </c>
      <c r="T808">
        <f>Source!Y1008</f>
        <v>6844.09</v>
      </c>
      <c r="U808">
        <f>ROUND((175/100)*ROUND((ROUND((Source!AE1008*Source!AV1008*Source!I1008),2)),2), 2)</f>
        <v>30.05</v>
      </c>
      <c r="V808">
        <f>ROUND((157/100)*ROUND(ROUND((ROUND((Source!AE1008*Source!AV1008*Source!I1008),2)*Source!BS1008),2), 2), 2)</f>
        <v>661.25</v>
      </c>
    </row>
    <row r="809" spans="1:27" ht="38.25" x14ac:dyDescent="0.2">
      <c r="C809" s="29" t="str">
        <f>"Объем: "&amp;Source!I1008&amp;"=65,2*"&amp;"("&amp;Source!I1002&amp;"+"&amp;""&amp;Source!I1005&amp;"+"&amp;""&amp;Source!I1006&amp;")/"&amp;"100"</f>
        <v>Объем: 9,180002216=65,2*(3,83711+4,32072+5,921928)/100</v>
      </c>
    </row>
    <row r="810" spans="1:27" ht="14.25" x14ac:dyDescent="0.2">
      <c r="A810" s="22"/>
      <c r="B810" s="23"/>
      <c r="C810" s="23" t="s">
        <v>970</v>
      </c>
      <c r="D810" s="25"/>
      <c r="E810" s="10"/>
      <c r="F810" s="27">
        <f>Source!AO1008</f>
        <v>74.13</v>
      </c>
      <c r="G810" s="26" t="str">
        <f>Source!DG1008</f>
        <v/>
      </c>
      <c r="H810" s="10">
        <f>Source!AV1008</f>
        <v>1</v>
      </c>
      <c r="I810" s="28">
        <f>ROUND((ROUND((Source!AF1008*Source!AV1008*Source!I1008),2)),2)</f>
        <v>680.51</v>
      </c>
      <c r="J810" s="10">
        <f>IF(Source!BA1008&lt;&gt; 0, Source!BA1008, 1)</f>
        <v>24.53</v>
      </c>
      <c r="K810" s="28">
        <f>Source!S1008</f>
        <v>16692.91</v>
      </c>
      <c r="W810">
        <f>I810</f>
        <v>680.51</v>
      </c>
    </row>
    <row r="811" spans="1:27" ht="14.25" x14ac:dyDescent="0.2">
      <c r="A811" s="22"/>
      <c r="B811" s="23"/>
      <c r="C811" s="23" t="s">
        <v>971</v>
      </c>
      <c r="D811" s="25"/>
      <c r="E811" s="10"/>
      <c r="F811" s="27">
        <f>Source!AM1008</f>
        <v>20.89</v>
      </c>
      <c r="G811" s="26" t="str">
        <f>Source!DE1008</f>
        <v/>
      </c>
      <c r="H811" s="10">
        <f>Source!AV1008</f>
        <v>1</v>
      </c>
      <c r="I811" s="28">
        <f>(ROUND((ROUND(((Source!ET1008)*Source!AV1008*Source!I1008),2)),2)+ROUND((ROUND(((Source!AE1008-(Source!EU1008))*Source!AV1008*Source!I1008),2)),2))</f>
        <v>191.77</v>
      </c>
      <c r="J811" s="10">
        <f>IF(Source!BB1008&lt;&gt; 0, Source!BB1008, 1)</f>
        <v>6.45</v>
      </c>
      <c r="K811" s="28">
        <f>Source!Q1008</f>
        <v>1236.92</v>
      </c>
    </row>
    <row r="812" spans="1:27" ht="14.25" x14ac:dyDescent="0.2">
      <c r="A812" s="22"/>
      <c r="B812" s="23"/>
      <c r="C812" s="23" t="s">
        <v>972</v>
      </c>
      <c r="D812" s="25"/>
      <c r="E812" s="10"/>
      <c r="F812" s="27">
        <f>Source!AN1008</f>
        <v>1.87</v>
      </c>
      <c r="G812" s="26" t="str">
        <f>Source!DF1008</f>
        <v/>
      </c>
      <c r="H812" s="10">
        <f>Source!AV1008</f>
        <v>1</v>
      </c>
      <c r="I812" s="30">
        <f>ROUND((ROUND((Source!AE1008*Source!AV1008*Source!I1008),2)),2)</f>
        <v>17.170000000000002</v>
      </c>
      <c r="J812" s="10">
        <f>IF(Source!BS1008&lt;&gt; 0, Source!BS1008, 1)</f>
        <v>24.53</v>
      </c>
      <c r="K812" s="30">
        <f>Source!R1008</f>
        <v>421.18</v>
      </c>
      <c r="W812">
        <f>I812</f>
        <v>17.170000000000002</v>
      </c>
    </row>
    <row r="813" spans="1:27" ht="14.25" x14ac:dyDescent="0.2">
      <c r="A813" s="22"/>
      <c r="B813" s="23"/>
      <c r="C813" s="23" t="s">
        <v>973</v>
      </c>
      <c r="D813" s="25"/>
      <c r="E813" s="10"/>
      <c r="F813" s="27">
        <f>Source!AL1008</f>
        <v>9.4600000000000009</v>
      </c>
      <c r="G813" s="26" t="str">
        <f>Source!DD1008</f>
        <v/>
      </c>
      <c r="H813" s="10">
        <f>Source!AW1008</f>
        <v>1</v>
      </c>
      <c r="I813" s="28">
        <f>ROUND((ROUND((Source!AC1008*Source!AW1008*Source!I1008),2)),2)</f>
        <v>86.84</v>
      </c>
      <c r="J813" s="10">
        <f>IF(Source!BC1008&lt;&gt; 0, Source!BC1008, 1)</f>
        <v>6.09</v>
      </c>
      <c r="K813" s="28">
        <f>Source!P1008</f>
        <v>528.86</v>
      </c>
    </row>
    <row r="814" spans="1:27" ht="14.25" x14ac:dyDescent="0.2">
      <c r="A814" s="22" t="str">
        <f>Source!E1009</f>
        <v>98,1</v>
      </c>
      <c r="B814" s="23" t="str">
        <f>Source!F1009</f>
        <v>1.1-1-3205</v>
      </c>
      <c r="C814" s="23" t="s">
        <v>545</v>
      </c>
      <c r="D814" s="25" t="str">
        <f>Source!H1009</f>
        <v>кг</v>
      </c>
      <c r="E814" s="10">
        <f>Source!I1009</f>
        <v>82.620019999999997</v>
      </c>
      <c r="F814" s="27">
        <f>Source!AK1009</f>
        <v>48.21</v>
      </c>
      <c r="G814" s="33" t="s">
        <v>3</v>
      </c>
      <c r="H814" s="10">
        <f>Source!AW1009</f>
        <v>1</v>
      </c>
      <c r="I814" s="28">
        <f>ROUND((ROUND((Source!AC1009*Source!AW1009*Source!I1009),2)),2)+(ROUND((ROUND(((Source!ET1009)*Source!AV1009*Source!I1009),2)),2)+ROUND((ROUND(((Source!AE1009-(Source!EU1009))*Source!AV1009*Source!I1009),2)),2))+ROUND((ROUND((Source!AF1009*Source!AV1009*Source!I1009),2)),2)</f>
        <v>3983.11</v>
      </c>
      <c r="J814" s="10">
        <f>IF(Source!BC1009&lt;&gt; 0, Source!BC1009, 1)</f>
        <v>1.71</v>
      </c>
      <c r="K814" s="28">
        <f>Source!O1009</f>
        <v>6811.12</v>
      </c>
      <c r="Q814">
        <f>ROUND((Source!DN1009/100)*ROUND((ROUND((Source!AF1009*Source!AV1009*Source!I1009),2)),2), 2)</f>
        <v>0</v>
      </c>
      <c r="R814">
        <f>Source!X1009</f>
        <v>0</v>
      </c>
      <c r="S814">
        <f>ROUND((Source!DO1009/100)*ROUND((ROUND((Source!AF1009*Source!AV1009*Source!I1009),2)),2), 2)</f>
        <v>0</v>
      </c>
      <c r="T814">
        <f>Source!Y1009</f>
        <v>0</v>
      </c>
      <c r="U814">
        <f>ROUND((175/100)*ROUND((ROUND((Source!AE1009*Source!AV1009*Source!I1009),2)),2), 2)</f>
        <v>0</v>
      </c>
      <c r="V814">
        <f>ROUND((157/100)*ROUND(ROUND((ROUND((Source!AE1009*Source!AV1009*Source!I1009),2)*Source!BS1009),2), 2), 2)</f>
        <v>0</v>
      </c>
      <c r="X814">
        <f>IF(Source!BI1009&lt;=1,I814, 0)</f>
        <v>3983.11</v>
      </c>
      <c r="Y814">
        <f>IF(Source!BI1009=2,I814, 0)</f>
        <v>0</v>
      </c>
      <c r="Z814">
        <f>IF(Source!BI1009=3,I814, 0)</f>
        <v>0</v>
      </c>
      <c r="AA814">
        <f>IF(Source!BI1009=4,I814, 0)</f>
        <v>0</v>
      </c>
    </row>
    <row r="815" spans="1:27" ht="14.25" x14ac:dyDescent="0.2">
      <c r="A815" s="22"/>
      <c r="B815" s="23"/>
      <c r="C815" s="23" t="s">
        <v>974</v>
      </c>
      <c r="D815" s="25" t="s">
        <v>975</v>
      </c>
      <c r="E815" s="10">
        <f>Source!DN1008</f>
        <v>105</v>
      </c>
      <c r="F815" s="27"/>
      <c r="G815" s="26"/>
      <c r="H815" s="10"/>
      <c r="I815" s="28">
        <f>SUM(Q808:Q814)</f>
        <v>714.54</v>
      </c>
      <c r="J815" s="10">
        <f>Source!BZ1008</f>
        <v>85</v>
      </c>
      <c r="K815" s="28">
        <f>SUM(R808:R814)</f>
        <v>14188.97</v>
      </c>
    </row>
    <row r="816" spans="1:27" ht="14.25" x14ac:dyDescent="0.2">
      <c r="A816" s="22"/>
      <c r="B816" s="23"/>
      <c r="C816" s="23" t="s">
        <v>976</v>
      </c>
      <c r="D816" s="25" t="s">
        <v>975</v>
      </c>
      <c r="E816" s="10">
        <f>Source!DO1008</f>
        <v>77</v>
      </c>
      <c r="F816" s="27"/>
      <c r="G816" s="26"/>
      <c r="H816" s="10"/>
      <c r="I816" s="28">
        <f>SUM(S808:S815)</f>
        <v>523.99</v>
      </c>
      <c r="J816" s="10">
        <f>Source!CA1008</f>
        <v>41</v>
      </c>
      <c r="K816" s="28">
        <f>SUM(T808:T815)</f>
        <v>6844.09</v>
      </c>
    </row>
    <row r="817" spans="1:27" ht="14.25" x14ac:dyDescent="0.2">
      <c r="A817" s="22"/>
      <c r="B817" s="23"/>
      <c r="C817" s="23" t="s">
        <v>977</v>
      </c>
      <c r="D817" s="25" t="s">
        <v>975</v>
      </c>
      <c r="E817" s="10">
        <f>175</f>
        <v>175</v>
      </c>
      <c r="F817" s="27"/>
      <c r="G817" s="26"/>
      <c r="H817" s="10"/>
      <c r="I817" s="28">
        <f>SUM(U808:U816)</f>
        <v>30.05</v>
      </c>
      <c r="J817" s="10">
        <f>157</f>
        <v>157</v>
      </c>
      <c r="K817" s="28">
        <f>SUM(V808:V816)</f>
        <v>661.25</v>
      </c>
    </row>
    <row r="818" spans="1:27" ht="14.25" x14ac:dyDescent="0.2">
      <c r="A818" s="22"/>
      <c r="B818" s="23"/>
      <c r="C818" s="23" t="s">
        <v>978</v>
      </c>
      <c r="D818" s="25" t="s">
        <v>979</v>
      </c>
      <c r="E818" s="10">
        <f>Source!AQ1008</f>
        <v>5.31</v>
      </c>
      <c r="F818" s="27"/>
      <c r="G818" s="26" t="str">
        <f>Source!DI1008</f>
        <v/>
      </c>
      <c r="H818" s="10">
        <f>Source!AV1008</f>
        <v>1</v>
      </c>
      <c r="I818" s="28">
        <f>Source!U1008</f>
        <v>48.745811766959996</v>
      </c>
      <c r="J818" s="10"/>
      <c r="K818" s="28"/>
    </row>
    <row r="819" spans="1:27" ht="15" x14ac:dyDescent="0.25">
      <c r="A819" s="32"/>
      <c r="B819" s="32"/>
      <c r="C819" s="32"/>
      <c r="D819" s="32"/>
      <c r="E819" s="32"/>
      <c r="F819" s="32"/>
      <c r="G819" s="32"/>
      <c r="H819" s="101">
        <f>I810+I811+I813+I815+I816+I817+SUM(I814:I814)</f>
        <v>6210.8099999999995</v>
      </c>
      <c r="I819" s="101"/>
      <c r="J819" s="101">
        <f>K810+K811+K813+K815+K816+K817+SUM(K814:K814)</f>
        <v>46964.12</v>
      </c>
      <c r="K819" s="101"/>
      <c r="O819" s="31">
        <f>I810+I811+I813+I815+I816+I817+SUM(I814:I814)</f>
        <v>6210.8099999999995</v>
      </c>
      <c r="P819" s="31">
        <f>K810+K811+K813+K815+K816+K817+SUM(K814:K814)</f>
        <v>46964.12</v>
      </c>
      <c r="X819">
        <f>IF(Source!BI1008&lt;=1,I810+I811+I813+I815+I816+I817-0, 0)</f>
        <v>2227.6999999999998</v>
      </c>
      <c r="Y819">
        <f>IF(Source!BI1008=2,I810+I811+I813+I815+I816+I817-0, 0)</f>
        <v>0</v>
      </c>
      <c r="Z819">
        <f>IF(Source!BI1008=3,I810+I811+I813+I815+I816+I817-0, 0)</f>
        <v>0</v>
      </c>
      <c r="AA819">
        <f>IF(Source!BI1008=4,I810+I811+I813+I815+I816+I817,0)</f>
        <v>0</v>
      </c>
    </row>
    <row r="820" spans="1:27" ht="28.5" x14ac:dyDescent="0.2">
      <c r="A820" s="22" t="str">
        <f>Source!E1010</f>
        <v>99</v>
      </c>
      <c r="B820" s="23" t="str">
        <f>Source!F1010</f>
        <v>3.13-11-8</v>
      </c>
      <c r="C820" s="23" t="s">
        <v>549</v>
      </c>
      <c r="D820" s="25" t="str">
        <f>Source!H1010</f>
        <v>100 м2</v>
      </c>
      <c r="E820" s="10">
        <f>Source!I1010</f>
        <v>9.1800000000000007E-2</v>
      </c>
      <c r="F820" s="27"/>
      <c r="G820" s="26"/>
      <c r="H820" s="10"/>
      <c r="I820" s="28"/>
      <c r="J820" s="10"/>
      <c r="K820" s="28"/>
      <c r="Q820">
        <f>ROUND((Source!DN1010/100)*ROUND((ROUND((Source!AF1010*Source!AV1010*Source!I1010),2)),2), 2)</f>
        <v>2.4500000000000002</v>
      </c>
      <c r="R820">
        <f>Source!X1010</f>
        <v>48.58</v>
      </c>
      <c r="S820">
        <f>ROUND((Source!DO1010/100)*ROUND((ROUND((Source!AF1010*Source!AV1010*Source!I1010),2)),2), 2)</f>
        <v>1.79</v>
      </c>
      <c r="T820">
        <f>Source!Y1010</f>
        <v>23.43</v>
      </c>
      <c r="U820">
        <f>ROUND((175/100)*ROUND((ROUND((Source!AE1010*Source!AV1010*Source!I1010),2)),2), 2)</f>
        <v>0.05</v>
      </c>
      <c r="V820">
        <f>ROUND((157/100)*ROUND(ROUND((ROUND((Source!AE1010*Source!AV1010*Source!I1010),2)*Source!BS1010),2), 2), 2)</f>
        <v>1.1599999999999999</v>
      </c>
    </row>
    <row r="821" spans="1:27" x14ac:dyDescent="0.2">
      <c r="C821" s="29" t="str">
        <f>"Объем: "&amp;Source!I1010&amp;"=("&amp;Source!I1008&amp;")/"&amp;"100"</f>
        <v>Объем: 0,0918=(9,180002216)/100</v>
      </c>
    </row>
    <row r="822" spans="1:27" ht="14.25" x14ac:dyDescent="0.2">
      <c r="A822" s="22"/>
      <c r="B822" s="23"/>
      <c r="C822" s="23" t="s">
        <v>970</v>
      </c>
      <c r="D822" s="25"/>
      <c r="E822" s="10"/>
      <c r="F822" s="27">
        <f>Source!AO1010</f>
        <v>25.35</v>
      </c>
      <c r="G822" s="26" t="str">
        <f>Source!DG1010</f>
        <v/>
      </c>
      <c r="H822" s="10">
        <f>Source!AV1010</f>
        <v>1</v>
      </c>
      <c r="I822" s="28">
        <f>ROUND((ROUND((Source!AF1010*Source!AV1010*Source!I1010),2)),2)</f>
        <v>2.33</v>
      </c>
      <c r="J822" s="10">
        <f>IF(Source!BA1010&lt;&gt; 0, Source!BA1010, 1)</f>
        <v>24.53</v>
      </c>
      <c r="K822" s="28">
        <f>Source!S1010</f>
        <v>57.15</v>
      </c>
      <c r="W822">
        <f>I822</f>
        <v>2.33</v>
      </c>
    </row>
    <row r="823" spans="1:27" ht="14.25" x14ac:dyDescent="0.2">
      <c r="A823" s="22"/>
      <c r="B823" s="23"/>
      <c r="C823" s="23" t="s">
        <v>971</v>
      </c>
      <c r="D823" s="25"/>
      <c r="E823" s="10"/>
      <c r="F823" s="27">
        <f>Source!AM1010</f>
        <v>1.5</v>
      </c>
      <c r="G823" s="26" t="str">
        <f>Source!DE1010</f>
        <v/>
      </c>
      <c r="H823" s="10">
        <f>Source!AV1010</f>
        <v>1</v>
      </c>
      <c r="I823" s="28">
        <f>(ROUND((ROUND(((Source!ET1010)*Source!AV1010*Source!I1010),2)),2)+ROUND((ROUND(((Source!AE1010-(Source!EU1010))*Source!AV1010*Source!I1010),2)),2))</f>
        <v>0.14000000000000001</v>
      </c>
      <c r="J823" s="10">
        <f>IF(Source!BB1010&lt;&gt; 0, Source!BB1010, 1)</f>
        <v>9.5399999999999991</v>
      </c>
      <c r="K823" s="28">
        <f>Source!Q1010</f>
        <v>1.34</v>
      </c>
    </row>
    <row r="824" spans="1:27" ht="14.25" x14ac:dyDescent="0.2">
      <c r="A824" s="22"/>
      <c r="B824" s="23"/>
      <c r="C824" s="23" t="s">
        <v>972</v>
      </c>
      <c r="D824" s="25"/>
      <c r="E824" s="10"/>
      <c r="F824" s="27">
        <f>Source!AN1010</f>
        <v>0.31</v>
      </c>
      <c r="G824" s="26" t="str">
        <f>Source!DF1010</f>
        <v/>
      </c>
      <c r="H824" s="10">
        <f>Source!AV1010</f>
        <v>1</v>
      </c>
      <c r="I824" s="30">
        <f>ROUND((ROUND((Source!AE1010*Source!AV1010*Source!I1010),2)),2)</f>
        <v>0.03</v>
      </c>
      <c r="J824" s="10">
        <f>IF(Source!BS1010&lt;&gt; 0, Source!BS1010, 1)</f>
        <v>24.53</v>
      </c>
      <c r="K824" s="30">
        <f>Source!R1010</f>
        <v>0.74</v>
      </c>
      <c r="W824">
        <f>I824</f>
        <v>0.03</v>
      </c>
    </row>
    <row r="825" spans="1:27" ht="14.25" x14ac:dyDescent="0.2">
      <c r="A825" s="22"/>
      <c r="B825" s="23"/>
      <c r="C825" s="23" t="s">
        <v>973</v>
      </c>
      <c r="D825" s="25"/>
      <c r="E825" s="10"/>
      <c r="F825" s="27">
        <f>Source!AL1010</f>
        <v>287.64999999999998</v>
      </c>
      <c r="G825" s="26" t="str">
        <f>Source!DD1010</f>
        <v/>
      </c>
      <c r="H825" s="10">
        <f>Source!AW1010</f>
        <v>1</v>
      </c>
      <c r="I825" s="28">
        <f>ROUND((ROUND((Source!AC1010*Source!AW1010*Source!I1010),2)),2)</f>
        <v>26.41</v>
      </c>
      <c r="J825" s="10">
        <f>IF(Source!BC1010&lt;&gt; 0, Source!BC1010, 1)</f>
        <v>1.77</v>
      </c>
      <c r="K825" s="28">
        <f>Source!P1010</f>
        <v>46.75</v>
      </c>
    </row>
    <row r="826" spans="1:27" ht="14.25" x14ac:dyDescent="0.2">
      <c r="A826" s="22"/>
      <c r="B826" s="23"/>
      <c r="C826" s="23" t="s">
        <v>974</v>
      </c>
      <c r="D826" s="25" t="s">
        <v>975</v>
      </c>
      <c r="E826" s="10">
        <f>Source!DN1010</f>
        <v>105</v>
      </c>
      <c r="F826" s="27"/>
      <c r="G826" s="26"/>
      <c r="H826" s="10"/>
      <c r="I826" s="28">
        <f>SUM(Q820:Q825)</f>
        <v>2.4500000000000002</v>
      </c>
      <c r="J826" s="10">
        <f>Source!BZ1010</f>
        <v>85</v>
      </c>
      <c r="K826" s="28">
        <f>SUM(R820:R825)</f>
        <v>48.58</v>
      </c>
    </row>
    <row r="827" spans="1:27" ht="14.25" x14ac:dyDescent="0.2">
      <c r="A827" s="22"/>
      <c r="B827" s="23"/>
      <c r="C827" s="23" t="s">
        <v>976</v>
      </c>
      <c r="D827" s="25" t="s">
        <v>975</v>
      </c>
      <c r="E827" s="10">
        <f>Source!DO1010</f>
        <v>77</v>
      </c>
      <c r="F827" s="27"/>
      <c r="G827" s="26"/>
      <c r="H827" s="10"/>
      <c r="I827" s="28">
        <f>SUM(S820:S826)</f>
        <v>1.79</v>
      </c>
      <c r="J827" s="10">
        <f>Source!CA1010</f>
        <v>41</v>
      </c>
      <c r="K827" s="28">
        <f>SUM(T820:T826)</f>
        <v>23.43</v>
      </c>
    </row>
    <row r="828" spans="1:27" ht="14.25" x14ac:dyDescent="0.2">
      <c r="A828" s="22"/>
      <c r="B828" s="23"/>
      <c r="C828" s="23" t="s">
        <v>977</v>
      </c>
      <c r="D828" s="25" t="s">
        <v>975</v>
      </c>
      <c r="E828" s="10">
        <f>175</f>
        <v>175</v>
      </c>
      <c r="F828" s="27"/>
      <c r="G828" s="26"/>
      <c r="H828" s="10"/>
      <c r="I828" s="28">
        <f>SUM(U820:U827)</f>
        <v>0.05</v>
      </c>
      <c r="J828" s="10">
        <f>157</f>
        <v>157</v>
      </c>
      <c r="K828" s="28">
        <f>SUM(V820:V827)</f>
        <v>1.1599999999999999</v>
      </c>
    </row>
    <row r="829" spans="1:27" ht="14.25" x14ac:dyDescent="0.2">
      <c r="A829" s="22"/>
      <c r="B829" s="23"/>
      <c r="C829" s="23" t="s">
        <v>978</v>
      </c>
      <c r="D829" s="25" t="s">
        <v>979</v>
      </c>
      <c r="E829" s="10">
        <f>Source!AQ1010</f>
        <v>2.13</v>
      </c>
      <c r="F829" s="27"/>
      <c r="G829" s="26" t="str">
        <f>Source!DI1010</f>
        <v/>
      </c>
      <c r="H829" s="10">
        <f>Source!AV1010</f>
        <v>1</v>
      </c>
      <c r="I829" s="28">
        <f>Source!U1010</f>
        <v>0.19553400000000001</v>
      </c>
      <c r="J829" s="10"/>
      <c r="K829" s="28"/>
    </row>
    <row r="830" spans="1:27" ht="15" x14ac:dyDescent="0.25">
      <c r="A830" s="32"/>
      <c r="B830" s="32"/>
      <c r="C830" s="32"/>
      <c r="D830" s="32"/>
      <c r="E830" s="32"/>
      <c r="F830" s="32"/>
      <c r="G830" s="32"/>
      <c r="H830" s="101">
        <f>I822+I823+I825+I826+I827+I828</f>
        <v>33.169999999999995</v>
      </c>
      <c r="I830" s="101"/>
      <c r="J830" s="101">
        <f>K822+K823+K825+K826+K827+K828</f>
        <v>178.41</v>
      </c>
      <c r="K830" s="101"/>
      <c r="O830" s="31">
        <f>I822+I823+I825+I826+I827+I828</f>
        <v>33.169999999999995</v>
      </c>
      <c r="P830" s="31">
        <f>K822+K823+K825+K826+K827+K828</f>
        <v>178.41</v>
      </c>
      <c r="X830">
        <f>IF(Source!BI1010&lt;=1,I822+I823+I825+I826+I827+I828-0, 0)</f>
        <v>33.169999999999995</v>
      </c>
      <c r="Y830">
        <f>IF(Source!BI1010=2,I822+I823+I825+I826+I827+I828-0, 0)</f>
        <v>0</v>
      </c>
      <c r="Z830">
        <f>IF(Source!BI1010=3,I822+I823+I825+I826+I827+I828-0, 0)</f>
        <v>0</v>
      </c>
      <c r="AA830">
        <f>IF(Source!BI1010=4,I822+I823+I825+I826+I827+I828,0)</f>
        <v>0</v>
      </c>
    </row>
    <row r="832" spans="1:27" ht="15" x14ac:dyDescent="0.25">
      <c r="A832" s="100" t="str">
        <f>CONCATENATE("Итого по разделу: ",IF(Source!G1012&lt;&gt;"Новый раздел", Source!G1012, ""))</f>
        <v>Итого по разделу: 36. Установка ограждения детской площадки 1,2 м</v>
      </c>
      <c r="B832" s="100"/>
      <c r="C832" s="100"/>
      <c r="D832" s="100"/>
      <c r="E832" s="100"/>
      <c r="F832" s="100"/>
      <c r="G832" s="100"/>
      <c r="H832" s="98">
        <f>SUM(O761:O831)</f>
        <v>233058.68000000002</v>
      </c>
      <c r="I832" s="99"/>
      <c r="J832" s="98">
        <f>SUM(P761:P831)</f>
        <v>1978724.89</v>
      </c>
      <c r="K832" s="99"/>
    </row>
    <row r="833" spans="1:27" hidden="1" x14ac:dyDescent="0.2">
      <c r="A833" t="s">
        <v>980</v>
      </c>
      <c r="I833">
        <f>SUM(AC761:AC832)</f>
        <v>0</v>
      </c>
      <c r="J833">
        <f>SUM(AD761:AD832)</f>
        <v>0</v>
      </c>
    </row>
    <row r="834" spans="1:27" hidden="1" x14ac:dyDescent="0.2">
      <c r="A834" t="s">
        <v>981</v>
      </c>
      <c r="I834">
        <f>SUM(AE761:AE833)</f>
        <v>0</v>
      </c>
      <c r="J834">
        <f>SUM(AF761:AF833)</f>
        <v>0</v>
      </c>
    </row>
    <row r="835" spans="1:27" ht="14.25" x14ac:dyDescent="0.2">
      <c r="C835" s="96" t="str">
        <f>Source!H1041</f>
        <v>ндс</v>
      </c>
      <c r="D835" s="96"/>
      <c r="E835" s="96"/>
      <c r="F835" s="96"/>
      <c r="G835" s="96"/>
      <c r="H835" s="96"/>
      <c r="I835" s="96"/>
      <c r="J835" s="97">
        <f>IF(Source!F1041=0, "", Source!F1041)</f>
        <v>2374469.87</v>
      </c>
      <c r="K835" s="97"/>
    </row>
    <row r="837" spans="1:27" ht="16.5" x14ac:dyDescent="0.25">
      <c r="A837" s="102" t="str">
        <f>CONCATENATE("Раздел: ",IF(Source!G1145&lt;&gt;"Новый раздел", Source!G1145, ""))</f>
        <v>Раздел: 41. Установка информационных и дорожных знаков</v>
      </c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</row>
    <row r="838" spans="1:27" ht="28.5" x14ac:dyDescent="0.2">
      <c r="A838" s="22" t="str">
        <f>Source!E1149</f>
        <v>100</v>
      </c>
      <c r="B838" s="23" t="str">
        <f>Source!F1149</f>
        <v>3.27-71-1</v>
      </c>
      <c r="C838" s="23" t="s">
        <v>557</v>
      </c>
      <c r="D838" s="25" t="str">
        <f>Source!H1149</f>
        <v>100 знаков</v>
      </c>
      <c r="E838" s="10">
        <f>Source!I1149</f>
        <v>0.2</v>
      </c>
      <c r="F838" s="27"/>
      <c r="G838" s="26"/>
      <c r="H838" s="10"/>
      <c r="I838" s="28"/>
      <c r="J838" s="10"/>
      <c r="K838" s="28"/>
      <c r="Q838">
        <f>ROUND((Source!DN1149/100)*ROUND((ROUND((Source!AF1149*Source!AV1149*Source!I1149),2)),2), 2)</f>
        <v>699.31</v>
      </c>
      <c r="R838">
        <f>Source!X1149</f>
        <v>13886.65</v>
      </c>
      <c r="S838">
        <f>ROUND((Source!DO1149/100)*ROUND((ROUND((Source!AF1149*Source!AV1149*Source!I1149),2)),2), 2)</f>
        <v>512.83000000000004</v>
      </c>
      <c r="T838">
        <f>Source!Y1149</f>
        <v>6698.26</v>
      </c>
      <c r="U838">
        <f>ROUND((175/100)*ROUND((ROUND((Source!AE1149*Source!AV1149*Source!I1149),2)),2), 2)</f>
        <v>86.78</v>
      </c>
      <c r="V838">
        <f>ROUND((157/100)*ROUND(ROUND((ROUND((Source!AE1149*Source!AV1149*Source!I1149),2)*Source!BS1149),2), 2), 2)</f>
        <v>1909.81</v>
      </c>
    </row>
    <row r="839" spans="1:27" x14ac:dyDescent="0.2">
      <c r="C839" s="29" t="str">
        <f>"Объем: "&amp;Source!I1149&amp;"=20/"&amp;"100"</f>
        <v>Объем: 0,2=20/100</v>
      </c>
    </row>
    <row r="840" spans="1:27" ht="14.25" x14ac:dyDescent="0.2">
      <c r="A840" s="22"/>
      <c r="B840" s="23"/>
      <c r="C840" s="23" t="s">
        <v>970</v>
      </c>
      <c r="D840" s="25"/>
      <c r="E840" s="10"/>
      <c r="F840" s="27">
        <f>Source!AO1149</f>
        <v>3330.07</v>
      </c>
      <c r="G840" s="26" t="str">
        <f>Source!DG1149</f>
        <v/>
      </c>
      <c r="H840" s="10">
        <f>Source!AV1149</f>
        <v>1</v>
      </c>
      <c r="I840" s="28">
        <f>ROUND((ROUND((Source!AF1149*Source!AV1149*Source!I1149),2)),2)</f>
        <v>666.01</v>
      </c>
      <c r="J840" s="10">
        <f>IF(Source!BA1149&lt;&gt; 0, Source!BA1149, 1)</f>
        <v>24.53</v>
      </c>
      <c r="K840" s="28">
        <f>Source!S1149</f>
        <v>16337.23</v>
      </c>
      <c r="W840">
        <f>I840</f>
        <v>666.01</v>
      </c>
    </row>
    <row r="841" spans="1:27" ht="14.25" x14ac:dyDescent="0.2">
      <c r="A841" s="22"/>
      <c r="B841" s="23"/>
      <c r="C841" s="23" t="s">
        <v>971</v>
      </c>
      <c r="D841" s="25"/>
      <c r="E841" s="10"/>
      <c r="F841" s="27">
        <f>Source!AM1149</f>
        <v>1115.29</v>
      </c>
      <c r="G841" s="26" t="str">
        <f>Source!DE1149</f>
        <v/>
      </c>
      <c r="H841" s="10">
        <f>Source!AV1149</f>
        <v>1</v>
      </c>
      <c r="I841" s="28">
        <f>(ROUND((ROUND(((Source!ET1149)*Source!AV1149*Source!I1149),2)),2)+ROUND((ROUND(((Source!AE1149-(Source!EU1149))*Source!AV1149*Source!I1149),2)),2))</f>
        <v>223.06</v>
      </c>
      <c r="J841" s="10">
        <f>IF(Source!BB1149&lt;&gt; 0, Source!BB1149, 1)</f>
        <v>12.65</v>
      </c>
      <c r="K841" s="28">
        <f>Source!Q1149</f>
        <v>2821.71</v>
      </c>
    </row>
    <row r="842" spans="1:27" ht="14.25" x14ac:dyDescent="0.2">
      <c r="A842" s="22"/>
      <c r="B842" s="23"/>
      <c r="C842" s="23" t="s">
        <v>972</v>
      </c>
      <c r="D842" s="25"/>
      <c r="E842" s="10"/>
      <c r="F842" s="27">
        <f>Source!AN1149</f>
        <v>247.94</v>
      </c>
      <c r="G842" s="26" t="str">
        <f>Source!DF1149</f>
        <v/>
      </c>
      <c r="H842" s="10">
        <f>Source!AV1149</f>
        <v>1</v>
      </c>
      <c r="I842" s="30">
        <f>ROUND((ROUND((Source!AE1149*Source!AV1149*Source!I1149),2)),2)</f>
        <v>49.59</v>
      </c>
      <c r="J842" s="10">
        <f>IF(Source!BS1149&lt;&gt; 0, Source!BS1149, 1)</f>
        <v>24.53</v>
      </c>
      <c r="K842" s="30">
        <f>Source!R1149</f>
        <v>1216.44</v>
      </c>
      <c r="W842">
        <f>I842</f>
        <v>49.59</v>
      </c>
    </row>
    <row r="843" spans="1:27" ht="14.25" x14ac:dyDescent="0.2">
      <c r="A843" s="22"/>
      <c r="B843" s="23"/>
      <c r="C843" s="23" t="s">
        <v>973</v>
      </c>
      <c r="D843" s="25"/>
      <c r="E843" s="10"/>
      <c r="F843" s="27">
        <f>Source!AL1149</f>
        <v>1181.68</v>
      </c>
      <c r="G843" s="26" t="str">
        <f>Source!DD1149</f>
        <v/>
      </c>
      <c r="H843" s="10">
        <f>Source!AW1149</f>
        <v>1</v>
      </c>
      <c r="I843" s="28">
        <f>ROUND((ROUND((Source!AC1149*Source!AW1149*Source!I1149),2)),2)</f>
        <v>236.34</v>
      </c>
      <c r="J843" s="10">
        <f>IF(Source!BC1149&lt;&gt; 0, Source!BC1149, 1)</f>
        <v>3.82</v>
      </c>
      <c r="K843" s="28">
        <f>Source!P1149</f>
        <v>902.82</v>
      </c>
    </row>
    <row r="844" spans="1:27" ht="42.75" x14ac:dyDescent="0.2">
      <c r="A844" s="22" t="str">
        <f>Source!E1150</f>
        <v>100,1</v>
      </c>
      <c r="B844" s="23" t="str">
        <f>Source!F1150</f>
        <v>1.7-13-5</v>
      </c>
      <c r="C844" s="23" t="s">
        <v>564</v>
      </c>
      <c r="D844" s="25" t="str">
        <f>Source!H1150</f>
        <v>шт.</v>
      </c>
      <c r="E844" s="10">
        <f>Source!I1150</f>
        <v>20</v>
      </c>
      <c r="F844" s="27">
        <f>Source!AK1150</f>
        <v>636.66</v>
      </c>
      <c r="G844" s="33" t="s">
        <v>3</v>
      </c>
      <c r="H844" s="10">
        <f>Source!AW1150</f>
        <v>1</v>
      </c>
      <c r="I844" s="28">
        <f>ROUND((ROUND((Source!AC1150*Source!AW1150*Source!I1150),2)),2)+(ROUND((ROUND(((Source!ET1150)*Source!AV1150*Source!I1150),2)),2)+ROUND((ROUND(((Source!AE1150-(Source!EU1150))*Source!AV1150*Source!I1150),2)),2))+ROUND((ROUND((Source!AF1150*Source!AV1150*Source!I1150),2)),2)</f>
        <v>12733.2</v>
      </c>
      <c r="J844" s="10">
        <f>IF(Source!BC1150&lt;&gt; 0, Source!BC1150, 1)</f>
        <v>1.28</v>
      </c>
      <c r="K844" s="28">
        <f>Source!O1150</f>
        <v>16298.5</v>
      </c>
      <c r="Q844">
        <f>ROUND((Source!DN1150/100)*ROUND((ROUND((Source!AF1150*Source!AV1150*Source!I1150),2)),2), 2)</f>
        <v>0</v>
      </c>
      <c r="R844">
        <f>Source!X1150</f>
        <v>0</v>
      </c>
      <c r="S844">
        <f>ROUND((Source!DO1150/100)*ROUND((ROUND((Source!AF1150*Source!AV1150*Source!I1150),2)),2), 2)</f>
        <v>0</v>
      </c>
      <c r="T844">
        <f>Source!Y1150</f>
        <v>0</v>
      </c>
      <c r="U844">
        <f>ROUND((175/100)*ROUND((ROUND((Source!AE1150*Source!AV1150*Source!I1150),2)),2), 2)</f>
        <v>0</v>
      </c>
      <c r="V844">
        <f>ROUND((157/100)*ROUND(ROUND((ROUND((Source!AE1150*Source!AV1150*Source!I1150),2)*Source!BS1150),2), 2), 2)</f>
        <v>0</v>
      </c>
      <c r="X844">
        <f>IF(Source!BI1150&lt;=1,I844, 0)</f>
        <v>12733.2</v>
      </c>
      <c r="Y844">
        <f>IF(Source!BI1150=2,I844, 0)</f>
        <v>0</v>
      </c>
      <c r="Z844">
        <f>IF(Source!BI1150=3,I844, 0)</f>
        <v>0</v>
      </c>
      <c r="AA844">
        <f>IF(Source!BI1150=4,I844, 0)</f>
        <v>0</v>
      </c>
    </row>
    <row r="845" spans="1:27" ht="28.5" x14ac:dyDescent="0.2">
      <c r="A845" s="22" t="str">
        <f>Source!E1151</f>
        <v>100,2</v>
      </c>
      <c r="B845" s="23" t="str">
        <f>Source!F1151</f>
        <v>1.7-13-100</v>
      </c>
      <c r="C845" s="23" t="s">
        <v>568</v>
      </c>
      <c r="D845" s="25" t="str">
        <f>Source!H1151</f>
        <v>м</v>
      </c>
      <c r="E845" s="10">
        <f>Source!I1151</f>
        <v>30</v>
      </c>
      <c r="F845" s="27">
        <f>Source!AK1151</f>
        <v>191.48</v>
      </c>
      <c r="G845" s="33" t="s">
        <v>3</v>
      </c>
      <c r="H845" s="10">
        <f>Source!AW1151</f>
        <v>1</v>
      </c>
      <c r="I845" s="28">
        <f>ROUND((ROUND((Source!AC1151*Source!AW1151*Source!I1151),2)),2)+(ROUND((ROUND(((Source!ET1151)*Source!AV1151*Source!I1151),2)),2)+ROUND((ROUND(((Source!AE1151-(Source!EU1151))*Source!AV1151*Source!I1151),2)),2))+ROUND((ROUND((Source!AF1151*Source!AV1151*Source!I1151),2)),2)</f>
        <v>5744.4</v>
      </c>
      <c r="J845" s="10">
        <f>IF(Source!BC1151&lt;&gt; 0, Source!BC1151, 1)</f>
        <v>2.68</v>
      </c>
      <c r="K845" s="28">
        <f>Source!O1151</f>
        <v>15394.99</v>
      </c>
      <c r="Q845">
        <f>ROUND((Source!DN1151/100)*ROUND((ROUND((Source!AF1151*Source!AV1151*Source!I1151),2)),2), 2)</f>
        <v>0</v>
      </c>
      <c r="R845">
        <f>Source!X1151</f>
        <v>0</v>
      </c>
      <c r="S845">
        <f>ROUND((Source!DO1151/100)*ROUND((ROUND((Source!AF1151*Source!AV1151*Source!I1151),2)),2), 2)</f>
        <v>0</v>
      </c>
      <c r="T845">
        <f>Source!Y1151</f>
        <v>0</v>
      </c>
      <c r="U845">
        <f>ROUND((175/100)*ROUND((ROUND((Source!AE1151*Source!AV1151*Source!I1151),2)),2), 2)</f>
        <v>0</v>
      </c>
      <c r="V845">
        <f>ROUND((157/100)*ROUND(ROUND((ROUND((Source!AE1151*Source!AV1151*Source!I1151),2)*Source!BS1151),2), 2), 2)</f>
        <v>0</v>
      </c>
      <c r="X845">
        <f>IF(Source!BI1151&lt;=1,I845, 0)</f>
        <v>5744.4</v>
      </c>
      <c r="Y845">
        <f>IF(Source!BI1151=2,I845, 0)</f>
        <v>0</v>
      </c>
      <c r="Z845">
        <f>IF(Source!BI1151=3,I845, 0)</f>
        <v>0</v>
      </c>
      <c r="AA845">
        <f>IF(Source!BI1151=4,I845, 0)</f>
        <v>0</v>
      </c>
    </row>
    <row r="846" spans="1:27" ht="28.5" x14ac:dyDescent="0.2">
      <c r="A846" s="22" t="str">
        <f>Source!E1152</f>
        <v>100,3</v>
      </c>
      <c r="B846" s="23" t="str">
        <f>Source!F1152</f>
        <v>1.7-13-101</v>
      </c>
      <c r="C846" s="23" t="s">
        <v>573</v>
      </c>
      <c r="D846" s="25" t="str">
        <f>Source!H1152</f>
        <v>шт.</v>
      </c>
      <c r="E846" s="10">
        <f>Source!I1152</f>
        <v>20</v>
      </c>
      <c r="F846" s="27">
        <f>Source!AK1152</f>
        <v>47.28</v>
      </c>
      <c r="G846" s="33" t="s">
        <v>3</v>
      </c>
      <c r="H846" s="10">
        <f>Source!AW1152</f>
        <v>1</v>
      </c>
      <c r="I846" s="28">
        <f>ROUND((ROUND((Source!AC1152*Source!AW1152*Source!I1152),2)),2)+(ROUND((ROUND(((Source!ET1152)*Source!AV1152*Source!I1152),2)),2)+ROUND((ROUND(((Source!AE1152-(Source!EU1152))*Source!AV1152*Source!I1152),2)),2))+ROUND((ROUND((Source!AF1152*Source!AV1152*Source!I1152),2)),2)</f>
        <v>945.6</v>
      </c>
      <c r="J846" s="10">
        <f>IF(Source!BC1152&lt;&gt; 0, Source!BC1152, 1)</f>
        <v>1.17</v>
      </c>
      <c r="K846" s="28">
        <f>Source!O1152</f>
        <v>1106.3499999999999</v>
      </c>
      <c r="Q846">
        <f>ROUND((Source!DN1152/100)*ROUND((ROUND((Source!AF1152*Source!AV1152*Source!I1152),2)),2), 2)</f>
        <v>0</v>
      </c>
      <c r="R846">
        <f>Source!X1152</f>
        <v>0</v>
      </c>
      <c r="S846">
        <f>ROUND((Source!DO1152/100)*ROUND((ROUND((Source!AF1152*Source!AV1152*Source!I1152),2)),2), 2)</f>
        <v>0</v>
      </c>
      <c r="T846">
        <f>Source!Y1152</f>
        <v>0</v>
      </c>
      <c r="U846">
        <f>ROUND((175/100)*ROUND((ROUND((Source!AE1152*Source!AV1152*Source!I1152),2)),2), 2)</f>
        <v>0</v>
      </c>
      <c r="V846">
        <f>ROUND((157/100)*ROUND(ROUND((ROUND((Source!AE1152*Source!AV1152*Source!I1152),2)*Source!BS1152),2), 2), 2)</f>
        <v>0</v>
      </c>
      <c r="X846">
        <f>IF(Source!BI1152&lt;=1,I846, 0)</f>
        <v>945.6</v>
      </c>
      <c r="Y846">
        <f>IF(Source!BI1152=2,I846, 0)</f>
        <v>0</v>
      </c>
      <c r="Z846">
        <f>IF(Source!BI1152=3,I846, 0)</f>
        <v>0</v>
      </c>
      <c r="AA846">
        <f>IF(Source!BI1152=4,I846, 0)</f>
        <v>0</v>
      </c>
    </row>
    <row r="847" spans="1:27" ht="14.25" x14ac:dyDescent="0.2">
      <c r="A847" s="22"/>
      <c r="B847" s="23"/>
      <c r="C847" s="23" t="s">
        <v>974</v>
      </c>
      <c r="D847" s="25" t="s">
        <v>975</v>
      </c>
      <c r="E847" s="10">
        <f>Source!DN1149</f>
        <v>105</v>
      </c>
      <c r="F847" s="27"/>
      <c r="G847" s="26"/>
      <c r="H847" s="10"/>
      <c r="I847" s="28">
        <f>SUM(Q838:Q846)</f>
        <v>699.31</v>
      </c>
      <c r="J847" s="10">
        <f>Source!BZ1149</f>
        <v>85</v>
      </c>
      <c r="K847" s="28">
        <f>SUM(R838:R846)</f>
        <v>13886.65</v>
      </c>
    </row>
    <row r="848" spans="1:27" ht="14.25" x14ac:dyDescent="0.2">
      <c r="A848" s="22"/>
      <c r="B848" s="23"/>
      <c r="C848" s="23" t="s">
        <v>976</v>
      </c>
      <c r="D848" s="25" t="s">
        <v>975</v>
      </c>
      <c r="E848" s="10">
        <f>Source!DO1149</f>
        <v>77</v>
      </c>
      <c r="F848" s="27"/>
      <c r="G848" s="26"/>
      <c r="H848" s="10"/>
      <c r="I848" s="28">
        <f>SUM(S838:S847)</f>
        <v>512.83000000000004</v>
      </c>
      <c r="J848" s="10">
        <f>Source!CA1149</f>
        <v>41</v>
      </c>
      <c r="K848" s="28">
        <f>SUM(T838:T847)</f>
        <v>6698.26</v>
      </c>
    </row>
    <row r="849" spans="1:27" ht="14.25" x14ac:dyDescent="0.2">
      <c r="A849" s="22"/>
      <c r="B849" s="23"/>
      <c r="C849" s="23" t="s">
        <v>977</v>
      </c>
      <c r="D849" s="25" t="s">
        <v>975</v>
      </c>
      <c r="E849" s="10">
        <f>175</f>
        <v>175</v>
      </c>
      <c r="F849" s="27"/>
      <c r="G849" s="26"/>
      <c r="H849" s="10"/>
      <c r="I849" s="28">
        <f>SUM(U838:U848)</f>
        <v>86.78</v>
      </c>
      <c r="J849" s="10">
        <f>157</f>
        <v>157</v>
      </c>
      <c r="K849" s="28">
        <f>SUM(V838:V848)</f>
        <v>1909.81</v>
      </c>
    </row>
    <row r="850" spans="1:27" ht="14.25" x14ac:dyDescent="0.2">
      <c r="A850" s="22"/>
      <c r="B850" s="23"/>
      <c r="C850" s="23" t="s">
        <v>978</v>
      </c>
      <c r="D850" s="25" t="s">
        <v>979</v>
      </c>
      <c r="E850" s="10">
        <f>Source!AQ1149</f>
        <v>297.86</v>
      </c>
      <c r="F850" s="27"/>
      <c r="G850" s="26" t="str">
        <f>Source!DI1149</f>
        <v/>
      </c>
      <c r="H850" s="10">
        <f>Source!AV1149</f>
        <v>1</v>
      </c>
      <c r="I850" s="28">
        <f>Source!U1149</f>
        <v>59.572000000000003</v>
      </c>
      <c r="J850" s="10"/>
      <c r="K850" s="28"/>
    </row>
    <row r="851" spans="1:27" ht="15" x14ac:dyDescent="0.25">
      <c r="A851" s="32"/>
      <c r="B851" s="32"/>
      <c r="C851" s="32"/>
      <c r="D851" s="32"/>
      <c r="E851" s="32"/>
      <c r="F851" s="32"/>
      <c r="G851" s="32"/>
      <c r="H851" s="101">
        <f>I840+I841+I843+I847+I848+I849+SUM(I844:I846)</f>
        <v>21847.53</v>
      </c>
      <c r="I851" s="101"/>
      <c r="J851" s="101">
        <f>K840+K841+K843+K847+K848+K849+SUM(K844:K846)</f>
        <v>75356.319999999992</v>
      </c>
      <c r="K851" s="101"/>
      <c r="O851" s="31">
        <f>I840+I841+I843+I847+I848+I849+SUM(I844:I846)</f>
        <v>21847.53</v>
      </c>
      <c r="P851" s="31">
        <f>K840+K841+K843+K847+K848+K849+SUM(K844:K846)</f>
        <v>75356.319999999992</v>
      </c>
      <c r="X851">
        <f>IF(Source!BI1149&lt;=1,I840+I841+I843+I847+I848+I849-0, 0)</f>
        <v>2424.33</v>
      </c>
      <c r="Y851">
        <f>IF(Source!BI1149=2,I840+I841+I843+I847+I848+I849-0, 0)</f>
        <v>0</v>
      </c>
      <c r="Z851">
        <f>IF(Source!BI1149=3,I840+I841+I843+I847+I848+I849-0, 0)</f>
        <v>0</v>
      </c>
      <c r="AA851">
        <f>IF(Source!BI1149=4,I840+I841+I843+I847+I848+I849,0)</f>
        <v>0</v>
      </c>
    </row>
    <row r="852" spans="1:27" ht="28.5" x14ac:dyDescent="0.2">
      <c r="A852" s="22" t="str">
        <f>Source!E1153</f>
        <v>101</v>
      </c>
      <c r="B852" s="23" t="str">
        <f>Source!F1153</f>
        <v>3.27-72-1</v>
      </c>
      <c r="C852" s="23" t="s">
        <v>577</v>
      </c>
      <c r="D852" s="25" t="str">
        <f>Source!H1153</f>
        <v>100 знаков</v>
      </c>
      <c r="E852" s="10">
        <f>Source!I1153</f>
        <v>0.2</v>
      </c>
      <c r="F852" s="27"/>
      <c r="G852" s="26"/>
      <c r="H852" s="10"/>
      <c r="I852" s="28"/>
      <c r="J852" s="10"/>
      <c r="K852" s="28"/>
      <c r="Q852">
        <f>ROUND((Source!DN1153/100)*ROUND((ROUND((Source!AF1153*Source!AV1153*Source!I1153),2)),2), 2)</f>
        <v>176.63</v>
      </c>
      <c r="R852">
        <f>Source!X1153</f>
        <v>3507.47</v>
      </c>
      <c r="S852">
        <f>ROUND((Source!DO1153/100)*ROUND((ROUND((Source!AF1153*Source!AV1153*Source!I1153),2)),2), 2)</f>
        <v>129.53</v>
      </c>
      <c r="T852">
        <f>Source!Y1153</f>
        <v>1691.84</v>
      </c>
      <c r="U852">
        <f>ROUND((175/100)*ROUND((ROUND((Source!AE1153*Source!AV1153*Source!I1153),2)),2), 2)</f>
        <v>0</v>
      </c>
      <c r="V852">
        <f>ROUND((157/100)*ROUND(ROUND((ROUND((Source!AE1153*Source!AV1153*Source!I1153),2)*Source!BS1153),2), 2), 2)</f>
        <v>0</v>
      </c>
    </row>
    <row r="853" spans="1:27" x14ac:dyDescent="0.2">
      <c r="C853" s="29" t="str">
        <f>"Объем: "&amp;Source!I1153&amp;"=20/"&amp;"100"</f>
        <v>Объем: 0,2=20/100</v>
      </c>
    </row>
    <row r="854" spans="1:27" ht="14.25" x14ac:dyDescent="0.2">
      <c r="A854" s="22"/>
      <c r="B854" s="23"/>
      <c r="C854" s="23" t="s">
        <v>970</v>
      </c>
      <c r="D854" s="25"/>
      <c r="E854" s="10"/>
      <c r="F854" s="27">
        <f>Source!AO1153</f>
        <v>841.11</v>
      </c>
      <c r="G854" s="26" t="str">
        <f>Source!DG1153</f>
        <v/>
      </c>
      <c r="H854" s="10">
        <f>Source!AV1153</f>
        <v>1</v>
      </c>
      <c r="I854" s="28">
        <f>ROUND((ROUND((Source!AF1153*Source!AV1153*Source!I1153),2)),2)</f>
        <v>168.22</v>
      </c>
      <c r="J854" s="10">
        <f>IF(Source!BA1153&lt;&gt; 0, Source!BA1153, 1)</f>
        <v>24.53</v>
      </c>
      <c r="K854" s="28">
        <f>Source!S1153</f>
        <v>4126.4399999999996</v>
      </c>
      <c r="W854">
        <f>I854</f>
        <v>168.22</v>
      </c>
    </row>
    <row r="855" spans="1:27" ht="14.25" x14ac:dyDescent="0.2">
      <c r="A855" s="22"/>
      <c r="B855" s="23"/>
      <c r="C855" s="23" t="s">
        <v>973</v>
      </c>
      <c r="D855" s="25"/>
      <c r="E855" s="10"/>
      <c r="F855" s="27">
        <f>Source!AL1153</f>
        <v>4728</v>
      </c>
      <c r="G855" s="26" t="str">
        <f>Source!DD1153</f>
        <v/>
      </c>
      <c r="H855" s="10">
        <f>Source!AW1153</f>
        <v>1</v>
      </c>
      <c r="I855" s="28">
        <f>ROUND((ROUND((Source!AC1153*Source!AW1153*Source!I1153),2)),2)</f>
        <v>945.6</v>
      </c>
      <c r="J855" s="10">
        <f>IF(Source!BC1153&lt;&gt; 0, Source!BC1153, 1)</f>
        <v>1.17</v>
      </c>
      <c r="K855" s="28">
        <f>Source!P1153</f>
        <v>1106.3499999999999</v>
      </c>
    </row>
    <row r="856" spans="1:27" ht="42.75" x14ac:dyDescent="0.2">
      <c r="A856" s="22" t="str">
        <f>Source!E1154</f>
        <v>101,1</v>
      </c>
      <c r="B856" s="23" t="str">
        <f>Source!F1154</f>
        <v>1.7-13-5</v>
      </c>
      <c r="C856" s="23" t="s">
        <v>564</v>
      </c>
      <c r="D856" s="25" t="str">
        <f>Source!H1154</f>
        <v>шт.</v>
      </c>
      <c r="E856" s="10">
        <f>Source!I1154</f>
        <v>20</v>
      </c>
      <c r="F856" s="27">
        <f>Source!AK1154</f>
        <v>636.66</v>
      </c>
      <c r="G856" s="33" t="s">
        <v>3</v>
      </c>
      <c r="H856" s="10">
        <f>Source!AW1154</f>
        <v>1</v>
      </c>
      <c r="I856" s="28">
        <f>ROUND((ROUND((Source!AC1154*Source!AW1154*Source!I1154),2)),2)+(ROUND((ROUND(((Source!ET1154)*Source!AV1154*Source!I1154),2)),2)+ROUND((ROUND(((Source!AE1154-(Source!EU1154))*Source!AV1154*Source!I1154),2)),2))+ROUND((ROUND((Source!AF1154*Source!AV1154*Source!I1154),2)),2)</f>
        <v>12733.2</v>
      </c>
      <c r="J856" s="10">
        <f>IF(Source!BC1154&lt;&gt; 0, Source!BC1154, 1)</f>
        <v>1.28</v>
      </c>
      <c r="K856" s="28">
        <f>Source!O1154</f>
        <v>16298.5</v>
      </c>
      <c r="Q856">
        <f>ROUND((Source!DN1154/100)*ROUND((ROUND((Source!AF1154*Source!AV1154*Source!I1154),2)),2), 2)</f>
        <v>0</v>
      </c>
      <c r="R856">
        <f>Source!X1154</f>
        <v>0</v>
      </c>
      <c r="S856">
        <f>ROUND((Source!DO1154/100)*ROUND((ROUND((Source!AF1154*Source!AV1154*Source!I1154),2)),2), 2)</f>
        <v>0</v>
      </c>
      <c r="T856">
        <f>Source!Y1154</f>
        <v>0</v>
      </c>
      <c r="U856">
        <f>ROUND((175/100)*ROUND((ROUND((Source!AE1154*Source!AV1154*Source!I1154),2)),2), 2)</f>
        <v>0</v>
      </c>
      <c r="V856">
        <f>ROUND((157/100)*ROUND(ROUND((ROUND((Source!AE1154*Source!AV1154*Source!I1154),2)*Source!BS1154),2), 2), 2)</f>
        <v>0</v>
      </c>
      <c r="X856">
        <f>IF(Source!BI1154&lt;=1,I856, 0)</f>
        <v>12733.2</v>
      </c>
      <c r="Y856">
        <f>IF(Source!BI1154=2,I856, 0)</f>
        <v>0</v>
      </c>
      <c r="Z856">
        <f>IF(Source!BI1154=3,I856, 0)</f>
        <v>0</v>
      </c>
      <c r="AA856">
        <f>IF(Source!BI1154=4,I856, 0)</f>
        <v>0</v>
      </c>
    </row>
    <row r="857" spans="1:27" ht="28.5" x14ac:dyDescent="0.2">
      <c r="A857" s="22" t="str">
        <f>Source!E1155</f>
        <v>101,2</v>
      </c>
      <c r="B857" s="23" t="str">
        <f>Source!F1155</f>
        <v>1.7-13-101</v>
      </c>
      <c r="C857" s="23" t="s">
        <v>573</v>
      </c>
      <c r="D857" s="25" t="str">
        <f>Source!H1155</f>
        <v>шт.</v>
      </c>
      <c r="E857" s="10">
        <f>Source!I1155</f>
        <v>20</v>
      </c>
      <c r="F857" s="27">
        <f>Source!AK1155</f>
        <v>47.28</v>
      </c>
      <c r="G857" s="33" t="s">
        <v>3</v>
      </c>
      <c r="H857" s="10">
        <f>Source!AW1155</f>
        <v>1</v>
      </c>
      <c r="I857" s="28">
        <f>ROUND((ROUND((Source!AC1155*Source!AW1155*Source!I1155),2)),2)+(ROUND((ROUND(((Source!ET1155)*Source!AV1155*Source!I1155),2)),2)+ROUND((ROUND(((Source!AE1155-(Source!EU1155))*Source!AV1155*Source!I1155),2)),2))+ROUND((ROUND((Source!AF1155*Source!AV1155*Source!I1155),2)),2)</f>
        <v>945.6</v>
      </c>
      <c r="J857" s="10">
        <f>IF(Source!BC1155&lt;&gt; 0, Source!BC1155, 1)</f>
        <v>1.17</v>
      </c>
      <c r="K857" s="28">
        <f>Source!O1155</f>
        <v>1106.3499999999999</v>
      </c>
      <c r="Q857">
        <f>ROUND((Source!DN1155/100)*ROUND((ROUND((Source!AF1155*Source!AV1155*Source!I1155),2)),2), 2)</f>
        <v>0</v>
      </c>
      <c r="R857">
        <f>Source!X1155</f>
        <v>0</v>
      </c>
      <c r="S857">
        <f>ROUND((Source!DO1155/100)*ROUND((ROUND((Source!AF1155*Source!AV1155*Source!I1155),2)),2), 2)</f>
        <v>0</v>
      </c>
      <c r="T857">
        <f>Source!Y1155</f>
        <v>0</v>
      </c>
      <c r="U857">
        <f>ROUND((175/100)*ROUND((ROUND((Source!AE1155*Source!AV1155*Source!I1155),2)),2), 2)</f>
        <v>0</v>
      </c>
      <c r="V857">
        <f>ROUND((157/100)*ROUND(ROUND((ROUND((Source!AE1155*Source!AV1155*Source!I1155),2)*Source!BS1155),2), 2), 2)</f>
        <v>0</v>
      </c>
      <c r="X857">
        <f>IF(Source!BI1155&lt;=1,I857, 0)</f>
        <v>945.6</v>
      </c>
      <c r="Y857">
        <f>IF(Source!BI1155=2,I857, 0)</f>
        <v>0</v>
      </c>
      <c r="Z857">
        <f>IF(Source!BI1155=3,I857, 0)</f>
        <v>0</v>
      </c>
      <c r="AA857">
        <f>IF(Source!BI1155=4,I857, 0)</f>
        <v>0</v>
      </c>
    </row>
    <row r="858" spans="1:27" ht="14.25" x14ac:dyDescent="0.2">
      <c r="A858" s="22"/>
      <c r="B858" s="23"/>
      <c r="C858" s="23" t="s">
        <v>974</v>
      </c>
      <c r="D858" s="25" t="s">
        <v>975</v>
      </c>
      <c r="E858" s="10">
        <f>Source!DN1153</f>
        <v>105</v>
      </c>
      <c r="F858" s="27"/>
      <c r="G858" s="26"/>
      <c r="H858" s="10"/>
      <c r="I858" s="28">
        <f>SUM(Q852:Q857)</f>
        <v>176.63</v>
      </c>
      <c r="J858" s="10">
        <f>Source!BZ1153</f>
        <v>85</v>
      </c>
      <c r="K858" s="28">
        <f>SUM(R852:R857)</f>
        <v>3507.47</v>
      </c>
    </row>
    <row r="859" spans="1:27" ht="14.25" x14ac:dyDescent="0.2">
      <c r="A859" s="22"/>
      <c r="B859" s="23"/>
      <c r="C859" s="23" t="s">
        <v>976</v>
      </c>
      <c r="D859" s="25" t="s">
        <v>975</v>
      </c>
      <c r="E859" s="10">
        <f>Source!DO1153</f>
        <v>77</v>
      </c>
      <c r="F859" s="27"/>
      <c r="G859" s="26"/>
      <c r="H859" s="10"/>
      <c r="I859" s="28">
        <f>SUM(S852:S858)</f>
        <v>129.53</v>
      </c>
      <c r="J859" s="10">
        <f>Source!CA1153</f>
        <v>41</v>
      </c>
      <c r="K859" s="28">
        <f>SUM(T852:T858)</f>
        <v>1691.84</v>
      </c>
    </row>
    <row r="860" spans="1:27" ht="14.25" x14ac:dyDescent="0.2">
      <c r="A860" s="22"/>
      <c r="B860" s="23"/>
      <c r="C860" s="23" t="s">
        <v>978</v>
      </c>
      <c r="D860" s="25" t="s">
        <v>979</v>
      </c>
      <c r="E860" s="10">
        <f>Source!AQ1153</f>
        <v>69</v>
      </c>
      <c r="F860" s="27"/>
      <c r="G860" s="26" t="str">
        <f>Source!DI1153</f>
        <v/>
      </c>
      <c r="H860" s="10">
        <f>Source!AV1153</f>
        <v>1</v>
      </c>
      <c r="I860" s="28">
        <f>Source!U1153</f>
        <v>13.8</v>
      </c>
      <c r="J860" s="10"/>
      <c r="K860" s="28"/>
    </row>
    <row r="861" spans="1:27" ht="15" x14ac:dyDescent="0.25">
      <c r="A861" s="32"/>
      <c r="B861" s="32"/>
      <c r="C861" s="32"/>
      <c r="D861" s="32"/>
      <c r="E861" s="32"/>
      <c r="F861" s="32"/>
      <c r="G861" s="32"/>
      <c r="H861" s="101">
        <f>I854+I855+I858+I859+SUM(I856:I857)</f>
        <v>15098.78</v>
      </c>
      <c r="I861" s="101"/>
      <c r="J861" s="101">
        <f>K854+K855+K858+K859+SUM(K856:K857)</f>
        <v>27836.949999999997</v>
      </c>
      <c r="K861" s="101"/>
      <c r="O861" s="31">
        <f>I854+I855+I858+I859+SUM(I856:I857)</f>
        <v>15098.78</v>
      </c>
      <c r="P861" s="31">
        <f>K854+K855+K858+K859+SUM(K856:K857)</f>
        <v>27836.949999999997</v>
      </c>
      <c r="X861">
        <f>IF(Source!BI1153&lt;=1,I854+I855+I858+I859-0, 0)</f>
        <v>1419.9799999999998</v>
      </c>
      <c r="Y861">
        <f>IF(Source!BI1153=2,I854+I855+I858+I859-0, 0)</f>
        <v>0</v>
      </c>
      <c r="Z861">
        <f>IF(Source!BI1153=3,I854+I855+I858+I859-0, 0)</f>
        <v>0</v>
      </c>
      <c r="AA861">
        <f>IF(Source!BI1153=4,I854+I855+I858+I859,0)</f>
        <v>0</v>
      </c>
    </row>
    <row r="863" spans="1:27" ht="15" x14ac:dyDescent="0.25">
      <c r="A863" s="100" t="str">
        <f>CONCATENATE("Итого по разделу: ",IF(Source!G1157&lt;&gt;"Новый раздел", Source!G1157, ""))</f>
        <v>Итого по разделу: 41. Установка информационных и дорожных знаков</v>
      </c>
      <c r="B863" s="100"/>
      <c r="C863" s="100"/>
      <c r="D863" s="100"/>
      <c r="E863" s="100"/>
      <c r="F863" s="100"/>
      <c r="G863" s="100"/>
      <c r="H863" s="98">
        <f>SUM(O837:O862)</f>
        <v>36946.31</v>
      </c>
      <c r="I863" s="99"/>
      <c r="J863" s="98">
        <f>SUM(P837:P862)</f>
        <v>103193.26999999999</v>
      </c>
      <c r="K863" s="99"/>
    </row>
    <row r="864" spans="1:27" hidden="1" x14ac:dyDescent="0.2">
      <c r="A864" t="s">
        <v>980</v>
      </c>
      <c r="I864">
        <f>SUM(AC837:AC863)</f>
        <v>0</v>
      </c>
      <c r="J864">
        <f>SUM(AD837:AD863)</f>
        <v>0</v>
      </c>
    </row>
    <row r="865" spans="1:27" hidden="1" x14ac:dyDescent="0.2">
      <c r="A865" t="s">
        <v>981</v>
      </c>
      <c r="I865">
        <f>SUM(AE837:AE864)</f>
        <v>0</v>
      </c>
      <c r="J865">
        <f>SUM(AF837:AF864)</f>
        <v>0</v>
      </c>
    </row>
    <row r="866" spans="1:27" ht="14.25" x14ac:dyDescent="0.2">
      <c r="C866" s="96" t="str">
        <f>Source!H1186</f>
        <v>ндс</v>
      </c>
      <c r="D866" s="96"/>
      <c r="E866" s="96"/>
      <c r="F866" s="96"/>
      <c r="G866" s="96"/>
      <c r="H866" s="96"/>
      <c r="I866" s="96"/>
      <c r="J866" s="97">
        <f>IF(Source!F1186=0, "", Source!F1186)</f>
        <v>123831.92</v>
      </c>
      <c r="K866" s="97"/>
    </row>
    <row r="868" spans="1:27" ht="16.5" x14ac:dyDescent="0.25">
      <c r="A868" s="102" t="str">
        <f>CONCATENATE("Раздел: ",IF(Source!G1188&lt;&gt;"Новый раздел", Source!G1188, ""))</f>
        <v>Раздел: 42. Установка ИДН  (3,5м)</v>
      </c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</row>
    <row r="869" spans="1:27" ht="85.5" x14ac:dyDescent="0.2">
      <c r="A869" s="22" t="str">
        <f>Source!E1192</f>
        <v>102</v>
      </c>
      <c r="B869" s="23" t="str">
        <f>Source!F1192</f>
        <v>3.27-106-4</v>
      </c>
      <c r="C869" s="23" t="s">
        <v>584</v>
      </c>
      <c r="D869" s="25" t="str">
        <f>Source!H1192</f>
        <v>1 м2 горизонтальной проекции уложенных ИДН</v>
      </c>
      <c r="E869" s="10">
        <f>Source!I1192</f>
        <v>27</v>
      </c>
      <c r="F869" s="27"/>
      <c r="G869" s="26"/>
      <c r="H869" s="10"/>
      <c r="I869" s="28"/>
      <c r="J869" s="10"/>
      <c r="K869" s="28"/>
      <c r="Q869">
        <f>ROUND((Source!DN1192/100)*ROUND((ROUND((Source!AF1192*Source!AV1192*Source!I1192),2)),2), 2)</f>
        <v>2450.4</v>
      </c>
      <c r="R869">
        <f>Source!X1192</f>
        <v>48908.08</v>
      </c>
      <c r="S869">
        <f>ROUND((Source!DO1192/100)*ROUND((ROUND((Source!AF1192*Source!AV1192*Source!I1192),2)),2), 2)</f>
        <v>1628.53</v>
      </c>
      <c r="T869">
        <f>Source!Y1192</f>
        <v>20160.580000000002</v>
      </c>
      <c r="U869">
        <f>ROUND((175/100)*ROUND((ROUND((Source!AE1192*Source!AV1192*Source!I1192),2)),2), 2)</f>
        <v>17.48</v>
      </c>
      <c r="V869">
        <f>ROUND((157/100)*ROUND(ROUND((ROUND((Source!AE1192*Source!AV1192*Source!I1192),2)*Source!BS1192),2), 2), 2)</f>
        <v>384.73</v>
      </c>
    </row>
    <row r="870" spans="1:27" x14ac:dyDescent="0.2">
      <c r="C870" s="29" t="str">
        <f>"Объем: "&amp;Source!I1192&amp;"=10*"&amp;"0,9*"&amp;"3"</f>
        <v>Объем: 27=10*0,9*3</v>
      </c>
    </row>
    <row r="871" spans="1:27" ht="14.25" x14ac:dyDescent="0.2">
      <c r="A871" s="22"/>
      <c r="B871" s="23"/>
      <c r="C871" s="23" t="s">
        <v>970</v>
      </c>
      <c r="D871" s="25"/>
      <c r="E871" s="10"/>
      <c r="F871" s="27">
        <f>Source!AO1192</f>
        <v>56.37</v>
      </c>
      <c r="G871" s="26" t="str">
        <f>Source!DG1192</f>
        <v/>
      </c>
      <c r="H871" s="10">
        <f>Source!AV1192</f>
        <v>1</v>
      </c>
      <c r="I871" s="28">
        <f>ROUND((ROUND((Source!AF1192*Source!AV1192*Source!I1192),2)),2)</f>
        <v>1521.99</v>
      </c>
      <c r="J871" s="10">
        <f>IF(Source!BA1192&lt;&gt; 0, Source!BA1192, 1)</f>
        <v>24.53</v>
      </c>
      <c r="K871" s="28">
        <f>Source!S1192</f>
        <v>37334.410000000003</v>
      </c>
      <c r="W871">
        <f>I871</f>
        <v>1521.99</v>
      </c>
    </row>
    <row r="872" spans="1:27" ht="14.25" x14ac:dyDescent="0.2">
      <c r="A872" s="22"/>
      <c r="B872" s="23"/>
      <c r="C872" s="23" t="s">
        <v>971</v>
      </c>
      <c r="D872" s="25"/>
      <c r="E872" s="10"/>
      <c r="F872" s="27">
        <f>Source!AM1192</f>
        <v>5.56</v>
      </c>
      <c r="G872" s="26" t="str">
        <f>Source!DE1192</f>
        <v/>
      </c>
      <c r="H872" s="10">
        <f>Source!AV1192</f>
        <v>1</v>
      </c>
      <c r="I872" s="28">
        <f>(ROUND((ROUND(((Source!ET1192)*Source!AV1192*Source!I1192),2)),2)+ROUND((ROUND(((Source!AE1192-(Source!EU1192))*Source!AV1192*Source!I1192),2)),2))</f>
        <v>150.12</v>
      </c>
      <c r="J872" s="10">
        <f>IF(Source!BB1192&lt;&gt; 0, Source!BB1192, 1)</f>
        <v>5.55</v>
      </c>
      <c r="K872" s="28">
        <f>Source!Q1192</f>
        <v>833.17</v>
      </c>
    </row>
    <row r="873" spans="1:27" ht="14.25" x14ac:dyDescent="0.2">
      <c r="A873" s="22"/>
      <c r="B873" s="23"/>
      <c r="C873" s="23" t="s">
        <v>972</v>
      </c>
      <c r="D873" s="25"/>
      <c r="E873" s="10"/>
      <c r="F873" s="27">
        <f>Source!AN1192</f>
        <v>0.37</v>
      </c>
      <c r="G873" s="26" t="str">
        <f>Source!DF1192</f>
        <v/>
      </c>
      <c r="H873" s="10">
        <f>Source!AV1192</f>
        <v>1</v>
      </c>
      <c r="I873" s="30">
        <f>ROUND((ROUND((Source!AE1192*Source!AV1192*Source!I1192),2)),2)</f>
        <v>9.99</v>
      </c>
      <c r="J873" s="10">
        <f>IF(Source!BS1192&lt;&gt; 0, Source!BS1192, 1)</f>
        <v>24.53</v>
      </c>
      <c r="K873" s="30">
        <f>Source!R1192</f>
        <v>245.05</v>
      </c>
      <c r="W873">
        <f>I873</f>
        <v>9.99</v>
      </c>
    </row>
    <row r="874" spans="1:27" ht="14.25" x14ac:dyDescent="0.2">
      <c r="A874" s="22"/>
      <c r="B874" s="23"/>
      <c r="C874" s="23" t="s">
        <v>973</v>
      </c>
      <c r="D874" s="25"/>
      <c r="E874" s="10"/>
      <c r="F874" s="27">
        <f>Source!AL1192</f>
        <v>1024.2</v>
      </c>
      <c r="G874" s="26" t="str">
        <f>Source!DD1192</f>
        <v/>
      </c>
      <c r="H874" s="10">
        <f>Source!AW1192</f>
        <v>1</v>
      </c>
      <c r="I874" s="28">
        <f>ROUND((ROUND((Source!AC1192*Source!AW1192*Source!I1192),2)),2)</f>
        <v>27653.4</v>
      </c>
      <c r="J874" s="10">
        <f>IF(Source!BC1192&lt;&gt; 0, Source!BC1192, 1)</f>
        <v>2.2999999999999998</v>
      </c>
      <c r="K874" s="28">
        <f>Source!P1192</f>
        <v>63602.82</v>
      </c>
    </row>
    <row r="875" spans="1:27" ht="42.75" x14ac:dyDescent="0.2">
      <c r="A875" s="22" t="str">
        <f>Source!E1193</f>
        <v>102,1</v>
      </c>
      <c r="B875" s="23" t="str">
        <f>Source!F1193</f>
        <v>1.1-1-2874</v>
      </c>
      <c r="C875" s="23" t="s">
        <v>591</v>
      </c>
      <c r="D875" s="25" t="str">
        <f>Source!H1193</f>
        <v>шт.</v>
      </c>
      <c r="E875" s="10">
        <f>Source!I1193</f>
        <v>60</v>
      </c>
      <c r="F875" s="27">
        <f>Source!AK1193</f>
        <v>1157.69</v>
      </c>
      <c r="G875" s="33" t="s">
        <v>3</v>
      </c>
      <c r="H875" s="10">
        <f>Source!AW1193</f>
        <v>1</v>
      </c>
      <c r="I875" s="28">
        <f>ROUND((ROUND((Source!AC1193*Source!AW1193*Source!I1193),2)),2)+(ROUND((ROUND(((Source!ET1193)*Source!AV1193*Source!I1193),2)),2)+ROUND((ROUND(((Source!AE1193-(Source!EU1193))*Source!AV1193*Source!I1193),2)),2))+ROUND((ROUND((Source!AF1193*Source!AV1193*Source!I1193),2)),2)</f>
        <v>69461.399999999994</v>
      </c>
      <c r="J875" s="10">
        <f>IF(Source!BC1193&lt;&gt; 0, Source!BC1193, 1)</f>
        <v>1.32</v>
      </c>
      <c r="K875" s="28">
        <f>Source!O1193</f>
        <v>91689.05</v>
      </c>
      <c r="Q875">
        <f>ROUND((Source!DN1193/100)*ROUND((ROUND((Source!AF1193*Source!AV1193*Source!I1193),2)),2), 2)</f>
        <v>0</v>
      </c>
      <c r="R875">
        <f>Source!X1193</f>
        <v>0</v>
      </c>
      <c r="S875">
        <f>ROUND((Source!DO1193/100)*ROUND((ROUND((Source!AF1193*Source!AV1193*Source!I1193),2)),2), 2)</f>
        <v>0</v>
      </c>
      <c r="T875">
        <f>Source!Y1193</f>
        <v>0</v>
      </c>
      <c r="U875">
        <f>ROUND((175/100)*ROUND((ROUND((Source!AE1193*Source!AV1193*Source!I1193),2)),2), 2)</f>
        <v>0</v>
      </c>
      <c r="V875">
        <f>ROUND((157/100)*ROUND(ROUND((ROUND((Source!AE1193*Source!AV1193*Source!I1193),2)*Source!BS1193),2), 2), 2)</f>
        <v>0</v>
      </c>
      <c r="X875">
        <f>IF(Source!BI1193&lt;=1,I875, 0)</f>
        <v>69461.399999999994</v>
      </c>
      <c r="Y875">
        <f>IF(Source!BI1193=2,I875, 0)</f>
        <v>0</v>
      </c>
      <c r="Z875">
        <f>IF(Source!BI1193=3,I875, 0)</f>
        <v>0</v>
      </c>
      <c r="AA875">
        <f>IF(Source!BI1193=4,I875, 0)</f>
        <v>0</v>
      </c>
    </row>
    <row r="876" spans="1:27" ht="14.25" x14ac:dyDescent="0.2">
      <c r="A876" s="22"/>
      <c r="B876" s="23"/>
      <c r="C876" s="23" t="s">
        <v>974</v>
      </c>
      <c r="D876" s="25" t="s">
        <v>975</v>
      </c>
      <c r="E876" s="10">
        <f>Source!DN1192</f>
        <v>161</v>
      </c>
      <c r="F876" s="27"/>
      <c r="G876" s="26"/>
      <c r="H876" s="10"/>
      <c r="I876" s="28">
        <f>SUM(Q869:Q875)</f>
        <v>2450.4</v>
      </c>
      <c r="J876" s="10">
        <f>Source!BZ1192</f>
        <v>131</v>
      </c>
      <c r="K876" s="28">
        <f>SUM(R869:R875)</f>
        <v>48908.08</v>
      </c>
    </row>
    <row r="877" spans="1:27" ht="14.25" x14ac:dyDescent="0.2">
      <c r="A877" s="22"/>
      <c r="B877" s="23"/>
      <c r="C877" s="23" t="s">
        <v>976</v>
      </c>
      <c r="D877" s="25" t="s">
        <v>975</v>
      </c>
      <c r="E877" s="10">
        <f>Source!DO1192</f>
        <v>107</v>
      </c>
      <c r="F877" s="27"/>
      <c r="G877" s="26"/>
      <c r="H877" s="10"/>
      <c r="I877" s="28">
        <f>SUM(S869:S876)</f>
        <v>1628.53</v>
      </c>
      <c r="J877" s="10">
        <f>Source!CA1192</f>
        <v>54</v>
      </c>
      <c r="K877" s="28">
        <f>SUM(T869:T876)</f>
        <v>20160.580000000002</v>
      </c>
    </row>
    <row r="878" spans="1:27" ht="14.25" x14ac:dyDescent="0.2">
      <c r="A878" s="22"/>
      <c r="B878" s="23"/>
      <c r="C878" s="23" t="s">
        <v>977</v>
      </c>
      <c r="D878" s="25" t="s">
        <v>975</v>
      </c>
      <c r="E878" s="10">
        <f>175</f>
        <v>175</v>
      </c>
      <c r="F878" s="27"/>
      <c r="G878" s="26"/>
      <c r="H878" s="10"/>
      <c r="I878" s="28">
        <f>SUM(U869:U877)</f>
        <v>17.48</v>
      </c>
      <c r="J878" s="10">
        <f>157</f>
        <v>157</v>
      </c>
      <c r="K878" s="28">
        <f>SUM(V869:V877)</f>
        <v>384.73</v>
      </c>
    </row>
    <row r="879" spans="1:27" ht="14.25" x14ac:dyDescent="0.2">
      <c r="A879" s="22"/>
      <c r="B879" s="23"/>
      <c r="C879" s="23" t="s">
        <v>978</v>
      </c>
      <c r="D879" s="25" t="s">
        <v>979</v>
      </c>
      <c r="E879" s="10">
        <f>Source!AQ1192</f>
        <v>4.2</v>
      </c>
      <c r="F879" s="27"/>
      <c r="G879" s="26" t="str">
        <f>Source!DI1192</f>
        <v/>
      </c>
      <c r="H879" s="10">
        <f>Source!AV1192</f>
        <v>1</v>
      </c>
      <c r="I879" s="28">
        <f>Source!U1192</f>
        <v>113.4</v>
      </c>
      <c r="J879" s="10"/>
      <c r="K879" s="28"/>
    </row>
    <row r="880" spans="1:27" ht="15" x14ac:dyDescent="0.25">
      <c r="A880" s="32"/>
      <c r="B880" s="32"/>
      <c r="C880" s="32"/>
      <c r="D880" s="32"/>
      <c r="E880" s="32"/>
      <c r="F880" s="32"/>
      <c r="G880" s="32"/>
      <c r="H880" s="101">
        <f>I871+I872+I874+I876+I877+I878+SUM(I875:I875)</f>
        <v>102883.32</v>
      </c>
      <c r="I880" s="101"/>
      <c r="J880" s="101">
        <f>K871+K872+K874+K876+K877+K878+SUM(K875:K875)</f>
        <v>262912.84000000003</v>
      </c>
      <c r="K880" s="101"/>
      <c r="O880" s="31">
        <f>I871+I872+I874+I876+I877+I878+SUM(I875:I875)</f>
        <v>102883.32</v>
      </c>
      <c r="P880" s="31">
        <f>K871+K872+K874+K876+K877+K878+SUM(K875:K875)</f>
        <v>262912.84000000003</v>
      </c>
      <c r="X880">
        <f>IF(Source!BI1192&lt;=1,I871+I872+I874+I876+I877+I878-0, 0)</f>
        <v>33421.920000000006</v>
      </c>
      <c r="Y880">
        <f>IF(Source!BI1192=2,I871+I872+I874+I876+I877+I878-0, 0)</f>
        <v>0</v>
      </c>
      <c r="Z880">
        <f>IF(Source!BI1192=3,I871+I872+I874+I876+I877+I878-0, 0)</f>
        <v>0</v>
      </c>
      <c r="AA880">
        <f>IF(Source!BI1192=4,I871+I872+I874+I876+I877+I878,0)</f>
        <v>0</v>
      </c>
    </row>
    <row r="881" spans="1:27" ht="85.5" x14ac:dyDescent="0.2">
      <c r="A881" s="22" t="str">
        <f>Source!E1194</f>
        <v>103</v>
      </c>
      <c r="B881" s="23" t="str">
        <f>Source!F1194</f>
        <v>3.27-106-5</v>
      </c>
      <c r="C881" s="23" t="s">
        <v>595</v>
      </c>
      <c r="D881" s="25" t="str">
        <f>Source!H1194</f>
        <v>1 м2 горизонтальной проекции уложенных ИДН</v>
      </c>
      <c r="E881" s="10">
        <f>Source!I1194</f>
        <v>4.5</v>
      </c>
      <c r="F881" s="27"/>
      <c r="G881" s="26"/>
      <c r="H881" s="10"/>
      <c r="I881" s="28"/>
      <c r="J881" s="10"/>
      <c r="K881" s="28"/>
      <c r="Q881">
        <f>ROUND((Source!DN1194/100)*ROUND((ROUND((Source!AF1194*Source!AV1194*Source!I1194),2)),2), 2)</f>
        <v>500.13</v>
      </c>
      <c r="R881">
        <f>Source!X1194</f>
        <v>9982.2000000000007</v>
      </c>
      <c r="S881">
        <f>ROUND((Source!DO1194/100)*ROUND((ROUND((Source!AF1194*Source!AV1194*Source!I1194),2)),2), 2)</f>
        <v>332.38</v>
      </c>
      <c r="T881">
        <f>Source!Y1194</f>
        <v>4114.8</v>
      </c>
      <c r="U881">
        <f>ROUND((175/100)*ROUND((ROUND((Source!AE1194*Source!AV1194*Source!I1194),2)),2), 2)</f>
        <v>4.03</v>
      </c>
      <c r="V881">
        <f>ROUND((157/100)*ROUND(ROUND((ROUND((Source!AE1194*Source!AV1194*Source!I1194),2)*Source!BS1194),2), 2), 2)</f>
        <v>88.58</v>
      </c>
    </row>
    <row r="882" spans="1:27" x14ac:dyDescent="0.2">
      <c r="C882" s="29" t="str">
        <f>"Объем: "&amp;Source!I1194&amp;"=20*"&amp;"0,9*"&amp;"0,25"</f>
        <v>Объем: 4,5=20*0,9*0,25</v>
      </c>
    </row>
    <row r="883" spans="1:27" ht="14.25" x14ac:dyDescent="0.2">
      <c r="A883" s="22"/>
      <c r="B883" s="23"/>
      <c r="C883" s="23" t="s">
        <v>970</v>
      </c>
      <c r="D883" s="25"/>
      <c r="E883" s="10"/>
      <c r="F883" s="27">
        <f>Source!AO1194</f>
        <v>69.03</v>
      </c>
      <c r="G883" s="26" t="str">
        <f>Source!DG1194</f>
        <v/>
      </c>
      <c r="H883" s="10">
        <f>Source!AV1194</f>
        <v>1</v>
      </c>
      <c r="I883" s="28">
        <f>ROUND((ROUND((Source!AF1194*Source!AV1194*Source!I1194),2)),2)</f>
        <v>310.64</v>
      </c>
      <c r="J883" s="10">
        <f>IF(Source!BA1194&lt;&gt; 0, Source!BA1194, 1)</f>
        <v>24.53</v>
      </c>
      <c r="K883" s="28">
        <f>Source!S1194</f>
        <v>7620</v>
      </c>
      <c r="W883">
        <f>I883</f>
        <v>310.64</v>
      </c>
    </row>
    <row r="884" spans="1:27" ht="14.25" x14ac:dyDescent="0.2">
      <c r="A884" s="22"/>
      <c r="B884" s="23"/>
      <c r="C884" s="23" t="s">
        <v>971</v>
      </c>
      <c r="D884" s="25"/>
      <c r="E884" s="10"/>
      <c r="F884" s="27">
        <f>Source!AM1194</f>
        <v>6.65</v>
      </c>
      <c r="G884" s="26" t="str">
        <f>Source!DE1194</f>
        <v/>
      </c>
      <c r="H884" s="10">
        <f>Source!AV1194</f>
        <v>1</v>
      </c>
      <c r="I884" s="28">
        <f>(ROUND((ROUND(((Source!ET1194)*Source!AV1194*Source!I1194),2)),2)+ROUND((ROUND(((Source!AE1194-(Source!EU1194))*Source!AV1194*Source!I1194),2)),2))</f>
        <v>29.93</v>
      </c>
      <c r="J884" s="10">
        <f>IF(Source!BB1194&lt;&gt; 0, Source!BB1194, 1)</f>
        <v>5.92</v>
      </c>
      <c r="K884" s="28">
        <f>Source!Q1194</f>
        <v>177.19</v>
      </c>
    </row>
    <row r="885" spans="1:27" ht="14.25" x14ac:dyDescent="0.2">
      <c r="A885" s="22"/>
      <c r="B885" s="23"/>
      <c r="C885" s="23" t="s">
        <v>972</v>
      </c>
      <c r="D885" s="25"/>
      <c r="E885" s="10"/>
      <c r="F885" s="27">
        <f>Source!AN1194</f>
        <v>0.51</v>
      </c>
      <c r="G885" s="26" t="str">
        <f>Source!DF1194</f>
        <v/>
      </c>
      <c r="H885" s="10">
        <f>Source!AV1194</f>
        <v>1</v>
      </c>
      <c r="I885" s="30">
        <f>ROUND((ROUND((Source!AE1194*Source!AV1194*Source!I1194),2)),2)</f>
        <v>2.2999999999999998</v>
      </c>
      <c r="J885" s="10">
        <f>IF(Source!BS1194&lt;&gt; 0, Source!BS1194, 1)</f>
        <v>24.53</v>
      </c>
      <c r="K885" s="30">
        <f>Source!R1194</f>
        <v>56.42</v>
      </c>
      <c r="W885">
        <f>I885</f>
        <v>2.2999999999999998</v>
      </c>
    </row>
    <row r="886" spans="1:27" ht="14.25" x14ac:dyDescent="0.2">
      <c r="A886" s="22"/>
      <c r="B886" s="23"/>
      <c r="C886" s="23" t="s">
        <v>973</v>
      </c>
      <c r="D886" s="25"/>
      <c r="E886" s="10"/>
      <c r="F886" s="27">
        <f>Source!AL1194</f>
        <v>1153.05</v>
      </c>
      <c r="G886" s="26" t="str">
        <f>Source!DD1194</f>
        <v/>
      </c>
      <c r="H886" s="10">
        <f>Source!AW1194</f>
        <v>1</v>
      </c>
      <c r="I886" s="28">
        <f>ROUND((ROUND((Source!AC1194*Source!AW1194*Source!I1194),2)),2)</f>
        <v>5188.7299999999996</v>
      </c>
      <c r="J886" s="10">
        <f>IF(Source!BC1194&lt;&gt; 0, Source!BC1194, 1)</f>
        <v>2.2599999999999998</v>
      </c>
      <c r="K886" s="28">
        <f>Source!P1194</f>
        <v>11726.53</v>
      </c>
    </row>
    <row r="887" spans="1:27" ht="42.75" x14ac:dyDescent="0.2">
      <c r="A887" s="22" t="str">
        <f>Source!E1195</f>
        <v>103,1</v>
      </c>
      <c r="B887" s="23" t="str">
        <f>Source!F1195</f>
        <v>1.1-1-2875</v>
      </c>
      <c r="C887" s="23" t="s">
        <v>599</v>
      </c>
      <c r="D887" s="25" t="str">
        <f>Source!H1195</f>
        <v>шт.</v>
      </c>
      <c r="E887" s="10">
        <f>Source!I1195</f>
        <v>20</v>
      </c>
      <c r="F887" s="27">
        <f>Source!AK1195</f>
        <v>950.7</v>
      </c>
      <c r="G887" s="33" t="s">
        <v>3</v>
      </c>
      <c r="H887" s="10">
        <f>Source!AW1195</f>
        <v>1</v>
      </c>
      <c r="I887" s="28">
        <f>ROUND((ROUND((Source!AC1195*Source!AW1195*Source!I1195),2)),2)+(ROUND((ROUND(((Source!ET1195)*Source!AV1195*Source!I1195),2)),2)+ROUND((ROUND(((Source!AE1195-(Source!EU1195))*Source!AV1195*Source!I1195),2)),2))+ROUND((ROUND((Source!AF1195*Source!AV1195*Source!I1195),2)),2)</f>
        <v>19014</v>
      </c>
      <c r="J887" s="10">
        <f>IF(Source!BC1195&lt;&gt; 0, Source!BC1195, 1)</f>
        <v>0.75</v>
      </c>
      <c r="K887" s="28">
        <f>Source!O1195</f>
        <v>14260.5</v>
      </c>
      <c r="Q887">
        <f>ROUND((Source!DN1195/100)*ROUND((ROUND((Source!AF1195*Source!AV1195*Source!I1195),2)),2), 2)</f>
        <v>0</v>
      </c>
      <c r="R887">
        <f>Source!X1195</f>
        <v>0</v>
      </c>
      <c r="S887">
        <f>ROUND((Source!DO1195/100)*ROUND((ROUND((Source!AF1195*Source!AV1195*Source!I1195),2)),2), 2)</f>
        <v>0</v>
      </c>
      <c r="T887">
        <f>Source!Y1195</f>
        <v>0</v>
      </c>
      <c r="U887">
        <f>ROUND((175/100)*ROUND((ROUND((Source!AE1195*Source!AV1195*Source!I1195),2)),2), 2)</f>
        <v>0</v>
      </c>
      <c r="V887">
        <f>ROUND((157/100)*ROUND(ROUND((ROUND((Source!AE1195*Source!AV1195*Source!I1195),2)*Source!BS1195),2), 2), 2)</f>
        <v>0</v>
      </c>
      <c r="X887">
        <f>IF(Source!BI1195&lt;=1,I887, 0)</f>
        <v>19014</v>
      </c>
      <c r="Y887">
        <f>IF(Source!BI1195=2,I887, 0)</f>
        <v>0</v>
      </c>
      <c r="Z887">
        <f>IF(Source!BI1195=3,I887, 0)</f>
        <v>0</v>
      </c>
      <c r="AA887">
        <f>IF(Source!BI1195=4,I887, 0)</f>
        <v>0</v>
      </c>
    </row>
    <row r="888" spans="1:27" ht="14.25" x14ac:dyDescent="0.2">
      <c r="A888" s="22"/>
      <c r="B888" s="23"/>
      <c r="C888" s="23" t="s">
        <v>974</v>
      </c>
      <c r="D888" s="25" t="s">
        <v>975</v>
      </c>
      <c r="E888" s="10">
        <f>Source!DN1194</f>
        <v>161</v>
      </c>
      <c r="F888" s="27"/>
      <c r="G888" s="26"/>
      <c r="H888" s="10"/>
      <c r="I888" s="28">
        <f>SUM(Q881:Q887)</f>
        <v>500.13</v>
      </c>
      <c r="J888" s="10">
        <f>Source!BZ1194</f>
        <v>131</v>
      </c>
      <c r="K888" s="28">
        <f>SUM(R881:R887)</f>
        <v>9982.2000000000007</v>
      </c>
    </row>
    <row r="889" spans="1:27" ht="14.25" x14ac:dyDescent="0.2">
      <c r="A889" s="22"/>
      <c r="B889" s="23"/>
      <c r="C889" s="23" t="s">
        <v>976</v>
      </c>
      <c r="D889" s="25" t="s">
        <v>975</v>
      </c>
      <c r="E889" s="10">
        <f>Source!DO1194</f>
        <v>107</v>
      </c>
      <c r="F889" s="27"/>
      <c r="G889" s="26"/>
      <c r="H889" s="10"/>
      <c r="I889" s="28">
        <f>SUM(S881:S888)</f>
        <v>332.38</v>
      </c>
      <c r="J889" s="10">
        <f>Source!CA1194</f>
        <v>54</v>
      </c>
      <c r="K889" s="28">
        <f>SUM(T881:T888)</f>
        <v>4114.8</v>
      </c>
    </row>
    <row r="890" spans="1:27" ht="14.25" x14ac:dyDescent="0.2">
      <c r="A890" s="22"/>
      <c r="B890" s="23"/>
      <c r="C890" s="23" t="s">
        <v>977</v>
      </c>
      <c r="D890" s="25" t="s">
        <v>975</v>
      </c>
      <c r="E890" s="10">
        <f>175</f>
        <v>175</v>
      </c>
      <c r="F890" s="27"/>
      <c r="G890" s="26"/>
      <c r="H890" s="10"/>
      <c r="I890" s="28">
        <f>SUM(U881:U889)</f>
        <v>4.03</v>
      </c>
      <c r="J890" s="10">
        <f>157</f>
        <v>157</v>
      </c>
      <c r="K890" s="28">
        <f>SUM(V881:V889)</f>
        <v>88.58</v>
      </c>
    </row>
    <row r="891" spans="1:27" ht="14.25" x14ac:dyDescent="0.2">
      <c r="A891" s="22"/>
      <c r="B891" s="23"/>
      <c r="C891" s="23" t="s">
        <v>978</v>
      </c>
      <c r="D891" s="25" t="s">
        <v>979</v>
      </c>
      <c r="E891" s="10">
        <f>Source!AQ1194</f>
        <v>5.32</v>
      </c>
      <c r="F891" s="27"/>
      <c r="G891" s="26" t="str">
        <f>Source!DI1194</f>
        <v/>
      </c>
      <c r="H891" s="10">
        <f>Source!AV1194</f>
        <v>1</v>
      </c>
      <c r="I891" s="28">
        <f>Source!U1194</f>
        <v>23.94</v>
      </c>
      <c r="J891" s="10"/>
      <c r="K891" s="28"/>
    </row>
    <row r="892" spans="1:27" ht="15" x14ac:dyDescent="0.25">
      <c r="A892" s="32"/>
      <c r="B892" s="32"/>
      <c r="C892" s="32"/>
      <c r="D892" s="32"/>
      <c r="E892" s="32"/>
      <c r="F892" s="32"/>
      <c r="G892" s="32"/>
      <c r="H892" s="101">
        <f>I883+I884+I886+I888+I889+I890+SUM(I887:I887)</f>
        <v>25379.84</v>
      </c>
      <c r="I892" s="101"/>
      <c r="J892" s="101">
        <f>K883+K884+K886+K888+K889+K890+SUM(K887:K887)</f>
        <v>47969.8</v>
      </c>
      <c r="K892" s="101"/>
      <c r="O892" s="31">
        <f>I883+I884+I886+I888+I889+I890+SUM(I887:I887)</f>
        <v>25379.84</v>
      </c>
      <c r="P892" s="31">
        <f>K883+K884+K886+K888+K889+K890+SUM(K887:K887)</f>
        <v>47969.8</v>
      </c>
      <c r="X892">
        <f>IF(Source!BI1194&lt;=1,I883+I884+I886+I888+I889+I890-0, 0)</f>
        <v>6365.8399999999992</v>
      </c>
      <c r="Y892">
        <f>IF(Source!BI1194=2,I883+I884+I886+I888+I889+I890-0, 0)</f>
        <v>0</v>
      </c>
      <c r="Z892">
        <f>IF(Source!BI1194=3,I883+I884+I886+I888+I889+I890-0, 0)</f>
        <v>0</v>
      </c>
      <c r="AA892">
        <f>IF(Source!BI1194=4,I883+I884+I886+I888+I889+I890,0)</f>
        <v>0</v>
      </c>
    </row>
    <row r="894" spans="1:27" ht="15" x14ac:dyDescent="0.25">
      <c r="A894" s="100" t="str">
        <f>CONCATENATE("Итого по разделу: ",IF(Source!G1197&lt;&gt;"Новый раздел", Source!G1197, ""))</f>
        <v>Итого по разделу: 42. Установка ИДН  (3,5м)</v>
      </c>
      <c r="B894" s="100"/>
      <c r="C894" s="100"/>
      <c r="D894" s="100"/>
      <c r="E894" s="100"/>
      <c r="F894" s="100"/>
      <c r="G894" s="100"/>
      <c r="H894" s="98">
        <f>SUM(O868:O893)</f>
        <v>128263.16</v>
      </c>
      <c r="I894" s="99"/>
      <c r="J894" s="98">
        <f>SUM(P868:P893)</f>
        <v>310882.64</v>
      </c>
      <c r="K894" s="99"/>
    </row>
    <row r="895" spans="1:27" hidden="1" x14ac:dyDescent="0.2">
      <c r="A895" t="s">
        <v>980</v>
      </c>
      <c r="I895">
        <f>SUM(AC868:AC894)</f>
        <v>0</v>
      </c>
      <c r="J895">
        <f>SUM(AD868:AD894)</f>
        <v>0</v>
      </c>
    </row>
    <row r="896" spans="1:27" hidden="1" x14ac:dyDescent="0.2">
      <c r="A896" t="s">
        <v>981</v>
      </c>
      <c r="I896">
        <f>SUM(AE868:AE895)</f>
        <v>0</v>
      </c>
      <c r="J896">
        <f>SUM(AF868:AF895)</f>
        <v>0</v>
      </c>
    </row>
    <row r="897" spans="1:37" ht="14.25" x14ac:dyDescent="0.2">
      <c r="C897" s="96" t="str">
        <f>Source!H1226</f>
        <v>ндс</v>
      </c>
      <c r="D897" s="96"/>
      <c r="E897" s="96"/>
      <c r="F897" s="96"/>
      <c r="G897" s="96"/>
      <c r="H897" s="96"/>
      <c r="I897" s="96"/>
      <c r="J897" s="97">
        <f>IF(Source!F1226=0, "", Source!F1226)</f>
        <v>373059.17</v>
      </c>
      <c r="K897" s="97"/>
    </row>
    <row r="899" spans="1:37" ht="16.5" x14ac:dyDescent="0.25">
      <c r="A899" s="102" t="str">
        <f>CONCATENATE("Раздел: ",IF(Source!G1296&lt;&gt;"Новый раздел", Source!G1296, ""))</f>
        <v>Раздел: 47. Устройство покрытия на детской площадке для детей от 5 лет 4 см (3 см - резина, 1 см - EPDM)</v>
      </c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AK899" s="37" t="str">
        <f>CONCATENATE("Раздел: ",IF(Source!G1296&lt;&gt;"Новый раздел", Source!G1296, ""))</f>
        <v>Раздел: 47. Устройство покрытия на детской площадке для детей от 5 лет 4 см (3 см - резина, 1 см - EPDM)</v>
      </c>
    </row>
    <row r="900" spans="1:37" ht="57" x14ac:dyDescent="0.2">
      <c r="A900" s="22" t="str">
        <f>Source!E1300</f>
        <v>104</v>
      </c>
      <c r="B900" s="23" t="str">
        <f>Source!F1300</f>
        <v>3.47-75-1</v>
      </c>
      <c r="C900" s="23" t="s">
        <v>606</v>
      </c>
      <c r="D900" s="25" t="str">
        <f>Source!H1300</f>
        <v>100 м2</v>
      </c>
      <c r="E900" s="10">
        <f>Source!I1300</f>
        <v>32.43</v>
      </c>
      <c r="F900" s="27"/>
      <c r="G900" s="26"/>
      <c r="H900" s="10"/>
      <c r="I900" s="28"/>
      <c r="J900" s="10"/>
      <c r="K900" s="28"/>
      <c r="Q900">
        <f>ROUND((Source!DN1300/100)*ROUND((ROUND((Source!AF1300*Source!AV1300*Source!I1300),2)),2), 2)</f>
        <v>11425.34</v>
      </c>
      <c r="R900">
        <f>Source!X1300</f>
        <v>152871.10999999999</v>
      </c>
      <c r="S900">
        <f>ROUND((Source!DO1300/100)*ROUND((ROUND((Source!AF1300*Source!AV1300*Source!I1300),2)),2), 2)</f>
        <v>6170.91</v>
      </c>
      <c r="T900">
        <f>Source!Y1300</f>
        <v>70440.61</v>
      </c>
      <c r="U900">
        <f>ROUND((175/100)*ROUND((ROUND((Source!AE1300*Source!AV1300*Source!I1300),2)),2), 2)</f>
        <v>3953.95</v>
      </c>
      <c r="V900">
        <f>ROUND((157/100)*ROUND(ROUND((ROUND((Source!AE1300*Source!AV1300*Source!I1300),2)*Source!BS1300),2), 2), 2)</f>
        <v>87014.24</v>
      </c>
    </row>
    <row r="901" spans="1:37" x14ac:dyDescent="0.2">
      <c r="C901" s="29" t="str">
        <f>"Объем: "&amp;Source!I1300&amp;"=3243/"&amp;"100"</f>
        <v>Объем: 32,43=3243/100</v>
      </c>
    </row>
    <row r="902" spans="1:37" ht="14.25" x14ac:dyDescent="0.2">
      <c r="A902" s="22"/>
      <c r="B902" s="23"/>
      <c r="C902" s="23" t="s">
        <v>970</v>
      </c>
      <c r="D902" s="25"/>
      <c r="E902" s="10"/>
      <c r="F902" s="27">
        <f>Source!AO1300</f>
        <v>188.4</v>
      </c>
      <c r="G902" s="26" t="str">
        <f>Source!DG1300</f>
        <v/>
      </c>
      <c r="H902" s="10">
        <f>Source!AV1300</f>
        <v>1</v>
      </c>
      <c r="I902" s="28">
        <f>ROUND((ROUND((Source!AF1300*Source!AV1300*Source!I1300),2)),2)</f>
        <v>6109.81</v>
      </c>
      <c r="J902" s="10">
        <f>IF(Source!BA1300&lt;&gt; 0, Source!BA1300, 1)</f>
        <v>24.53</v>
      </c>
      <c r="K902" s="28">
        <f>Source!S1300</f>
        <v>149873.64000000001</v>
      </c>
      <c r="W902">
        <f>I902</f>
        <v>6109.81</v>
      </c>
    </row>
    <row r="903" spans="1:37" ht="14.25" x14ac:dyDescent="0.2">
      <c r="A903" s="22"/>
      <c r="B903" s="23"/>
      <c r="C903" s="23" t="s">
        <v>971</v>
      </c>
      <c r="D903" s="25"/>
      <c r="E903" s="10"/>
      <c r="F903" s="27">
        <f>Source!AM1300</f>
        <v>180.59</v>
      </c>
      <c r="G903" s="26" t="str">
        <f>Source!DE1300</f>
        <v/>
      </c>
      <c r="H903" s="10">
        <f>Source!AV1300</f>
        <v>1</v>
      </c>
      <c r="I903" s="28">
        <f>(ROUND((ROUND(((Source!ET1300)*Source!AV1300*Source!I1300),2)),2)+ROUND((ROUND(((Source!AE1300-(Source!EU1300))*Source!AV1300*Source!I1300),2)),2))</f>
        <v>5856.53</v>
      </c>
      <c r="J903" s="10">
        <f>IF(Source!BB1300&lt;&gt; 0, Source!BB1300, 1)</f>
        <v>12.31</v>
      </c>
      <c r="K903" s="28">
        <f>Source!Q1300</f>
        <v>72093.88</v>
      </c>
    </row>
    <row r="904" spans="1:37" ht="14.25" x14ac:dyDescent="0.2">
      <c r="A904" s="22"/>
      <c r="B904" s="23"/>
      <c r="C904" s="23" t="s">
        <v>972</v>
      </c>
      <c r="D904" s="25"/>
      <c r="E904" s="10"/>
      <c r="F904" s="27">
        <f>Source!AN1300</f>
        <v>69.67</v>
      </c>
      <c r="G904" s="26" t="str">
        <f>Source!DF1300</f>
        <v/>
      </c>
      <c r="H904" s="10">
        <f>Source!AV1300</f>
        <v>1</v>
      </c>
      <c r="I904" s="30">
        <f>ROUND((ROUND((Source!AE1300*Source!AV1300*Source!I1300),2)),2)</f>
        <v>2259.4</v>
      </c>
      <c r="J904" s="10">
        <f>IF(Source!BS1300&lt;&gt; 0, Source!BS1300, 1)</f>
        <v>24.53</v>
      </c>
      <c r="K904" s="30">
        <f>Source!R1300</f>
        <v>55423.08</v>
      </c>
      <c r="W904">
        <f>I904</f>
        <v>2259.4</v>
      </c>
    </row>
    <row r="905" spans="1:37" ht="14.25" x14ac:dyDescent="0.2">
      <c r="A905" s="22"/>
      <c r="B905" s="23"/>
      <c r="C905" s="23" t="s">
        <v>973</v>
      </c>
      <c r="D905" s="25"/>
      <c r="E905" s="10"/>
      <c r="F905" s="27">
        <f>Source!AL1300</f>
        <v>16744.72</v>
      </c>
      <c r="G905" s="26" t="str">
        <f>Source!DD1300</f>
        <v/>
      </c>
      <c r="H905" s="10">
        <f>Source!AW1300</f>
        <v>1</v>
      </c>
      <c r="I905" s="28">
        <f>ROUND((ROUND((Source!AC1300*Source!AW1300*Source!I1300),2)),2)</f>
        <v>543031.27</v>
      </c>
      <c r="J905" s="10">
        <f>IF(Source!BC1300&lt;&gt; 0, Source!BC1300, 1)</f>
        <v>2.79</v>
      </c>
      <c r="K905" s="28">
        <f>Source!P1300</f>
        <v>1515057.24</v>
      </c>
    </row>
    <row r="906" spans="1:37" ht="28.5" x14ac:dyDescent="0.2">
      <c r="A906" s="22" t="str">
        <f>Source!E1301</f>
        <v>104,1</v>
      </c>
      <c r="B906" s="23" t="str">
        <f>Source!F1301</f>
        <v>1.1-1-3462</v>
      </c>
      <c r="C906" s="23" t="s">
        <v>612</v>
      </c>
      <c r="D906" s="25" t="str">
        <f>Source!H1301</f>
        <v>кг</v>
      </c>
      <c r="E906" s="10">
        <f>Source!I1301</f>
        <v>23738.76</v>
      </c>
      <c r="F906" s="27">
        <f>Source!AK1301</f>
        <v>7.22</v>
      </c>
      <c r="G906" s="33" t="s">
        <v>3</v>
      </c>
      <c r="H906" s="10">
        <f>Source!AW1301</f>
        <v>1</v>
      </c>
      <c r="I906" s="28">
        <f>ROUND((ROUND((Source!AC1301*Source!AW1301*Source!I1301),2)),2)+(ROUND((ROUND(((Source!ET1301)*Source!AV1301*Source!I1301),2)),2)+ROUND((ROUND(((Source!AE1301-(Source!EU1301))*Source!AV1301*Source!I1301),2)),2))+ROUND((ROUND((Source!AF1301*Source!AV1301*Source!I1301),2)),2)</f>
        <v>171393.85</v>
      </c>
      <c r="J906" s="10">
        <f>IF(Source!BC1301&lt;&gt; 0, Source!BC1301, 1)</f>
        <v>2.4300000000000002</v>
      </c>
      <c r="K906" s="28">
        <f>Source!O1301</f>
        <v>416487.06</v>
      </c>
      <c r="Q906">
        <f>ROUND((Source!DN1301/100)*ROUND((ROUND((Source!AF1301*Source!AV1301*Source!I1301),2)),2), 2)</f>
        <v>0</v>
      </c>
      <c r="R906">
        <f>Source!X1301</f>
        <v>0</v>
      </c>
      <c r="S906">
        <f>ROUND((Source!DO1301/100)*ROUND((ROUND((Source!AF1301*Source!AV1301*Source!I1301),2)),2), 2)</f>
        <v>0</v>
      </c>
      <c r="T906">
        <f>Source!Y1301</f>
        <v>0</v>
      </c>
      <c r="U906">
        <f>ROUND((175/100)*ROUND((ROUND((Source!AE1301*Source!AV1301*Source!I1301),2)),2), 2)</f>
        <v>0</v>
      </c>
      <c r="V906">
        <f>ROUND((157/100)*ROUND(ROUND((ROUND((Source!AE1301*Source!AV1301*Source!I1301),2)*Source!BS1301),2), 2), 2)</f>
        <v>0</v>
      </c>
      <c r="X906">
        <f>IF(Source!BI1301&lt;=1,I906, 0)</f>
        <v>171393.85</v>
      </c>
      <c r="Y906">
        <f>IF(Source!BI1301=2,I906, 0)</f>
        <v>0</v>
      </c>
      <c r="Z906">
        <f>IF(Source!BI1301=3,I906, 0)</f>
        <v>0</v>
      </c>
      <c r="AA906">
        <f>IF(Source!BI1301=4,I906, 0)</f>
        <v>0</v>
      </c>
    </row>
    <row r="907" spans="1:37" ht="14.25" x14ac:dyDescent="0.2">
      <c r="A907" s="22"/>
      <c r="B907" s="23"/>
      <c r="C907" s="23" t="s">
        <v>974</v>
      </c>
      <c r="D907" s="25" t="s">
        <v>975</v>
      </c>
      <c r="E907" s="10">
        <f>Source!DN1300</f>
        <v>187</v>
      </c>
      <c r="F907" s="27"/>
      <c r="G907" s="26"/>
      <c r="H907" s="10"/>
      <c r="I907" s="28">
        <f>SUM(Q900:Q906)</f>
        <v>11425.34</v>
      </c>
      <c r="J907" s="10">
        <f>Source!BZ1300</f>
        <v>102</v>
      </c>
      <c r="K907" s="28">
        <f>SUM(R900:R906)</f>
        <v>152871.10999999999</v>
      </c>
    </row>
    <row r="908" spans="1:37" ht="14.25" x14ac:dyDescent="0.2">
      <c r="A908" s="22"/>
      <c r="B908" s="23"/>
      <c r="C908" s="23" t="s">
        <v>976</v>
      </c>
      <c r="D908" s="25" t="s">
        <v>975</v>
      </c>
      <c r="E908" s="10">
        <f>Source!DO1300</f>
        <v>101</v>
      </c>
      <c r="F908" s="27"/>
      <c r="G908" s="26"/>
      <c r="H908" s="10"/>
      <c r="I908" s="28">
        <f>SUM(S900:S907)</f>
        <v>6170.91</v>
      </c>
      <c r="J908" s="10">
        <f>Source!CA1300</f>
        <v>47</v>
      </c>
      <c r="K908" s="28">
        <f>SUM(T900:T907)</f>
        <v>70440.61</v>
      </c>
    </row>
    <row r="909" spans="1:37" ht="14.25" x14ac:dyDescent="0.2">
      <c r="A909" s="22"/>
      <c r="B909" s="23"/>
      <c r="C909" s="23" t="s">
        <v>977</v>
      </c>
      <c r="D909" s="25" t="s">
        <v>975</v>
      </c>
      <c r="E909" s="10">
        <f>175</f>
        <v>175</v>
      </c>
      <c r="F909" s="27"/>
      <c r="G909" s="26"/>
      <c r="H909" s="10"/>
      <c r="I909" s="28">
        <f>SUM(U900:U908)</f>
        <v>3953.95</v>
      </c>
      <c r="J909" s="10">
        <f>157</f>
        <v>157</v>
      </c>
      <c r="K909" s="28">
        <f>SUM(V900:V908)</f>
        <v>87014.24</v>
      </c>
    </row>
    <row r="910" spans="1:37" ht="14.25" x14ac:dyDescent="0.2">
      <c r="A910" s="22"/>
      <c r="B910" s="23"/>
      <c r="C910" s="23" t="s">
        <v>978</v>
      </c>
      <c r="D910" s="25" t="s">
        <v>979</v>
      </c>
      <c r="E910" s="10">
        <f>Source!AQ1300</f>
        <v>16.03</v>
      </c>
      <c r="F910" s="27"/>
      <c r="G910" s="26" t="str">
        <f>Source!DI1300</f>
        <v/>
      </c>
      <c r="H910" s="10">
        <f>Source!AV1300</f>
        <v>1</v>
      </c>
      <c r="I910" s="28">
        <f>Source!U1300</f>
        <v>519.85289999999998</v>
      </c>
      <c r="J910" s="10"/>
      <c r="K910" s="28"/>
    </row>
    <row r="911" spans="1:37" ht="15" x14ac:dyDescent="0.25">
      <c r="A911" s="32"/>
      <c r="B911" s="32"/>
      <c r="C911" s="32"/>
      <c r="D911" s="32"/>
      <c r="E911" s="32"/>
      <c r="F911" s="32"/>
      <c r="G911" s="32"/>
      <c r="H911" s="101">
        <f>I902+I903+I905+I907+I908+I909+SUM(I906:I906)</f>
        <v>747941.65999999992</v>
      </c>
      <c r="I911" s="101"/>
      <c r="J911" s="101">
        <f>K902+K903+K905+K907+K908+K909+SUM(K906:K906)</f>
        <v>2463837.7800000003</v>
      </c>
      <c r="K911" s="101"/>
      <c r="O911" s="31">
        <f>I902+I903+I905+I907+I908+I909+SUM(I906:I906)</f>
        <v>747941.65999999992</v>
      </c>
      <c r="P911" s="31">
        <f>K902+K903+K905+K907+K908+K909+SUM(K906:K906)</f>
        <v>2463837.7800000003</v>
      </c>
      <c r="X911">
        <f>IF(Source!BI1300&lt;=1,I902+I903+I905+I907+I908+I909-0, 0)</f>
        <v>576547.80999999994</v>
      </c>
      <c r="Y911">
        <f>IF(Source!BI1300=2,I902+I903+I905+I907+I908+I909-0, 0)</f>
        <v>0</v>
      </c>
      <c r="Z911">
        <f>IF(Source!BI1300=3,I902+I903+I905+I907+I908+I909-0, 0)</f>
        <v>0</v>
      </c>
      <c r="AA911">
        <f>IF(Source!BI1300=4,I902+I903+I905+I907+I908+I909,0)</f>
        <v>0</v>
      </c>
    </row>
    <row r="912" spans="1:37" ht="71.25" x14ac:dyDescent="0.2">
      <c r="A912" s="22" t="str">
        <f>Source!E1302</f>
        <v>105</v>
      </c>
      <c r="B912" s="23" t="str">
        <f>Source!F1302</f>
        <v>3.47-75-2</v>
      </c>
      <c r="C912" s="23" t="s">
        <v>616</v>
      </c>
      <c r="D912" s="25" t="str">
        <f>Source!H1302</f>
        <v>100 м2</v>
      </c>
      <c r="E912" s="10">
        <f>Source!I1302</f>
        <v>32.43</v>
      </c>
      <c r="F912" s="27"/>
      <c r="G912" s="26"/>
      <c r="H912" s="10"/>
      <c r="I912" s="28"/>
      <c r="J912" s="10"/>
      <c r="K912" s="28"/>
      <c r="Q912">
        <f>ROUND((Source!DN1302/100)*ROUND((ROUND((Source!AF1302*Source!AV1302*Source!I1302),2)),2), 2)</f>
        <v>16755.97</v>
      </c>
      <c r="R912">
        <f>Source!X1302</f>
        <v>224194.84</v>
      </c>
      <c r="S912">
        <f>ROUND((Source!DO1302/100)*ROUND((ROUND((Source!AF1302*Source!AV1302*Source!I1302),2)),2), 2)</f>
        <v>9050.01</v>
      </c>
      <c r="T912">
        <f>Source!Y1302</f>
        <v>103305.46</v>
      </c>
      <c r="U912">
        <f>ROUND((175/100)*ROUND((ROUND((Source!AE1302*Source!AV1302*Source!I1302),2)),2), 2)</f>
        <v>7479.97</v>
      </c>
      <c r="V912">
        <f>ROUND((157/100)*ROUND(ROUND((ROUND((Source!AE1302*Source!AV1302*Source!I1302),2)*Source!BS1302),2), 2), 2)</f>
        <v>164611.10999999999</v>
      </c>
    </row>
    <row r="913" spans="1:27" x14ac:dyDescent="0.2">
      <c r="C913" s="29" t="str">
        <f>"Объем: "&amp;Source!I1302&amp;"=3243/"&amp;"100"</f>
        <v>Объем: 32,43=3243/100</v>
      </c>
    </row>
    <row r="914" spans="1:27" ht="14.25" x14ac:dyDescent="0.2">
      <c r="A914" s="22"/>
      <c r="B914" s="23"/>
      <c r="C914" s="23" t="s">
        <v>970</v>
      </c>
      <c r="D914" s="25"/>
      <c r="E914" s="10"/>
      <c r="F914" s="27">
        <f>Source!AO1302</f>
        <v>27.63</v>
      </c>
      <c r="G914" s="26" t="str">
        <f>Source!DG1302</f>
        <v>*10</v>
      </c>
      <c r="H914" s="10">
        <f>Source!AV1302</f>
        <v>1</v>
      </c>
      <c r="I914" s="28">
        <f>ROUND((ROUND((Source!AF1302*Source!AV1302*Source!I1302),2)),2)</f>
        <v>8960.41</v>
      </c>
      <c r="J914" s="10">
        <f>IF(Source!BA1302&lt;&gt; 0, Source!BA1302, 1)</f>
        <v>24.53</v>
      </c>
      <c r="K914" s="28">
        <f>Source!S1302</f>
        <v>219798.86</v>
      </c>
      <c r="W914">
        <f>I914</f>
        <v>8960.41</v>
      </c>
    </row>
    <row r="915" spans="1:27" ht="14.25" x14ac:dyDescent="0.2">
      <c r="A915" s="22"/>
      <c r="B915" s="23"/>
      <c r="C915" s="23" t="s">
        <v>971</v>
      </c>
      <c r="D915" s="25"/>
      <c r="E915" s="10"/>
      <c r="F915" s="27">
        <f>Source!AM1302</f>
        <v>33.770000000000003</v>
      </c>
      <c r="G915" s="26" t="str">
        <f>Source!DE1302</f>
        <v>*10</v>
      </c>
      <c r="H915" s="10">
        <f>Source!AV1302</f>
        <v>1</v>
      </c>
      <c r="I915" s="28">
        <f>(ROUND((ROUND((((Source!ET1302*10))*Source!AV1302*Source!I1302),2)),2)+ROUND((ROUND(((Source!AE1302-((Source!EU1302*10)))*Source!AV1302*Source!I1302),2)),2))</f>
        <v>10951.61</v>
      </c>
      <c r="J915" s="10">
        <f>IF(Source!BB1302&lt;&gt; 0, Source!BB1302, 1)</f>
        <v>12.3</v>
      </c>
      <c r="K915" s="28">
        <f>Source!Q1302</f>
        <v>134704.79999999999</v>
      </c>
    </row>
    <row r="916" spans="1:27" ht="14.25" x14ac:dyDescent="0.2">
      <c r="A916" s="22"/>
      <c r="B916" s="23"/>
      <c r="C916" s="23" t="s">
        <v>972</v>
      </c>
      <c r="D916" s="25"/>
      <c r="E916" s="10"/>
      <c r="F916" s="27">
        <f>Source!AN1302</f>
        <v>13.18</v>
      </c>
      <c r="G916" s="26" t="str">
        <f>Source!DF1302</f>
        <v>*10</v>
      </c>
      <c r="H916" s="10">
        <f>Source!AV1302</f>
        <v>1</v>
      </c>
      <c r="I916" s="30">
        <f>ROUND((ROUND((Source!AE1302*Source!AV1302*Source!I1302),2)),2)</f>
        <v>4274.2700000000004</v>
      </c>
      <c r="J916" s="10">
        <f>IF(Source!BS1302&lt;&gt; 0, Source!BS1302, 1)</f>
        <v>24.53</v>
      </c>
      <c r="K916" s="30">
        <f>Source!R1302</f>
        <v>104847.84</v>
      </c>
      <c r="W916">
        <f>I916</f>
        <v>4274.2700000000004</v>
      </c>
    </row>
    <row r="917" spans="1:27" ht="14.25" x14ac:dyDescent="0.2">
      <c r="A917" s="22"/>
      <c r="B917" s="23"/>
      <c r="C917" s="23" t="s">
        <v>973</v>
      </c>
      <c r="D917" s="25"/>
      <c r="E917" s="10"/>
      <c r="F917" s="27">
        <f>Source!AL1302</f>
        <v>2905.14</v>
      </c>
      <c r="G917" s="26" t="str">
        <f>Source!DD1302</f>
        <v>*10</v>
      </c>
      <c r="H917" s="10">
        <f>Source!AW1302</f>
        <v>1</v>
      </c>
      <c r="I917" s="28">
        <f>ROUND((ROUND((Source!AC1302*Source!AW1302*Source!I1302),2)),2)</f>
        <v>942136.9</v>
      </c>
      <c r="J917" s="10">
        <f>IF(Source!BC1302&lt;&gt; 0, Source!BC1302, 1)</f>
        <v>2.73</v>
      </c>
      <c r="K917" s="28">
        <f>Source!P1302</f>
        <v>2572033.7400000002</v>
      </c>
    </row>
    <row r="918" spans="1:27" ht="28.5" x14ac:dyDescent="0.2">
      <c r="A918" s="22" t="str">
        <f>Source!E1303</f>
        <v>105,1</v>
      </c>
      <c r="B918" s="23" t="str">
        <f>Source!F1303</f>
        <v>1.1-1-3462</v>
      </c>
      <c r="C918" s="23" t="s">
        <v>612</v>
      </c>
      <c r="D918" s="25" t="str">
        <f>Source!H1303</f>
        <v>кг</v>
      </c>
      <c r="E918" s="10">
        <f>Source!I1303</f>
        <v>47672.1</v>
      </c>
      <c r="F918" s="27">
        <f>Source!AK1303</f>
        <v>7.22</v>
      </c>
      <c r="G918" s="33" t="s">
        <v>983</v>
      </c>
      <c r="H918" s="10">
        <f>Source!AW1303</f>
        <v>1</v>
      </c>
      <c r="I918" s="28">
        <f>ROUND((ROUND((Source!AC1303*Source!AW1303*Source!I1303),2)),2)+(ROUND((ROUND(((Source!ET1303)*Source!AV1303*Source!I1303),2)),2)+ROUND((ROUND(((Source!AE1303-(Source!EU1303))*Source!AV1303*Source!I1303),2)),2))+ROUND((ROUND((Source!AF1303*Source!AV1303*Source!I1303),2)),2)</f>
        <v>344192.56</v>
      </c>
      <c r="J918" s="10">
        <f>IF(Source!BC1303&lt;&gt; 0, Source!BC1303, 1)</f>
        <v>2.4300000000000002</v>
      </c>
      <c r="K918" s="28">
        <f>Source!O1303</f>
        <v>836387.92</v>
      </c>
      <c r="Q918">
        <f>ROUND((Source!DN1303/100)*ROUND((ROUND((Source!AF1303*Source!AV1303*Source!I1303),2)),2), 2)</f>
        <v>0</v>
      </c>
      <c r="R918">
        <f>Source!X1303</f>
        <v>0</v>
      </c>
      <c r="S918">
        <f>ROUND((Source!DO1303/100)*ROUND((ROUND((Source!AF1303*Source!AV1303*Source!I1303),2)),2), 2)</f>
        <v>0</v>
      </c>
      <c r="T918">
        <f>Source!Y1303</f>
        <v>0</v>
      </c>
      <c r="U918">
        <f>ROUND((175/100)*ROUND((ROUND((Source!AE1303*Source!AV1303*Source!I1303),2)),2), 2)</f>
        <v>0</v>
      </c>
      <c r="V918">
        <f>ROUND((157/100)*ROUND(ROUND((ROUND((Source!AE1303*Source!AV1303*Source!I1303),2)*Source!BS1303),2), 2), 2)</f>
        <v>0</v>
      </c>
      <c r="X918">
        <f>IF(Source!BI1303&lt;=1,I918, 0)</f>
        <v>344192.56</v>
      </c>
      <c r="Y918">
        <f>IF(Source!BI1303=2,I918, 0)</f>
        <v>0</v>
      </c>
      <c r="Z918">
        <f>IF(Source!BI1303=3,I918, 0)</f>
        <v>0</v>
      </c>
      <c r="AA918">
        <f>IF(Source!BI1303=4,I918, 0)</f>
        <v>0</v>
      </c>
    </row>
    <row r="919" spans="1:27" ht="14.25" x14ac:dyDescent="0.2">
      <c r="A919" s="22"/>
      <c r="B919" s="23"/>
      <c r="C919" s="23" t="s">
        <v>974</v>
      </c>
      <c r="D919" s="25" t="s">
        <v>975</v>
      </c>
      <c r="E919" s="10">
        <f>Source!DN1302</f>
        <v>187</v>
      </c>
      <c r="F919" s="27"/>
      <c r="G919" s="26"/>
      <c r="H919" s="10"/>
      <c r="I919" s="28">
        <f>SUM(Q912:Q918)</f>
        <v>16755.97</v>
      </c>
      <c r="J919" s="10">
        <f>Source!BZ1302</f>
        <v>102</v>
      </c>
      <c r="K919" s="28">
        <f>SUM(R912:R918)</f>
        <v>224194.84</v>
      </c>
    </row>
    <row r="920" spans="1:27" ht="14.25" x14ac:dyDescent="0.2">
      <c r="A920" s="22"/>
      <c r="B920" s="23"/>
      <c r="C920" s="23" t="s">
        <v>976</v>
      </c>
      <c r="D920" s="25" t="s">
        <v>975</v>
      </c>
      <c r="E920" s="10">
        <f>Source!DO1302</f>
        <v>101</v>
      </c>
      <c r="F920" s="27"/>
      <c r="G920" s="26"/>
      <c r="H920" s="10"/>
      <c r="I920" s="28">
        <f>SUM(S912:S919)</f>
        <v>9050.01</v>
      </c>
      <c r="J920" s="10">
        <f>Source!CA1302</f>
        <v>47</v>
      </c>
      <c r="K920" s="28">
        <f>SUM(T912:T919)</f>
        <v>103305.46</v>
      </c>
    </row>
    <row r="921" spans="1:27" ht="14.25" x14ac:dyDescent="0.2">
      <c r="A921" s="22"/>
      <c r="B921" s="23"/>
      <c r="C921" s="23" t="s">
        <v>977</v>
      </c>
      <c r="D921" s="25" t="s">
        <v>975</v>
      </c>
      <c r="E921" s="10">
        <f>175</f>
        <v>175</v>
      </c>
      <c r="F921" s="27"/>
      <c r="G921" s="26"/>
      <c r="H921" s="10"/>
      <c r="I921" s="28">
        <f>SUM(U912:U920)</f>
        <v>7479.97</v>
      </c>
      <c r="J921" s="10">
        <f>157</f>
        <v>157</v>
      </c>
      <c r="K921" s="28">
        <f>SUM(V912:V920)</f>
        <v>164611.10999999999</v>
      </c>
    </row>
    <row r="922" spans="1:27" ht="14.25" x14ac:dyDescent="0.2">
      <c r="A922" s="22"/>
      <c r="B922" s="23"/>
      <c r="C922" s="23" t="s">
        <v>978</v>
      </c>
      <c r="D922" s="25" t="s">
        <v>979</v>
      </c>
      <c r="E922" s="10">
        <f>Source!AQ1302</f>
        <v>2.31</v>
      </c>
      <c r="F922" s="27"/>
      <c r="G922" s="26" t="str">
        <f>Source!DI1302</f>
        <v>*10</v>
      </c>
      <c r="H922" s="10">
        <f>Source!AV1302</f>
        <v>1</v>
      </c>
      <c r="I922" s="28">
        <f>Source!U1302</f>
        <v>749.13300000000004</v>
      </c>
      <c r="J922" s="10"/>
      <c r="K922" s="28"/>
    </row>
    <row r="923" spans="1:27" ht="15" x14ac:dyDescent="0.25">
      <c r="A923" s="32"/>
      <c r="B923" s="32"/>
      <c r="C923" s="32"/>
      <c r="D923" s="32"/>
      <c r="E923" s="32"/>
      <c r="F923" s="32"/>
      <c r="G923" s="32"/>
      <c r="H923" s="101">
        <f>I914+I915+I917+I919+I920+I921+SUM(I918:I918)</f>
        <v>1339527.43</v>
      </c>
      <c r="I923" s="101"/>
      <c r="J923" s="101">
        <f>K914+K915+K917+K919+K920+K921+SUM(K918:K918)</f>
        <v>4255036.7300000004</v>
      </c>
      <c r="K923" s="101"/>
      <c r="O923" s="31">
        <f>I914+I915+I917+I919+I920+I921+SUM(I918:I918)</f>
        <v>1339527.43</v>
      </c>
      <c r="P923" s="31">
        <f>K914+K915+K917+K919+K920+K921+SUM(K918:K918)</f>
        <v>4255036.7300000004</v>
      </c>
      <c r="X923">
        <f>IF(Source!BI1302&lt;=1,I914+I915+I917+I919+I920+I921-0, 0)</f>
        <v>995334.87</v>
      </c>
      <c r="Y923">
        <f>IF(Source!BI1302=2,I914+I915+I917+I919+I920+I921-0, 0)</f>
        <v>0</v>
      </c>
      <c r="Z923">
        <f>IF(Source!BI1302=3,I914+I915+I917+I919+I920+I921-0, 0)</f>
        <v>0</v>
      </c>
      <c r="AA923">
        <f>IF(Source!BI1302=4,I914+I915+I917+I919+I920+I921,0)</f>
        <v>0</v>
      </c>
    </row>
    <row r="924" spans="1:27" ht="57" x14ac:dyDescent="0.2">
      <c r="A924" s="22" t="str">
        <f>Source!E1304</f>
        <v>106</v>
      </c>
      <c r="B924" s="23" t="str">
        <f>Source!F1304</f>
        <v>3.47-75-1</v>
      </c>
      <c r="C924" s="23" t="s">
        <v>606</v>
      </c>
      <c r="D924" s="25" t="str">
        <f>Source!H1304</f>
        <v>100 м2</v>
      </c>
      <c r="E924" s="10">
        <f>Source!I1304</f>
        <v>32.43</v>
      </c>
      <c r="F924" s="27"/>
      <c r="G924" s="26"/>
      <c r="H924" s="10"/>
      <c r="I924" s="28"/>
      <c r="J924" s="10"/>
      <c r="K924" s="28"/>
      <c r="Q924">
        <f>ROUND((Source!DN1304/100)*ROUND((ROUND((Source!AF1304*Source!AV1304*Source!I1304),2)),2), 2)</f>
        <v>11425.34</v>
      </c>
      <c r="R924">
        <f>Source!X1304</f>
        <v>152871.10999999999</v>
      </c>
      <c r="S924">
        <f>ROUND((Source!DO1304/100)*ROUND((ROUND((Source!AF1304*Source!AV1304*Source!I1304),2)),2), 2)</f>
        <v>6170.91</v>
      </c>
      <c r="T924">
        <f>Source!Y1304</f>
        <v>70440.61</v>
      </c>
      <c r="U924">
        <f>ROUND((175/100)*ROUND((ROUND((Source!AE1304*Source!AV1304*Source!I1304),2)),2), 2)</f>
        <v>3953.95</v>
      </c>
      <c r="V924">
        <f>ROUND((157/100)*ROUND(ROUND((ROUND((Source!AE1304*Source!AV1304*Source!I1304),2)*Source!BS1304),2), 2), 2)</f>
        <v>87014.24</v>
      </c>
    </row>
    <row r="925" spans="1:27" x14ac:dyDescent="0.2">
      <c r="C925" s="29" t="str">
        <f>"Объем: "&amp;Source!I1304&amp;"=3243/"&amp;"100"</f>
        <v>Объем: 32,43=3243/100</v>
      </c>
    </row>
    <row r="926" spans="1:27" ht="14.25" x14ac:dyDescent="0.2">
      <c r="A926" s="22"/>
      <c r="B926" s="23"/>
      <c r="C926" s="23" t="s">
        <v>970</v>
      </c>
      <c r="D926" s="25"/>
      <c r="E926" s="10"/>
      <c r="F926" s="27">
        <f>Source!AO1304</f>
        <v>188.4</v>
      </c>
      <c r="G926" s="26" t="str">
        <f>Source!DG1304</f>
        <v/>
      </c>
      <c r="H926" s="10">
        <f>Source!AV1304</f>
        <v>1</v>
      </c>
      <c r="I926" s="28">
        <f>ROUND((ROUND((Source!AF1304*Source!AV1304*Source!I1304),2)),2)</f>
        <v>6109.81</v>
      </c>
      <c r="J926" s="10">
        <f>IF(Source!BA1304&lt;&gt; 0, Source!BA1304, 1)</f>
        <v>24.53</v>
      </c>
      <c r="K926" s="28">
        <f>Source!S1304</f>
        <v>149873.64000000001</v>
      </c>
      <c r="W926">
        <f>I926</f>
        <v>6109.81</v>
      </c>
    </row>
    <row r="927" spans="1:27" ht="14.25" x14ac:dyDescent="0.2">
      <c r="A927" s="22"/>
      <c r="B927" s="23"/>
      <c r="C927" s="23" t="s">
        <v>971</v>
      </c>
      <c r="D927" s="25"/>
      <c r="E927" s="10"/>
      <c r="F927" s="27">
        <f>Source!AM1304</f>
        <v>180.59</v>
      </c>
      <c r="G927" s="26" t="str">
        <f>Source!DE1304</f>
        <v/>
      </c>
      <c r="H927" s="10">
        <f>Source!AV1304</f>
        <v>1</v>
      </c>
      <c r="I927" s="28">
        <f>(ROUND((ROUND(((Source!ET1304)*Source!AV1304*Source!I1304),2)),2)+ROUND((ROUND(((Source!AE1304-(Source!EU1304))*Source!AV1304*Source!I1304),2)),2))</f>
        <v>5856.53</v>
      </c>
      <c r="J927" s="10">
        <f>IF(Source!BB1304&lt;&gt; 0, Source!BB1304, 1)</f>
        <v>12.31</v>
      </c>
      <c r="K927" s="28">
        <f>Source!Q1304</f>
        <v>72093.88</v>
      </c>
    </row>
    <row r="928" spans="1:27" ht="14.25" x14ac:dyDescent="0.2">
      <c r="A928" s="22"/>
      <c r="B928" s="23"/>
      <c r="C928" s="23" t="s">
        <v>972</v>
      </c>
      <c r="D928" s="25"/>
      <c r="E928" s="10"/>
      <c r="F928" s="27">
        <f>Source!AN1304</f>
        <v>69.67</v>
      </c>
      <c r="G928" s="26" t="str">
        <f>Source!DF1304</f>
        <v/>
      </c>
      <c r="H928" s="10">
        <f>Source!AV1304</f>
        <v>1</v>
      </c>
      <c r="I928" s="30">
        <f>ROUND((ROUND((Source!AE1304*Source!AV1304*Source!I1304),2)),2)</f>
        <v>2259.4</v>
      </c>
      <c r="J928" s="10">
        <f>IF(Source!BS1304&lt;&gt; 0, Source!BS1304, 1)</f>
        <v>24.53</v>
      </c>
      <c r="K928" s="30">
        <f>Source!R1304</f>
        <v>55423.08</v>
      </c>
      <c r="W928">
        <f>I928</f>
        <v>2259.4</v>
      </c>
    </row>
    <row r="929" spans="1:38" ht="14.25" x14ac:dyDescent="0.2">
      <c r="A929" s="22"/>
      <c r="B929" s="23"/>
      <c r="C929" s="23" t="s">
        <v>973</v>
      </c>
      <c r="D929" s="25"/>
      <c r="E929" s="10"/>
      <c r="F929" s="27">
        <f>Source!AL1304</f>
        <v>16744.72</v>
      </c>
      <c r="G929" s="26" t="str">
        <f>Source!DD1304</f>
        <v/>
      </c>
      <c r="H929" s="10">
        <f>Source!AW1304</f>
        <v>1</v>
      </c>
      <c r="I929" s="28">
        <f>ROUND((ROUND((Source!AC1304*Source!AW1304*Source!I1304),2)),2)</f>
        <v>543031.27</v>
      </c>
      <c r="J929" s="10">
        <f>IF(Source!BC1304&lt;&gt; 0, Source!BC1304, 1)</f>
        <v>2.79</v>
      </c>
      <c r="K929" s="28">
        <f>Source!P1304</f>
        <v>1515057.24</v>
      </c>
    </row>
    <row r="930" spans="1:38" ht="28.5" x14ac:dyDescent="0.2">
      <c r="A930" s="22" t="str">
        <f>Source!E1305</f>
        <v>106,1</v>
      </c>
      <c r="B930" s="23" t="str">
        <f>Source!F1305</f>
        <v>1.1-1-3493</v>
      </c>
      <c r="C930" s="23" t="s">
        <v>623</v>
      </c>
      <c r="D930" s="25" t="str">
        <f>Source!H1305</f>
        <v>кг</v>
      </c>
      <c r="E930" s="10">
        <f>Source!I1305</f>
        <v>23836.05</v>
      </c>
      <c r="F930" s="27">
        <f>Source!AK1305</f>
        <v>17.18</v>
      </c>
      <c r="G930" s="33" t="s">
        <v>3</v>
      </c>
      <c r="H930" s="10">
        <f>Source!AW1305</f>
        <v>1</v>
      </c>
      <c r="I930" s="28">
        <f>ROUND((ROUND((Source!AC1305*Source!AW1305*Source!I1305),2)),2)+(ROUND((ROUND(((Source!ET1305)*Source!AV1305*Source!I1305),2)),2)+ROUND((ROUND(((Source!AE1305-(Source!EU1305))*Source!AV1305*Source!I1305),2)),2))+ROUND((ROUND((Source!AF1305*Source!AV1305*Source!I1305),2)),2)</f>
        <v>409503.34</v>
      </c>
      <c r="J930" s="10">
        <f>IF(Source!BC1305&lt;&gt; 0, Source!BC1305, 1)</f>
        <v>4.9800000000000004</v>
      </c>
      <c r="K930" s="28">
        <f>Source!O1305</f>
        <v>2039326.63</v>
      </c>
      <c r="Q930">
        <f>ROUND((Source!DN1305/100)*ROUND((ROUND((Source!AF1305*Source!AV1305*Source!I1305),2)),2), 2)</f>
        <v>0</v>
      </c>
      <c r="R930">
        <f>Source!X1305</f>
        <v>0</v>
      </c>
      <c r="S930">
        <f>ROUND((Source!DO1305/100)*ROUND((ROUND((Source!AF1305*Source!AV1305*Source!I1305),2)),2), 2)</f>
        <v>0</v>
      </c>
      <c r="T930">
        <f>Source!Y1305</f>
        <v>0</v>
      </c>
      <c r="U930">
        <f>ROUND((175/100)*ROUND((ROUND((Source!AE1305*Source!AV1305*Source!I1305),2)),2), 2)</f>
        <v>0</v>
      </c>
      <c r="V930">
        <f>ROUND((157/100)*ROUND(ROUND((ROUND((Source!AE1305*Source!AV1305*Source!I1305),2)*Source!BS1305),2), 2), 2)</f>
        <v>0</v>
      </c>
      <c r="X930">
        <f>IF(Source!BI1305&lt;=1,I930, 0)</f>
        <v>409503.34</v>
      </c>
      <c r="Y930">
        <f>IF(Source!BI1305=2,I930, 0)</f>
        <v>0</v>
      </c>
      <c r="Z930">
        <f>IF(Source!BI1305=3,I930, 0)</f>
        <v>0</v>
      </c>
      <c r="AA930">
        <f>IF(Source!BI1305=4,I930, 0)</f>
        <v>0</v>
      </c>
    </row>
    <row r="931" spans="1:38" ht="14.25" x14ac:dyDescent="0.2">
      <c r="A931" s="22"/>
      <c r="B931" s="23"/>
      <c r="C931" s="23" t="s">
        <v>974</v>
      </c>
      <c r="D931" s="25" t="s">
        <v>975</v>
      </c>
      <c r="E931" s="10">
        <f>Source!DN1304</f>
        <v>187</v>
      </c>
      <c r="F931" s="27"/>
      <c r="G931" s="26"/>
      <c r="H931" s="10"/>
      <c r="I931" s="28">
        <f>SUM(Q924:Q930)</f>
        <v>11425.34</v>
      </c>
      <c r="J931" s="10">
        <f>Source!BZ1304</f>
        <v>102</v>
      </c>
      <c r="K931" s="28">
        <f>SUM(R924:R930)</f>
        <v>152871.10999999999</v>
      </c>
    </row>
    <row r="932" spans="1:38" ht="14.25" x14ac:dyDescent="0.2">
      <c r="A932" s="22"/>
      <c r="B932" s="23"/>
      <c r="C932" s="23" t="s">
        <v>976</v>
      </c>
      <c r="D932" s="25" t="s">
        <v>975</v>
      </c>
      <c r="E932" s="10">
        <f>Source!DO1304</f>
        <v>101</v>
      </c>
      <c r="F932" s="27"/>
      <c r="G932" s="26"/>
      <c r="H932" s="10"/>
      <c r="I932" s="28">
        <f>SUM(S924:S931)</f>
        <v>6170.91</v>
      </c>
      <c r="J932" s="10">
        <f>Source!CA1304</f>
        <v>47</v>
      </c>
      <c r="K932" s="28">
        <f>SUM(T924:T931)</f>
        <v>70440.61</v>
      </c>
    </row>
    <row r="933" spans="1:38" ht="14.25" x14ac:dyDescent="0.2">
      <c r="A933" s="22"/>
      <c r="B933" s="23"/>
      <c r="C933" s="23" t="s">
        <v>977</v>
      </c>
      <c r="D933" s="25" t="s">
        <v>975</v>
      </c>
      <c r="E933" s="10">
        <f>175</f>
        <v>175</v>
      </c>
      <c r="F933" s="27"/>
      <c r="G933" s="26"/>
      <c r="H933" s="10"/>
      <c r="I933" s="28">
        <f>SUM(U924:U932)</f>
        <v>3953.95</v>
      </c>
      <c r="J933" s="10">
        <f>157</f>
        <v>157</v>
      </c>
      <c r="K933" s="28">
        <f>SUM(V924:V932)</f>
        <v>87014.24</v>
      </c>
    </row>
    <row r="934" spans="1:38" ht="14.25" x14ac:dyDescent="0.2">
      <c r="A934" s="22"/>
      <c r="B934" s="23"/>
      <c r="C934" s="23" t="s">
        <v>978</v>
      </c>
      <c r="D934" s="25" t="s">
        <v>979</v>
      </c>
      <c r="E934" s="10">
        <f>Source!AQ1304</f>
        <v>16.03</v>
      </c>
      <c r="F934" s="27"/>
      <c r="G934" s="26" t="str">
        <f>Source!DI1304</f>
        <v/>
      </c>
      <c r="H934" s="10">
        <f>Source!AV1304</f>
        <v>1</v>
      </c>
      <c r="I934" s="28">
        <f>Source!U1304</f>
        <v>519.85289999999998</v>
      </c>
      <c r="J934" s="10"/>
      <c r="K934" s="28"/>
    </row>
    <row r="935" spans="1:38" ht="15" x14ac:dyDescent="0.25">
      <c r="A935" s="32"/>
      <c r="B935" s="32"/>
      <c r="C935" s="32"/>
      <c r="D935" s="32"/>
      <c r="E935" s="32"/>
      <c r="F935" s="32"/>
      <c r="G935" s="32"/>
      <c r="H935" s="101">
        <f>I926+I927+I929+I931+I932+I933+SUM(I930:I930)</f>
        <v>986051.14999999991</v>
      </c>
      <c r="I935" s="101"/>
      <c r="J935" s="101">
        <f>K926+K927+K929+K931+K932+K933+SUM(K930:K930)</f>
        <v>4086677.35</v>
      </c>
      <c r="K935" s="101"/>
      <c r="O935" s="31">
        <f>I926+I927+I929+I931+I932+I933+SUM(I930:I930)</f>
        <v>986051.14999999991</v>
      </c>
      <c r="P935" s="31">
        <f>K926+K927+K929+K931+K932+K933+SUM(K930:K930)</f>
        <v>4086677.35</v>
      </c>
      <c r="X935">
        <f>IF(Source!BI1304&lt;=1,I926+I927+I929+I931+I932+I933-0, 0)</f>
        <v>576547.80999999994</v>
      </c>
      <c r="Y935">
        <f>IF(Source!BI1304=2,I926+I927+I929+I931+I932+I933-0, 0)</f>
        <v>0</v>
      </c>
      <c r="Z935">
        <f>IF(Source!BI1304=3,I926+I927+I929+I931+I932+I933-0, 0)</f>
        <v>0</v>
      </c>
      <c r="AA935">
        <f>IF(Source!BI1304=4,I926+I927+I929+I931+I932+I933,0)</f>
        <v>0</v>
      </c>
    </row>
    <row r="937" spans="1:38" ht="30" x14ac:dyDescent="0.25">
      <c r="A937" s="100" t="str">
        <f>CONCATENATE("Итого по разделу: ",IF(Source!G1307&lt;&gt;"Новый раздел", Source!G1307, ""))</f>
        <v>Итого по разделу: 47. Устройство покрытия на детской площадке для детей от 5 лет 4 см (3 см - резина, 1 см - EPDM)</v>
      </c>
      <c r="B937" s="100"/>
      <c r="C937" s="100"/>
      <c r="D937" s="100"/>
      <c r="E937" s="100"/>
      <c r="F937" s="100"/>
      <c r="G937" s="100"/>
      <c r="H937" s="98">
        <f>SUM(O899:O936)</f>
        <v>3073520.2399999998</v>
      </c>
      <c r="I937" s="99"/>
      <c r="J937" s="98">
        <f>SUM(P899:P936)</f>
        <v>10805551.860000001</v>
      </c>
      <c r="K937" s="99"/>
      <c r="AL937" s="36" t="str">
        <f>CONCATENATE("Итого по разделу: ",IF(Source!G1307&lt;&gt;"Новый раздел", Source!G1307, ""))</f>
        <v>Итого по разделу: 47. Устройство покрытия на детской площадке для детей от 5 лет 4 см (3 см - резина, 1 см - EPDM)</v>
      </c>
    </row>
    <row r="938" spans="1:38" hidden="1" x14ac:dyDescent="0.2">
      <c r="A938" t="s">
        <v>980</v>
      </c>
      <c r="I938">
        <f>SUM(AC899:AC937)</f>
        <v>0</v>
      </c>
      <c r="J938">
        <f>SUM(AD899:AD937)</f>
        <v>0</v>
      </c>
    </row>
    <row r="939" spans="1:38" hidden="1" x14ac:dyDescent="0.2">
      <c r="A939" t="s">
        <v>981</v>
      </c>
      <c r="I939">
        <f>SUM(AE899:AE938)</f>
        <v>0</v>
      </c>
      <c r="J939">
        <f>SUM(AF899:AF938)</f>
        <v>0</v>
      </c>
    </row>
    <row r="940" spans="1:38" ht="14.25" x14ac:dyDescent="0.2">
      <c r="C940" s="96" t="str">
        <f>Source!H1336</f>
        <v>ндс</v>
      </c>
      <c r="D940" s="96"/>
      <c r="E940" s="96"/>
      <c r="F940" s="96"/>
      <c r="G940" s="96"/>
      <c r="H940" s="96"/>
      <c r="I940" s="96"/>
      <c r="J940" s="97">
        <f>IF(Source!F1336=0, "", Source!F1336)</f>
        <v>12966662.23</v>
      </c>
      <c r="K940" s="97"/>
    </row>
    <row r="942" spans="1:38" ht="16.5" x14ac:dyDescent="0.25">
      <c r="A942" s="102" t="str">
        <f>CONCATENATE("Раздел: ",IF(Source!G1338&lt;&gt;"Новый раздел", Source!G1338, ""))</f>
        <v>Раздел: 54. Облицовка подпорной стенки мраморной штукатуркой</v>
      </c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</row>
    <row r="943" spans="1:38" ht="85.5" x14ac:dyDescent="0.2">
      <c r="A943" s="22" t="str">
        <f>Source!E1342</f>
        <v>107</v>
      </c>
      <c r="B943" s="23" t="str">
        <f>Source!F1342</f>
        <v>3.15-42-1</v>
      </c>
      <c r="C943" s="23" t="s">
        <v>628</v>
      </c>
      <c r="D943" s="25" t="str">
        <f>Source!H1342</f>
        <v>100 м2 оштукатуриваемой поверхности</v>
      </c>
      <c r="E943" s="10">
        <f>Source!I1342</f>
        <v>0.4</v>
      </c>
      <c r="F943" s="27"/>
      <c r="G943" s="26"/>
      <c r="H943" s="10"/>
      <c r="I943" s="28"/>
      <c r="J943" s="10"/>
      <c r="K943" s="28"/>
      <c r="Q943">
        <f>ROUND((Source!DN1342/100)*ROUND((ROUND((Source!AF1342*Source!AV1342*Source!I1342),2)),2), 2)</f>
        <v>630.24</v>
      </c>
      <c r="R943">
        <f>Source!X1342</f>
        <v>11337.18</v>
      </c>
      <c r="S943">
        <f>ROUND((Source!DO1342/100)*ROUND((ROUND((Source!AF1342*Source!AV1342*Source!I1342),2)),2), 2)</f>
        <v>441.17</v>
      </c>
      <c r="T943">
        <f>Source!Y1342</f>
        <v>5410.93</v>
      </c>
      <c r="U943">
        <f>ROUND((175/100)*ROUND((ROUND((Source!AE1342*Source!AV1342*Source!I1342),2)),2), 2)</f>
        <v>25.67</v>
      </c>
      <c r="V943">
        <f>ROUND((157/100)*ROUND(ROUND((ROUND((Source!AE1342*Source!AV1342*Source!I1342),2)*Source!BS1342),2), 2), 2)</f>
        <v>564.98</v>
      </c>
    </row>
    <row r="944" spans="1:38" x14ac:dyDescent="0.2">
      <c r="C944" s="29" t="str">
        <f>"Объем: "&amp;Source!I1342&amp;"=40/"&amp;"100"</f>
        <v>Объем: 0,4=40/100</v>
      </c>
    </row>
    <row r="945" spans="1:38" ht="14.25" x14ac:dyDescent="0.2">
      <c r="A945" s="22"/>
      <c r="B945" s="23"/>
      <c r="C945" s="23" t="s">
        <v>970</v>
      </c>
      <c r="D945" s="25"/>
      <c r="E945" s="10"/>
      <c r="F945" s="27">
        <f>Source!AO1342</f>
        <v>1313</v>
      </c>
      <c r="G945" s="26" t="str">
        <f>Source!DG1342</f>
        <v/>
      </c>
      <c r="H945" s="10">
        <f>Source!AV1342</f>
        <v>1</v>
      </c>
      <c r="I945" s="28">
        <f>ROUND((ROUND((Source!AF1342*Source!AV1342*Source!I1342),2)),2)</f>
        <v>525.20000000000005</v>
      </c>
      <c r="J945" s="10">
        <f>IF(Source!BA1342&lt;&gt; 0, Source!BA1342, 1)</f>
        <v>24.53</v>
      </c>
      <c r="K945" s="28">
        <f>Source!S1342</f>
        <v>12883.16</v>
      </c>
      <c r="W945">
        <f>I945</f>
        <v>525.20000000000005</v>
      </c>
    </row>
    <row r="946" spans="1:38" ht="14.25" x14ac:dyDescent="0.2">
      <c r="A946" s="22"/>
      <c r="B946" s="23"/>
      <c r="C946" s="23" t="s">
        <v>971</v>
      </c>
      <c r="D946" s="25"/>
      <c r="E946" s="10"/>
      <c r="F946" s="27">
        <f>Source!AM1342</f>
        <v>159.77000000000001</v>
      </c>
      <c r="G946" s="26" t="str">
        <f>Source!DE1342</f>
        <v/>
      </c>
      <c r="H946" s="10">
        <f>Source!AV1342</f>
        <v>1</v>
      </c>
      <c r="I946" s="28">
        <f>(ROUND((ROUND(((Source!ET1342)*Source!AV1342*Source!I1342),2)),2)+ROUND((ROUND(((Source!AE1342-(Source!EU1342))*Source!AV1342*Source!I1342),2)),2))</f>
        <v>63.91</v>
      </c>
      <c r="J946" s="10">
        <f>IF(Source!BB1342&lt;&gt; 0, Source!BB1342, 1)</f>
        <v>10.63</v>
      </c>
      <c r="K946" s="28">
        <f>Source!Q1342</f>
        <v>679.36</v>
      </c>
    </row>
    <row r="947" spans="1:38" ht="14.25" x14ac:dyDescent="0.2">
      <c r="A947" s="22"/>
      <c r="B947" s="23"/>
      <c r="C947" s="23" t="s">
        <v>972</v>
      </c>
      <c r="D947" s="25"/>
      <c r="E947" s="10"/>
      <c r="F947" s="27">
        <f>Source!AN1342</f>
        <v>36.68</v>
      </c>
      <c r="G947" s="26" t="str">
        <f>Source!DF1342</f>
        <v/>
      </c>
      <c r="H947" s="10">
        <f>Source!AV1342</f>
        <v>1</v>
      </c>
      <c r="I947" s="30">
        <f>ROUND((ROUND((Source!AE1342*Source!AV1342*Source!I1342),2)),2)</f>
        <v>14.67</v>
      </c>
      <c r="J947" s="10">
        <f>IF(Source!BS1342&lt;&gt; 0, Source!BS1342, 1)</f>
        <v>24.53</v>
      </c>
      <c r="K947" s="30">
        <f>Source!R1342</f>
        <v>359.86</v>
      </c>
      <c r="W947">
        <f>I947</f>
        <v>14.67</v>
      </c>
    </row>
    <row r="948" spans="1:38" ht="14.25" x14ac:dyDescent="0.2">
      <c r="A948" s="22"/>
      <c r="B948" s="23"/>
      <c r="C948" s="23" t="s">
        <v>973</v>
      </c>
      <c r="D948" s="25"/>
      <c r="E948" s="10"/>
      <c r="F948" s="27">
        <f>Source!AL1342</f>
        <v>1.41</v>
      </c>
      <c r="G948" s="26" t="str">
        <f>Source!DD1342</f>
        <v/>
      </c>
      <c r="H948" s="10">
        <f>Source!AW1342</f>
        <v>1</v>
      </c>
      <c r="I948" s="28">
        <f>ROUND((ROUND((Source!AC1342*Source!AW1342*Source!I1342),2)),2)</f>
        <v>0.56000000000000005</v>
      </c>
      <c r="J948" s="10">
        <f>IF(Source!BC1342&lt;&gt; 0, Source!BC1342, 1)</f>
        <v>5.69</v>
      </c>
      <c r="K948" s="28">
        <f>Source!P1342</f>
        <v>3.19</v>
      </c>
    </row>
    <row r="949" spans="1:38" ht="14.25" x14ac:dyDescent="0.2">
      <c r="A949" s="22" t="str">
        <f>Source!E1343</f>
        <v>107,1</v>
      </c>
      <c r="B949" s="23" t="str">
        <f>Source!F1343</f>
        <v>1.1-1-118</v>
      </c>
      <c r="C949" s="23" t="s">
        <v>468</v>
      </c>
      <c r="D949" s="25" t="str">
        <f>Source!H1343</f>
        <v>м3</v>
      </c>
      <c r="E949" s="10">
        <f>Source!I1343</f>
        <v>5.7119999999999997E-2</v>
      </c>
      <c r="F949" s="27">
        <f>Source!AK1343</f>
        <v>7.07</v>
      </c>
      <c r="G949" s="33" t="s">
        <v>3</v>
      </c>
      <c r="H949" s="10">
        <f>Source!AW1343</f>
        <v>1</v>
      </c>
      <c r="I949" s="28">
        <f>ROUND((ROUND((Source!AC1343*Source!AW1343*Source!I1343),2)),2)+(ROUND((ROUND(((Source!ET1343)*Source!AV1343*Source!I1343),2)),2)+ROUND((ROUND(((Source!AE1343-(Source!EU1343))*Source!AV1343*Source!I1343),2)),2))+ROUND((ROUND((Source!AF1343*Source!AV1343*Source!I1343),2)),2)</f>
        <v>0.4</v>
      </c>
      <c r="J949" s="10">
        <f>IF(Source!BC1343&lt;&gt; 0, Source!BC1343, 1)</f>
        <v>4.99</v>
      </c>
      <c r="K949" s="28">
        <f>Source!O1343</f>
        <v>2</v>
      </c>
      <c r="Q949">
        <f>ROUND((Source!DN1343/100)*ROUND((ROUND((Source!AF1343*Source!AV1343*Source!I1343),2)),2), 2)</f>
        <v>0</v>
      </c>
      <c r="R949">
        <f>Source!X1343</f>
        <v>0</v>
      </c>
      <c r="S949">
        <f>ROUND((Source!DO1343/100)*ROUND((ROUND((Source!AF1343*Source!AV1343*Source!I1343),2)),2), 2)</f>
        <v>0</v>
      </c>
      <c r="T949">
        <f>Source!Y1343</f>
        <v>0</v>
      </c>
      <c r="U949">
        <f>ROUND((175/100)*ROUND((ROUND((Source!AE1343*Source!AV1343*Source!I1343),2)),2), 2)</f>
        <v>0</v>
      </c>
      <c r="V949">
        <f>ROUND((157/100)*ROUND(ROUND((ROUND((Source!AE1343*Source!AV1343*Source!I1343),2)*Source!BS1343),2), 2), 2)</f>
        <v>0</v>
      </c>
      <c r="X949">
        <f>IF(Source!BI1343&lt;=1,I949, 0)</f>
        <v>0.4</v>
      </c>
      <c r="Y949">
        <f>IF(Source!BI1343=2,I949, 0)</f>
        <v>0</v>
      </c>
      <c r="Z949">
        <f>IF(Source!BI1343=3,I949, 0)</f>
        <v>0</v>
      </c>
      <c r="AA949">
        <f>IF(Source!BI1343=4,I949, 0)</f>
        <v>0</v>
      </c>
    </row>
    <row r="950" spans="1:38" ht="85.5" x14ac:dyDescent="0.2">
      <c r="A950" s="22" t="str">
        <f>Source!E1344</f>
        <v>107,2</v>
      </c>
      <c r="B950" s="23" t="str">
        <f>Source!F1344</f>
        <v>1.3-2-153</v>
      </c>
      <c r="C950" s="23" t="s">
        <v>633</v>
      </c>
      <c r="D950" s="25" t="str">
        <f>Source!H1344</f>
        <v>т</v>
      </c>
      <c r="E950" s="10">
        <f>Source!I1344</f>
        <v>0.32640000000000002</v>
      </c>
      <c r="F950" s="27">
        <f>Source!AK1344</f>
        <v>18737.86</v>
      </c>
      <c r="G950" s="33" t="s">
        <v>3</v>
      </c>
      <c r="H950" s="10">
        <f>Source!AW1344</f>
        <v>1</v>
      </c>
      <c r="I950" s="28">
        <f>ROUND((ROUND((Source!AC1344*Source!AW1344*Source!I1344),2)),2)+(ROUND((ROUND(((Source!ET1344)*Source!AV1344*Source!I1344),2)),2)+ROUND((ROUND(((Source!AE1344-(Source!EU1344))*Source!AV1344*Source!I1344),2)),2))+ROUND((ROUND((Source!AF1344*Source!AV1344*Source!I1344),2)),2)</f>
        <v>6116.04</v>
      </c>
      <c r="J950" s="10">
        <f>IF(Source!BC1344&lt;&gt; 0, Source!BC1344, 1)</f>
        <v>1.79</v>
      </c>
      <c r="K950" s="28">
        <f>Source!O1344</f>
        <v>10947.71</v>
      </c>
      <c r="Q950">
        <f>ROUND((Source!DN1344/100)*ROUND((ROUND((Source!AF1344*Source!AV1344*Source!I1344),2)),2), 2)</f>
        <v>0</v>
      </c>
      <c r="R950">
        <f>Source!X1344</f>
        <v>0</v>
      </c>
      <c r="S950">
        <f>ROUND((Source!DO1344/100)*ROUND((ROUND((Source!AF1344*Source!AV1344*Source!I1344),2)),2), 2)</f>
        <v>0</v>
      </c>
      <c r="T950">
        <f>Source!Y1344</f>
        <v>0</v>
      </c>
      <c r="U950">
        <f>ROUND((175/100)*ROUND((ROUND((Source!AE1344*Source!AV1344*Source!I1344),2)),2), 2)</f>
        <v>0</v>
      </c>
      <c r="V950">
        <f>ROUND((157/100)*ROUND(ROUND((ROUND((Source!AE1344*Source!AV1344*Source!I1344),2)*Source!BS1344),2), 2), 2)</f>
        <v>0</v>
      </c>
      <c r="X950">
        <f>IF(Source!BI1344&lt;=1,I950, 0)</f>
        <v>6116.04</v>
      </c>
      <c r="Y950">
        <f>IF(Source!BI1344=2,I950, 0)</f>
        <v>0</v>
      </c>
      <c r="Z950">
        <f>IF(Source!BI1344=3,I950, 0)</f>
        <v>0</v>
      </c>
      <c r="AA950">
        <f>IF(Source!BI1344=4,I950, 0)</f>
        <v>0</v>
      </c>
    </row>
    <row r="951" spans="1:38" ht="28.5" x14ac:dyDescent="0.2">
      <c r="A951" s="22" t="str">
        <f>Source!E1345</f>
        <v>107,3</v>
      </c>
      <c r="B951" s="23" t="str">
        <f>Source!F1345</f>
        <v>1.3-2-13</v>
      </c>
      <c r="C951" s="23" t="s">
        <v>476</v>
      </c>
      <c r="D951" s="25" t="str">
        <f>Source!H1345</f>
        <v>м3</v>
      </c>
      <c r="E951" s="10">
        <f>Source!I1345</f>
        <v>0.81599999999999984</v>
      </c>
      <c r="F951" s="27">
        <f>Source!AK1345</f>
        <v>481.69</v>
      </c>
      <c r="G951" s="33" t="s">
        <v>3</v>
      </c>
      <c r="H951" s="10">
        <f>Source!AW1345</f>
        <v>1</v>
      </c>
      <c r="I951" s="28">
        <f>ROUND((ROUND((Source!AC1345*Source!AW1345*Source!I1345),2)),2)+(ROUND((ROUND(((Source!ET1345)*Source!AV1345*Source!I1345),2)),2)+ROUND((ROUND(((Source!AE1345-(Source!EU1345))*Source!AV1345*Source!I1345),2)),2))+ROUND((ROUND((Source!AF1345*Source!AV1345*Source!I1345),2)),2)</f>
        <v>393.06</v>
      </c>
      <c r="J951" s="10">
        <f>IF(Source!BC1345&lt;&gt; 0, Source!BC1345, 1)</f>
        <v>6.69</v>
      </c>
      <c r="K951" s="28">
        <f>Source!O1345</f>
        <v>2629.57</v>
      </c>
      <c r="Q951">
        <f>ROUND((Source!DN1345/100)*ROUND((ROUND((Source!AF1345*Source!AV1345*Source!I1345),2)),2), 2)</f>
        <v>0</v>
      </c>
      <c r="R951">
        <f>Source!X1345</f>
        <v>0</v>
      </c>
      <c r="S951">
        <f>ROUND((Source!DO1345/100)*ROUND((ROUND((Source!AF1345*Source!AV1345*Source!I1345),2)),2), 2)</f>
        <v>0</v>
      </c>
      <c r="T951">
        <f>Source!Y1345</f>
        <v>0</v>
      </c>
      <c r="U951">
        <f>ROUND((175/100)*ROUND((ROUND((Source!AE1345*Source!AV1345*Source!I1345),2)),2), 2)</f>
        <v>0</v>
      </c>
      <c r="V951">
        <f>ROUND((157/100)*ROUND(ROUND((ROUND((Source!AE1345*Source!AV1345*Source!I1345),2)*Source!BS1345),2), 2), 2)</f>
        <v>0</v>
      </c>
      <c r="X951">
        <f>IF(Source!BI1345&lt;=1,I951, 0)</f>
        <v>393.06</v>
      </c>
      <c r="Y951">
        <f>IF(Source!BI1345=2,I951, 0)</f>
        <v>0</v>
      </c>
      <c r="Z951">
        <f>IF(Source!BI1345=3,I951, 0)</f>
        <v>0</v>
      </c>
      <c r="AA951">
        <f>IF(Source!BI1345=4,I951, 0)</f>
        <v>0</v>
      </c>
    </row>
    <row r="952" spans="1:38" ht="14.25" x14ac:dyDescent="0.2">
      <c r="A952" s="22"/>
      <c r="B952" s="23"/>
      <c r="C952" s="23" t="s">
        <v>974</v>
      </c>
      <c r="D952" s="25" t="s">
        <v>975</v>
      </c>
      <c r="E952" s="10">
        <f>Source!DN1342</f>
        <v>120</v>
      </c>
      <c r="F952" s="27"/>
      <c r="G952" s="26"/>
      <c r="H952" s="10"/>
      <c r="I952" s="28">
        <f>SUM(Q943:Q951)</f>
        <v>630.24</v>
      </c>
      <c r="J952" s="10">
        <f>Source!BZ1342</f>
        <v>88</v>
      </c>
      <c r="K952" s="28">
        <f>SUM(R943:R951)</f>
        <v>11337.18</v>
      </c>
    </row>
    <row r="953" spans="1:38" ht="14.25" x14ac:dyDescent="0.2">
      <c r="A953" s="22"/>
      <c r="B953" s="23"/>
      <c r="C953" s="23" t="s">
        <v>976</v>
      </c>
      <c r="D953" s="25" t="s">
        <v>975</v>
      </c>
      <c r="E953" s="10">
        <f>Source!DO1342</f>
        <v>84</v>
      </c>
      <c r="F953" s="27"/>
      <c r="G953" s="26"/>
      <c r="H953" s="10"/>
      <c r="I953" s="28">
        <f>SUM(S943:S952)</f>
        <v>441.17</v>
      </c>
      <c r="J953" s="10">
        <f>Source!CA1342</f>
        <v>42</v>
      </c>
      <c r="K953" s="28">
        <f>SUM(T943:T952)</f>
        <v>5410.93</v>
      </c>
    </row>
    <row r="954" spans="1:38" ht="14.25" x14ac:dyDescent="0.2">
      <c r="A954" s="22"/>
      <c r="B954" s="23"/>
      <c r="C954" s="23" t="s">
        <v>977</v>
      </c>
      <c r="D954" s="25" t="s">
        <v>975</v>
      </c>
      <c r="E954" s="10">
        <f>175</f>
        <v>175</v>
      </c>
      <c r="F954" s="27"/>
      <c r="G954" s="26"/>
      <c r="H954" s="10"/>
      <c r="I954" s="28">
        <f>SUM(U943:U953)</f>
        <v>25.67</v>
      </c>
      <c r="J954" s="10">
        <f>157</f>
        <v>157</v>
      </c>
      <c r="K954" s="28">
        <f>SUM(V943:V953)</f>
        <v>564.98</v>
      </c>
    </row>
    <row r="955" spans="1:38" ht="14.25" x14ac:dyDescent="0.2">
      <c r="A955" s="22"/>
      <c r="B955" s="23"/>
      <c r="C955" s="23" t="s">
        <v>978</v>
      </c>
      <c r="D955" s="25" t="s">
        <v>979</v>
      </c>
      <c r="E955" s="10">
        <f>Source!AQ1342</f>
        <v>101</v>
      </c>
      <c r="F955" s="27"/>
      <c r="G955" s="26" t="str">
        <f>Source!DI1342</f>
        <v/>
      </c>
      <c r="H955" s="10">
        <f>Source!AV1342</f>
        <v>1</v>
      </c>
      <c r="I955" s="28">
        <f>Source!U1342</f>
        <v>40.400000000000006</v>
      </c>
      <c r="J955" s="10"/>
      <c r="K955" s="28"/>
    </row>
    <row r="956" spans="1:38" ht="15" x14ac:dyDescent="0.25">
      <c r="A956" s="32"/>
      <c r="B956" s="32"/>
      <c r="C956" s="32"/>
      <c r="D956" s="32"/>
      <c r="E956" s="32"/>
      <c r="F956" s="32"/>
      <c r="G956" s="32"/>
      <c r="H956" s="101">
        <f>I945+I946+I948+I952+I953+I954+SUM(I949:I951)</f>
        <v>8196.25</v>
      </c>
      <c r="I956" s="101"/>
      <c r="J956" s="101">
        <f>K945+K946+K948+K952+K953+K954+SUM(K949:K951)</f>
        <v>44458.080000000002</v>
      </c>
      <c r="K956" s="101"/>
      <c r="O956" s="31">
        <f>I945+I946+I948+I952+I953+I954+SUM(I949:I951)</f>
        <v>8196.25</v>
      </c>
      <c r="P956" s="31">
        <f>K945+K946+K948+K952+K953+K954+SUM(K949:K951)</f>
        <v>44458.080000000002</v>
      </c>
      <c r="X956">
        <f>IF(Source!BI1342&lt;=1,I945+I946+I948+I952+I953+I954-0, 0)</f>
        <v>1686.75</v>
      </c>
      <c r="Y956">
        <f>IF(Source!BI1342=2,I945+I946+I948+I952+I953+I954-0, 0)</f>
        <v>0</v>
      </c>
      <c r="Z956">
        <f>IF(Source!BI1342=3,I945+I946+I948+I952+I953+I954-0, 0)</f>
        <v>0</v>
      </c>
      <c r="AA956">
        <f>IF(Source!BI1342=4,I945+I946+I948+I952+I953+I954,0)</f>
        <v>0</v>
      </c>
    </row>
    <row r="958" spans="1:38" ht="15" x14ac:dyDescent="0.25">
      <c r="A958" s="100" t="str">
        <f>CONCATENATE("Итого по разделу: ",IF(Source!G1347&lt;&gt;"Новый раздел", Source!G1347, ""))</f>
        <v>Итого по разделу: 54. Облицовка подпорной стенки мраморной штукатуркой</v>
      </c>
      <c r="B958" s="100"/>
      <c r="C958" s="100"/>
      <c r="D958" s="100"/>
      <c r="E958" s="100"/>
      <c r="F958" s="100"/>
      <c r="G958" s="100"/>
      <c r="H958" s="98">
        <f>SUM(O942:O957)</f>
        <v>8196.25</v>
      </c>
      <c r="I958" s="99"/>
      <c r="J958" s="98">
        <f>SUM(P942:P957)</f>
        <v>44458.080000000002</v>
      </c>
      <c r="K958" s="99"/>
      <c r="AL958" s="36" t="str">
        <f>CONCATENATE("Итого по разделу: ",IF(Source!G1347&lt;&gt;"Новый раздел", Source!G1347, ""))</f>
        <v>Итого по разделу: 54. Облицовка подпорной стенки мраморной штукатуркой</v>
      </c>
    </row>
    <row r="959" spans="1:38" hidden="1" x14ac:dyDescent="0.2">
      <c r="A959" t="s">
        <v>980</v>
      </c>
      <c r="I959">
        <f>SUM(AC942:AC958)</f>
        <v>0</v>
      </c>
      <c r="J959">
        <f>SUM(AD942:AD958)</f>
        <v>0</v>
      </c>
    </row>
    <row r="960" spans="1:38" hidden="1" x14ac:dyDescent="0.2">
      <c r="A960" t="s">
        <v>981</v>
      </c>
      <c r="I960">
        <f>SUM(AE942:AE959)</f>
        <v>0</v>
      </c>
      <c r="J960">
        <f>SUM(AF942:AF959)</f>
        <v>0</v>
      </c>
    </row>
    <row r="961" spans="1:11" ht="14.25" x14ac:dyDescent="0.2">
      <c r="C961" s="96" t="str">
        <f>Source!H1376</f>
        <v>ндс</v>
      </c>
      <c r="D961" s="96"/>
      <c r="E961" s="96"/>
      <c r="F961" s="96"/>
      <c r="G961" s="96"/>
      <c r="H961" s="96"/>
      <c r="I961" s="96"/>
      <c r="J961" s="97">
        <f>IF(Source!F1376=0, "", Source!F1376)</f>
        <v>53349.7</v>
      </c>
      <c r="K961" s="97"/>
    </row>
    <row r="963" spans="1:11" hidden="1" x14ac:dyDescent="0.2">
      <c r="A963" t="s">
        <v>980</v>
      </c>
      <c r="I963" t="e">
        <f>SUM(#REF!)</f>
        <v>#REF!</v>
      </c>
      <c r="J963" t="e">
        <f>SUM(#REF!)</f>
        <v>#REF!</v>
      </c>
    </row>
    <row r="964" spans="1:11" hidden="1" x14ac:dyDescent="0.2">
      <c r="A964" t="s">
        <v>981</v>
      </c>
      <c r="I964">
        <f>SUM(AE963:AE963)</f>
        <v>0</v>
      </c>
      <c r="J964">
        <f>SUM(AF963:AF963)</f>
        <v>0</v>
      </c>
    </row>
    <row r="966" spans="1:11" ht="15" x14ac:dyDescent="0.25">
      <c r="A966" s="100" t="str">
        <f>CONCATENATE("Итого по локальной смете: ",IF(Source!G1514&lt;&gt;"Новая локальная смета", Source!G1514, ""))</f>
        <v xml:space="preserve">Итого по локальной смете: </v>
      </c>
      <c r="B966" s="100"/>
      <c r="C966" s="100"/>
      <c r="D966" s="100"/>
      <c r="E966" s="100"/>
      <c r="F966" s="100"/>
      <c r="G966" s="100"/>
      <c r="H966" s="98">
        <f>SUM(O34:O965)</f>
        <v>8088760.8199999984</v>
      </c>
      <c r="I966" s="99"/>
      <c r="J966" s="98">
        <f>SUM(P34:P965)</f>
        <v>56978603.319999985</v>
      </c>
      <c r="K966" s="99"/>
    </row>
    <row r="967" spans="1:11" hidden="1" x14ac:dyDescent="0.2">
      <c r="A967" t="s">
        <v>980</v>
      </c>
      <c r="I967">
        <f>SUM(AC34:AC966)</f>
        <v>0</v>
      </c>
      <c r="J967">
        <f>SUM(AD34:AD966)</f>
        <v>0</v>
      </c>
    </row>
    <row r="968" spans="1:11" hidden="1" x14ac:dyDescent="0.2">
      <c r="A968" t="s">
        <v>981</v>
      </c>
      <c r="I968">
        <f>SUM(AE34:AE967)</f>
        <v>0</v>
      </c>
      <c r="J968">
        <f>SUM(AF34:AF967)</f>
        <v>0</v>
      </c>
    </row>
    <row r="969" spans="1:11" hidden="1" x14ac:dyDescent="0.2">
      <c r="A969" t="s">
        <v>980</v>
      </c>
      <c r="I969">
        <f>SUM(AC1:AC968)</f>
        <v>0</v>
      </c>
      <c r="J969">
        <f>SUM(AD1:AD968)</f>
        <v>0</v>
      </c>
    </row>
    <row r="970" spans="1:11" hidden="1" x14ac:dyDescent="0.2">
      <c r="A970" t="s">
        <v>981</v>
      </c>
      <c r="I970">
        <f>SUM(AE1:AE969)</f>
        <v>0</v>
      </c>
      <c r="J970">
        <f>SUM(AF1:AF969)</f>
        <v>0</v>
      </c>
    </row>
    <row r="971" spans="1:11" ht="14.25" x14ac:dyDescent="0.2">
      <c r="C971" s="96" t="str">
        <f>Source!H1573</f>
        <v>НДС 20%</v>
      </c>
      <c r="D971" s="96"/>
      <c r="E971" s="96"/>
      <c r="F971" s="96"/>
      <c r="G971" s="96"/>
      <c r="H971" s="96"/>
      <c r="I971" s="96"/>
      <c r="J971" s="97">
        <f>IF(Source!F1573=0, "", Source!F1573)</f>
        <v>11395720.66</v>
      </c>
      <c r="K971" s="97"/>
    </row>
    <row r="972" spans="1:11" ht="14.25" x14ac:dyDescent="0.2">
      <c r="C972" s="96" t="str">
        <f>Source!H1574</f>
        <v>Всего</v>
      </c>
      <c r="D972" s="96"/>
      <c r="E972" s="96"/>
      <c r="F972" s="96"/>
      <c r="G972" s="96"/>
      <c r="H972" s="96"/>
      <c r="I972" s="96"/>
      <c r="J972" s="97">
        <f>IF(Source!F1574=0, "", Source!F1574)</f>
        <v>68374323.980000004</v>
      </c>
      <c r="K972" s="97"/>
    </row>
    <row r="975" spans="1:11" ht="14.25" x14ac:dyDescent="0.2">
      <c r="A975" s="88" t="s">
        <v>985</v>
      </c>
      <c r="B975" s="88"/>
      <c r="C975" s="38" t="str">
        <f>IF(Source!AC12&lt;&gt;"", Source!AC12," ")</f>
        <v xml:space="preserve"> </v>
      </c>
      <c r="D975" s="38"/>
      <c r="E975" s="38"/>
      <c r="F975" s="38"/>
      <c r="G975" s="38"/>
      <c r="H975" s="11" t="str">
        <f>IF(Source!AB12&lt;&gt;"", Source!AB12," ")</f>
        <v xml:space="preserve"> </v>
      </c>
      <c r="I975" s="11"/>
      <c r="J975" s="11"/>
      <c r="K975" s="11"/>
    </row>
    <row r="976" spans="1:11" ht="14.25" x14ac:dyDescent="0.2">
      <c r="A976" s="11"/>
      <c r="B976" s="11"/>
      <c r="C976" s="89" t="s">
        <v>986</v>
      </c>
      <c r="D976" s="89"/>
      <c r="E976" s="89"/>
      <c r="F976" s="89"/>
      <c r="G976" s="89"/>
      <c r="H976" s="11"/>
      <c r="I976" s="11"/>
      <c r="J976" s="11"/>
      <c r="K976" s="11"/>
    </row>
    <row r="977" spans="1:11" ht="14.25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</row>
    <row r="978" spans="1:11" ht="14.25" x14ac:dyDescent="0.2">
      <c r="A978" s="88" t="s">
        <v>987</v>
      </c>
      <c r="B978" s="88"/>
      <c r="C978" s="38" t="str">
        <f>IF(Source!AE12&lt;&gt;"", Source!AE12," ")</f>
        <v xml:space="preserve"> </v>
      </c>
      <c r="D978" s="38"/>
      <c r="E978" s="38"/>
      <c r="F978" s="38"/>
      <c r="G978" s="38"/>
      <c r="H978" s="11" t="str">
        <f>IF(Source!AD12&lt;&gt;"", Source!AD12," ")</f>
        <v xml:space="preserve"> </v>
      </c>
      <c r="I978" s="11"/>
      <c r="J978" s="11"/>
      <c r="K978" s="11"/>
    </row>
    <row r="979" spans="1:11" ht="14.25" x14ac:dyDescent="0.2">
      <c r="A979" s="11"/>
      <c r="B979" s="11"/>
      <c r="C979" s="89" t="s">
        <v>986</v>
      </c>
      <c r="D979" s="89"/>
      <c r="E979" s="89"/>
      <c r="F979" s="89"/>
      <c r="G979" s="89"/>
      <c r="H979" s="11"/>
      <c r="I979" s="11"/>
      <c r="J979" s="11"/>
      <c r="K979" s="11"/>
    </row>
  </sheetData>
  <mergeCells count="305">
    <mergeCell ref="B7:E7"/>
    <mergeCell ref="G7:K7"/>
    <mergeCell ref="A10:K10"/>
    <mergeCell ref="A11:K11"/>
    <mergeCell ref="B3:E3"/>
    <mergeCell ref="G3:K3"/>
    <mergeCell ref="B4:E4"/>
    <mergeCell ref="G4:K4"/>
    <mergeCell ref="B6:E6"/>
    <mergeCell ref="G6:K6"/>
    <mergeCell ref="F25:H25"/>
    <mergeCell ref="F26:H26"/>
    <mergeCell ref="F27:H27"/>
    <mergeCell ref="F28:H28"/>
    <mergeCell ref="F30:H30"/>
    <mergeCell ref="A31:K31"/>
    <mergeCell ref="A21:K21"/>
    <mergeCell ref="F23:H23"/>
    <mergeCell ref="F24:H24"/>
    <mergeCell ref="J73:K73"/>
    <mergeCell ref="H73:I73"/>
    <mergeCell ref="J85:K85"/>
    <mergeCell ref="H85:I85"/>
    <mergeCell ref="J97:K97"/>
    <mergeCell ref="H97:I97"/>
    <mergeCell ref="A35:K35"/>
    <mergeCell ref="J46:K46"/>
    <mergeCell ref="H46:I46"/>
    <mergeCell ref="J56:K56"/>
    <mergeCell ref="H56:I56"/>
    <mergeCell ref="J66:K66"/>
    <mergeCell ref="H66:I66"/>
    <mergeCell ref="A115:K115"/>
    <mergeCell ref="J125:K125"/>
    <mergeCell ref="H125:I125"/>
    <mergeCell ref="J135:K135"/>
    <mergeCell ref="H135:I135"/>
    <mergeCell ref="J142:K142"/>
    <mergeCell ref="H142:I142"/>
    <mergeCell ref="J108:K108"/>
    <mergeCell ref="H108:I108"/>
    <mergeCell ref="J110:K110"/>
    <mergeCell ref="H110:I110"/>
    <mergeCell ref="A110:G110"/>
    <mergeCell ref="C113:I113"/>
    <mergeCell ref="J113:K113"/>
    <mergeCell ref="A168:G168"/>
    <mergeCell ref="C171:I171"/>
    <mergeCell ref="J171:K171"/>
    <mergeCell ref="J154:K154"/>
    <mergeCell ref="H154:I154"/>
    <mergeCell ref="J166:K166"/>
    <mergeCell ref="H166:I166"/>
    <mergeCell ref="J168:K168"/>
    <mergeCell ref="H168:I168"/>
    <mergeCell ref="J200:K200"/>
    <mergeCell ref="H200:I200"/>
    <mergeCell ref="A200:G200"/>
    <mergeCell ref="C203:I203"/>
    <mergeCell ref="J203:K203"/>
    <mergeCell ref="A205:K205"/>
    <mergeCell ref="A173:K173"/>
    <mergeCell ref="J180:K180"/>
    <mergeCell ref="H180:I180"/>
    <mergeCell ref="J187:K187"/>
    <mergeCell ref="H187:I187"/>
    <mergeCell ref="J198:K198"/>
    <mergeCell ref="H198:I198"/>
    <mergeCell ref="J241:K241"/>
    <mergeCell ref="H241:I241"/>
    <mergeCell ref="J253:K253"/>
    <mergeCell ref="H253:I253"/>
    <mergeCell ref="J265:K265"/>
    <mergeCell ref="H265:I265"/>
    <mergeCell ref="J215:K215"/>
    <mergeCell ref="H215:I215"/>
    <mergeCell ref="J222:K222"/>
    <mergeCell ref="H222:I222"/>
    <mergeCell ref="J229:K229"/>
    <mergeCell ref="H229:I229"/>
    <mergeCell ref="J279:K279"/>
    <mergeCell ref="H279:I279"/>
    <mergeCell ref="J286:K286"/>
    <mergeCell ref="H286:I286"/>
    <mergeCell ref="J298:K298"/>
    <mergeCell ref="H298:I298"/>
    <mergeCell ref="J267:K267"/>
    <mergeCell ref="H267:I267"/>
    <mergeCell ref="A267:G267"/>
    <mergeCell ref="C270:I270"/>
    <mergeCell ref="J270:K270"/>
    <mergeCell ref="A272:K272"/>
    <mergeCell ref="A317:K317"/>
    <mergeCell ref="J327:K327"/>
    <mergeCell ref="H327:I327"/>
    <mergeCell ref="J310:K310"/>
    <mergeCell ref="H310:I310"/>
    <mergeCell ref="J312:K312"/>
    <mergeCell ref="H312:I312"/>
    <mergeCell ref="A312:G312"/>
    <mergeCell ref="C315:I315"/>
    <mergeCell ref="J315:K315"/>
    <mergeCell ref="J362:K362"/>
    <mergeCell ref="H362:I362"/>
    <mergeCell ref="J370:K370"/>
    <mergeCell ref="H370:I370"/>
    <mergeCell ref="J378:K378"/>
    <mergeCell ref="H378:I378"/>
    <mergeCell ref="J334:K334"/>
    <mergeCell ref="H334:I334"/>
    <mergeCell ref="J344:K344"/>
    <mergeCell ref="H344:I344"/>
    <mergeCell ref="J351:K351"/>
    <mergeCell ref="H351:I351"/>
    <mergeCell ref="A394:K394"/>
    <mergeCell ref="J404:K404"/>
    <mergeCell ref="H404:I404"/>
    <mergeCell ref="J411:K411"/>
    <mergeCell ref="H411:I411"/>
    <mergeCell ref="J423:K423"/>
    <mergeCell ref="H423:I423"/>
    <mergeCell ref="J387:K387"/>
    <mergeCell ref="H387:I387"/>
    <mergeCell ref="J389:K389"/>
    <mergeCell ref="H389:I389"/>
    <mergeCell ref="A389:G389"/>
    <mergeCell ref="C392:I392"/>
    <mergeCell ref="J392:K392"/>
    <mergeCell ref="A446:G446"/>
    <mergeCell ref="C449:I449"/>
    <mergeCell ref="J449:K449"/>
    <mergeCell ref="J432:K432"/>
    <mergeCell ref="H432:I432"/>
    <mergeCell ref="J444:K444"/>
    <mergeCell ref="H444:I444"/>
    <mergeCell ref="J446:K446"/>
    <mergeCell ref="H446:I446"/>
    <mergeCell ref="J472:K472"/>
    <mergeCell ref="H472:I472"/>
    <mergeCell ref="J482:K482"/>
    <mergeCell ref="H482:I482"/>
    <mergeCell ref="J489:K489"/>
    <mergeCell ref="H489:I489"/>
    <mergeCell ref="A451:K451"/>
    <mergeCell ref="J463:K463"/>
    <mergeCell ref="H463:I463"/>
    <mergeCell ref="A508:K508"/>
    <mergeCell ref="J516:K516"/>
    <mergeCell ref="H516:I516"/>
    <mergeCell ref="J501:K501"/>
    <mergeCell ref="H501:I501"/>
    <mergeCell ref="J503:K503"/>
    <mergeCell ref="H503:I503"/>
    <mergeCell ref="A503:G503"/>
    <mergeCell ref="C506:I506"/>
    <mergeCell ref="J506:K506"/>
    <mergeCell ref="J551:K551"/>
    <mergeCell ref="H551:I551"/>
    <mergeCell ref="J553:K553"/>
    <mergeCell ref="H553:I553"/>
    <mergeCell ref="A553:G553"/>
    <mergeCell ref="C556:I556"/>
    <mergeCell ref="J556:K556"/>
    <mergeCell ref="J524:K524"/>
    <mergeCell ref="H524:I524"/>
    <mergeCell ref="J533:K533"/>
    <mergeCell ref="H533:I533"/>
    <mergeCell ref="J542:K542"/>
    <mergeCell ref="H542:I542"/>
    <mergeCell ref="J575:K575"/>
    <mergeCell ref="H575:I575"/>
    <mergeCell ref="J582:K582"/>
    <mergeCell ref="H582:I582"/>
    <mergeCell ref="J594:K594"/>
    <mergeCell ref="H594:I594"/>
    <mergeCell ref="A558:K558"/>
    <mergeCell ref="J568:K568"/>
    <mergeCell ref="H568:I568"/>
    <mergeCell ref="A622:G622"/>
    <mergeCell ref="C625:I625"/>
    <mergeCell ref="J625:K625"/>
    <mergeCell ref="A627:K627"/>
    <mergeCell ref="J634:K634"/>
    <mergeCell ref="H634:I634"/>
    <mergeCell ref="J606:K606"/>
    <mergeCell ref="H606:I606"/>
    <mergeCell ref="J620:K620"/>
    <mergeCell ref="H620:I620"/>
    <mergeCell ref="J622:K622"/>
    <mergeCell ref="H622:I622"/>
    <mergeCell ref="J675:K675"/>
    <mergeCell ref="H675:I675"/>
    <mergeCell ref="J677:K677"/>
    <mergeCell ref="H677:I677"/>
    <mergeCell ref="A677:G677"/>
    <mergeCell ref="C680:I680"/>
    <mergeCell ref="J680:K680"/>
    <mergeCell ref="J644:K644"/>
    <mergeCell ref="H644:I644"/>
    <mergeCell ref="J651:K651"/>
    <mergeCell ref="H651:I651"/>
    <mergeCell ref="J663:K663"/>
    <mergeCell ref="H663:I663"/>
    <mergeCell ref="J696:K696"/>
    <mergeCell ref="H696:I696"/>
    <mergeCell ref="J699:K699"/>
    <mergeCell ref="H699:I699"/>
    <mergeCell ref="J702:K702"/>
    <mergeCell ref="H702:I702"/>
    <mergeCell ref="A682:K682"/>
    <mergeCell ref="J689:K689"/>
    <mergeCell ref="H689:I689"/>
    <mergeCell ref="J737:K737"/>
    <mergeCell ref="H737:I737"/>
    <mergeCell ref="A737:G737"/>
    <mergeCell ref="C740:I740"/>
    <mergeCell ref="J740:K740"/>
    <mergeCell ref="J709:K709"/>
    <mergeCell ref="H709:I709"/>
    <mergeCell ref="J723:K723"/>
    <mergeCell ref="H723:I723"/>
    <mergeCell ref="J735:K735"/>
    <mergeCell ref="H735:I735"/>
    <mergeCell ref="A761:K761"/>
    <mergeCell ref="J773:K773"/>
    <mergeCell ref="H773:I773"/>
    <mergeCell ref="J756:K756"/>
    <mergeCell ref="H756:I756"/>
    <mergeCell ref="A756:G756"/>
    <mergeCell ref="C759:I759"/>
    <mergeCell ref="J759:K759"/>
    <mergeCell ref="A742:K742"/>
    <mergeCell ref="J754:K754"/>
    <mergeCell ref="H754:I754"/>
    <mergeCell ref="J819:K819"/>
    <mergeCell ref="H819:I819"/>
    <mergeCell ref="J830:K830"/>
    <mergeCell ref="H830:I830"/>
    <mergeCell ref="J832:K832"/>
    <mergeCell ref="H832:I832"/>
    <mergeCell ref="J784:K784"/>
    <mergeCell ref="H784:I784"/>
    <mergeCell ref="J797:K797"/>
    <mergeCell ref="H797:I797"/>
    <mergeCell ref="J807:K807"/>
    <mergeCell ref="H807:I807"/>
    <mergeCell ref="A837:K837"/>
    <mergeCell ref="J851:K851"/>
    <mergeCell ref="H851:I851"/>
    <mergeCell ref="J861:K861"/>
    <mergeCell ref="H861:I861"/>
    <mergeCell ref="J863:K863"/>
    <mergeCell ref="H863:I863"/>
    <mergeCell ref="A863:G863"/>
    <mergeCell ref="A832:G832"/>
    <mergeCell ref="C835:I835"/>
    <mergeCell ref="J835:K835"/>
    <mergeCell ref="J894:K894"/>
    <mergeCell ref="H894:I894"/>
    <mergeCell ref="A894:G894"/>
    <mergeCell ref="C897:I897"/>
    <mergeCell ref="J897:K897"/>
    <mergeCell ref="C866:I866"/>
    <mergeCell ref="J866:K866"/>
    <mergeCell ref="A868:K868"/>
    <mergeCell ref="J880:K880"/>
    <mergeCell ref="H880:I880"/>
    <mergeCell ref="J892:K892"/>
    <mergeCell ref="H892:I892"/>
    <mergeCell ref="H937:I937"/>
    <mergeCell ref="A937:G937"/>
    <mergeCell ref="C940:I940"/>
    <mergeCell ref="J940:K940"/>
    <mergeCell ref="A942:K942"/>
    <mergeCell ref="A899:K899"/>
    <mergeCell ref="J911:K911"/>
    <mergeCell ref="H911:I911"/>
    <mergeCell ref="J923:K923"/>
    <mergeCell ref="H923:I923"/>
    <mergeCell ref="J935:K935"/>
    <mergeCell ref="H935:I935"/>
    <mergeCell ref="A978:B978"/>
    <mergeCell ref="C979:G979"/>
    <mergeCell ref="A16:K16"/>
    <mergeCell ref="A18:K18"/>
    <mergeCell ref="A19:K19"/>
    <mergeCell ref="A13:K13"/>
    <mergeCell ref="A14:K14"/>
    <mergeCell ref="C971:I971"/>
    <mergeCell ref="J971:K971"/>
    <mergeCell ref="C972:I972"/>
    <mergeCell ref="J972:K972"/>
    <mergeCell ref="A975:B975"/>
    <mergeCell ref="C976:G976"/>
    <mergeCell ref="J966:K966"/>
    <mergeCell ref="H966:I966"/>
    <mergeCell ref="A966:G966"/>
    <mergeCell ref="J956:K956"/>
    <mergeCell ref="H956:I956"/>
    <mergeCell ref="J958:K958"/>
    <mergeCell ref="H958:I958"/>
    <mergeCell ref="A958:G958"/>
    <mergeCell ref="C961:I961"/>
    <mergeCell ref="J961:K961"/>
    <mergeCell ref="J937:K937"/>
  </mergeCells>
  <pageMargins left="0.4" right="0.2" top="0.2" bottom="0.4" header="0.2" footer="0.2"/>
  <pageSetup paperSize="9" scale="64" fitToHeight="0" orientation="portrait" r:id="rId1"/>
  <headerFooter>
    <oddHeader>&amp;L&amp;8</oddHead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ROW(Source!A28)</f>
        <v>28</v>
      </c>
      <c r="B1">
        <v>33991949</v>
      </c>
      <c r="C1">
        <v>33991940</v>
      </c>
      <c r="D1">
        <v>29983441</v>
      </c>
      <c r="E1">
        <v>29983435</v>
      </c>
      <c r="F1">
        <v>1</v>
      </c>
      <c r="G1">
        <v>29983435</v>
      </c>
      <c r="H1">
        <v>1</v>
      </c>
      <c r="I1" t="s">
        <v>646</v>
      </c>
      <c r="J1" t="s">
        <v>3</v>
      </c>
      <c r="K1" t="s">
        <v>647</v>
      </c>
      <c r="L1">
        <v>1191</v>
      </c>
      <c r="N1">
        <v>1013</v>
      </c>
      <c r="O1" t="s">
        <v>648</v>
      </c>
      <c r="P1" t="s">
        <v>648</v>
      </c>
      <c r="Q1">
        <v>1</v>
      </c>
      <c r="X1">
        <v>0.79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3</v>
      </c>
      <c r="AG1">
        <v>0.79</v>
      </c>
      <c r="AH1">
        <v>2</v>
      </c>
      <c r="AI1">
        <v>33991941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ROW(Source!A28)</f>
        <v>28</v>
      </c>
      <c r="B2">
        <v>33991951</v>
      </c>
      <c r="C2">
        <v>33991940</v>
      </c>
      <c r="D2">
        <v>30063710</v>
      </c>
      <c r="E2">
        <v>1</v>
      </c>
      <c r="F2">
        <v>1</v>
      </c>
      <c r="G2">
        <v>29983435</v>
      </c>
      <c r="H2">
        <v>2</v>
      </c>
      <c r="I2" t="s">
        <v>649</v>
      </c>
      <c r="J2" t="s">
        <v>650</v>
      </c>
      <c r="K2" t="s">
        <v>651</v>
      </c>
      <c r="L2">
        <v>1367</v>
      </c>
      <c r="N2">
        <v>1011</v>
      </c>
      <c r="O2" t="s">
        <v>652</v>
      </c>
      <c r="P2" t="s">
        <v>652</v>
      </c>
      <c r="Q2">
        <v>1</v>
      </c>
      <c r="X2">
        <v>0.13</v>
      </c>
      <c r="Y2">
        <v>0</v>
      </c>
      <c r="Z2">
        <v>115.43</v>
      </c>
      <c r="AA2">
        <v>22.64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0.13</v>
      </c>
      <c r="AH2">
        <v>2</v>
      </c>
      <c r="AI2">
        <v>33991943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ROW(Source!A28)</f>
        <v>28</v>
      </c>
      <c r="B3">
        <v>33991950</v>
      </c>
      <c r="C3">
        <v>33991940</v>
      </c>
      <c r="D3">
        <v>30063289</v>
      </c>
      <c r="E3">
        <v>1</v>
      </c>
      <c r="F3">
        <v>1</v>
      </c>
      <c r="G3">
        <v>29983435</v>
      </c>
      <c r="H3">
        <v>2</v>
      </c>
      <c r="I3" t="s">
        <v>653</v>
      </c>
      <c r="J3" t="s">
        <v>654</v>
      </c>
      <c r="K3" t="s">
        <v>655</v>
      </c>
      <c r="L3">
        <v>1367</v>
      </c>
      <c r="N3">
        <v>1011</v>
      </c>
      <c r="O3" t="s">
        <v>652</v>
      </c>
      <c r="P3" t="s">
        <v>652</v>
      </c>
      <c r="Q3">
        <v>1</v>
      </c>
      <c r="X3">
        <v>0.13</v>
      </c>
      <c r="Y3">
        <v>0</v>
      </c>
      <c r="Z3">
        <v>132.18</v>
      </c>
      <c r="AA3">
        <v>17.170000000000002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0.13</v>
      </c>
      <c r="AH3">
        <v>2</v>
      </c>
      <c r="AI3">
        <v>33991942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ROW(Source!A28)</f>
        <v>28</v>
      </c>
      <c r="B4">
        <v>33991952</v>
      </c>
      <c r="C4">
        <v>33991940</v>
      </c>
      <c r="D4">
        <v>30064179</v>
      </c>
      <c r="E4">
        <v>1</v>
      </c>
      <c r="F4">
        <v>1</v>
      </c>
      <c r="G4">
        <v>29983435</v>
      </c>
      <c r="H4">
        <v>2</v>
      </c>
      <c r="I4" t="s">
        <v>656</v>
      </c>
      <c r="J4" t="s">
        <v>657</v>
      </c>
      <c r="K4" t="s">
        <v>658</v>
      </c>
      <c r="L4">
        <v>1367</v>
      </c>
      <c r="N4">
        <v>1011</v>
      </c>
      <c r="O4" t="s">
        <v>652</v>
      </c>
      <c r="P4" t="s">
        <v>652</v>
      </c>
      <c r="Q4">
        <v>1</v>
      </c>
      <c r="X4">
        <v>0.26</v>
      </c>
      <c r="Y4">
        <v>0</v>
      </c>
      <c r="Z4">
        <v>3.16</v>
      </c>
      <c r="AA4">
        <v>0.04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0.26</v>
      </c>
      <c r="AH4">
        <v>2</v>
      </c>
      <c r="AI4">
        <v>33991944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ROW(Source!A28)</f>
        <v>28</v>
      </c>
      <c r="B5">
        <v>33991953</v>
      </c>
      <c r="C5">
        <v>33991940</v>
      </c>
      <c r="D5">
        <v>30063587</v>
      </c>
      <c r="E5">
        <v>1</v>
      </c>
      <c r="F5">
        <v>1</v>
      </c>
      <c r="G5">
        <v>29983435</v>
      </c>
      <c r="H5">
        <v>2</v>
      </c>
      <c r="I5" t="s">
        <v>659</v>
      </c>
      <c r="J5" t="s">
        <v>660</v>
      </c>
      <c r="K5" t="s">
        <v>661</v>
      </c>
      <c r="L5">
        <v>1367</v>
      </c>
      <c r="N5">
        <v>1011</v>
      </c>
      <c r="O5" t="s">
        <v>652</v>
      </c>
      <c r="P5" t="s">
        <v>652</v>
      </c>
      <c r="Q5">
        <v>1</v>
      </c>
      <c r="X5">
        <v>0.25</v>
      </c>
      <c r="Y5">
        <v>0</v>
      </c>
      <c r="Z5">
        <v>1455.76</v>
      </c>
      <c r="AA5">
        <v>40.840000000000003</v>
      </c>
      <c r="AB5">
        <v>0</v>
      </c>
      <c r="AC5">
        <v>0</v>
      </c>
      <c r="AD5">
        <v>1</v>
      </c>
      <c r="AE5">
        <v>0</v>
      </c>
      <c r="AF5" t="s">
        <v>3</v>
      </c>
      <c r="AG5">
        <v>0.25</v>
      </c>
      <c r="AH5">
        <v>2</v>
      </c>
      <c r="AI5">
        <v>33991945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ROW(Source!A28)</f>
        <v>28</v>
      </c>
      <c r="B6">
        <v>33991954</v>
      </c>
      <c r="C6">
        <v>33991940</v>
      </c>
      <c r="D6">
        <v>30063582</v>
      </c>
      <c r="E6">
        <v>1</v>
      </c>
      <c r="F6">
        <v>1</v>
      </c>
      <c r="G6">
        <v>29983435</v>
      </c>
      <c r="H6">
        <v>2</v>
      </c>
      <c r="I6" t="s">
        <v>662</v>
      </c>
      <c r="J6" t="s">
        <v>663</v>
      </c>
      <c r="K6" t="s">
        <v>664</v>
      </c>
      <c r="L6">
        <v>1367</v>
      </c>
      <c r="N6">
        <v>1011</v>
      </c>
      <c r="O6" t="s">
        <v>652</v>
      </c>
      <c r="P6" t="s">
        <v>652</v>
      </c>
      <c r="Q6">
        <v>1</v>
      </c>
      <c r="X6">
        <v>0.25</v>
      </c>
      <c r="Y6">
        <v>0</v>
      </c>
      <c r="Z6">
        <v>189.23</v>
      </c>
      <c r="AA6">
        <v>20.57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0.25</v>
      </c>
      <c r="AH6">
        <v>2</v>
      </c>
      <c r="AI6">
        <v>33991946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33991955</v>
      </c>
      <c r="C7">
        <v>33991940</v>
      </c>
      <c r="D7">
        <v>30042537</v>
      </c>
      <c r="E7">
        <v>1</v>
      </c>
      <c r="F7">
        <v>1</v>
      </c>
      <c r="G7">
        <v>29983435</v>
      </c>
      <c r="H7">
        <v>3</v>
      </c>
      <c r="I7" t="s">
        <v>467</v>
      </c>
      <c r="J7" t="s">
        <v>469</v>
      </c>
      <c r="K7" t="s">
        <v>468</v>
      </c>
      <c r="L7">
        <v>1339</v>
      </c>
      <c r="N7">
        <v>1007</v>
      </c>
      <c r="O7" t="s">
        <v>66</v>
      </c>
      <c r="P7" t="s">
        <v>66</v>
      </c>
      <c r="Q7">
        <v>1</v>
      </c>
      <c r="X7">
        <v>0.26700000000000002</v>
      </c>
      <c r="Y7">
        <v>7.07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0.26700000000000002</v>
      </c>
      <c r="AH7">
        <v>2</v>
      </c>
      <c r="AI7">
        <v>33991947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33991956</v>
      </c>
      <c r="C8">
        <v>33991940</v>
      </c>
      <c r="D8">
        <v>30039278</v>
      </c>
      <c r="E8">
        <v>1</v>
      </c>
      <c r="F8">
        <v>1</v>
      </c>
      <c r="G8">
        <v>29983435</v>
      </c>
      <c r="H8">
        <v>3</v>
      </c>
      <c r="I8" t="s">
        <v>665</v>
      </c>
      <c r="J8" t="s">
        <v>666</v>
      </c>
      <c r="K8" t="s">
        <v>667</v>
      </c>
      <c r="L8">
        <v>1354</v>
      </c>
      <c r="N8">
        <v>1010</v>
      </c>
      <c r="O8" t="s">
        <v>328</v>
      </c>
      <c r="P8" t="s">
        <v>328</v>
      </c>
      <c r="Q8">
        <v>1</v>
      </c>
      <c r="X8">
        <v>2.5</v>
      </c>
      <c r="Y8">
        <v>54.93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2.5</v>
      </c>
      <c r="AH8">
        <v>2</v>
      </c>
      <c r="AI8">
        <v>33991948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ROW(Source!A29)</f>
        <v>29</v>
      </c>
      <c r="B9">
        <v>33995795</v>
      </c>
      <c r="C9">
        <v>33991957</v>
      </c>
      <c r="D9">
        <v>29983441</v>
      </c>
      <c r="E9">
        <v>29983435</v>
      </c>
      <c r="F9">
        <v>1</v>
      </c>
      <c r="G9">
        <v>29983435</v>
      </c>
      <c r="H9">
        <v>1</v>
      </c>
      <c r="I9" t="s">
        <v>646</v>
      </c>
      <c r="J9" t="s">
        <v>3</v>
      </c>
      <c r="K9" t="s">
        <v>647</v>
      </c>
      <c r="L9">
        <v>1191</v>
      </c>
      <c r="N9">
        <v>1013</v>
      </c>
      <c r="O9" t="s">
        <v>648</v>
      </c>
      <c r="P9" t="s">
        <v>648</v>
      </c>
      <c r="Q9">
        <v>1</v>
      </c>
      <c r="X9">
        <v>10.72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1</v>
      </c>
      <c r="AF9" t="s">
        <v>3</v>
      </c>
      <c r="AG9">
        <v>10.72</v>
      </c>
      <c r="AH9">
        <v>2</v>
      </c>
      <c r="AI9">
        <v>33995795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ROW(Source!A29)</f>
        <v>29</v>
      </c>
      <c r="B10">
        <v>33995797</v>
      </c>
      <c r="C10">
        <v>33991957</v>
      </c>
      <c r="D10">
        <v>30063710</v>
      </c>
      <c r="E10">
        <v>1</v>
      </c>
      <c r="F10">
        <v>1</v>
      </c>
      <c r="G10">
        <v>29983435</v>
      </c>
      <c r="H10">
        <v>2</v>
      </c>
      <c r="I10" t="s">
        <v>649</v>
      </c>
      <c r="J10" t="s">
        <v>650</v>
      </c>
      <c r="K10" t="s">
        <v>651</v>
      </c>
      <c r="L10">
        <v>1367</v>
      </c>
      <c r="N10">
        <v>1011</v>
      </c>
      <c r="O10" t="s">
        <v>652</v>
      </c>
      <c r="P10" t="s">
        <v>652</v>
      </c>
      <c r="Q10">
        <v>1</v>
      </c>
      <c r="X10">
        <v>2.6</v>
      </c>
      <c r="Y10">
        <v>0</v>
      </c>
      <c r="Z10">
        <v>115.43</v>
      </c>
      <c r="AA10">
        <v>22.64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2.6</v>
      </c>
      <c r="AH10">
        <v>2</v>
      </c>
      <c r="AI10">
        <v>33995797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ROW(Source!A29)</f>
        <v>29</v>
      </c>
      <c r="B11">
        <v>33995796</v>
      </c>
      <c r="C11">
        <v>33991957</v>
      </c>
      <c r="D11">
        <v>30063289</v>
      </c>
      <c r="E11">
        <v>1</v>
      </c>
      <c r="F11">
        <v>1</v>
      </c>
      <c r="G11">
        <v>29983435</v>
      </c>
      <c r="H11">
        <v>2</v>
      </c>
      <c r="I11" t="s">
        <v>653</v>
      </c>
      <c r="J11" t="s">
        <v>654</v>
      </c>
      <c r="K11" t="s">
        <v>655</v>
      </c>
      <c r="L11">
        <v>1367</v>
      </c>
      <c r="N11">
        <v>1011</v>
      </c>
      <c r="O11" t="s">
        <v>652</v>
      </c>
      <c r="P11" t="s">
        <v>652</v>
      </c>
      <c r="Q11">
        <v>1</v>
      </c>
      <c r="X11">
        <v>2.6</v>
      </c>
      <c r="Y11">
        <v>0</v>
      </c>
      <c r="Z11">
        <v>132.18</v>
      </c>
      <c r="AA11">
        <v>17.170000000000002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2.6</v>
      </c>
      <c r="AH11">
        <v>2</v>
      </c>
      <c r="AI11">
        <v>33995796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ROW(Source!A29)</f>
        <v>29</v>
      </c>
      <c r="B12">
        <v>33995798</v>
      </c>
      <c r="C12">
        <v>33991957</v>
      </c>
      <c r="D12">
        <v>30064179</v>
      </c>
      <c r="E12">
        <v>1</v>
      </c>
      <c r="F12">
        <v>1</v>
      </c>
      <c r="G12">
        <v>29983435</v>
      </c>
      <c r="H12">
        <v>2</v>
      </c>
      <c r="I12" t="s">
        <v>656</v>
      </c>
      <c r="J12" t="s">
        <v>657</v>
      </c>
      <c r="K12" t="s">
        <v>658</v>
      </c>
      <c r="L12">
        <v>1367</v>
      </c>
      <c r="N12">
        <v>1011</v>
      </c>
      <c r="O12" t="s">
        <v>652</v>
      </c>
      <c r="P12" t="s">
        <v>652</v>
      </c>
      <c r="Q12">
        <v>1</v>
      </c>
      <c r="X12">
        <v>5.2</v>
      </c>
      <c r="Y12">
        <v>0</v>
      </c>
      <c r="Z12">
        <v>3.16</v>
      </c>
      <c r="AA12">
        <v>0.04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5.2</v>
      </c>
      <c r="AH12">
        <v>2</v>
      </c>
      <c r="AI12">
        <v>33995798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ROW(Source!A30)</f>
        <v>30</v>
      </c>
      <c r="B13">
        <v>33991983</v>
      </c>
      <c r="C13">
        <v>33991977</v>
      </c>
      <c r="D13">
        <v>29983441</v>
      </c>
      <c r="E13">
        <v>29983435</v>
      </c>
      <c r="F13">
        <v>1</v>
      </c>
      <c r="G13">
        <v>29983435</v>
      </c>
      <c r="H13">
        <v>1</v>
      </c>
      <c r="I13" t="s">
        <v>646</v>
      </c>
      <c r="J13" t="s">
        <v>3</v>
      </c>
      <c r="K13" t="s">
        <v>647</v>
      </c>
      <c r="L13">
        <v>1191</v>
      </c>
      <c r="N13">
        <v>1013</v>
      </c>
      <c r="O13" t="s">
        <v>648</v>
      </c>
      <c r="P13" t="s">
        <v>648</v>
      </c>
      <c r="Q13">
        <v>1</v>
      </c>
      <c r="X13">
        <v>155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1</v>
      </c>
      <c r="AF13" t="s">
        <v>3</v>
      </c>
      <c r="AG13">
        <v>155</v>
      </c>
      <c r="AH13">
        <v>2</v>
      </c>
      <c r="AI13">
        <v>33991978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ROW(Source!A30)</f>
        <v>30</v>
      </c>
      <c r="B14">
        <v>33991984</v>
      </c>
      <c r="C14">
        <v>33991977</v>
      </c>
      <c r="D14">
        <v>30063713</v>
      </c>
      <c r="E14">
        <v>1</v>
      </c>
      <c r="F14">
        <v>1</v>
      </c>
      <c r="G14">
        <v>29983435</v>
      </c>
      <c r="H14">
        <v>2</v>
      </c>
      <c r="I14" t="s">
        <v>668</v>
      </c>
      <c r="J14" t="s">
        <v>669</v>
      </c>
      <c r="K14" t="s">
        <v>670</v>
      </c>
      <c r="L14">
        <v>1367</v>
      </c>
      <c r="N14">
        <v>1011</v>
      </c>
      <c r="O14" t="s">
        <v>652</v>
      </c>
      <c r="P14" t="s">
        <v>652</v>
      </c>
      <c r="Q14">
        <v>1</v>
      </c>
      <c r="X14">
        <v>37.5</v>
      </c>
      <c r="Y14">
        <v>0</v>
      </c>
      <c r="Z14">
        <v>60.77</v>
      </c>
      <c r="AA14">
        <v>18.48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37.5</v>
      </c>
      <c r="AH14">
        <v>2</v>
      </c>
      <c r="AI14">
        <v>33991979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33991985</v>
      </c>
      <c r="C15">
        <v>33991977</v>
      </c>
      <c r="D15">
        <v>30064179</v>
      </c>
      <c r="E15">
        <v>1</v>
      </c>
      <c r="F15">
        <v>1</v>
      </c>
      <c r="G15">
        <v>29983435</v>
      </c>
      <c r="H15">
        <v>2</v>
      </c>
      <c r="I15" t="s">
        <v>656</v>
      </c>
      <c r="J15" t="s">
        <v>657</v>
      </c>
      <c r="K15" t="s">
        <v>658</v>
      </c>
      <c r="L15">
        <v>1367</v>
      </c>
      <c r="N15">
        <v>1011</v>
      </c>
      <c r="O15" t="s">
        <v>652</v>
      </c>
      <c r="P15" t="s">
        <v>652</v>
      </c>
      <c r="Q15">
        <v>1</v>
      </c>
      <c r="X15">
        <v>75</v>
      </c>
      <c r="Y15">
        <v>0</v>
      </c>
      <c r="Z15">
        <v>3.16</v>
      </c>
      <c r="AA15">
        <v>0.04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75</v>
      </c>
      <c r="AH15">
        <v>2</v>
      </c>
      <c r="AI15">
        <v>33991980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33991986</v>
      </c>
      <c r="C16">
        <v>33991977</v>
      </c>
      <c r="D16">
        <v>30063546</v>
      </c>
      <c r="E16">
        <v>1</v>
      </c>
      <c r="F16">
        <v>1</v>
      </c>
      <c r="G16">
        <v>29983435</v>
      </c>
      <c r="H16">
        <v>2</v>
      </c>
      <c r="I16" t="s">
        <v>671</v>
      </c>
      <c r="J16" t="s">
        <v>672</v>
      </c>
      <c r="K16" t="s">
        <v>673</v>
      </c>
      <c r="L16">
        <v>1367</v>
      </c>
      <c r="N16">
        <v>1011</v>
      </c>
      <c r="O16" t="s">
        <v>652</v>
      </c>
      <c r="P16" t="s">
        <v>652</v>
      </c>
      <c r="Q16">
        <v>1</v>
      </c>
      <c r="X16">
        <v>1.55</v>
      </c>
      <c r="Y16">
        <v>0</v>
      </c>
      <c r="Z16">
        <v>125.13</v>
      </c>
      <c r="AA16">
        <v>24.74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1.55</v>
      </c>
      <c r="AH16">
        <v>2</v>
      </c>
      <c r="AI16">
        <v>33991981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ROW(Source!A30)</f>
        <v>30</v>
      </c>
      <c r="B17">
        <v>33991987</v>
      </c>
      <c r="C17">
        <v>33991977</v>
      </c>
      <c r="D17">
        <v>29983439</v>
      </c>
      <c r="E17">
        <v>29983435</v>
      </c>
      <c r="F17">
        <v>1</v>
      </c>
      <c r="G17">
        <v>29983435</v>
      </c>
      <c r="H17">
        <v>2</v>
      </c>
      <c r="I17" t="s">
        <v>674</v>
      </c>
      <c r="J17" t="s">
        <v>3</v>
      </c>
      <c r="K17" t="s">
        <v>675</v>
      </c>
      <c r="L17">
        <v>1344</v>
      </c>
      <c r="N17">
        <v>1008</v>
      </c>
      <c r="O17" t="s">
        <v>676</v>
      </c>
      <c r="P17" t="s">
        <v>676</v>
      </c>
      <c r="Q17">
        <v>1</v>
      </c>
      <c r="X17">
        <v>3.72</v>
      </c>
      <c r="Y17">
        <v>0</v>
      </c>
      <c r="Z17">
        <v>1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3.72</v>
      </c>
      <c r="AH17">
        <v>2</v>
      </c>
      <c r="AI17">
        <v>33991982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ROW(Source!A31)</f>
        <v>31</v>
      </c>
      <c r="B18">
        <v>33995398</v>
      </c>
      <c r="C18">
        <v>33991988</v>
      </c>
      <c r="D18">
        <v>29983441</v>
      </c>
      <c r="E18">
        <v>29983435</v>
      </c>
      <c r="F18">
        <v>1</v>
      </c>
      <c r="G18">
        <v>29983435</v>
      </c>
      <c r="H18">
        <v>1</v>
      </c>
      <c r="I18" t="s">
        <v>646</v>
      </c>
      <c r="J18" t="s">
        <v>3</v>
      </c>
      <c r="K18" t="s">
        <v>647</v>
      </c>
      <c r="L18">
        <v>1191</v>
      </c>
      <c r="N18">
        <v>1013</v>
      </c>
      <c r="O18" t="s">
        <v>648</v>
      </c>
      <c r="P18" t="s">
        <v>648</v>
      </c>
      <c r="Q18">
        <v>1</v>
      </c>
      <c r="X18">
        <v>1.02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1</v>
      </c>
      <c r="AF18" t="s">
        <v>3</v>
      </c>
      <c r="AG18">
        <v>1.02</v>
      </c>
      <c r="AH18">
        <v>2</v>
      </c>
      <c r="AI18">
        <v>33995398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ROW(Source!A32)</f>
        <v>32</v>
      </c>
      <c r="B19">
        <v>33991993</v>
      </c>
      <c r="C19">
        <v>33991991</v>
      </c>
      <c r="D19">
        <v>29983439</v>
      </c>
      <c r="E19">
        <v>29983435</v>
      </c>
      <c r="F19">
        <v>1</v>
      </c>
      <c r="G19">
        <v>29983435</v>
      </c>
      <c r="H19">
        <v>2</v>
      </c>
      <c r="I19" t="s">
        <v>674</v>
      </c>
      <c r="J19" t="s">
        <v>3</v>
      </c>
      <c r="K19" t="s">
        <v>675</v>
      </c>
      <c r="L19">
        <v>1344</v>
      </c>
      <c r="N19">
        <v>1008</v>
      </c>
      <c r="O19" t="s">
        <v>676</v>
      </c>
      <c r="P19" t="s">
        <v>676</v>
      </c>
      <c r="Q19">
        <v>1</v>
      </c>
      <c r="X19">
        <v>8.86</v>
      </c>
      <c r="Y19">
        <v>0</v>
      </c>
      <c r="Z19">
        <v>1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8.86</v>
      </c>
      <c r="AH19">
        <v>2</v>
      </c>
      <c r="AI19">
        <v>33991992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ROW(Source!A33)</f>
        <v>33</v>
      </c>
      <c r="B20">
        <v>33995686</v>
      </c>
      <c r="C20">
        <v>33991994</v>
      </c>
      <c r="D20">
        <v>30064127</v>
      </c>
      <c r="E20">
        <v>1</v>
      </c>
      <c r="F20">
        <v>1</v>
      </c>
      <c r="G20">
        <v>29983435</v>
      </c>
      <c r="H20">
        <v>2</v>
      </c>
      <c r="I20" t="s">
        <v>677</v>
      </c>
      <c r="J20" t="s">
        <v>678</v>
      </c>
      <c r="K20" t="s">
        <v>679</v>
      </c>
      <c r="L20">
        <v>1367</v>
      </c>
      <c r="N20">
        <v>1011</v>
      </c>
      <c r="O20" t="s">
        <v>652</v>
      </c>
      <c r="P20" t="s">
        <v>652</v>
      </c>
      <c r="Q20">
        <v>1</v>
      </c>
      <c r="X20">
        <v>1</v>
      </c>
      <c r="Y20">
        <v>0</v>
      </c>
      <c r="Z20">
        <v>193.32</v>
      </c>
      <c r="AA20">
        <v>18.11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1</v>
      </c>
      <c r="AH20">
        <v>2</v>
      </c>
      <c r="AI20">
        <v>33995686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ROW(Source!A34)</f>
        <v>34</v>
      </c>
      <c r="B21">
        <v>33995400</v>
      </c>
      <c r="C21">
        <v>33995399</v>
      </c>
      <c r="D21">
        <v>29983441</v>
      </c>
      <c r="E21">
        <v>29983435</v>
      </c>
      <c r="F21">
        <v>1</v>
      </c>
      <c r="G21">
        <v>29983435</v>
      </c>
      <c r="H21">
        <v>1</v>
      </c>
      <c r="I21" t="s">
        <v>646</v>
      </c>
      <c r="J21" t="s">
        <v>3</v>
      </c>
      <c r="K21" t="s">
        <v>647</v>
      </c>
      <c r="L21">
        <v>1191</v>
      </c>
      <c r="N21">
        <v>1013</v>
      </c>
      <c r="O21" t="s">
        <v>648</v>
      </c>
      <c r="P21" t="s">
        <v>648</v>
      </c>
      <c r="Q21">
        <v>1</v>
      </c>
      <c r="X21">
        <v>87.29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1</v>
      </c>
      <c r="AF21" t="s">
        <v>3</v>
      </c>
      <c r="AG21">
        <v>87.29</v>
      </c>
      <c r="AH21">
        <v>2</v>
      </c>
      <c r="AI21">
        <v>33995400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ROW(Source!A34)</f>
        <v>34</v>
      </c>
      <c r="B22">
        <v>33995401</v>
      </c>
      <c r="C22">
        <v>33995399</v>
      </c>
      <c r="D22">
        <v>30064095</v>
      </c>
      <c r="E22">
        <v>1</v>
      </c>
      <c r="F22">
        <v>1</v>
      </c>
      <c r="G22">
        <v>29983435</v>
      </c>
      <c r="H22">
        <v>2</v>
      </c>
      <c r="I22" t="s">
        <v>680</v>
      </c>
      <c r="J22" t="s">
        <v>681</v>
      </c>
      <c r="K22" t="s">
        <v>682</v>
      </c>
      <c r="L22">
        <v>1367</v>
      </c>
      <c r="N22">
        <v>1011</v>
      </c>
      <c r="O22" t="s">
        <v>652</v>
      </c>
      <c r="P22" t="s">
        <v>652</v>
      </c>
      <c r="Q22">
        <v>1</v>
      </c>
      <c r="X22">
        <v>0.89</v>
      </c>
      <c r="Y22">
        <v>0</v>
      </c>
      <c r="Z22">
        <v>76.81</v>
      </c>
      <c r="AA22">
        <v>14.36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0.89</v>
      </c>
      <c r="AH22">
        <v>2</v>
      </c>
      <c r="AI22">
        <v>33995401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ROW(Source!A34)</f>
        <v>34</v>
      </c>
      <c r="B23">
        <v>33995402</v>
      </c>
      <c r="C23">
        <v>33995399</v>
      </c>
      <c r="D23">
        <v>30063290</v>
      </c>
      <c r="E23">
        <v>1</v>
      </c>
      <c r="F23">
        <v>1</v>
      </c>
      <c r="G23">
        <v>29983435</v>
      </c>
      <c r="H23">
        <v>2</v>
      </c>
      <c r="I23" t="s">
        <v>683</v>
      </c>
      <c r="J23" t="s">
        <v>684</v>
      </c>
      <c r="K23" t="s">
        <v>685</v>
      </c>
      <c r="L23">
        <v>1367</v>
      </c>
      <c r="N23">
        <v>1011</v>
      </c>
      <c r="O23" t="s">
        <v>652</v>
      </c>
      <c r="P23" t="s">
        <v>652</v>
      </c>
      <c r="Q23">
        <v>1</v>
      </c>
      <c r="X23">
        <v>1.59</v>
      </c>
      <c r="Y23">
        <v>0</v>
      </c>
      <c r="Z23">
        <v>116.89</v>
      </c>
      <c r="AA23">
        <v>23.41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1.59</v>
      </c>
      <c r="AH23">
        <v>2</v>
      </c>
      <c r="AI23">
        <v>33995402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ROW(Source!A34)</f>
        <v>34</v>
      </c>
      <c r="B24">
        <v>33995403</v>
      </c>
      <c r="C24">
        <v>33995399</v>
      </c>
      <c r="D24">
        <v>30063518</v>
      </c>
      <c r="E24">
        <v>1</v>
      </c>
      <c r="F24">
        <v>1</v>
      </c>
      <c r="G24">
        <v>29983435</v>
      </c>
      <c r="H24">
        <v>2</v>
      </c>
      <c r="I24" t="s">
        <v>686</v>
      </c>
      <c r="J24" t="s">
        <v>687</v>
      </c>
      <c r="K24" t="s">
        <v>688</v>
      </c>
      <c r="L24">
        <v>1367</v>
      </c>
      <c r="N24">
        <v>1011</v>
      </c>
      <c r="O24" t="s">
        <v>652</v>
      </c>
      <c r="P24" t="s">
        <v>652</v>
      </c>
      <c r="Q24">
        <v>1</v>
      </c>
      <c r="X24">
        <v>5.15</v>
      </c>
      <c r="Y24">
        <v>0</v>
      </c>
      <c r="Z24">
        <v>246.68</v>
      </c>
      <c r="AA24">
        <v>13.37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5.15</v>
      </c>
      <c r="AH24">
        <v>2</v>
      </c>
      <c r="AI24">
        <v>33995403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ROW(Source!A34)</f>
        <v>34</v>
      </c>
      <c r="B25">
        <v>33995404</v>
      </c>
      <c r="C25">
        <v>33995399</v>
      </c>
      <c r="D25">
        <v>30063503</v>
      </c>
      <c r="E25">
        <v>1</v>
      </c>
      <c r="F25">
        <v>1</v>
      </c>
      <c r="G25">
        <v>29983435</v>
      </c>
      <c r="H25">
        <v>2</v>
      </c>
      <c r="I25" t="s">
        <v>689</v>
      </c>
      <c r="J25" t="s">
        <v>690</v>
      </c>
      <c r="K25" t="s">
        <v>691</v>
      </c>
      <c r="L25">
        <v>1367</v>
      </c>
      <c r="N25">
        <v>1011</v>
      </c>
      <c r="O25" t="s">
        <v>652</v>
      </c>
      <c r="P25" t="s">
        <v>652</v>
      </c>
      <c r="Q25">
        <v>1</v>
      </c>
      <c r="X25">
        <v>11.26</v>
      </c>
      <c r="Y25">
        <v>0</v>
      </c>
      <c r="Z25">
        <v>169.44</v>
      </c>
      <c r="AA25">
        <v>15.02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11.26</v>
      </c>
      <c r="AH25">
        <v>2</v>
      </c>
      <c r="AI25">
        <v>33995404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ROW(Source!A34)</f>
        <v>34</v>
      </c>
      <c r="B26">
        <v>33995405</v>
      </c>
      <c r="C26">
        <v>33995399</v>
      </c>
      <c r="D26">
        <v>30063504</v>
      </c>
      <c r="E26">
        <v>1</v>
      </c>
      <c r="F26">
        <v>1</v>
      </c>
      <c r="G26">
        <v>29983435</v>
      </c>
      <c r="H26">
        <v>2</v>
      </c>
      <c r="I26" t="s">
        <v>692</v>
      </c>
      <c r="J26" t="s">
        <v>693</v>
      </c>
      <c r="K26" t="s">
        <v>694</v>
      </c>
      <c r="L26">
        <v>1367</v>
      </c>
      <c r="N26">
        <v>1011</v>
      </c>
      <c r="O26" t="s">
        <v>652</v>
      </c>
      <c r="P26" t="s">
        <v>652</v>
      </c>
      <c r="Q26">
        <v>1</v>
      </c>
      <c r="X26">
        <v>32.19</v>
      </c>
      <c r="Y26">
        <v>0</v>
      </c>
      <c r="Z26">
        <v>219.5</v>
      </c>
      <c r="AA26">
        <v>17.510000000000002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32.19</v>
      </c>
      <c r="AH26">
        <v>2</v>
      </c>
      <c r="AI26">
        <v>33995405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ROW(Source!A34)</f>
        <v>34</v>
      </c>
      <c r="B27">
        <v>33995406</v>
      </c>
      <c r="C27">
        <v>33995399</v>
      </c>
      <c r="D27">
        <v>30063545</v>
      </c>
      <c r="E27">
        <v>1</v>
      </c>
      <c r="F27">
        <v>1</v>
      </c>
      <c r="G27">
        <v>29983435</v>
      </c>
      <c r="H27">
        <v>2</v>
      </c>
      <c r="I27" t="s">
        <v>695</v>
      </c>
      <c r="J27" t="s">
        <v>696</v>
      </c>
      <c r="K27" t="s">
        <v>697</v>
      </c>
      <c r="L27">
        <v>1367</v>
      </c>
      <c r="N27">
        <v>1011</v>
      </c>
      <c r="O27" t="s">
        <v>652</v>
      </c>
      <c r="P27" t="s">
        <v>652</v>
      </c>
      <c r="Q27">
        <v>1</v>
      </c>
      <c r="X27">
        <v>5.81</v>
      </c>
      <c r="Y27">
        <v>0</v>
      </c>
      <c r="Z27">
        <v>120.77</v>
      </c>
      <c r="AA27">
        <v>23.93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5.81</v>
      </c>
      <c r="AH27">
        <v>2</v>
      </c>
      <c r="AI27">
        <v>33995406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ROW(Source!A34)</f>
        <v>34</v>
      </c>
      <c r="B28">
        <v>33995407</v>
      </c>
      <c r="C28">
        <v>33995399</v>
      </c>
      <c r="D28">
        <v>30042537</v>
      </c>
      <c r="E28">
        <v>1</v>
      </c>
      <c r="F28">
        <v>1</v>
      </c>
      <c r="G28">
        <v>29983435</v>
      </c>
      <c r="H28">
        <v>3</v>
      </c>
      <c r="I28" t="s">
        <v>467</v>
      </c>
      <c r="J28" t="s">
        <v>469</v>
      </c>
      <c r="K28" t="s">
        <v>468</v>
      </c>
      <c r="L28">
        <v>1339</v>
      </c>
      <c r="N28">
        <v>1007</v>
      </c>
      <c r="O28" t="s">
        <v>66</v>
      </c>
      <c r="P28" t="s">
        <v>66</v>
      </c>
      <c r="Q28">
        <v>1</v>
      </c>
      <c r="X28">
        <v>25</v>
      </c>
      <c r="Y28">
        <v>7.07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25</v>
      </c>
      <c r="AH28">
        <v>2</v>
      </c>
      <c r="AI28">
        <v>33995407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ROW(Source!A34)</f>
        <v>34</v>
      </c>
      <c r="B29">
        <v>33995408</v>
      </c>
      <c r="C29">
        <v>33995399</v>
      </c>
      <c r="D29">
        <v>30041237</v>
      </c>
      <c r="E29">
        <v>1</v>
      </c>
      <c r="F29">
        <v>1</v>
      </c>
      <c r="G29">
        <v>29983435</v>
      </c>
      <c r="H29">
        <v>3</v>
      </c>
      <c r="I29" t="s">
        <v>698</v>
      </c>
      <c r="J29" t="s">
        <v>699</v>
      </c>
      <c r="K29" t="s">
        <v>700</v>
      </c>
      <c r="L29">
        <v>1339</v>
      </c>
      <c r="N29">
        <v>1007</v>
      </c>
      <c r="O29" t="s">
        <v>66</v>
      </c>
      <c r="P29" t="s">
        <v>66</v>
      </c>
      <c r="Q29">
        <v>1</v>
      </c>
      <c r="X29">
        <v>11.5</v>
      </c>
      <c r="Y29">
        <v>165.8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11.5</v>
      </c>
      <c r="AH29">
        <v>2</v>
      </c>
      <c r="AI29">
        <v>33995408</v>
      </c>
      <c r="AJ29">
        <v>30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ROW(Source!A34)</f>
        <v>34</v>
      </c>
      <c r="B30">
        <v>33995409</v>
      </c>
      <c r="C30">
        <v>33995399</v>
      </c>
      <c r="D30">
        <v>29988222</v>
      </c>
      <c r="E30">
        <v>29983435</v>
      </c>
      <c r="F30">
        <v>1</v>
      </c>
      <c r="G30">
        <v>29983435</v>
      </c>
      <c r="H30">
        <v>3</v>
      </c>
      <c r="I30" t="s">
        <v>891</v>
      </c>
      <c r="J30" t="s">
        <v>3</v>
      </c>
      <c r="K30" t="s">
        <v>892</v>
      </c>
      <c r="L30">
        <v>1339</v>
      </c>
      <c r="N30">
        <v>1007</v>
      </c>
      <c r="O30" t="s">
        <v>66</v>
      </c>
      <c r="P30" t="s">
        <v>66</v>
      </c>
      <c r="Q30">
        <v>1</v>
      </c>
      <c r="X30">
        <v>55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 t="s">
        <v>3</v>
      </c>
      <c r="AG30">
        <v>55</v>
      </c>
      <c r="AH30">
        <v>3</v>
      </c>
      <c r="AI30">
        <v>-1</v>
      </c>
      <c r="AJ30" t="s">
        <v>3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ROW(Source!A36)</f>
        <v>36</v>
      </c>
      <c r="B31">
        <v>33995413</v>
      </c>
      <c r="C31">
        <v>33992020</v>
      </c>
      <c r="D31">
        <v>29983439</v>
      </c>
      <c r="E31">
        <v>29983435</v>
      </c>
      <c r="F31">
        <v>1</v>
      </c>
      <c r="G31">
        <v>29983435</v>
      </c>
      <c r="H31">
        <v>2</v>
      </c>
      <c r="I31" t="s">
        <v>674</v>
      </c>
      <c r="J31" t="s">
        <v>3</v>
      </c>
      <c r="K31" t="s">
        <v>675</v>
      </c>
      <c r="L31">
        <v>1344</v>
      </c>
      <c r="N31">
        <v>1008</v>
      </c>
      <c r="O31" t="s">
        <v>676</v>
      </c>
      <c r="P31" t="s">
        <v>676</v>
      </c>
      <c r="Q31">
        <v>1</v>
      </c>
      <c r="X31">
        <v>36.590000000000003</v>
      </c>
      <c r="Y31">
        <v>0</v>
      </c>
      <c r="Z31">
        <v>1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36.590000000000003</v>
      </c>
      <c r="AH31">
        <v>2</v>
      </c>
      <c r="AI31">
        <v>33995413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ROW(Source!A37)</f>
        <v>37</v>
      </c>
      <c r="B32">
        <v>33995415</v>
      </c>
      <c r="C32">
        <v>33995414</v>
      </c>
      <c r="D32">
        <v>29983441</v>
      </c>
      <c r="E32">
        <v>29983435</v>
      </c>
      <c r="F32">
        <v>1</v>
      </c>
      <c r="G32">
        <v>29983435</v>
      </c>
      <c r="H32">
        <v>1</v>
      </c>
      <c r="I32" t="s">
        <v>646</v>
      </c>
      <c r="J32" t="s">
        <v>3</v>
      </c>
      <c r="K32" t="s">
        <v>647</v>
      </c>
      <c r="L32">
        <v>1191</v>
      </c>
      <c r="N32">
        <v>1013</v>
      </c>
      <c r="O32" t="s">
        <v>648</v>
      </c>
      <c r="P32" t="s">
        <v>648</v>
      </c>
      <c r="Q32">
        <v>1</v>
      </c>
      <c r="X32">
        <v>4.29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1</v>
      </c>
      <c r="AF32" t="s">
        <v>3</v>
      </c>
      <c r="AG32">
        <v>4.29</v>
      </c>
      <c r="AH32">
        <v>2</v>
      </c>
      <c r="AI32">
        <v>33995415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ROW(Source!A37)</f>
        <v>37</v>
      </c>
      <c r="B33">
        <v>33995416</v>
      </c>
      <c r="C33">
        <v>33995414</v>
      </c>
      <c r="D33">
        <v>30063713</v>
      </c>
      <c r="E33">
        <v>1</v>
      </c>
      <c r="F33">
        <v>1</v>
      </c>
      <c r="G33">
        <v>29983435</v>
      </c>
      <c r="H33">
        <v>2</v>
      </c>
      <c r="I33" t="s">
        <v>668</v>
      </c>
      <c r="J33" t="s">
        <v>669</v>
      </c>
      <c r="K33" t="s">
        <v>670</v>
      </c>
      <c r="L33">
        <v>1367</v>
      </c>
      <c r="N33">
        <v>1011</v>
      </c>
      <c r="O33" t="s">
        <v>652</v>
      </c>
      <c r="P33" t="s">
        <v>652</v>
      </c>
      <c r="Q33">
        <v>1</v>
      </c>
      <c r="X33">
        <v>0.3</v>
      </c>
      <c r="Y33">
        <v>0</v>
      </c>
      <c r="Z33">
        <v>60.77</v>
      </c>
      <c r="AA33">
        <v>18.48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0.3</v>
      </c>
      <c r="AH33">
        <v>2</v>
      </c>
      <c r="AI33">
        <v>33995416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ROW(Source!A37)</f>
        <v>37</v>
      </c>
      <c r="B34">
        <v>33995417</v>
      </c>
      <c r="C34">
        <v>33995414</v>
      </c>
      <c r="D34">
        <v>30063428</v>
      </c>
      <c r="E34">
        <v>1</v>
      </c>
      <c r="F34">
        <v>1</v>
      </c>
      <c r="G34">
        <v>29983435</v>
      </c>
      <c r="H34">
        <v>2</v>
      </c>
      <c r="I34" t="s">
        <v>701</v>
      </c>
      <c r="J34" t="s">
        <v>702</v>
      </c>
      <c r="K34" t="s">
        <v>703</v>
      </c>
      <c r="L34">
        <v>1367</v>
      </c>
      <c r="N34">
        <v>1011</v>
      </c>
      <c r="O34" t="s">
        <v>652</v>
      </c>
      <c r="P34" t="s">
        <v>652</v>
      </c>
      <c r="Q34">
        <v>1</v>
      </c>
      <c r="X34">
        <v>0.3</v>
      </c>
      <c r="Y34">
        <v>0</v>
      </c>
      <c r="Z34">
        <v>106.74</v>
      </c>
      <c r="AA34">
        <v>19.2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0.3</v>
      </c>
      <c r="AH34">
        <v>2</v>
      </c>
      <c r="AI34">
        <v>33995417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ROW(Source!A37)</f>
        <v>37</v>
      </c>
      <c r="B35">
        <v>33995418</v>
      </c>
      <c r="C35">
        <v>33995414</v>
      </c>
      <c r="D35">
        <v>30063518</v>
      </c>
      <c r="E35">
        <v>1</v>
      </c>
      <c r="F35">
        <v>1</v>
      </c>
      <c r="G35">
        <v>29983435</v>
      </c>
      <c r="H35">
        <v>2</v>
      </c>
      <c r="I35" t="s">
        <v>686</v>
      </c>
      <c r="J35" t="s">
        <v>687</v>
      </c>
      <c r="K35" t="s">
        <v>688</v>
      </c>
      <c r="L35">
        <v>1367</v>
      </c>
      <c r="N35">
        <v>1011</v>
      </c>
      <c r="O35" t="s">
        <v>652</v>
      </c>
      <c r="P35" t="s">
        <v>652</v>
      </c>
      <c r="Q35">
        <v>1</v>
      </c>
      <c r="X35">
        <v>0.3</v>
      </c>
      <c r="Y35">
        <v>0</v>
      </c>
      <c r="Z35">
        <v>246.68</v>
      </c>
      <c r="AA35">
        <v>13.37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0.3</v>
      </c>
      <c r="AH35">
        <v>2</v>
      </c>
      <c r="AI35">
        <v>33995418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ROW(Source!A37)</f>
        <v>37</v>
      </c>
      <c r="B36">
        <v>33995419</v>
      </c>
      <c r="C36">
        <v>33995414</v>
      </c>
      <c r="D36">
        <v>30063519</v>
      </c>
      <c r="E36">
        <v>1</v>
      </c>
      <c r="F36">
        <v>1</v>
      </c>
      <c r="G36">
        <v>29983435</v>
      </c>
      <c r="H36">
        <v>2</v>
      </c>
      <c r="I36" t="s">
        <v>704</v>
      </c>
      <c r="J36" t="s">
        <v>705</v>
      </c>
      <c r="K36" t="s">
        <v>706</v>
      </c>
      <c r="L36">
        <v>1367</v>
      </c>
      <c r="N36">
        <v>1011</v>
      </c>
      <c r="O36" t="s">
        <v>652</v>
      </c>
      <c r="P36" t="s">
        <v>652</v>
      </c>
      <c r="Q36">
        <v>1</v>
      </c>
      <c r="X36">
        <v>0.3</v>
      </c>
      <c r="Y36">
        <v>0</v>
      </c>
      <c r="Z36">
        <v>249.15</v>
      </c>
      <c r="AA36">
        <v>42.85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0.3</v>
      </c>
      <c r="AH36">
        <v>2</v>
      </c>
      <c r="AI36">
        <v>33995419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ROW(Source!A37)</f>
        <v>37</v>
      </c>
      <c r="B37">
        <v>33995420</v>
      </c>
      <c r="C37">
        <v>33995414</v>
      </c>
      <c r="D37">
        <v>30063503</v>
      </c>
      <c r="E37">
        <v>1</v>
      </c>
      <c r="F37">
        <v>1</v>
      </c>
      <c r="G37">
        <v>29983435</v>
      </c>
      <c r="H37">
        <v>2</v>
      </c>
      <c r="I37" t="s">
        <v>689</v>
      </c>
      <c r="J37" t="s">
        <v>690</v>
      </c>
      <c r="K37" t="s">
        <v>691</v>
      </c>
      <c r="L37">
        <v>1367</v>
      </c>
      <c r="N37">
        <v>1011</v>
      </c>
      <c r="O37" t="s">
        <v>652</v>
      </c>
      <c r="P37" t="s">
        <v>652</v>
      </c>
      <c r="Q37">
        <v>1</v>
      </c>
      <c r="X37">
        <v>0.3</v>
      </c>
      <c r="Y37">
        <v>0</v>
      </c>
      <c r="Z37">
        <v>169.44</v>
      </c>
      <c r="AA37">
        <v>15.02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0.3</v>
      </c>
      <c r="AH37">
        <v>2</v>
      </c>
      <c r="AI37">
        <v>33995420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ROW(Source!A37)</f>
        <v>37</v>
      </c>
      <c r="B38">
        <v>33995421</v>
      </c>
      <c r="C38">
        <v>33995414</v>
      </c>
      <c r="D38">
        <v>30063534</v>
      </c>
      <c r="E38">
        <v>1</v>
      </c>
      <c r="F38">
        <v>1</v>
      </c>
      <c r="G38">
        <v>29983435</v>
      </c>
      <c r="H38">
        <v>2</v>
      </c>
      <c r="I38" t="s">
        <v>707</v>
      </c>
      <c r="J38" t="s">
        <v>708</v>
      </c>
      <c r="K38" t="s">
        <v>709</v>
      </c>
      <c r="L38">
        <v>1367</v>
      </c>
      <c r="N38">
        <v>1011</v>
      </c>
      <c r="O38" t="s">
        <v>652</v>
      </c>
      <c r="P38" t="s">
        <v>652</v>
      </c>
      <c r="Q38">
        <v>1</v>
      </c>
      <c r="X38">
        <v>0.3</v>
      </c>
      <c r="Y38">
        <v>0</v>
      </c>
      <c r="Z38">
        <v>124.6</v>
      </c>
      <c r="AA38">
        <v>28.4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0.3</v>
      </c>
      <c r="AH38">
        <v>2</v>
      </c>
      <c r="AI38">
        <v>33995421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ROW(Source!A37)</f>
        <v>37</v>
      </c>
      <c r="B39">
        <v>33995422</v>
      </c>
      <c r="C39">
        <v>33995414</v>
      </c>
      <c r="D39">
        <v>30063507</v>
      </c>
      <c r="E39">
        <v>1</v>
      </c>
      <c r="F39">
        <v>1</v>
      </c>
      <c r="G39">
        <v>29983435</v>
      </c>
      <c r="H39">
        <v>2</v>
      </c>
      <c r="I39" t="s">
        <v>710</v>
      </c>
      <c r="J39" t="s">
        <v>711</v>
      </c>
      <c r="K39" t="s">
        <v>712</v>
      </c>
      <c r="L39">
        <v>1367</v>
      </c>
      <c r="N39">
        <v>1011</v>
      </c>
      <c r="O39" t="s">
        <v>652</v>
      </c>
      <c r="P39" t="s">
        <v>652</v>
      </c>
      <c r="Q39">
        <v>1</v>
      </c>
      <c r="X39">
        <v>0.3</v>
      </c>
      <c r="Y39">
        <v>0</v>
      </c>
      <c r="Z39">
        <v>171.61</v>
      </c>
      <c r="AA39">
        <v>17.43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</v>
      </c>
      <c r="AH39">
        <v>2</v>
      </c>
      <c r="AI39">
        <v>33995422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ROW(Source!A37)</f>
        <v>37</v>
      </c>
      <c r="B40">
        <v>33995423</v>
      </c>
      <c r="C40">
        <v>33995414</v>
      </c>
      <c r="D40">
        <v>30063508</v>
      </c>
      <c r="E40">
        <v>1</v>
      </c>
      <c r="F40">
        <v>1</v>
      </c>
      <c r="G40">
        <v>29983435</v>
      </c>
      <c r="H40">
        <v>2</v>
      </c>
      <c r="I40" t="s">
        <v>713</v>
      </c>
      <c r="J40" t="s">
        <v>714</v>
      </c>
      <c r="K40" t="s">
        <v>715</v>
      </c>
      <c r="L40">
        <v>1367</v>
      </c>
      <c r="N40">
        <v>1011</v>
      </c>
      <c r="O40" t="s">
        <v>652</v>
      </c>
      <c r="P40" t="s">
        <v>652</v>
      </c>
      <c r="Q40">
        <v>1</v>
      </c>
      <c r="X40">
        <v>0.9</v>
      </c>
      <c r="Y40">
        <v>0</v>
      </c>
      <c r="Z40">
        <v>177.54</v>
      </c>
      <c r="AA40">
        <v>17.420000000000002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0.9</v>
      </c>
      <c r="AH40">
        <v>2</v>
      </c>
      <c r="AI40">
        <v>33995423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ROW(Source!A37)</f>
        <v>37</v>
      </c>
      <c r="B41">
        <v>33995424</v>
      </c>
      <c r="C41">
        <v>33995414</v>
      </c>
      <c r="D41">
        <v>30057733</v>
      </c>
      <c r="E41">
        <v>1</v>
      </c>
      <c r="F41">
        <v>1</v>
      </c>
      <c r="G41">
        <v>29983435</v>
      </c>
      <c r="H41">
        <v>3</v>
      </c>
      <c r="I41" t="s">
        <v>716</v>
      </c>
      <c r="J41" t="s">
        <v>717</v>
      </c>
      <c r="K41" t="s">
        <v>718</v>
      </c>
      <c r="L41">
        <v>1348</v>
      </c>
      <c r="N41">
        <v>1009</v>
      </c>
      <c r="O41" t="s">
        <v>51</v>
      </c>
      <c r="P41" t="s">
        <v>51</v>
      </c>
      <c r="Q41">
        <v>1000</v>
      </c>
      <c r="X41">
        <v>0.04</v>
      </c>
      <c r="Y41">
        <v>1445.87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0.04</v>
      </c>
      <c r="AH41">
        <v>2</v>
      </c>
      <c r="AI41">
        <v>33995424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ROW(Source!A37)</f>
        <v>37</v>
      </c>
      <c r="B42">
        <v>33995425</v>
      </c>
      <c r="C42">
        <v>33995414</v>
      </c>
      <c r="D42">
        <v>29985867</v>
      </c>
      <c r="E42">
        <v>29983435</v>
      </c>
      <c r="F42">
        <v>1</v>
      </c>
      <c r="G42">
        <v>29983435</v>
      </c>
      <c r="H42">
        <v>3</v>
      </c>
      <c r="I42" t="s">
        <v>893</v>
      </c>
      <c r="J42" t="s">
        <v>3</v>
      </c>
      <c r="K42" t="s">
        <v>894</v>
      </c>
      <c r="L42">
        <v>1348</v>
      </c>
      <c r="N42">
        <v>1009</v>
      </c>
      <c r="O42" t="s">
        <v>51</v>
      </c>
      <c r="P42" t="s">
        <v>51</v>
      </c>
      <c r="Q42">
        <v>1000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 t="s">
        <v>3</v>
      </c>
      <c r="AG42">
        <v>0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ROW(Source!A39)</f>
        <v>39</v>
      </c>
      <c r="B43">
        <v>33995430</v>
      </c>
      <c r="C43">
        <v>33995429</v>
      </c>
      <c r="D43">
        <v>29983441</v>
      </c>
      <c r="E43">
        <v>29983435</v>
      </c>
      <c r="F43">
        <v>1</v>
      </c>
      <c r="G43">
        <v>29983435</v>
      </c>
      <c r="H43">
        <v>1</v>
      </c>
      <c r="I43" t="s">
        <v>646</v>
      </c>
      <c r="J43" t="s">
        <v>3</v>
      </c>
      <c r="K43" t="s">
        <v>647</v>
      </c>
      <c r="L43">
        <v>1191</v>
      </c>
      <c r="N43">
        <v>1013</v>
      </c>
      <c r="O43" t="s">
        <v>648</v>
      </c>
      <c r="P43" t="s">
        <v>648</v>
      </c>
      <c r="Q43">
        <v>1</v>
      </c>
      <c r="X43">
        <v>0.53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1</v>
      </c>
      <c r="AF43" t="s">
        <v>3</v>
      </c>
      <c r="AG43">
        <v>0.53</v>
      </c>
      <c r="AH43">
        <v>2</v>
      </c>
      <c r="AI43">
        <v>33995430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ROW(Source!A39)</f>
        <v>39</v>
      </c>
      <c r="B44">
        <v>33995431</v>
      </c>
      <c r="C44">
        <v>33995429</v>
      </c>
      <c r="D44">
        <v>30063428</v>
      </c>
      <c r="E44">
        <v>1</v>
      </c>
      <c r="F44">
        <v>1</v>
      </c>
      <c r="G44">
        <v>29983435</v>
      </c>
      <c r="H44">
        <v>2</v>
      </c>
      <c r="I44" t="s">
        <v>701</v>
      </c>
      <c r="J44" t="s">
        <v>702</v>
      </c>
      <c r="K44" t="s">
        <v>703</v>
      </c>
      <c r="L44">
        <v>1367</v>
      </c>
      <c r="N44">
        <v>1011</v>
      </c>
      <c r="O44" t="s">
        <v>652</v>
      </c>
      <c r="P44" t="s">
        <v>652</v>
      </c>
      <c r="Q44">
        <v>1</v>
      </c>
      <c r="X44">
        <v>7.4999999999999997E-2</v>
      </c>
      <c r="Y44">
        <v>0</v>
      </c>
      <c r="Z44">
        <v>106.74</v>
      </c>
      <c r="AA44">
        <v>19.2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7.4999999999999997E-2</v>
      </c>
      <c r="AH44">
        <v>2</v>
      </c>
      <c r="AI44">
        <v>33995431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ROW(Source!A39)</f>
        <v>39</v>
      </c>
      <c r="B45">
        <v>33995432</v>
      </c>
      <c r="C45">
        <v>33995429</v>
      </c>
      <c r="D45">
        <v>30063534</v>
      </c>
      <c r="E45">
        <v>1</v>
      </c>
      <c r="F45">
        <v>1</v>
      </c>
      <c r="G45">
        <v>29983435</v>
      </c>
      <c r="H45">
        <v>2</v>
      </c>
      <c r="I45" t="s">
        <v>707</v>
      </c>
      <c r="J45" t="s">
        <v>708</v>
      </c>
      <c r="K45" t="s">
        <v>709</v>
      </c>
      <c r="L45">
        <v>1367</v>
      </c>
      <c r="N45">
        <v>1011</v>
      </c>
      <c r="O45" t="s">
        <v>652</v>
      </c>
      <c r="P45" t="s">
        <v>652</v>
      </c>
      <c r="Q45">
        <v>1</v>
      </c>
      <c r="X45">
        <v>7.4999999999999997E-2</v>
      </c>
      <c r="Y45">
        <v>0</v>
      </c>
      <c r="Z45">
        <v>124.6</v>
      </c>
      <c r="AA45">
        <v>28.4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7.4999999999999997E-2</v>
      </c>
      <c r="AH45">
        <v>2</v>
      </c>
      <c r="AI45">
        <v>33995432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ROW(Source!A39)</f>
        <v>39</v>
      </c>
      <c r="B46">
        <v>33995433</v>
      </c>
      <c r="C46">
        <v>33995429</v>
      </c>
      <c r="D46">
        <v>29985867</v>
      </c>
      <c r="E46">
        <v>29983435</v>
      </c>
      <c r="F46">
        <v>1</v>
      </c>
      <c r="G46">
        <v>29983435</v>
      </c>
      <c r="H46">
        <v>3</v>
      </c>
      <c r="I46" t="s">
        <v>893</v>
      </c>
      <c r="J46" t="s">
        <v>3</v>
      </c>
      <c r="K46" t="s">
        <v>894</v>
      </c>
      <c r="L46">
        <v>1348</v>
      </c>
      <c r="N46">
        <v>1009</v>
      </c>
      <c r="O46" t="s">
        <v>51</v>
      </c>
      <c r="P46" t="s">
        <v>51</v>
      </c>
      <c r="Q46">
        <v>1000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 t="s">
        <v>3</v>
      </c>
      <c r="AG46">
        <v>0</v>
      </c>
      <c r="AH46">
        <v>3</v>
      </c>
      <c r="AI46">
        <v>-1</v>
      </c>
      <c r="AJ46" t="s">
        <v>3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ROW(Source!A77)</f>
        <v>77</v>
      </c>
      <c r="B47">
        <v>33992061</v>
      </c>
      <c r="C47">
        <v>33992055</v>
      </c>
      <c r="D47">
        <v>29983441</v>
      </c>
      <c r="E47">
        <v>29983435</v>
      </c>
      <c r="F47">
        <v>1</v>
      </c>
      <c r="G47">
        <v>29983435</v>
      </c>
      <c r="H47">
        <v>1</v>
      </c>
      <c r="I47" t="s">
        <v>646</v>
      </c>
      <c r="J47" t="s">
        <v>3</v>
      </c>
      <c r="K47" t="s">
        <v>647</v>
      </c>
      <c r="L47">
        <v>1191</v>
      </c>
      <c r="N47">
        <v>1013</v>
      </c>
      <c r="O47" t="s">
        <v>648</v>
      </c>
      <c r="P47" t="s">
        <v>648</v>
      </c>
      <c r="Q47">
        <v>1</v>
      </c>
      <c r="X47">
        <v>155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1</v>
      </c>
      <c r="AF47" t="s">
        <v>3</v>
      </c>
      <c r="AG47">
        <v>155</v>
      </c>
      <c r="AH47">
        <v>2</v>
      </c>
      <c r="AI47">
        <v>33992056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ROW(Source!A77)</f>
        <v>77</v>
      </c>
      <c r="B48">
        <v>33992062</v>
      </c>
      <c r="C48">
        <v>33992055</v>
      </c>
      <c r="D48">
        <v>30063713</v>
      </c>
      <c r="E48">
        <v>1</v>
      </c>
      <c r="F48">
        <v>1</v>
      </c>
      <c r="G48">
        <v>29983435</v>
      </c>
      <c r="H48">
        <v>2</v>
      </c>
      <c r="I48" t="s">
        <v>668</v>
      </c>
      <c r="J48" t="s">
        <v>669</v>
      </c>
      <c r="K48" t="s">
        <v>670</v>
      </c>
      <c r="L48">
        <v>1367</v>
      </c>
      <c r="N48">
        <v>1011</v>
      </c>
      <c r="O48" t="s">
        <v>652</v>
      </c>
      <c r="P48" t="s">
        <v>652</v>
      </c>
      <c r="Q48">
        <v>1</v>
      </c>
      <c r="X48">
        <v>37.5</v>
      </c>
      <c r="Y48">
        <v>0</v>
      </c>
      <c r="Z48">
        <v>60.77</v>
      </c>
      <c r="AA48">
        <v>18.48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37.5</v>
      </c>
      <c r="AH48">
        <v>2</v>
      </c>
      <c r="AI48">
        <v>33992057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ROW(Source!A77)</f>
        <v>77</v>
      </c>
      <c r="B49">
        <v>33992063</v>
      </c>
      <c r="C49">
        <v>33992055</v>
      </c>
      <c r="D49">
        <v>30064179</v>
      </c>
      <c r="E49">
        <v>1</v>
      </c>
      <c r="F49">
        <v>1</v>
      </c>
      <c r="G49">
        <v>29983435</v>
      </c>
      <c r="H49">
        <v>2</v>
      </c>
      <c r="I49" t="s">
        <v>656</v>
      </c>
      <c r="J49" t="s">
        <v>657</v>
      </c>
      <c r="K49" t="s">
        <v>658</v>
      </c>
      <c r="L49">
        <v>1367</v>
      </c>
      <c r="N49">
        <v>1011</v>
      </c>
      <c r="O49" t="s">
        <v>652</v>
      </c>
      <c r="P49" t="s">
        <v>652</v>
      </c>
      <c r="Q49">
        <v>1</v>
      </c>
      <c r="X49">
        <v>75</v>
      </c>
      <c r="Y49">
        <v>0</v>
      </c>
      <c r="Z49">
        <v>3.16</v>
      </c>
      <c r="AA49">
        <v>0.04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75</v>
      </c>
      <c r="AH49">
        <v>2</v>
      </c>
      <c r="AI49">
        <v>33992058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ROW(Source!A77)</f>
        <v>77</v>
      </c>
      <c r="B50">
        <v>33992064</v>
      </c>
      <c r="C50">
        <v>33992055</v>
      </c>
      <c r="D50">
        <v>30063546</v>
      </c>
      <c r="E50">
        <v>1</v>
      </c>
      <c r="F50">
        <v>1</v>
      </c>
      <c r="G50">
        <v>29983435</v>
      </c>
      <c r="H50">
        <v>2</v>
      </c>
      <c r="I50" t="s">
        <v>671</v>
      </c>
      <c r="J50" t="s">
        <v>672</v>
      </c>
      <c r="K50" t="s">
        <v>673</v>
      </c>
      <c r="L50">
        <v>1367</v>
      </c>
      <c r="N50">
        <v>1011</v>
      </c>
      <c r="O50" t="s">
        <v>652</v>
      </c>
      <c r="P50" t="s">
        <v>652</v>
      </c>
      <c r="Q50">
        <v>1</v>
      </c>
      <c r="X50">
        <v>1.55</v>
      </c>
      <c r="Y50">
        <v>0</v>
      </c>
      <c r="Z50">
        <v>125.13</v>
      </c>
      <c r="AA50">
        <v>24.74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1.55</v>
      </c>
      <c r="AH50">
        <v>2</v>
      </c>
      <c r="AI50">
        <v>33992059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ROW(Source!A77)</f>
        <v>77</v>
      </c>
      <c r="B51">
        <v>33992065</v>
      </c>
      <c r="C51">
        <v>33992055</v>
      </c>
      <c r="D51">
        <v>29983439</v>
      </c>
      <c r="E51">
        <v>29983435</v>
      </c>
      <c r="F51">
        <v>1</v>
      </c>
      <c r="G51">
        <v>29983435</v>
      </c>
      <c r="H51">
        <v>2</v>
      </c>
      <c r="I51" t="s">
        <v>674</v>
      </c>
      <c r="J51" t="s">
        <v>3</v>
      </c>
      <c r="K51" t="s">
        <v>675</v>
      </c>
      <c r="L51">
        <v>1344</v>
      </c>
      <c r="N51">
        <v>1008</v>
      </c>
      <c r="O51" t="s">
        <v>676</v>
      </c>
      <c r="P51" t="s">
        <v>676</v>
      </c>
      <c r="Q51">
        <v>1</v>
      </c>
      <c r="X51">
        <v>3.72</v>
      </c>
      <c r="Y51">
        <v>0</v>
      </c>
      <c r="Z51">
        <v>1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3.72</v>
      </c>
      <c r="AH51">
        <v>2</v>
      </c>
      <c r="AI51">
        <v>33992060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ROW(Source!A78)</f>
        <v>78</v>
      </c>
      <c r="B52">
        <v>33992071</v>
      </c>
      <c r="C52">
        <v>33992066</v>
      </c>
      <c r="D52">
        <v>29983441</v>
      </c>
      <c r="E52">
        <v>29983435</v>
      </c>
      <c r="F52">
        <v>1</v>
      </c>
      <c r="G52">
        <v>29983435</v>
      </c>
      <c r="H52">
        <v>1</v>
      </c>
      <c r="I52" t="s">
        <v>646</v>
      </c>
      <c r="J52" t="s">
        <v>3</v>
      </c>
      <c r="K52" t="s">
        <v>647</v>
      </c>
      <c r="L52">
        <v>1191</v>
      </c>
      <c r="N52">
        <v>1013</v>
      </c>
      <c r="O52" t="s">
        <v>648</v>
      </c>
      <c r="P52" t="s">
        <v>648</v>
      </c>
      <c r="Q52">
        <v>1</v>
      </c>
      <c r="X52">
        <v>11.7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1</v>
      </c>
      <c r="AF52" t="s">
        <v>3</v>
      </c>
      <c r="AG52">
        <v>11.7</v>
      </c>
      <c r="AH52">
        <v>2</v>
      </c>
      <c r="AI52">
        <v>33992067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ROW(Source!A78)</f>
        <v>78</v>
      </c>
      <c r="B53">
        <v>33992072</v>
      </c>
      <c r="C53">
        <v>33992066</v>
      </c>
      <c r="D53">
        <v>30063290</v>
      </c>
      <c r="E53">
        <v>1</v>
      </c>
      <c r="F53">
        <v>1</v>
      </c>
      <c r="G53">
        <v>29983435</v>
      </c>
      <c r="H53">
        <v>2</v>
      </c>
      <c r="I53" t="s">
        <v>683</v>
      </c>
      <c r="J53" t="s">
        <v>684</v>
      </c>
      <c r="K53" t="s">
        <v>685</v>
      </c>
      <c r="L53">
        <v>1367</v>
      </c>
      <c r="N53">
        <v>1011</v>
      </c>
      <c r="O53" t="s">
        <v>652</v>
      </c>
      <c r="P53" t="s">
        <v>652</v>
      </c>
      <c r="Q53">
        <v>1</v>
      </c>
      <c r="X53">
        <v>1.26</v>
      </c>
      <c r="Y53">
        <v>0</v>
      </c>
      <c r="Z53">
        <v>116.89</v>
      </c>
      <c r="AA53">
        <v>23.41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1.26</v>
      </c>
      <c r="AH53">
        <v>2</v>
      </c>
      <c r="AI53">
        <v>33992068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ROW(Source!A78)</f>
        <v>78</v>
      </c>
      <c r="B54">
        <v>33992073</v>
      </c>
      <c r="C54">
        <v>33992066</v>
      </c>
      <c r="D54">
        <v>30063546</v>
      </c>
      <c r="E54">
        <v>1</v>
      </c>
      <c r="F54">
        <v>1</v>
      </c>
      <c r="G54">
        <v>29983435</v>
      </c>
      <c r="H54">
        <v>2</v>
      </c>
      <c r="I54" t="s">
        <v>671</v>
      </c>
      <c r="J54" t="s">
        <v>672</v>
      </c>
      <c r="K54" t="s">
        <v>673</v>
      </c>
      <c r="L54">
        <v>1367</v>
      </c>
      <c r="N54">
        <v>1011</v>
      </c>
      <c r="O54" t="s">
        <v>652</v>
      </c>
      <c r="P54" t="s">
        <v>652</v>
      </c>
      <c r="Q54">
        <v>1</v>
      </c>
      <c r="X54">
        <v>1.7</v>
      </c>
      <c r="Y54">
        <v>0</v>
      </c>
      <c r="Z54">
        <v>125.13</v>
      </c>
      <c r="AA54">
        <v>24.74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1.7</v>
      </c>
      <c r="AH54">
        <v>2</v>
      </c>
      <c r="AI54">
        <v>33992069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ROW(Source!A78)</f>
        <v>78</v>
      </c>
      <c r="B55">
        <v>33992074</v>
      </c>
      <c r="C55">
        <v>33992066</v>
      </c>
      <c r="D55">
        <v>29983439</v>
      </c>
      <c r="E55">
        <v>29983435</v>
      </c>
      <c r="F55">
        <v>1</v>
      </c>
      <c r="G55">
        <v>29983435</v>
      </c>
      <c r="H55">
        <v>2</v>
      </c>
      <c r="I55" t="s">
        <v>674</v>
      </c>
      <c r="J55" t="s">
        <v>3</v>
      </c>
      <c r="K55" t="s">
        <v>675</v>
      </c>
      <c r="L55">
        <v>1344</v>
      </c>
      <c r="N55">
        <v>1008</v>
      </c>
      <c r="O55" t="s">
        <v>676</v>
      </c>
      <c r="P55" t="s">
        <v>676</v>
      </c>
      <c r="Q55">
        <v>1</v>
      </c>
      <c r="X55">
        <v>42.43</v>
      </c>
      <c r="Y55">
        <v>0</v>
      </c>
      <c r="Z55">
        <v>1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42.43</v>
      </c>
      <c r="AH55">
        <v>2</v>
      </c>
      <c r="AI55">
        <v>33992070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ROW(Source!A79)</f>
        <v>79</v>
      </c>
      <c r="B56">
        <v>33992077</v>
      </c>
      <c r="C56">
        <v>33992075</v>
      </c>
      <c r="D56">
        <v>29983439</v>
      </c>
      <c r="E56">
        <v>29983435</v>
      </c>
      <c r="F56">
        <v>1</v>
      </c>
      <c r="G56">
        <v>29983435</v>
      </c>
      <c r="H56">
        <v>2</v>
      </c>
      <c r="I56" t="s">
        <v>674</v>
      </c>
      <c r="J56" t="s">
        <v>3</v>
      </c>
      <c r="K56" t="s">
        <v>675</v>
      </c>
      <c r="L56">
        <v>1344</v>
      </c>
      <c r="N56">
        <v>1008</v>
      </c>
      <c r="O56" t="s">
        <v>676</v>
      </c>
      <c r="P56" t="s">
        <v>676</v>
      </c>
      <c r="Q56">
        <v>1</v>
      </c>
      <c r="X56">
        <v>8.86</v>
      </c>
      <c r="Y56">
        <v>0</v>
      </c>
      <c r="Z56">
        <v>1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8.86</v>
      </c>
      <c r="AH56">
        <v>2</v>
      </c>
      <c r="AI56">
        <v>33992076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ROW(Source!A80)</f>
        <v>80</v>
      </c>
      <c r="B57">
        <v>33995601</v>
      </c>
      <c r="C57">
        <v>33992078</v>
      </c>
      <c r="D57">
        <v>29983441</v>
      </c>
      <c r="E57">
        <v>29983435</v>
      </c>
      <c r="F57">
        <v>1</v>
      </c>
      <c r="G57">
        <v>29983435</v>
      </c>
      <c r="H57">
        <v>1</v>
      </c>
      <c r="I57" t="s">
        <v>646</v>
      </c>
      <c r="J57" t="s">
        <v>3</v>
      </c>
      <c r="K57" t="s">
        <v>647</v>
      </c>
      <c r="L57">
        <v>1191</v>
      </c>
      <c r="N57">
        <v>1013</v>
      </c>
      <c r="O57" t="s">
        <v>648</v>
      </c>
      <c r="P57" t="s">
        <v>648</v>
      </c>
      <c r="Q57">
        <v>1</v>
      </c>
      <c r="X57">
        <v>1.02</v>
      </c>
      <c r="Y57">
        <v>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1</v>
      </c>
      <c r="AF57" t="s">
        <v>3</v>
      </c>
      <c r="AG57">
        <v>1.02</v>
      </c>
      <c r="AH57">
        <v>2</v>
      </c>
      <c r="AI57">
        <v>33995601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ROW(Source!A81)</f>
        <v>81</v>
      </c>
      <c r="B58">
        <v>33995687</v>
      </c>
      <c r="C58">
        <v>33992081</v>
      </c>
      <c r="D58">
        <v>30064127</v>
      </c>
      <c r="E58">
        <v>1</v>
      </c>
      <c r="F58">
        <v>1</v>
      </c>
      <c r="G58">
        <v>29983435</v>
      </c>
      <c r="H58">
        <v>2</v>
      </c>
      <c r="I58" t="s">
        <v>677</v>
      </c>
      <c r="J58" t="s">
        <v>678</v>
      </c>
      <c r="K58" t="s">
        <v>679</v>
      </c>
      <c r="L58">
        <v>1367</v>
      </c>
      <c r="N58">
        <v>1011</v>
      </c>
      <c r="O58" t="s">
        <v>652</v>
      </c>
      <c r="P58" t="s">
        <v>652</v>
      </c>
      <c r="Q58">
        <v>1</v>
      </c>
      <c r="X58">
        <v>1</v>
      </c>
      <c r="Y58">
        <v>0</v>
      </c>
      <c r="Z58">
        <v>193.32</v>
      </c>
      <c r="AA58">
        <v>18.11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1</v>
      </c>
      <c r="AH58">
        <v>2</v>
      </c>
      <c r="AI58">
        <v>33995687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ROW(Source!A82)</f>
        <v>82</v>
      </c>
      <c r="B59">
        <v>33995688</v>
      </c>
      <c r="C59">
        <v>33992084</v>
      </c>
      <c r="D59">
        <v>29983439</v>
      </c>
      <c r="E59">
        <v>29983435</v>
      </c>
      <c r="F59">
        <v>1</v>
      </c>
      <c r="G59">
        <v>29983435</v>
      </c>
      <c r="H59">
        <v>2</v>
      </c>
      <c r="I59" t="s">
        <v>674</v>
      </c>
      <c r="J59" t="s">
        <v>3</v>
      </c>
      <c r="K59" t="s">
        <v>675</v>
      </c>
      <c r="L59">
        <v>1344</v>
      </c>
      <c r="N59">
        <v>1008</v>
      </c>
      <c r="O59" t="s">
        <v>676</v>
      </c>
      <c r="P59" t="s">
        <v>676</v>
      </c>
      <c r="Q59">
        <v>1</v>
      </c>
      <c r="X59">
        <v>36.590000000000003</v>
      </c>
      <c r="Y59">
        <v>0</v>
      </c>
      <c r="Z59">
        <v>1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36.590000000000003</v>
      </c>
      <c r="AH59">
        <v>2</v>
      </c>
      <c r="AI59">
        <v>33995688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ROW(Source!A83)</f>
        <v>83</v>
      </c>
      <c r="B60">
        <v>33995721</v>
      </c>
      <c r="C60">
        <v>33992087</v>
      </c>
      <c r="D60">
        <v>29983439</v>
      </c>
      <c r="E60">
        <v>29983435</v>
      </c>
      <c r="F60">
        <v>1</v>
      </c>
      <c r="G60">
        <v>29983435</v>
      </c>
      <c r="H60">
        <v>2</v>
      </c>
      <c r="I60" t="s">
        <v>674</v>
      </c>
      <c r="J60" t="s">
        <v>3</v>
      </c>
      <c r="K60" t="s">
        <v>675</v>
      </c>
      <c r="L60">
        <v>1344</v>
      </c>
      <c r="N60">
        <v>1008</v>
      </c>
      <c r="O60" t="s">
        <v>676</v>
      </c>
      <c r="P60" t="s">
        <v>676</v>
      </c>
      <c r="Q60">
        <v>1</v>
      </c>
      <c r="X60">
        <v>17.84</v>
      </c>
      <c r="Y60">
        <v>0</v>
      </c>
      <c r="Z60">
        <v>1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17.84</v>
      </c>
      <c r="AH60">
        <v>2</v>
      </c>
      <c r="AI60">
        <v>33995721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ROW(Source!A84)</f>
        <v>84</v>
      </c>
      <c r="B61">
        <v>33995733</v>
      </c>
      <c r="C61">
        <v>33995722</v>
      </c>
      <c r="D61">
        <v>29983441</v>
      </c>
      <c r="E61">
        <v>29983435</v>
      </c>
      <c r="F61">
        <v>1</v>
      </c>
      <c r="G61">
        <v>29983435</v>
      </c>
      <c r="H61">
        <v>1</v>
      </c>
      <c r="I61" t="s">
        <v>646</v>
      </c>
      <c r="J61" t="s">
        <v>3</v>
      </c>
      <c r="K61" t="s">
        <v>647</v>
      </c>
      <c r="L61">
        <v>1191</v>
      </c>
      <c r="N61">
        <v>1013</v>
      </c>
      <c r="O61" t="s">
        <v>648</v>
      </c>
      <c r="P61" t="s">
        <v>648</v>
      </c>
      <c r="Q61">
        <v>1</v>
      </c>
      <c r="X61">
        <v>87.29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1</v>
      </c>
      <c r="AF61" t="s">
        <v>3</v>
      </c>
      <c r="AG61">
        <v>87.29</v>
      </c>
      <c r="AH61">
        <v>2</v>
      </c>
      <c r="AI61">
        <v>33995723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ROW(Source!A84)</f>
        <v>84</v>
      </c>
      <c r="B62">
        <v>33995734</v>
      </c>
      <c r="C62">
        <v>33995722</v>
      </c>
      <c r="D62">
        <v>30064095</v>
      </c>
      <c r="E62">
        <v>1</v>
      </c>
      <c r="F62">
        <v>1</v>
      </c>
      <c r="G62">
        <v>29983435</v>
      </c>
      <c r="H62">
        <v>2</v>
      </c>
      <c r="I62" t="s">
        <v>680</v>
      </c>
      <c r="J62" t="s">
        <v>681</v>
      </c>
      <c r="K62" t="s">
        <v>682</v>
      </c>
      <c r="L62">
        <v>1367</v>
      </c>
      <c r="N62">
        <v>1011</v>
      </c>
      <c r="O62" t="s">
        <v>652</v>
      </c>
      <c r="P62" t="s">
        <v>652</v>
      </c>
      <c r="Q62">
        <v>1</v>
      </c>
      <c r="X62">
        <v>0.89</v>
      </c>
      <c r="Y62">
        <v>0</v>
      </c>
      <c r="Z62">
        <v>76.81</v>
      </c>
      <c r="AA62">
        <v>14.36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0.89</v>
      </c>
      <c r="AH62">
        <v>2</v>
      </c>
      <c r="AI62">
        <v>33995724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ROW(Source!A84)</f>
        <v>84</v>
      </c>
      <c r="B63">
        <v>33995735</v>
      </c>
      <c r="C63">
        <v>33995722</v>
      </c>
      <c r="D63">
        <v>30063290</v>
      </c>
      <c r="E63">
        <v>1</v>
      </c>
      <c r="F63">
        <v>1</v>
      </c>
      <c r="G63">
        <v>29983435</v>
      </c>
      <c r="H63">
        <v>2</v>
      </c>
      <c r="I63" t="s">
        <v>683</v>
      </c>
      <c r="J63" t="s">
        <v>684</v>
      </c>
      <c r="K63" t="s">
        <v>685</v>
      </c>
      <c r="L63">
        <v>1367</v>
      </c>
      <c r="N63">
        <v>1011</v>
      </c>
      <c r="O63" t="s">
        <v>652</v>
      </c>
      <c r="P63" t="s">
        <v>652</v>
      </c>
      <c r="Q63">
        <v>1</v>
      </c>
      <c r="X63">
        <v>1.59</v>
      </c>
      <c r="Y63">
        <v>0</v>
      </c>
      <c r="Z63">
        <v>116.89</v>
      </c>
      <c r="AA63">
        <v>23.41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1.59</v>
      </c>
      <c r="AH63">
        <v>2</v>
      </c>
      <c r="AI63">
        <v>33995725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ROW(Source!A84)</f>
        <v>84</v>
      </c>
      <c r="B64">
        <v>33995736</v>
      </c>
      <c r="C64">
        <v>33995722</v>
      </c>
      <c r="D64">
        <v>30063518</v>
      </c>
      <c r="E64">
        <v>1</v>
      </c>
      <c r="F64">
        <v>1</v>
      </c>
      <c r="G64">
        <v>29983435</v>
      </c>
      <c r="H64">
        <v>2</v>
      </c>
      <c r="I64" t="s">
        <v>686</v>
      </c>
      <c r="J64" t="s">
        <v>687</v>
      </c>
      <c r="K64" t="s">
        <v>688</v>
      </c>
      <c r="L64">
        <v>1367</v>
      </c>
      <c r="N64">
        <v>1011</v>
      </c>
      <c r="O64" t="s">
        <v>652</v>
      </c>
      <c r="P64" t="s">
        <v>652</v>
      </c>
      <c r="Q64">
        <v>1</v>
      </c>
      <c r="X64">
        <v>5.15</v>
      </c>
      <c r="Y64">
        <v>0</v>
      </c>
      <c r="Z64">
        <v>246.68</v>
      </c>
      <c r="AA64">
        <v>13.37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5.15</v>
      </c>
      <c r="AH64">
        <v>2</v>
      </c>
      <c r="AI64">
        <v>33995726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ROW(Source!A84)</f>
        <v>84</v>
      </c>
      <c r="B65">
        <v>33995737</v>
      </c>
      <c r="C65">
        <v>33995722</v>
      </c>
      <c r="D65">
        <v>30063503</v>
      </c>
      <c r="E65">
        <v>1</v>
      </c>
      <c r="F65">
        <v>1</v>
      </c>
      <c r="G65">
        <v>29983435</v>
      </c>
      <c r="H65">
        <v>2</v>
      </c>
      <c r="I65" t="s">
        <v>689</v>
      </c>
      <c r="J65" t="s">
        <v>690</v>
      </c>
      <c r="K65" t="s">
        <v>691</v>
      </c>
      <c r="L65">
        <v>1367</v>
      </c>
      <c r="N65">
        <v>1011</v>
      </c>
      <c r="O65" t="s">
        <v>652</v>
      </c>
      <c r="P65" t="s">
        <v>652</v>
      </c>
      <c r="Q65">
        <v>1</v>
      </c>
      <c r="X65">
        <v>11.26</v>
      </c>
      <c r="Y65">
        <v>0</v>
      </c>
      <c r="Z65">
        <v>169.44</v>
      </c>
      <c r="AA65">
        <v>15.02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11.26</v>
      </c>
      <c r="AH65">
        <v>2</v>
      </c>
      <c r="AI65">
        <v>33995727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ROW(Source!A84)</f>
        <v>84</v>
      </c>
      <c r="B66">
        <v>33995738</v>
      </c>
      <c r="C66">
        <v>33995722</v>
      </c>
      <c r="D66">
        <v>30063504</v>
      </c>
      <c r="E66">
        <v>1</v>
      </c>
      <c r="F66">
        <v>1</v>
      </c>
      <c r="G66">
        <v>29983435</v>
      </c>
      <c r="H66">
        <v>2</v>
      </c>
      <c r="I66" t="s">
        <v>692</v>
      </c>
      <c r="J66" t="s">
        <v>693</v>
      </c>
      <c r="K66" t="s">
        <v>694</v>
      </c>
      <c r="L66">
        <v>1367</v>
      </c>
      <c r="N66">
        <v>1011</v>
      </c>
      <c r="O66" t="s">
        <v>652</v>
      </c>
      <c r="P66" t="s">
        <v>652</v>
      </c>
      <c r="Q66">
        <v>1</v>
      </c>
      <c r="X66">
        <v>32.19</v>
      </c>
      <c r="Y66">
        <v>0</v>
      </c>
      <c r="Z66">
        <v>219.5</v>
      </c>
      <c r="AA66">
        <v>17.510000000000002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32.19</v>
      </c>
      <c r="AH66">
        <v>2</v>
      </c>
      <c r="AI66">
        <v>33995728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ROW(Source!A84)</f>
        <v>84</v>
      </c>
      <c r="B67">
        <v>33995739</v>
      </c>
      <c r="C67">
        <v>33995722</v>
      </c>
      <c r="D67">
        <v>30063545</v>
      </c>
      <c r="E67">
        <v>1</v>
      </c>
      <c r="F67">
        <v>1</v>
      </c>
      <c r="G67">
        <v>29983435</v>
      </c>
      <c r="H67">
        <v>2</v>
      </c>
      <c r="I67" t="s">
        <v>695</v>
      </c>
      <c r="J67" t="s">
        <v>696</v>
      </c>
      <c r="K67" t="s">
        <v>697</v>
      </c>
      <c r="L67">
        <v>1367</v>
      </c>
      <c r="N67">
        <v>1011</v>
      </c>
      <c r="O67" t="s">
        <v>652</v>
      </c>
      <c r="P67" t="s">
        <v>652</v>
      </c>
      <c r="Q67">
        <v>1</v>
      </c>
      <c r="X67">
        <v>5.81</v>
      </c>
      <c r="Y67">
        <v>0</v>
      </c>
      <c r="Z67">
        <v>120.77</v>
      </c>
      <c r="AA67">
        <v>23.93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5.81</v>
      </c>
      <c r="AH67">
        <v>2</v>
      </c>
      <c r="AI67">
        <v>33995729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ROW(Source!A84)</f>
        <v>84</v>
      </c>
      <c r="B68">
        <v>33995740</v>
      </c>
      <c r="C68">
        <v>33995722</v>
      </c>
      <c r="D68">
        <v>30042537</v>
      </c>
      <c r="E68">
        <v>1</v>
      </c>
      <c r="F68">
        <v>1</v>
      </c>
      <c r="G68">
        <v>29983435</v>
      </c>
      <c r="H68">
        <v>3</v>
      </c>
      <c r="I68" t="s">
        <v>467</v>
      </c>
      <c r="J68" t="s">
        <v>469</v>
      </c>
      <c r="K68" t="s">
        <v>468</v>
      </c>
      <c r="L68">
        <v>1339</v>
      </c>
      <c r="N68">
        <v>1007</v>
      </c>
      <c r="O68" t="s">
        <v>66</v>
      </c>
      <c r="P68" t="s">
        <v>66</v>
      </c>
      <c r="Q68">
        <v>1</v>
      </c>
      <c r="X68">
        <v>25</v>
      </c>
      <c r="Y68">
        <v>7.07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25</v>
      </c>
      <c r="AH68">
        <v>2</v>
      </c>
      <c r="AI68">
        <v>33995730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ROW(Source!A84)</f>
        <v>84</v>
      </c>
      <c r="B69">
        <v>33995741</v>
      </c>
      <c r="C69">
        <v>33995722</v>
      </c>
      <c r="D69">
        <v>30041237</v>
      </c>
      <c r="E69">
        <v>1</v>
      </c>
      <c r="F69">
        <v>1</v>
      </c>
      <c r="G69">
        <v>29983435</v>
      </c>
      <c r="H69">
        <v>3</v>
      </c>
      <c r="I69" t="s">
        <v>698</v>
      </c>
      <c r="J69" t="s">
        <v>699</v>
      </c>
      <c r="K69" t="s">
        <v>700</v>
      </c>
      <c r="L69">
        <v>1339</v>
      </c>
      <c r="N69">
        <v>1007</v>
      </c>
      <c r="O69" t="s">
        <v>66</v>
      </c>
      <c r="P69" t="s">
        <v>66</v>
      </c>
      <c r="Q69">
        <v>1</v>
      </c>
      <c r="X69">
        <v>11.5</v>
      </c>
      <c r="Y69">
        <v>165.8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11.5</v>
      </c>
      <c r="AH69">
        <v>2</v>
      </c>
      <c r="AI69">
        <v>33995732</v>
      </c>
      <c r="AJ69">
        <v>70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ROW(Source!A84)</f>
        <v>84</v>
      </c>
      <c r="B70">
        <v>33995742</v>
      </c>
      <c r="C70">
        <v>33995722</v>
      </c>
      <c r="D70">
        <v>29983795</v>
      </c>
      <c r="E70">
        <v>29983435</v>
      </c>
      <c r="F70">
        <v>1</v>
      </c>
      <c r="G70">
        <v>29983435</v>
      </c>
      <c r="H70">
        <v>3</v>
      </c>
      <c r="I70" t="s">
        <v>891</v>
      </c>
      <c r="J70" t="s">
        <v>3</v>
      </c>
      <c r="K70" t="s">
        <v>892</v>
      </c>
      <c r="L70">
        <v>1339</v>
      </c>
      <c r="N70">
        <v>1007</v>
      </c>
      <c r="O70" t="s">
        <v>66</v>
      </c>
      <c r="P70" t="s">
        <v>66</v>
      </c>
      <c r="Q70">
        <v>1</v>
      </c>
      <c r="X70">
        <v>55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 t="s">
        <v>3</v>
      </c>
      <c r="AG70">
        <v>55</v>
      </c>
      <c r="AH70">
        <v>3</v>
      </c>
      <c r="AI70">
        <v>-1</v>
      </c>
      <c r="AJ70" t="s">
        <v>3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ROW(Source!A86)</f>
        <v>86</v>
      </c>
      <c r="B71">
        <v>33992115</v>
      </c>
      <c r="C71">
        <v>33992110</v>
      </c>
      <c r="D71">
        <v>29983441</v>
      </c>
      <c r="E71">
        <v>29983435</v>
      </c>
      <c r="F71">
        <v>1</v>
      </c>
      <c r="G71">
        <v>29983435</v>
      </c>
      <c r="H71">
        <v>1</v>
      </c>
      <c r="I71" t="s">
        <v>646</v>
      </c>
      <c r="J71" t="s">
        <v>3</v>
      </c>
      <c r="K71" t="s">
        <v>647</v>
      </c>
      <c r="L71">
        <v>1191</v>
      </c>
      <c r="N71">
        <v>1013</v>
      </c>
      <c r="O71" t="s">
        <v>648</v>
      </c>
      <c r="P71" t="s">
        <v>648</v>
      </c>
      <c r="Q71">
        <v>1</v>
      </c>
      <c r="X71">
        <v>8.9600000000000009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1</v>
      </c>
      <c r="AF71" t="s">
        <v>3</v>
      </c>
      <c r="AG71">
        <v>8.9600000000000009</v>
      </c>
      <c r="AH71">
        <v>2</v>
      </c>
      <c r="AI71">
        <v>33992111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ROW(Source!A86)</f>
        <v>86</v>
      </c>
      <c r="B72">
        <v>33992116</v>
      </c>
      <c r="C72">
        <v>33992110</v>
      </c>
      <c r="D72">
        <v>30063503</v>
      </c>
      <c r="E72">
        <v>1</v>
      </c>
      <c r="F72">
        <v>1</v>
      </c>
      <c r="G72">
        <v>29983435</v>
      </c>
      <c r="H72">
        <v>2</v>
      </c>
      <c r="I72" t="s">
        <v>689</v>
      </c>
      <c r="J72" t="s">
        <v>719</v>
      </c>
      <c r="K72" t="s">
        <v>691</v>
      </c>
      <c r="L72">
        <v>1367</v>
      </c>
      <c r="N72">
        <v>1011</v>
      </c>
      <c r="O72" t="s">
        <v>652</v>
      </c>
      <c r="P72" t="s">
        <v>652</v>
      </c>
      <c r="Q72">
        <v>1</v>
      </c>
      <c r="X72">
        <v>0.71</v>
      </c>
      <c r="Y72">
        <v>0</v>
      </c>
      <c r="Z72">
        <v>84.82</v>
      </c>
      <c r="AA72">
        <v>22.85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0.71</v>
      </c>
      <c r="AH72">
        <v>2</v>
      </c>
      <c r="AI72">
        <v>33992112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ROW(Source!A86)</f>
        <v>86</v>
      </c>
      <c r="B73">
        <v>33992117</v>
      </c>
      <c r="C73">
        <v>33992110</v>
      </c>
      <c r="D73">
        <v>30042602</v>
      </c>
      <c r="E73">
        <v>1</v>
      </c>
      <c r="F73">
        <v>1</v>
      </c>
      <c r="G73">
        <v>29983435</v>
      </c>
      <c r="H73">
        <v>3</v>
      </c>
      <c r="I73" t="s">
        <v>720</v>
      </c>
      <c r="J73" t="s">
        <v>721</v>
      </c>
      <c r="K73" t="s">
        <v>722</v>
      </c>
      <c r="L73">
        <v>1348</v>
      </c>
      <c r="N73">
        <v>1009</v>
      </c>
      <c r="O73" t="s">
        <v>51</v>
      </c>
      <c r="P73" t="s">
        <v>51</v>
      </c>
      <c r="Q73">
        <v>1000</v>
      </c>
      <c r="X73">
        <v>0.06</v>
      </c>
      <c r="Y73">
        <v>3501.78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0.06</v>
      </c>
      <c r="AH73">
        <v>2</v>
      </c>
      <c r="AI73">
        <v>33992113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ROW(Source!A86)</f>
        <v>86</v>
      </c>
      <c r="B74">
        <v>33992118</v>
      </c>
      <c r="C74">
        <v>33992110</v>
      </c>
      <c r="D74">
        <v>29983567</v>
      </c>
      <c r="E74">
        <v>29983435</v>
      </c>
      <c r="F74">
        <v>1</v>
      </c>
      <c r="G74">
        <v>29983435</v>
      </c>
      <c r="H74">
        <v>3</v>
      </c>
      <c r="I74" t="s">
        <v>893</v>
      </c>
      <c r="J74" t="s">
        <v>3</v>
      </c>
      <c r="K74" t="s">
        <v>894</v>
      </c>
      <c r="L74">
        <v>1348</v>
      </c>
      <c r="N74">
        <v>1009</v>
      </c>
      <c r="O74" t="s">
        <v>51</v>
      </c>
      <c r="P74" t="s">
        <v>51</v>
      </c>
      <c r="Q74">
        <v>1000</v>
      </c>
      <c r="X74">
        <v>7.14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 t="s">
        <v>3</v>
      </c>
      <c r="AG74">
        <v>7.14</v>
      </c>
      <c r="AH74">
        <v>3</v>
      </c>
      <c r="AI74">
        <v>-1</v>
      </c>
      <c r="AJ74" t="s">
        <v>3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ROW(Source!A158)</f>
        <v>158</v>
      </c>
      <c r="B75">
        <v>33992122</v>
      </c>
      <c r="C75">
        <v>33992120</v>
      </c>
      <c r="D75">
        <v>29983441</v>
      </c>
      <c r="E75">
        <v>29983435</v>
      </c>
      <c r="F75">
        <v>1</v>
      </c>
      <c r="G75">
        <v>29983435</v>
      </c>
      <c r="H75">
        <v>1</v>
      </c>
      <c r="I75" t="s">
        <v>646</v>
      </c>
      <c r="J75" t="s">
        <v>3</v>
      </c>
      <c r="K75" t="s">
        <v>647</v>
      </c>
      <c r="L75">
        <v>1191</v>
      </c>
      <c r="N75">
        <v>1013</v>
      </c>
      <c r="O75" t="s">
        <v>648</v>
      </c>
      <c r="P75" t="s">
        <v>648</v>
      </c>
      <c r="Q75">
        <v>1</v>
      </c>
      <c r="X75">
        <v>76.7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1</v>
      </c>
      <c r="AF75" t="s">
        <v>3</v>
      </c>
      <c r="AG75">
        <v>76.7</v>
      </c>
      <c r="AH75">
        <v>2</v>
      </c>
      <c r="AI75">
        <v>33992121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ROW(Source!A159)</f>
        <v>159</v>
      </c>
      <c r="B76">
        <v>33995744</v>
      </c>
      <c r="C76">
        <v>33992123</v>
      </c>
      <c r="D76">
        <v>29983441</v>
      </c>
      <c r="E76">
        <v>29983435</v>
      </c>
      <c r="F76">
        <v>1</v>
      </c>
      <c r="G76">
        <v>29983435</v>
      </c>
      <c r="H76">
        <v>1</v>
      </c>
      <c r="I76" t="s">
        <v>646</v>
      </c>
      <c r="J76" t="s">
        <v>3</v>
      </c>
      <c r="K76" t="s">
        <v>647</v>
      </c>
      <c r="L76">
        <v>1191</v>
      </c>
      <c r="N76">
        <v>1013</v>
      </c>
      <c r="O76" t="s">
        <v>648</v>
      </c>
      <c r="P76" t="s">
        <v>648</v>
      </c>
      <c r="Q76">
        <v>1</v>
      </c>
      <c r="X76">
        <v>1.02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1</v>
      </c>
      <c r="AF76" t="s">
        <v>3</v>
      </c>
      <c r="AG76">
        <v>1.02</v>
      </c>
      <c r="AH76">
        <v>2</v>
      </c>
      <c r="AI76">
        <v>33995744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ROW(Source!A160)</f>
        <v>160</v>
      </c>
      <c r="B77">
        <v>33992128</v>
      </c>
      <c r="C77">
        <v>33992126</v>
      </c>
      <c r="D77">
        <v>29983439</v>
      </c>
      <c r="E77">
        <v>29983435</v>
      </c>
      <c r="F77">
        <v>1</v>
      </c>
      <c r="G77">
        <v>29983435</v>
      </c>
      <c r="H77">
        <v>2</v>
      </c>
      <c r="I77" t="s">
        <v>674</v>
      </c>
      <c r="J77" t="s">
        <v>3</v>
      </c>
      <c r="K77" t="s">
        <v>675</v>
      </c>
      <c r="L77">
        <v>1344</v>
      </c>
      <c r="N77">
        <v>1008</v>
      </c>
      <c r="O77" t="s">
        <v>676</v>
      </c>
      <c r="P77" t="s">
        <v>676</v>
      </c>
      <c r="Q77">
        <v>1</v>
      </c>
      <c r="X77">
        <v>8.86</v>
      </c>
      <c r="Y77">
        <v>0</v>
      </c>
      <c r="Z77">
        <v>1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8.86</v>
      </c>
      <c r="AH77">
        <v>2</v>
      </c>
      <c r="AI77">
        <v>33992127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ROW(Source!A161)</f>
        <v>161</v>
      </c>
      <c r="B78">
        <v>33995745</v>
      </c>
      <c r="C78">
        <v>33992129</v>
      </c>
      <c r="D78">
        <v>30064127</v>
      </c>
      <c r="E78">
        <v>1</v>
      </c>
      <c r="F78">
        <v>1</v>
      </c>
      <c r="G78">
        <v>29983435</v>
      </c>
      <c r="H78">
        <v>2</v>
      </c>
      <c r="I78" t="s">
        <v>677</v>
      </c>
      <c r="J78" t="s">
        <v>678</v>
      </c>
      <c r="K78" t="s">
        <v>679</v>
      </c>
      <c r="L78">
        <v>1367</v>
      </c>
      <c r="N78">
        <v>1011</v>
      </c>
      <c r="O78" t="s">
        <v>652</v>
      </c>
      <c r="P78" t="s">
        <v>652</v>
      </c>
      <c r="Q78">
        <v>1</v>
      </c>
      <c r="X78">
        <v>1</v>
      </c>
      <c r="Y78">
        <v>0</v>
      </c>
      <c r="Z78">
        <v>193.32</v>
      </c>
      <c r="AA78">
        <v>18.11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1</v>
      </c>
      <c r="AH78">
        <v>2</v>
      </c>
      <c r="AI78">
        <v>33995745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ROW(Source!A162)</f>
        <v>162</v>
      </c>
      <c r="B79">
        <v>33995746</v>
      </c>
      <c r="C79">
        <v>33992132</v>
      </c>
      <c r="D79">
        <v>29983439</v>
      </c>
      <c r="E79">
        <v>29983435</v>
      </c>
      <c r="F79">
        <v>1</v>
      </c>
      <c r="G79">
        <v>29983435</v>
      </c>
      <c r="H79">
        <v>2</v>
      </c>
      <c r="I79" t="s">
        <v>674</v>
      </c>
      <c r="J79" t="s">
        <v>3</v>
      </c>
      <c r="K79" t="s">
        <v>675</v>
      </c>
      <c r="L79">
        <v>1344</v>
      </c>
      <c r="N79">
        <v>1008</v>
      </c>
      <c r="O79" t="s">
        <v>676</v>
      </c>
      <c r="P79" t="s">
        <v>676</v>
      </c>
      <c r="Q79">
        <v>1</v>
      </c>
      <c r="X79">
        <v>36.590000000000003</v>
      </c>
      <c r="Y79">
        <v>0</v>
      </c>
      <c r="Z79">
        <v>1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36.590000000000003</v>
      </c>
      <c r="AH79">
        <v>2</v>
      </c>
      <c r="AI79">
        <v>33995746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ROW(Source!A163)</f>
        <v>163</v>
      </c>
      <c r="B80">
        <v>33992144</v>
      </c>
      <c r="C80">
        <v>33992135</v>
      </c>
      <c r="D80">
        <v>29983441</v>
      </c>
      <c r="E80">
        <v>29983435</v>
      </c>
      <c r="F80">
        <v>1</v>
      </c>
      <c r="G80">
        <v>29983435</v>
      </c>
      <c r="H80">
        <v>1</v>
      </c>
      <c r="I80" t="s">
        <v>646</v>
      </c>
      <c r="J80" t="s">
        <v>3</v>
      </c>
      <c r="K80" t="s">
        <v>647</v>
      </c>
      <c r="L80">
        <v>1191</v>
      </c>
      <c r="N80">
        <v>1013</v>
      </c>
      <c r="O80" t="s">
        <v>648</v>
      </c>
      <c r="P80" t="s">
        <v>648</v>
      </c>
      <c r="Q80">
        <v>1</v>
      </c>
      <c r="X80">
        <v>14.4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1</v>
      </c>
      <c r="AF80" t="s">
        <v>3</v>
      </c>
      <c r="AG80">
        <v>14.4</v>
      </c>
      <c r="AH80">
        <v>2</v>
      </c>
      <c r="AI80">
        <v>33992136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ROW(Source!A163)</f>
        <v>163</v>
      </c>
      <c r="B81">
        <v>33992145</v>
      </c>
      <c r="C81">
        <v>33992135</v>
      </c>
      <c r="D81">
        <v>30063290</v>
      </c>
      <c r="E81">
        <v>1</v>
      </c>
      <c r="F81">
        <v>1</v>
      </c>
      <c r="G81">
        <v>29983435</v>
      </c>
      <c r="H81">
        <v>2</v>
      </c>
      <c r="I81" t="s">
        <v>683</v>
      </c>
      <c r="J81" t="s">
        <v>684</v>
      </c>
      <c r="K81" t="s">
        <v>685</v>
      </c>
      <c r="L81">
        <v>1367</v>
      </c>
      <c r="N81">
        <v>1011</v>
      </c>
      <c r="O81" t="s">
        <v>652</v>
      </c>
      <c r="P81" t="s">
        <v>652</v>
      </c>
      <c r="Q81">
        <v>1</v>
      </c>
      <c r="X81">
        <v>1.66</v>
      </c>
      <c r="Y81">
        <v>0</v>
      </c>
      <c r="Z81">
        <v>116.89</v>
      </c>
      <c r="AA81">
        <v>23.41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1.66</v>
      </c>
      <c r="AH81">
        <v>2</v>
      </c>
      <c r="AI81">
        <v>33992137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ROW(Source!A163)</f>
        <v>163</v>
      </c>
      <c r="B82">
        <v>33992146</v>
      </c>
      <c r="C82">
        <v>33992135</v>
      </c>
      <c r="D82">
        <v>30063515</v>
      </c>
      <c r="E82">
        <v>1</v>
      </c>
      <c r="F82">
        <v>1</v>
      </c>
      <c r="G82">
        <v>29983435</v>
      </c>
      <c r="H82">
        <v>2</v>
      </c>
      <c r="I82" t="s">
        <v>723</v>
      </c>
      <c r="J82" t="s">
        <v>724</v>
      </c>
      <c r="K82" t="s">
        <v>725</v>
      </c>
      <c r="L82">
        <v>1367</v>
      </c>
      <c r="N82">
        <v>1011</v>
      </c>
      <c r="O82" t="s">
        <v>652</v>
      </c>
      <c r="P82" t="s">
        <v>652</v>
      </c>
      <c r="Q82">
        <v>1</v>
      </c>
      <c r="X82">
        <v>1.66</v>
      </c>
      <c r="Y82">
        <v>0</v>
      </c>
      <c r="Z82">
        <v>62.97</v>
      </c>
      <c r="AA82">
        <v>6.64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1.66</v>
      </c>
      <c r="AH82">
        <v>2</v>
      </c>
      <c r="AI82">
        <v>33992138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ROW(Source!A163)</f>
        <v>163</v>
      </c>
      <c r="B83">
        <v>33992147</v>
      </c>
      <c r="C83">
        <v>33992135</v>
      </c>
      <c r="D83">
        <v>30063518</v>
      </c>
      <c r="E83">
        <v>1</v>
      </c>
      <c r="F83">
        <v>1</v>
      </c>
      <c r="G83">
        <v>29983435</v>
      </c>
      <c r="H83">
        <v>2</v>
      </c>
      <c r="I83" t="s">
        <v>686</v>
      </c>
      <c r="J83" t="s">
        <v>726</v>
      </c>
      <c r="K83" t="s">
        <v>727</v>
      </c>
      <c r="L83">
        <v>1367</v>
      </c>
      <c r="N83">
        <v>1011</v>
      </c>
      <c r="O83" t="s">
        <v>652</v>
      </c>
      <c r="P83" t="s">
        <v>652</v>
      </c>
      <c r="Q83">
        <v>1</v>
      </c>
      <c r="X83">
        <v>0.65</v>
      </c>
      <c r="Y83">
        <v>0</v>
      </c>
      <c r="Z83">
        <v>140.58000000000001</v>
      </c>
      <c r="AA83">
        <v>28.61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0.65</v>
      </c>
      <c r="AH83">
        <v>2</v>
      </c>
      <c r="AI83">
        <v>33992139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ROW(Source!A163)</f>
        <v>163</v>
      </c>
      <c r="B84">
        <v>33992148</v>
      </c>
      <c r="C84">
        <v>33992135</v>
      </c>
      <c r="D84">
        <v>30063546</v>
      </c>
      <c r="E84">
        <v>1</v>
      </c>
      <c r="F84">
        <v>1</v>
      </c>
      <c r="G84">
        <v>29983435</v>
      </c>
      <c r="H84">
        <v>2</v>
      </c>
      <c r="I84" t="s">
        <v>671</v>
      </c>
      <c r="J84" t="s">
        <v>672</v>
      </c>
      <c r="K84" t="s">
        <v>673</v>
      </c>
      <c r="L84">
        <v>1367</v>
      </c>
      <c r="N84">
        <v>1011</v>
      </c>
      <c r="O84" t="s">
        <v>652</v>
      </c>
      <c r="P84" t="s">
        <v>652</v>
      </c>
      <c r="Q84">
        <v>1</v>
      </c>
      <c r="X84">
        <v>1.55</v>
      </c>
      <c r="Y84">
        <v>0</v>
      </c>
      <c r="Z84">
        <v>125.13</v>
      </c>
      <c r="AA84">
        <v>24.74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1.55</v>
      </c>
      <c r="AH84">
        <v>2</v>
      </c>
      <c r="AI84">
        <v>33992140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ROW(Source!A163)</f>
        <v>163</v>
      </c>
      <c r="B85">
        <v>33992149</v>
      </c>
      <c r="C85">
        <v>33992135</v>
      </c>
      <c r="D85">
        <v>30063508</v>
      </c>
      <c r="E85">
        <v>1</v>
      </c>
      <c r="F85">
        <v>1</v>
      </c>
      <c r="G85">
        <v>29983435</v>
      </c>
      <c r="H85">
        <v>2</v>
      </c>
      <c r="I85" t="s">
        <v>713</v>
      </c>
      <c r="J85" t="s">
        <v>728</v>
      </c>
      <c r="K85" t="s">
        <v>715</v>
      </c>
      <c r="L85">
        <v>1367</v>
      </c>
      <c r="N85">
        <v>1011</v>
      </c>
      <c r="O85" t="s">
        <v>652</v>
      </c>
      <c r="P85" t="s">
        <v>652</v>
      </c>
      <c r="Q85">
        <v>1</v>
      </c>
      <c r="X85">
        <v>0.52</v>
      </c>
      <c r="Y85">
        <v>0</v>
      </c>
      <c r="Z85">
        <v>178.02</v>
      </c>
      <c r="AA85">
        <v>23.5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0.52</v>
      </c>
      <c r="AH85">
        <v>2</v>
      </c>
      <c r="AI85">
        <v>33992141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ROW(Source!A163)</f>
        <v>163</v>
      </c>
      <c r="B86">
        <v>33992150</v>
      </c>
      <c r="C86">
        <v>33992135</v>
      </c>
      <c r="D86">
        <v>30042537</v>
      </c>
      <c r="E86">
        <v>1</v>
      </c>
      <c r="F86">
        <v>1</v>
      </c>
      <c r="G86">
        <v>29983435</v>
      </c>
      <c r="H86">
        <v>3</v>
      </c>
      <c r="I86" t="s">
        <v>467</v>
      </c>
      <c r="J86" t="s">
        <v>469</v>
      </c>
      <c r="K86" t="s">
        <v>468</v>
      </c>
      <c r="L86">
        <v>1339</v>
      </c>
      <c r="N86">
        <v>1007</v>
      </c>
      <c r="O86" t="s">
        <v>66</v>
      </c>
      <c r="P86" t="s">
        <v>66</v>
      </c>
      <c r="Q86">
        <v>1</v>
      </c>
      <c r="X86">
        <v>5</v>
      </c>
      <c r="Y86">
        <v>7.07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5</v>
      </c>
      <c r="AH86">
        <v>2</v>
      </c>
      <c r="AI86">
        <v>33992142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ROW(Source!A163)</f>
        <v>163</v>
      </c>
      <c r="B87">
        <v>33992151</v>
      </c>
      <c r="C87">
        <v>33992135</v>
      </c>
      <c r="D87">
        <v>29984576</v>
      </c>
      <c r="E87">
        <v>29983435</v>
      </c>
      <c r="F87">
        <v>1</v>
      </c>
      <c r="G87">
        <v>29983435</v>
      </c>
      <c r="H87">
        <v>3</v>
      </c>
      <c r="I87" t="s">
        <v>895</v>
      </c>
      <c r="J87" t="s">
        <v>3</v>
      </c>
      <c r="K87" t="s">
        <v>896</v>
      </c>
      <c r="L87">
        <v>1339</v>
      </c>
      <c r="N87">
        <v>1007</v>
      </c>
      <c r="O87" t="s">
        <v>66</v>
      </c>
      <c r="P87" t="s">
        <v>66</v>
      </c>
      <c r="Q87">
        <v>1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 t="s">
        <v>3</v>
      </c>
      <c r="AG87">
        <v>0</v>
      </c>
      <c r="AH87">
        <v>3</v>
      </c>
      <c r="AI87">
        <v>-1</v>
      </c>
      <c r="AJ87" t="s">
        <v>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ROW(Source!A165)</f>
        <v>165</v>
      </c>
      <c r="B88">
        <v>33992159</v>
      </c>
      <c r="C88">
        <v>33992153</v>
      </c>
      <c r="D88">
        <v>29983441</v>
      </c>
      <c r="E88">
        <v>29983435</v>
      </c>
      <c r="F88">
        <v>1</v>
      </c>
      <c r="G88">
        <v>29983435</v>
      </c>
      <c r="H88">
        <v>1</v>
      </c>
      <c r="I88" t="s">
        <v>646</v>
      </c>
      <c r="J88" t="s">
        <v>3</v>
      </c>
      <c r="K88" t="s">
        <v>647</v>
      </c>
      <c r="L88">
        <v>1191</v>
      </c>
      <c r="N88">
        <v>1013</v>
      </c>
      <c r="O88" t="s">
        <v>648</v>
      </c>
      <c r="P88" t="s">
        <v>648</v>
      </c>
      <c r="Q88">
        <v>1</v>
      </c>
      <c r="X88">
        <v>69.8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1</v>
      </c>
      <c r="AF88" t="s">
        <v>3</v>
      </c>
      <c r="AG88">
        <v>69.8</v>
      </c>
      <c r="AH88">
        <v>2</v>
      </c>
      <c r="AI88">
        <v>33992154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ROW(Source!A165)</f>
        <v>165</v>
      </c>
      <c r="B89">
        <v>33992160</v>
      </c>
      <c r="C89">
        <v>33992153</v>
      </c>
      <c r="D89">
        <v>30063337</v>
      </c>
      <c r="E89">
        <v>1</v>
      </c>
      <c r="F89">
        <v>1</v>
      </c>
      <c r="G89">
        <v>29983435</v>
      </c>
      <c r="H89">
        <v>2</v>
      </c>
      <c r="I89" t="s">
        <v>729</v>
      </c>
      <c r="J89" t="s">
        <v>730</v>
      </c>
      <c r="K89" t="s">
        <v>731</v>
      </c>
      <c r="L89">
        <v>1367</v>
      </c>
      <c r="N89">
        <v>1011</v>
      </c>
      <c r="O89" t="s">
        <v>652</v>
      </c>
      <c r="P89" t="s">
        <v>652</v>
      </c>
      <c r="Q89">
        <v>1</v>
      </c>
      <c r="X89">
        <v>0.61</v>
      </c>
      <c r="Y89">
        <v>0</v>
      </c>
      <c r="Z89">
        <v>190.93</v>
      </c>
      <c r="AA89">
        <v>18.149999999999999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0.61</v>
      </c>
      <c r="AH89">
        <v>2</v>
      </c>
      <c r="AI89">
        <v>33992155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ROW(Source!A165)</f>
        <v>165</v>
      </c>
      <c r="B90">
        <v>33992161</v>
      </c>
      <c r="C90">
        <v>33992153</v>
      </c>
      <c r="D90">
        <v>30057410</v>
      </c>
      <c r="E90">
        <v>1</v>
      </c>
      <c r="F90">
        <v>1</v>
      </c>
      <c r="G90">
        <v>29983435</v>
      </c>
      <c r="H90">
        <v>3</v>
      </c>
      <c r="I90" t="s">
        <v>732</v>
      </c>
      <c r="J90" t="s">
        <v>733</v>
      </c>
      <c r="K90" t="s">
        <v>734</v>
      </c>
      <c r="L90">
        <v>1339</v>
      </c>
      <c r="N90">
        <v>1007</v>
      </c>
      <c r="O90" t="s">
        <v>66</v>
      </c>
      <c r="P90" t="s">
        <v>66</v>
      </c>
      <c r="Q90">
        <v>1</v>
      </c>
      <c r="X90">
        <v>5.9</v>
      </c>
      <c r="Y90">
        <v>704.89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5.9</v>
      </c>
      <c r="AH90">
        <v>2</v>
      </c>
      <c r="AI90">
        <v>33992156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ROW(Source!A165)</f>
        <v>165</v>
      </c>
      <c r="B91">
        <v>33992162</v>
      </c>
      <c r="C91">
        <v>33992153</v>
      </c>
      <c r="D91">
        <v>30057544</v>
      </c>
      <c r="E91">
        <v>1</v>
      </c>
      <c r="F91">
        <v>1</v>
      </c>
      <c r="G91">
        <v>29983435</v>
      </c>
      <c r="H91">
        <v>3</v>
      </c>
      <c r="I91" t="s">
        <v>735</v>
      </c>
      <c r="J91" t="s">
        <v>736</v>
      </c>
      <c r="K91" t="s">
        <v>737</v>
      </c>
      <c r="L91">
        <v>1339</v>
      </c>
      <c r="N91">
        <v>1007</v>
      </c>
      <c r="O91" t="s">
        <v>66</v>
      </c>
      <c r="P91" t="s">
        <v>66</v>
      </c>
      <c r="Q91">
        <v>1</v>
      </c>
      <c r="X91">
        <v>0.06</v>
      </c>
      <c r="Y91">
        <v>451.14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0.06</v>
      </c>
      <c r="AH91">
        <v>2</v>
      </c>
      <c r="AI91">
        <v>33992157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ROW(Source!A165)</f>
        <v>165</v>
      </c>
      <c r="B92">
        <v>33992163</v>
      </c>
      <c r="C92">
        <v>33992153</v>
      </c>
      <c r="D92">
        <v>29987235</v>
      </c>
      <c r="E92">
        <v>29983435</v>
      </c>
      <c r="F92">
        <v>1</v>
      </c>
      <c r="G92">
        <v>29983435</v>
      </c>
      <c r="H92">
        <v>3</v>
      </c>
      <c r="I92" t="s">
        <v>897</v>
      </c>
      <c r="J92" t="s">
        <v>3</v>
      </c>
      <c r="K92" t="s">
        <v>898</v>
      </c>
      <c r="L92">
        <v>1339</v>
      </c>
      <c r="N92">
        <v>1007</v>
      </c>
      <c r="O92" t="s">
        <v>66</v>
      </c>
      <c r="P92" t="s">
        <v>66</v>
      </c>
      <c r="Q92">
        <v>1</v>
      </c>
      <c r="X92">
        <v>4.3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 t="s">
        <v>3</v>
      </c>
      <c r="AG92">
        <v>4.3</v>
      </c>
      <c r="AH92">
        <v>3</v>
      </c>
      <c r="AI92">
        <v>-1</v>
      </c>
      <c r="AJ92" t="s">
        <v>3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ROW(Source!A165)</f>
        <v>165</v>
      </c>
      <c r="B93">
        <v>33992164</v>
      </c>
      <c r="C93">
        <v>33992153</v>
      </c>
      <c r="D93">
        <v>29983437</v>
      </c>
      <c r="E93">
        <v>29983435</v>
      </c>
      <c r="F93">
        <v>1</v>
      </c>
      <c r="G93">
        <v>29983435</v>
      </c>
      <c r="H93">
        <v>3</v>
      </c>
      <c r="I93" t="s">
        <v>738</v>
      </c>
      <c r="J93" t="s">
        <v>3</v>
      </c>
      <c r="K93" t="s">
        <v>739</v>
      </c>
      <c r="L93">
        <v>1344</v>
      </c>
      <c r="N93">
        <v>1008</v>
      </c>
      <c r="O93" t="s">
        <v>676</v>
      </c>
      <c r="P93" t="s">
        <v>676</v>
      </c>
      <c r="Q93">
        <v>1</v>
      </c>
      <c r="X93">
        <v>116.34</v>
      </c>
      <c r="Y93">
        <v>1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116.34</v>
      </c>
      <c r="AH93">
        <v>2</v>
      </c>
      <c r="AI93">
        <v>33992158</v>
      </c>
      <c r="AJ93">
        <v>92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ROW(Source!A202)</f>
        <v>202</v>
      </c>
      <c r="B94">
        <v>33992169</v>
      </c>
      <c r="C94">
        <v>33992165</v>
      </c>
      <c r="D94">
        <v>29983441</v>
      </c>
      <c r="E94">
        <v>29983435</v>
      </c>
      <c r="F94">
        <v>1</v>
      </c>
      <c r="G94">
        <v>29983435</v>
      </c>
      <c r="H94">
        <v>1</v>
      </c>
      <c r="I94" t="s">
        <v>646</v>
      </c>
      <c r="J94" t="s">
        <v>3</v>
      </c>
      <c r="K94" t="s">
        <v>647</v>
      </c>
      <c r="L94">
        <v>1191</v>
      </c>
      <c r="N94">
        <v>1013</v>
      </c>
      <c r="O94" t="s">
        <v>648</v>
      </c>
      <c r="P94" t="s">
        <v>648</v>
      </c>
      <c r="Q94">
        <v>1</v>
      </c>
      <c r="X94">
        <v>1.38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1</v>
      </c>
      <c r="AF94" t="s">
        <v>3</v>
      </c>
      <c r="AG94">
        <v>1.38</v>
      </c>
      <c r="AH94">
        <v>2</v>
      </c>
      <c r="AI94">
        <v>33992166</v>
      </c>
      <c r="AJ94">
        <v>93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ROW(Source!A202)</f>
        <v>202</v>
      </c>
      <c r="B95">
        <v>33992170</v>
      </c>
      <c r="C95">
        <v>33992165</v>
      </c>
      <c r="D95">
        <v>30063245</v>
      </c>
      <c r="E95">
        <v>1</v>
      </c>
      <c r="F95">
        <v>1</v>
      </c>
      <c r="G95">
        <v>29983435</v>
      </c>
      <c r="H95">
        <v>2</v>
      </c>
      <c r="I95" t="s">
        <v>740</v>
      </c>
      <c r="J95" t="s">
        <v>741</v>
      </c>
      <c r="K95" t="s">
        <v>742</v>
      </c>
      <c r="L95">
        <v>1367</v>
      </c>
      <c r="N95">
        <v>1011</v>
      </c>
      <c r="O95" t="s">
        <v>652</v>
      </c>
      <c r="P95" t="s">
        <v>652</v>
      </c>
      <c r="Q95">
        <v>1</v>
      </c>
      <c r="X95">
        <v>3.9874999999999998</v>
      </c>
      <c r="Y95">
        <v>0</v>
      </c>
      <c r="Z95">
        <v>162.4</v>
      </c>
      <c r="AA95">
        <v>28.6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3.9874999999999998</v>
      </c>
      <c r="AH95">
        <v>2</v>
      </c>
      <c r="AI95">
        <v>33992167</v>
      </c>
      <c r="AJ95">
        <v>94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ROW(Source!A202)</f>
        <v>202</v>
      </c>
      <c r="B96">
        <v>33992171</v>
      </c>
      <c r="C96">
        <v>33992165</v>
      </c>
      <c r="D96">
        <v>30063270</v>
      </c>
      <c r="E96">
        <v>1</v>
      </c>
      <c r="F96">
        <v>1</v>
      </c>
      <c r="G96">
        <v>29983435</v>
      </c>
      <c r="H96">
        <v>2</v>
      </c>
      <c r="I96" t="s">
        <v>743</v>
      </c>
      <c r="J96" t="s">
        <v>744</v>
      </c>
      <c r="K96" t="s">
        <v>745</v>
      </c>
      <c r="L96">
        <v>1367</v>
      </c>
      <c r="N96">
        <v>1011</v>
      </c>
      <c r="O96" t="s">
        <v>652</v>
      </c>
      <c r="P96" t="s">
        <v>652</v>
      </c>
      <c r="Q96">
        <v>1</v>
      </c>
      <c r="X96">
        <v>0.997</v>
      </c>
      <c r="Y96">
        <v>0</v>
      </c>
      <c r="Z96">
        <v>110.31</v>
      </c>
      <c r="AA96">
        <v>26.52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0.997</v>
      </c>
      <c r="AH96">
        <v>2</v>
      </c>
      <c r="AI96">
        <v>33992168</v>
      </c>
      <c r="AJ96">
        <v>95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ROW(Source!A203)</f>
        <v>203</v>
      </c>
      <c r="B97">
        <v>33992174</v>
      </c>
      <c r="C97">
        <v>33992172</v>
      </c>
      <c r="D97">
        <v>29983441</v>
      </c>
      <c r="E97">
        <v>29983435</v>
      </c>
      <c r="F97">
        <v>1</v>
      </c>
      <c r="G97">
        <v>29983435</v>
      </c>
      <c r="H97">
        <v>1</v>
      </c>
      <c r="I97" t="s">
        <v>646</v>
      </c>
      <c r="J97" t="s">
        <v>3</v>
      </c>
      <c r="K97" t="s">
        <v>647</v>
      </c>
      <c r="L97">
        <v>1191</v>
      </c>
      <c r="N97">
        <v>1013</v>
      </c>
      <c r="O97" t="s">
        <v>648</v>
      </c>
      <c r="P97" t="s">
        <v>648</v>
      </c>
      <c r="Q97">
        <v>1</v>
      </c>
      <c r="X97">
        <v>192.7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1</v>
      </c>
      <c r="AF97" t="s">
        <v>3</v>
      </c>
      <c r="AG97">
        <v>192.7</v>
      </c>
      <c r="AH97">
        <v>2</v>
      </c>
      <c r="AI97">
        <v>33992173</v>
      </c>
      <c r="AJ97">
        <v>96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ROW(Source!A204)</f>
        <v>204</v>
      </c>
      <c r="B98">
        <v>33992177</v>
      </c>
      <c r="C98">
        <v>33992175</v>
      </c>
      <c r="D98">
        <v>29983441</v>
      </c>
      <c r="E98">
        <v>29983435</v>
      </c>
      <c r="F98">
        <v>1</v>
      </c>
      <c r="G98">
        <v>29983435</v>
      </c>
      <c r="H98">
        <v>1</v>
      </c>
      <c r="I98" t="s">
        <v>646</v>
      </c>
      <c r="J98" t="s">
        <v>3</v>
      </c>
      <c r="K98" t="s">
        <v>647</v>
      </c>
      <c r="L98">
        <v>1191</v>
      </c>
      <c r="N98">
        <v>1013</v>
      </c>
      <c r="O98" t="s">
        <v>648</v>
      </c>
      <c r="P98" t="s">
        <v>648</v>
      </c>
      <c r="Q98">
        <v>1</v>
      </c>
      <c r="X98">
        <v>83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1</v>
      </c>
      <c r="AF98" t="s">
        <v>3</v>
      </c>
      <c r="AG98">
        <v>83</v>
      </c>
      <c r="AH98">
        <v>2</v>
      </c>
      <c r="AI98">
        <v>33992176</v>
      </c>
      <c r="AJ98">
        <v>97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ROW(Source!A205)</f>
        <v>205</v>
      </c>
      <c r="B99">
        <v>33995749</v>
      </c>
      <c r="C99">
        <v>33992178</v>
      </c>
      <c r="D99">
        <v>30064124</v>
      </c>
      <c r="E99">
        <v>1</v>
      </c>
      <c r="F99">
        <v>1</v>
      </c>
      <c r="G99">
        <v>29983435</v>
      </c>
      <c r="H99">
        <v>2</v>
      </c>
      <c r="I99" t="s">
        <v>746</v>
      </c>
      <c r="J99" t="s">
        <v>747</v>
      </c>
      <c r="K99" t="s">
        <v>748</v>
      </c>
      <c r="L99">
        <v>1367</v>
      </c>
      <c r="N99">
        <v>1011</v>
      </c>
      <c r="O99" t="s">
        <v>652</v>
      </c>
      <c r="P99" t="s">
        <v>652</v>
      </c>
      <c r="Q99">
        <v>1</v>
      </c>
      <c r="X99">
        <v>1</v>
      </c>
      <c r="Y99">
        <v>0</v>
      </c>
      <c r="Z99">
        <v>162.03</v>
      </c>
      <c r="AA99">
        <v>16.920000000000002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</v>
      </c>
      <c r="AH99">
        <v>2</v>
      </c>
      <c r="AI99">
        <v>33995749</v>
      </c>
      <c r="AJ99">
        <v>98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ROW(Source!A206)</f>
        <v>206</v>
      </c>
      <c r="B100">
        <v>34039090</v>
      </c>
      <c r="C100">
        <v>33992181</v>
      </c>
      <c r="D100">
        <v>29983439</v>
      </c>
      <c r="E100">
        <v>29983435</v>
      </c>
      <c r="F100">
        <v>1</v>
      </c>
      <c r="G100">
        <v>29983435</v>
      </c>
      <c r="H100">
        <v>2</v>
      </c>
      <c r="I100" t="s">
        <v>674</v>
      </c>
      <c r="J100" t="s">
        <v>3</v>
      </c>
      <c r="K100" t="s">
        <v>675</v>
      </c>
      <c r="L100">
        <v>1344</v>
      </c>
      <c r="N100">
        <v>1008</v>
      </c>
      <c r="O100" t="s">
        <v>676</v>
      </c>
      <c r="P100" t="s">
        <v>676</v>
      </c>
      <c r="Q100">
        <v>1</v>
      </c>
      <c r="X100">
        <v>12.61</v>
      </c>
      <c r="Y100">
        <v>0</v>
      </c>
      <c r="Z100">
        <v>1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12.61</v>
      </c>
      <c r="AH100">
        <v>2</v>
      </c>
      <c r="AI100">
        <v>34039090</v>
      </c>
      <c r="AJ100">
        <v>99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ROW(Source!A207)</f>
        <v>207</v>
      </c>
      <c r="B101">
        <v>33992193</v>
      </c>
      <c r="C101">
        <v>33992184</v>
      </c>
      <c r="D101">
        <v>29983441</v>
      </c>
      <c r="E101">
        <v>29983435</v>
      </c>
      <c r="F101">
        <v>1</v>
      </c>
      <c r="G101">
        <v>29983435</v>
      </c>
      <c r="H101">
        <v>1</v>
      </c>
      <c r="I101" t="s">
        <v>646</v>
      </c>
      <c r="J101" t="s">
        <v>3</v>
      </c>
      <c r="K101" t="s">
        <v>647</v>
      </c>
      <c r="L101">
        <v>1191</v>
      </c>
      <c r="N101">
        <v>1013</v>
      </c>
      <c r="O101" t="s">
        <v>648</v>
      </c>
      <c r="P101" t="s">
        <v>648</v>
      </c>
      <c r="Q101">
        <v>1</v>
      </c>
      <c r="X101">
        <v>14.4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1</v>
      </c>
      <c r="AF101" t="s">
        <v>3</v>
      </c>
      <c r="AG101">
        <v>14.4</v>
      </c>
      <c r="AH101">
        <v>2</v>
      </c>
      <c r="AI101">
        <v>33992185</v>
      </c>
      <c r="AJ101">
        <v>100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ROW(Source!A207)</f>
        <v>207</v>
      </c>
      <c r="B102">
        <v>33992194</v>
      </c>
      <c r="C102">
        <v>33992184</v>
      </c>
      <c r="D102">
        <v>30063290</v>
      </c>
      <c r="E102">
        <v>1</v>
      </c>
      <c r="F102">
        <v>1</v>
      </c>
      <c r="G102">
        <v>29983435</v>
      </c>
      <c r="H102">
        <v>2</v>
      </c>
      <c r="I102" t="s">
        <v>683</v>
      </c>
      <c r="J102" t="s">
        <v>684</v>
      </c>
      <c r="K102" t="s">
        <v>685</v>
      </c>
      <c r="L102">
        <v>1367</v>
      </c>
      <c r="N102">
        <v>1011</v>
      </c>
      <c r="O102" t="s">
        <v>652</v>
      </c>
      <c r="P102" t="s">
        <v>652</v>
      </c>
      <c r="Q102">
        <v>1</v>
      </c>
      <c r="X102">
        <v>1.66</v>
      </c>
      <c r="Y102">
        <v>0</v>
      </c>
      <c r="Z102">
        <v>116.89</v>
      </c>
      <c r="AA102">
        <v>23.41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1.66</v>
      </c>
      <c r="AH102">
        <v>2</v>
      </c>
      <c r="AI102">
        <v>33992186</v>
      </c>
      <c r="AJ102">
        <v>101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ROW(Source!A207)</f>
        <v>207</v>
      </c>
      <c r="B103">
        <v>33992195</v>
      </c>
      <c r="C103">
        <v>33992184</v>
      </c>
      <c r="D103">
        <v>30063515</v>
      </c>
      <c r="E103">
        <v>1</v>
      </c>
      <c r="F103">
        <v>1</v>
      </c>
      <c r="G103">
        <v>29983435</v>
      </c>
      <c r="H103">
        <v>2</v>
      </c>
      <c r="I103" t="s">
        <v>723</v>
      </c>
      <c r="J103" t="s">
        <v>724</v>
      </c>
      <c r="K103" t="s">
        <v>725</v>
      </c>
      <c r="L103">
        <v>1367</v>
      </c>
      <c r="N103">
        <v>1011</v>
      </c>
      <c r="O103" t="s">
        <v>652</v>
      </c>
      <c r="P103" t="s">
        <v>652</v>
      </c>
      <c r="Q103">
        <v>1</v>
      </c>
      <c r="X103">
        <v>1.66</v>
      </c>
      <c r="Y103">
        <v>0</v>
      </c>
      <c r="Z103">
        <v>62.97</v>
      </c>
      <c r="AA103">
        <v>6.64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1.66</v>
      </c>
      <c r="AH103">
        <v>2</v>
      </c>
      <c r="AI103">
        <v>33992187</v>
      </c>
      <c r="AJ103">
        <v>102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ROW(Source!A207)</f>
        <v>207</v>
      </c>
      <c r="B104">
        <v>33992196</v>
      </c>
      <c r="C104">
        <v>33992184</v>
      </c>
      <c r="D104">
        <v>30063518</v>
      </c>
      <c r="E104">
        <v>1</v>
      </c>
      <c r="F104">
        <v>1</v>
      </c>
      <c r="G104">
        <v>29983435</v>
      </c>
      <c r="H104">
        <v>2</v>
      </c>
      <c r="I104" t="s">
        <v>686</v>
      </c>
      <c r="J104" t="s">
        <v>726</v>
      </c>
      <c r="K104" t="s">
        <v>727</v>
      </c>
      <c r="L104">
        <v>1367</v>
      </c>
      <c r="N104">
        <v>1011</v>
      </c>
      <c r="O104" t="s">
        <v>652</v>
      </c>
      <c r="P104" t="s">
        <v>652</v>
      </c>
      <c r="Q104">
        <v>1</v>
      </c>
      <c r="X104">
        <v>0.65</v>
      </c>
      <c r="Y104">
        <v>0</v>
      </c>
      <c r="Z104">
        <v>140.58000000000001</v>
      </c>
      <c r="AA104">
        <v>28.61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0.65</v>
      </c>
      <c r="AH104">
        <v>2</v>
      </c>
      <c r="AI104">
        <v>33992188</v>
      </c>
      <c r="AJ104">
        <v>103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ROW(Source!A207)</f>
        <v>207</v>
      </c>
      <c r="B105">
        <v>33992197</v>
      </c>
      <c r="C105">
        <v>33992184</v>
      </c>
      <c r="D105">
        <v>30063546</v>
      </c>
      <c r="E105">
        <v>1</v>
      </c>
      <c r="F105">
        <v>1</v>
      </c>
      <c r="G105">
        <v>29983435</v>
      </c>
      <c r="H105">
        <v>2</v>
      </c>
      <c r="I105" t="s">
        <v>671</v>
      </c>
      <c r="J105" t="s">
        <v>672</v>
      </c>
      <c r="K105" t="s">
        <v>673</v>
      </c>
      <c r="L105">
        <v>1367</v>
      </c>
      <c r="N105">
        <v>1011</v>
      </c>
      <c r="O105" t="s">
        <v>652</v>
      </c>
      <c r="P105" t="s">
        <v>652</v>
      </c>
      <c r="Q105">
        <v>1</v>
      </c>
      <c r="X105">
        <v>1.55</v>
      </c>
      <c r="Y105">
        <v>0</v>
      </c>
      <c r="Z105">
        <v>125.13</v>
      </c>
      <c r="AA105">
        <v>24.74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1.55</v>
      </c>
      <c r="AH105">
        <v>2</v>
      </c>
      <c r="AI105">
        <v>33992189</v>
      </c>
      <c r="AJ105">
        <v>104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ROW(Source!A207)</f>
        <v>207</v>
      </c>
      <c r="B106">
        <v>33992198</v>
      </c>
      <c r="C106">
        <v>33992184</v>
      </c>
      <c r="D106">
        <v>30063508</v>
      </c>
      <c r="E106">
        <v>1</v>
      </c>
      <c r="F106">
        <v>1</v>
      </c>
      <c r="G106">
        <v>29983435</v>
      </c>
      <c r="H106">
        <v>2</v>
      </c>
      <c r="I106" t="s">
        <v>713</v>
      </c>
      <c r="J106" t="s">
        <v>728</v>
      </c>
      <c r="K106" t="s">
        <v>715</v>
      </c>
      <c r="L106">
        <v>1367</v>
      </c>
      <c r="N106">
        <v>1011</v>
      </c>
      <c r="O106" t="s">
        <v>652</v>
      </c>
      <c r="P106" t="s">
        <v>652</v>
      </c>
      <c r="Q106">
        <v>1</v>
      </c>
      <c r="X106">
        <v>0.52</v>
      </c>
      <c r="Y106">
        <v>0</v>
      </c>
      <c r="Z106">
        <v>178.02</v>
      </c>
      <c r="AA106">
        <v>23.5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0.52</v>
      </c>
      <c r="AH106">
        <v>2</v>
      </c>
      <c r="AI106">
        <v>33992190</v>
      </c>
      <c r="AJ106">
        <v>105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ROW(Source!A207)</f>
        <v>207</v>
      </c>
      <c r="B107">
        <v>33992199</v>
      </c>
      <c r="C107">
        <v>33992184</v>
      </c>
      <c r="D107">
        <v>30042537</v>
      </c>
      <c r="E107">
        <v>1</v>
      </c>
      <c r="F107">
        <v>1</v>
      </c>
      <c r="G107">
        <v>29983435</v>
      </c>
      <c r="H107">
        <v>3</v>
      </c>
      <c r="I107" t="s">
        <v>467</v>
      </c>
      <c r="J107" t="s">
        <v>469</v>
      </c>
      <c r="K107" t="s">
        <v>468</v>
      </c>
      <c r="L107">
        <v>1339</v>
      </c>
      <c r="N107">
        <v>1007</v>
      </c>
      <c r="O107" t="s">
        <v>66</v>
      </c>
      <c r="P107" t="s">
        <v>66</v>
      </c>
      <c r="Q107">
        <v>1</v>
      </c>
      <c r="X107">
        <v>5</v>
      </c>
      <c r="Y107">
        <v>7.07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5</v>
      </c>
      <c r="AH107">
        <v>2</v>
      </c>
      <c r="AI107">
        <v>33992191</v>
      </c>
      <c r="AJ107">
        <v>106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ROW(Source!A207)</f>
        <v>207</v>
      </c>
      <c r="B108">
        <v>33992200</v>
      </c>
      <c r="C108">
        <v>33992184</v>
      </c>
      <c r="D108">
        <v>29984576</v>
      </c>
      <c r="E108">
        <v>29983435</v>
      </c>
      <c r="F108">
        <v>1</v>
      </c>
      <c r="G108">
        <v>29983435</v>
      </c>
      <c r="H108">
        <v>3</v>
      </c>
      <c r="I108" t="s">
        <v>895</v>
      </c>
      <c r="J108" t="s">
        <v>3</v>
      </c>
      <c r="K108" t="s">
        <v>896</v>
      </c>
      <c r="L108">
        <v>1339</v>
      </c>
      <c r="N108">
        <v>1007</v>
      </c>
      <c r="O108" t="s">
        <v>66</v>
      </c>
      <c r="P108" t="s">
        <v>66</v>
      </c>
      <c r="Q108">
        <v>1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 t="s">
        <v>3</v>
      </c>
      <c r="AG108">
        <v>0</v>
      </c>
      <c r="AH108">
        <v>3</v>
      </c>
      <c r="AI108">
        <v>-1</v>
      </c>
      <c r="AJ108" t="s">
        <v>3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ROW(Source!A209)</f>
        <v>209</v>
      </c>
      <c r="B109">
        <v>33992212</v>
      </c>
      <c r="C109">
        <v>33992202</v>
      </c>
      <c r="D109">
        <v>29983441</v>
      </c>
      <c r="E109">
        <v>29983435</v>
      </c>
      <c r="F109">
        <v>1</v>
      </c>
      <c r="G109">
        <v>29983435</v>
      </c>
      <c r="H109">
        <v>1</v>
      </c>
      <c r="I109" t="s">
        <v>646</v>
      </c>
      <c r="J109" t="s">
        <v>3</v>
      </c>
      <c r="K109" t="s">
        <v>647</v>
      </c>
      <c r="L109">
        <v>1191</v>
      </c>
      <c r="N109">
        <v>1013</v>
      </c>
      <c r="O109" t="s">
        <v>648</v>
      </c>
      <c r="P109" t="s">
        <v>648</v>
      </c>
      <c r="Q109">
        <v>1</v>
      </c>
      <c r="X109">
        <v>21.6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1</v>
      </c>
      <c r="AF109" t="s">
        <v>3</v>
      </c>
      <c r="AG109">
        <v>21.6</v>
      </c>
      <c r="AH109">
        <v>2</v>
      </c>
      <c r="AI109">
        <v>33992203</v>
      </c>
      <c r="AJ109">
        <v>108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ROW(Source!A209)</f>
        <v>209</v>
      </c>
      <c r="B110">
        <v>33992213</v>
      </c>
      <c r="C110">
        <v>33992202</v>
      </c>
      <c r="D110">
        <v>30063269</v>
      </c>
      <c r="E110">
        <v>1</v>
      </c>
      <c r="F110">
        <v>1</v>
      </c>
      <c r="G110">
        <v>29983435</v>
      </c>
      <c r="H110">
        <v>2</v>
      </c>
      <c r="I110" t="s">
        <v>749</v>
      </c>
      <c r="J110" t="s">
        <v>750</v>
      </c>
      <c r="K110" t="s">
        <v>751</v>
      </c>
      <c r="L110">
        <v>1367</v>
      </c>
      <c r="N110">
        <v>1011</v>
      </c>
      <c r="O110" t="s">
        <v>652</v>
      </c>
      <c r="P110" t="s">
        <v>652</v>
      </c>
      <c r="Q110">
        <v>1</v>
      </c>
      <c r="X110">
        <v>2.35</v>
      </c>
      <c r="Y110">
        <v>0</v>
      </c>
      <c r="Z110">
        <v>95.06</v>
      </c>
      <c r="AA110">
        <v>22.22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2.35</v>
      </c>
      <c r="AH110">
        <v>2</v>
      </c>
      <c r="AI110">
        <v>33992204</v>
      </c>
      <c r="AJ110">
        <v>109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ROW(Source!A209)</f>
        <v>209</v>
      </c>
      <c r="B111">
        <v>33992214</v>
      </c>
      <c r="C111">
        <v>33992202</v>
      </c>
      <c r="D111">
        <v>30063518</v>
      </c>
      <c r="E111">
        <v>1</v>
      </c>
      <c r="F111">
        <v>1</v>
      </c>
      <c r="G111">
        <v>29983435</v>
      </c>
      <c r="H111">
        <v>2</v>
      </c>
      <c r="I111" t="s">
        <v>686</v>
      </c>
      <c r="J111" t="s">
        <v>726</v>
      </c>
      <c r="K111" t="s">
        <v>727</v>
      </c>
      <c r="L111">
        <v>1367</v>
      </c>
      <c r="N111">
        <v>1011</v>
      </c>
      <c r="O111" t="s">
        <v>652</v>
      </c>
      <c r="P111" t="s">
        <v>652</v>
      </c>
      <c r="Q111">
        <v>1</v>
      </c>
      <c r="X111">
        <v>0.91</v>
      </c>
      <c r="Y111">
        <v>0</v>
      </c>
      <c r="Z111">
        <v>140.58000000000001</v>
      </c>
      <c r="AA111">
        <v>28.61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0.91</v>
      </c>
      <c r="AH111">
        <v>2</v>
      </c>
      <c r="AI111">
        <v>33992205</v>
      </c>
      <c r="AJ111">
        <v>110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ROW(Source!A209)</f>
        <v>209</v>
      </c>
      <c r="B112">
        <v>33992215</v>
      </c>
      <c r="C112">
        <v>33992202</v>
      </c>
      <c r="D112">
        <v>30063503</v>
      </c>
      <c r="E112">
        <v>1</v>
      </c>
      <c r="F112">
        <v>1</v>
      </c>
      <c r="G112">
        <v>29983435</v>
      </c>
      <c r="H112">
        <v>2</v>
      </c>
      <c r="I112" t="s">
        <v>689</v>
      </c>
      <c r="J112" t="s">
        <v>719</v>
      </c>
      <c r="K112" t="s">
        <v>691</v>
      </c>
      <c r="L112">
        <v>1367</v>
      </c>
      <c r="N112">
        <v>1011</v>
      </c>
      <c r="O112" t="s">
        <v>652</v>
      </c>
      <c r="P112" t="s">
        <v>652</v>
      </c>
      <c r="Q112">
        <v>1</v>
      </c>
      <c r="X112">
        <v>7.17</v>
      </c>
      <c r="Y112">
        <v>0</v>
      </c>
      <c r="Z112">
        <v>84.82</v>
      </c>
      <c r="AA112">
        <v>22.85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7.17</v>
      </c>
      <c r="AH112">
        <v>2</v>
      </c>
      <c r="AI112">
        <v>33992206</v>
      </c>
      <c r="AJ112">
        <v>111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ROW(Source!A209)</f>
        <v>209</v>
      </c>
      <c r="B113">
        <v>33992216</v>
      </c>
      <c r="C113">
        <v>33992202</v>
      </c>
      <c r="D113">
        <v>30063504</v>
      </c>
      <c r="E113">
        <v>1</v>
      </c>
      <c r="F113">
        <v>1</v>
      </c>
      <c r="G113">
        <v>29983435</v>
      </c>
      <c r="H113">
        <v>2</v>
      </c>
      <c r="I113" t="s">
        <v>692</v>
      </c>
      <c r="J113" t="s">
        <v>752</v>
      </c>
      <c r="K113" t="s">
        <v>753</v>
      </c>
      <c r="L113">
        <v>1367</v>
      </c>
      <c r="N113">
        <v>1011</v>
      </c>
      <c r="O113" t="s">
        <v>652</v>
      </c>
      <c r="P113" t="s">
        <v>652</v>
      </c>
      <c r="Q113">
        <v>1</v>
      </c>
      <c r="X113">
        <v>14.6</v>
      </c>
      <c r="Y113">
        <v>0</v>
      </c>
      <c r="Z113">
        <v>119.77</v>
      </c>
      <c r="AA113">
        <v>22.85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14.6</v>
      </c>
      <c r="AH113">
        <v>2</v>
      </c>
      <c r="AI113">
        <v>33992207</v>
      </c>
      <c r="AJ113">
        <v>112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ROW(Source!A209)</f>
        <v>209</v>
      </c>
      <c r="B114">
        <v>33992217</v>
      </c>
      <c r="C114">
        <v>33992202</v>
      </c>
      <c r="D114">
        <v>30063546</v>
      </c>
      <c r="E114">
        <v>1</v>
      </c>
      <c r="F114">
        <v>1</v>
      </c>
      <c r="G114">
        <v>29983435</v>
      </c>
      <c r="H114">
        <v>2</v>
      </c>
      <c r="I114" t="s">
        <v>671</v>
      </c>
      <c r="J114" t="s">
        <v>672</v>
      </c>
      <c r="K114" t="s">
        <v>673</v>
      </c>
      <c r="L114">
        <v>1367</v>
      </c>
      <c r="N114">
        <v>1011</v>
      </c>
      <c r="O114" t="s">
        <v>652</v>
      </c>
      <c r="P114" t="s">
        <v>652</v>
      </c>
      <c r="Q114">
        <v>1</v>
      </c>
      <c r="X114">
        <v>1.79</v>
      </c>
      <c r="Y114">
        <v>0</v>
      </c>
      <c r="Z114">
        <v>125.13</v>
      </c>
      <c r="AA114">
        <v>24.74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1.79</v>
      </c>
      <c r="AH114">
        <v>2</v>
      </c>
      <c r="AI114">
        <v>33992208</v>
      </c>
      <c r="AJ114">
        <v>113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ROW(Source!A209)</f>
        <v>209</v>
      </c>
      <c r="B115">
        <v>33992218</v>
      </c>
      <c r="C115">
        <v>33992202</v>
      </c>
      <c r="D115">
        <v>30063508</v>
      </c>
      <c r="E115">
        <v>1</v>
      </c>
      <c r="F115">
        <v>1</v>
      </c>
      <c r="G115">
        <v>29983435</v>
      </c>
      <c r="H115">
        <v>2</v>
      </c>
      <c r="I115" t="s">
        <v>713</v>
      </c>
      <c r="J115" t="s">
        <v>728</v>
      </c>
      <c r="K115" t="s">
        <v>715</v>
      </c>
      <c r="L115">
        <v>1367</v>
      </c>
      <c r="N115">
        <v>1011</v>
      </c>
      <c r="O115" t="s">
        <v>652</v>
      </c>
      <c r="P115" t="s">
        <v>652</v>
      </c>
      <c r="Q115">
        <v>1</v>
      </c>
      <c r="X115">
        <v>0.52</v>
      </c>
      <c r="Y115">
        <v>0</v>
      </c>
      <c r="Z115">
        <v>178.02</v>
      </c>
      <c r="AA115">
        <v>23.5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0.52</v>
      </c>
      <c r="AH115">
        <v>2</v>
      </c>
      <c r="AI115">
        <v>33992209</v>
      </c>
      <c r="AJ115">
        <v>114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ROW(Source!A209)</f>
        <v>209</v>
      </c>
      <c r="B116">
        <v>33992219</v>
      </c>
      <c r="C116">
        <v>33992202</v>
      </c>
      <c r="D116">
        <v>30042537</v>
      </c>
      <c r="E116">
        <v>1</v>
      </c>
      <c r="F116">
        <v>1</v>
      </c>
      <c r="G116">
        <v>29983435</v>
      </c>
      <c r="H116">
        <v>3</v>
      </c>
      <c r="I116" t="s">
        <v>467</v>
      </c>
      <c r="J116" t="s">
        <v>469</v>
      </c>
      <c r="K116" t="s">
        <v>468</v>
      </c>
      <c r="L116">
        <v>1339</v>
      </c>
      <c r="N116">
        <v>1007</v>
      </c>
      <c r="O116" t="s">
        <v>66</v>
      </c>
      <c r="P116" t="s">
        <v>66</v>
      </c>
      <c r="Q116">
        <v>1</v>
      </c>
      <c r="X116">
        <v>7</v>
      </c>
      <c r="Y116">
        <v>7.07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7</v>
      </c>
      <c r="AH116">
        <v>2</v>
      </c>
      <c r="AI116">
        <v>33992210</v>
      </c>
      <c r="AJ116">
        <v>115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ROW(Source!A209)</f>
        <v>209</v>
      </c>
      <c r="B117">
        <v>33992220</v>
      </c>
      <c r="C117">
        <v>33992202</v>
      </c>
      <c r="D117">
        <v>29983795</v>
      </c>
      <c r="E117">
        <v>29983435</v>
      </c>
      <c r="F117">
        <v>1</v>
      </c>
      <c r="G117">
        <v>29983435</v>
      </c>
      <c r="H117">
        <v>3</v>
      </c>
      <c r="I117" t="s">
        <v>891</v>
      </c>
      <c r="J117" t="s">
        <v>3</v>
      </c>
      <c r="K117" t="s">
        <v>899</v>
      </c>
      <c r="L117">
        <v>1339</v>
      </c>
      <c r="N117">
        <v>1007</v>
      </c>
      <c r="O117" t="s">
        <v>66</v>
      </c>
      <c r="P117" t="s">
        <v>66</v>
      </c>
      <c r="Q117">
        <v>1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 t="s">
        <v>3</v>
      </c>
      <c r="AG117">
        <v>0</v>
      </c>
      <c r="AH117">
        <v>3</v>
      </c>
      <c r="AI117">
        <v>-1</v>
      </c>
      <c r="AJ117" t="s">
        <v>3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ROW(Source!A211)</f>
        <v>211</v>
      </c>
      <c r="B118">
        <v>33992227</v>
      </c>
      <c r="C118">
        <v>33992222</v>
      </c>
      <c r="D118">
        <v>29983441</v>
      </c>
      <c r="E118">
        <v>29983435</v>
      </c>
      <c r="F118">
        <v>1</v>
      </c>
      <c r="G118">
        <v>29983435</v>
      </c>
      <c r="H118">
        <v>1</v>
      </c>
      <c r="I118" t="s">
        <v>646</v>
      </c>
      <c r="J118" t="s">
        <v>3</v>
      </c>
      <c r="K118" t="s">
        <v>647</v>
      </c>
      <c r="L118">
        <v>1191</v>
      </c>
      <c r="N118">
        <v>1013</v>
      </c>
      <c r="O118" t="s">
        <v>648</v>
      </c>
      <c r="P118" t="s">
        <v>648</v>
      </c>
      <c r="Q118">
        <v>1</v>
      </c>
      <c r="X118">
        <v>8.9600000000000009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1</v>
      </c>
      <c r="AF118" t="s">
        <v>3</v>
      </c>
      <c r="AG118">
        <v>8.9600000000000009</v>
      </c>
      <c r="AH118">
        <v>2</v>
      </c>
      <c r="AI118">
        <v>33992223</v>
      </c>
      <c r="AJ118">
        <v>117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ROW(Source!A211)</f>
        <v>211</v>
      </c>
      <c r="B119">
        <v>33992228</v>
      </c>
      <c r="C119">
        <v>33992222</v>
      </c>
      <c r="D119">
        <v>30063503</v>
      </c>
      <c r="E119">
        <v>1</v>
      </c>
      <c r="F119">
        <v>1</v>
      </c>
      <c r="G119">
        <v>29983435</v>
      </c>
      <c r="H119">
        <v>2</v>
      </c>
      <c r="I119" t="s">
        <v>689</v>
      </c>
      <c r="J119" t="s">
        <v>719</v>
      </c>
      <c r="K119" t="s">
        <v>691</v>
      </c>
      <c r="L119">
        <v>1367</v>
      </c>
      <c r="N119">
        <v>1011</v>
      </c>
      <c r="O119" t="s">
        <v>652</v>
      </c>
      <c r="P119" t="s">
        <v>652</v>
      </c>
      <c r="Q119">
        <v>1</v>
      </c>
      <c r="X119">
        <v>0.71</v>
      </c>
      <c r="Y119">
        <v>0</v>
      </c>
      <c r="Z119">
        <v>84.82</v>
      </c>
      <c r="AA119">
        <v>22.85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0.71</v>
      </c>
      <c r="AH119">
        <v>2</v>
      </c>
      <c r="AI119">
        <v>33992224</v>
      </c>
      <c r="AJ119">
        <v>118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ROW(Source!A211)</f>
        <v>211</v>
      </c>
      <c r="B120">
        <v>33992229</v>
      </c>
      <c r="C120">
        <v>33992222</v>
      </c>
      <c r="D120">
        <v>30042602</v>
      </c>
      <c r="E120">
        <v>1</v>
      </c>
      <c r="F120">
        <v>1</v>
      </c>
      <c r="G120">
        <v>29983435</v>
      </c>
      <c r="H120">
        <v>3</v>
      </c>
      <c r="I120" t="s">
        <v>720</v>
      </c>
      <c r="J120" t="s">
        <v>721</v>
      </c>
      <c r="K120" t="s">
        <v>722</v>
      </c>
      <c r="L120">
        <v>1348</v>
      </c>
      <c r="N120">
        <v>1009</v>
      </c>
      <c r="O120" t="s">
        <v>51</v>
      </c>
      <c r="P120" t="s">
        <v>51</v>
      </c>
      <c r="Q120">
        <v>1000</v>
      </c>
      <c r="X120">
        <v>0.06</v>
      </c>
      <c r="Y120">
        <v>3501.78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0.06</v>
      </c>
      <c r="AH120">
        <v>2</v>
      </c>
      <c r="AI120">
        <v>33992225</v>
      </c>
      <c r="AJ120">
        <v>119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ROW(Source!A211)</f>
        <v>211</v>
      </c>
      <c r="B121">
        <v>33992230</v>
      </c>
      <c r="C121">
        <v>33992222</v>
      </c>
      <c r="D121">
        <v>29983567</v>
      </c>
      <c r="E121">
        <v>29983435</v>
      </c>
      <c r="F121">
        <v>1</v>
      </c>
      <c r="G121">
        <v>29983435</v>
      </c>
      <c r="H121">
        <v>3</v>
      </c>
      <c r="I121" t="s">
        <v>893</v>
      </c>
      <c r="J121" t="s">
        <v>3</v>
      </c>
      <c r="K121" t="s">
        <v>894</v>
      </c>
      <c r="L121">
        <v>1348</v>
      </c>
      <c r="N121">
        <v>1009</v>
      </c>
      <c r="O121" t="s">
        <v>51</v>
      </c>
      <c r="P121" t="s">
        <v>51</v>
      </c>
      <c r="Q121">
        <v>1000</v>
      </c>
      <c r="X121">
        <v>7.14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 t="s">
        <v>3</v>
      </c>
      <c r="AG121">
        <v>7.14</v>
      </c>
      <c r="AH121">
        <v>3</v>
      </c>
      <c r="AI121">
        <v>-1</v>
      </c>
      <c r="AJ121" t="s">
        <v>3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ROW(Source!A249)</f>
        <v>249</v>
      </c>
      <c r="B122">
        <v>33992234</v>
      </c>
      <c r="C122">
        <v>33992232</v>
      </c>
      <c r="D122">
        <v>29983441</v>
      </c>
      <c r="E122">
        <v>29983435</v>
      </c>
      <c r="F122">
        <v>1</v>
      </c>
      <c r="G122">
        <v>29983435</v>
      </c>
      <c r="H122">
        <v>1</v>
      </c>
      <c r="I122" t="s">
        <v>646</v>
      </c>
      <c r="J122" t="s">
        <v>3</v>
      </c>
      <c r="K122" t="s">
        <v>647</v>
      </c>
      <c r="L122">
        <v>1191</v>
      </c>
      <c r="N122">
        <v>1013</v>
      </c>
      <c r="O122" t="s">
        <v>648</v>
      </c>
      <c r="P122" t="s">
        <v>648</v>
      </c>
      <c r="Q122">
        <v>1</v>
      </c>
      <c r="X122">
        <v>76.7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1</v>
      </c>
      <c r="AF122" t="s">
        <v>3</v>
      </c>
      <c r="AG122">
        <v>76.7</v>
      </c>
      <c r="AH122">
        <v>2</v>
      </c>
      <c r="AI122">
        <v>33992233</v>
      </c>
      <c r="AJ122">
        <v>121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ROW(Source!A250)</f>
        <v>250</v>
      </c>
      <c r="B123">
        <v>33995750</v>
      </c>
      <c r="C123">
        <v>33992235</v>
      </c>
      <c r="D123">
        <v>29983441</v>
      </c>
      <c r="E123">
        <v>29983435</v>
      </c>
      <c r="F123">
        <v>1</v>
      </c>
      <c r="G123">
        <v>29983435</v>
      </c>
      <c r="H123">
        <v>1</v>
      </c>
      <c r="I123" t="s">
        <v>646</v>
      </c>
      <c r="J123" t="s">
        <v>3</v>
      </c>
      <c r="K123" t="s">
        <v>647</v>
      </c>
      <c r="L123">
        <v>1191</v>
      </c>
      <c r="N123">
        <v>1013</v>
      </c>
      <c r="O123" t="s">
        <v>648</v>
      </c>
      <c r="P123" t="s">
        <v>648</v>
      </c>
      <c r="Q123">
        <v>1</v>
      </c>
      <c r="X123">
        <v>1.02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1</v>
      </c>
      <c r="AF123" t="s">
        <v>3</v>
      </c>
      <c r="AG123">
        <v>1.02</v>
      </c>
      <c r="AH123">
        <v>2</v>
      </c>
      <c r="AI123">
        <v>33995750</v>
      </c>
      <c r="AJ123">
        <v>122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ROW(Source!A251)</f>
        <v>251</v>
      </c>
      <c r="B124">
        <v>33992240</v>
      </c>
      <c r="C124">
        <v>33992238</v>
      </c>
      <c r="D124">
        <v>29983439</v>
      </c>
      <c r="E124">
        <v>29983435</v>
      </c>
      <c r="F124">
        <v>1</v>
      </c>
      <c r="G124">
        <v>29983435</v>
      </c>
      <c r="H124">
        <v>2</v>
      </c>
      <c r="I124" t="s">
        <v>674</v>
      </c>
      <c r="J124" t="s">
        <v>3</v>
      </c>
      <c r="K124" t="s">
        <v>675</v>
      </c>
      <c r="L124">
        <v>1344</v>
      </c>
      <c r="N124">
        <v>1008</v>
      </c>
      <c r="O124" t="s">
        <v>676</v>
      </c>
      <c r="P124" t="s">
        <v>676</v>
      </c>
      <c r="Q124">
        <v>1</v>
      </c>
      <c r="X124">
        <v>8.86</v>
      </c>
      <c r="Y124">
        <v>0</v>
      </c>
      <c r="Z124">
        <v>1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8.86</v>
      </c>
      <c r="AH124">
        <v>2</v>
      </c>
      <c r="AI124">
        <v>33992239</v>
      </c>
      <c r="AJ124">
        <v>123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ROW(Source!A252)</f>
        <v>252</v>
      </c>
      <c r="B125">
        <v>33995751</v>
      </c>
      <c r="C125">
        <v>33992241</v>
      </c>
      <c r="D125">
        <v>30064127</v>
      </c>
      <c r="E125">
        <v>1</v>
      </c>
      <c r="F125">
        <v>1</v>
      </c>
      <c r="G125">
        <v>29983435</v>
      </c>
      <c r="H125">
        <v>2</v>
      </c>
      <c r="I125" t="s">
        <v>677</v>
      </c>
      <c r="J125" t="s">
        <v>678</v>
      </c>
      <c r="K125" t="s">
        <v>679</v>
      </c>
      <c r="L125">
        <v>1367</v>
      </c>
      <c r="N125">
        <v>1011</v>
      </c>
      <c r="O125" t="s">
        <v>652</v>
      </c>
      <c r="P125" t="s">
        <v>652</v>
      </c>
      <c r="Q125">
        <v>1</v>
      </c>
      <c r="X125">
        <v>1</v>
      </c>
      <c r="Y125">
        <v>0</v>
      </c>
      <c r="Z125">
        <v>193.32</v>
      </c>
      <c r="AA125">
        <v>18.11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1</v>
      </c>
      <c r="AH125">
        <v>2</v>
      </c>
      <c r="AI125">
        <v>33995751</v>
      </c>
      <c r="AJ125">
        <v>124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ROW(Source!A253)</f>
        <v>253</v>
      </c>
      <c r="B126">
        <v>33995752</v>
      </c>
      <c r="C126">
        <v>33992244</v>
      </c>
      <c r="D126">
        <v>29983439</v>
      </c>
      <c r="E126">
        <v>29983435</v>
      </c>
      <c r="F126">
        <v>1</v>
      </c>
      <c r="G126">
        <v>29983435</v>
      </c>
      <c r="H126">
        <v>2</v>
      </c>
      <c r="I126" t="s">
        <v>674</v>
      </c>
      <c r="J126" t="s">
        <v>3</v>
      </c>
      <c r="K126" t="s">
        <v>675</v>
      </c>
      <c r="L126">
        <v>1344</v>
      </c>
      <c r="N126">
        <v>1008</v>
      </c>
      <c r="O126" t="s">
        <v>676</v>
      </c>
      <c r="P126" t="s">
        <v>676</v>
      </c>
      <c r="Q126">
        <v>1</v>
      </c>
      <c r="X126">
        <v>36.590000000000003</v>
      </c>
      <c r="Y126">
        <v>0</v>
      </c>
      <c r="Z126">
        <v>1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36.590000000000003</v>
      </c>
      <c r="AH126">
        <v>2</v>
      </c>
      <c r="AI126">
        <v>33995752</v>
      </c>
      <c r="AJ126">
        <v>125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ROW(Source!A254)</f>
        <v>254</v>
      </c>
      <c r="B127">
        <v>33992256</v>
      </c>
      <c r="C127">
        <v>33992247</v>
      </c>
      <c r="D127">
        <v>29983441</v>
      </c>
      <c r="E127">
        <v>29983435</v>
      </c>
      <c r="F127">
        <v>1</v>
      </c>
      <c r="G127">
        <v>29983435</v>
      </c>
      <c r="H127">
        <v>1</v>
      </c>
      <c r="I127" t="s">
        <v>646</v>
      </c>
      <c r="J127" t="s">
        <v>3</v>
      </c>
      <c r="K127" t="s">
        <v>647</v>
      </c>
      <c r="L127">
        <v>1191</v>
      </c>
      <c r="N127">
        <v>1013</v>
      </c>
      <c r="O127" t="s">
        <v>648</v>
      </c>
      <c r="P127" t="s">
        <v>648</v>
      </c>
      <c r="Q127">
        <v>1</v>
      </c>
      <c r="X127">
        <v>14.4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1</v>
      </c>
      <c r="AF127" t="s">
        <v>3</v>
      </c>
      <c r="AG127">
        <v>14.4</v>
      </c>
      <c r="AH127">
        <v>2</v>
      </c>
      <c r="AI127">
        <v>33992248</v>
      </c>
      <c r="AJ127">
        <v>126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ROW(Source!A254)</f>
        <v>254</v>
      </c>
      <c r="B128">
        <v>33992257</v>
      </c>
      <c r="C128">
        <v>33992247</v>
      </c>
      <c r="D128">
        <v>30063290</v>
      </c>
      <c r="E128">
        <v>1</v>
      </c>
      <c r="F128">
        <v>1</v>
      </c>
      <c r="G128">
        <v>29983435</v>
      </c>
      <c r="H128">
        <v>2</v>
      </c>
      <c r="I128" t="s">
        <v>683</v>
      </c>
      <c r="J128" t="s">
        <v>684</v>
      </c>
      <c r="K128" t="s">
        <v>685</v>
      </c>
      <c r="L128">
        <v>1367</v>
      </c>
      <c r="N128">
        <v>1011</v>
      </c>
      <c r="O128" t="s">
        <v>652</v>
      </c>
      <c r="P128" t="s">
        <v>652</v>
      </c>
      <c r="Q128">
        <v>1</v>
      </c>
      <c r="X128">
        <v>1.66</v>
      </c>
      <c r="Y128">
        <v>0</v>
      </c>
      <c r="Z128">
        <v>116.89</v>
      </c>
      <c r="AA128">
        <v>23.41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1.66</v>
      </c>
      <c r="AH128">
        <v>2</v>
      </c>
      <c r="AI128">
        <v>33992249</v>
      </c>
      <c r="AJ128">
        <v>127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ROW(Source!A254)</f>
        <v>254</v>
      </c>
      <c r="B129">
        <v>33992258</v>
      </c>
      <c r="C129">
        <v>33992247</v>
      </c>
      <c r="D129">
        <v>30063515</v>
      </c>
      <c r="E129">
        <v>1</v>
      </c>
      <c r="F129">
        <v>1</v>
      </c>
      <c r="G129">
        <v>29983435</v>
      </c>
      <c r="H129">
        <v>2</v>
      </c>
      <c r="I129" t="s">
        <v>723</v>
      </c>
      <c r="J129" t="s">
        <v>724</v>
      </c>
      <c r="K129" t="s">
        <v>725</v>
      </c>
      <c r="L129">
        <v>1367</v>
      </c>
      <c r="N129">
        <v>1011</v>
      </c>
      <c r="O129" t="s">
        <v>652</v>
      </c>
      <c r="P129" t="s">
        <v>652</v>
      </c>
      <c r="Q129">
        <v>1</v>
      </c>
      <c r="X129">
        <v>1.66</v>
      </c>
      <c r="Y129">
        <v>0</v>
      </c>
      <c r="Z129">
        <v>62.97</v>
      </c>
      <c r="AA129">
        <v>6.64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1.66</v>
      </c>
      <c r="AH129">
        <v>2</v>
      </c>
      <c r="AI129">
        <v>33992250</v>
      </c>
      <c r="AJ129">
        <v>128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ROW(Source!A254)</f>
        <v>254</v>
      </c>
      <c r="B130">
        <v>33992259</v>
      </c>
      <c r="C130">
        <v>33992247</v>
      </c>
      <c r="D130">
        <v>30063518</v>
      </c>
      <c r="E130">
        <v>1</v>
      </c>
      <c r="F130">
        <v>1</v>
      </c>
      <c r="G130">
        <v>29983435</v>
      </c>
      <c r="H130">
        <v>2</v>
      </c>
      <c r="I130" t="s">
        <v>686</v>
      </c>
      <c r="J130" t="s">
        <v>726</v>
      </c>
      <c r="K130" t="s">
        <v>727</v>
      </c>
      <c r="L130">
        <v>1367</v>
      </c>
      <c r="N130">
        <v>1011</v>
      </c>
      <c r="O130" t="s">
        <v>652</v>
      </c>
      <c r="P130" t="s">
        <v>652</v>
      </c>
      <c r="Q130">
        <v>1</v>
      </c>
      <c r="X130">
        <v>0.65</v>
      </c>
      <c r="Y130">
        <v>0</v>
      </c>
      <c r="Z130">
        <v>140.58000000000001</v>
      </c>
      <c r="AA130">
        <v>28.61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0.65</v>
      </c>
      <c r="AH130">
        <v>2</v>
      </c>
      <c r="AI130">
        <v>33992251</v>
      </c>
      <c r="AJ130">
        <v>129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ROW(Source!A254)</f>
        <v>254</v>
      </c>
      <c r="B131">
        <v>33992260</v>
      </c>
      <c r="C131">
        <v>33992247</v>
      </c>
      <c r="D131">
        <v>30063546</v>
      </c>
      <c r="E131">
        <v>1</v>
      </c>
      <c r="F131">
        <v>1</v>
      </c>
      <c r="G131">
        <v>29983435</v>
      </c>
      <c r="H131">
        <v>2</v>
      </c>
      <c r="I131" t="s">
        <v>671</v>
      </c>
      <c r="J131" t="s">
        <v>672</v>
      </c>
      <c r="K131" t="s">
        <v>673</v>
      </c>
      <c r="L131">
        <v>1367</v>
      </c>
      <c r="N131">
        <v>1011</v>
      </c>
      <c r="O131" t="s">
        <v>652</v>
      </c>
      <c r="P131" t="s">
        <v>652</v>
      </c>
      <c r="Q131">
        <v>1</v>
      </c>
      <c r="X131">
        <v>1.55</v>
      </c>
      <c r="Y131">
        <v>0</v>
      </c>
      <c r="Z131">
        <v>125.13</v>
      </c>
      <c r="AA131">
        <v>24.74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1.55</v>
      </c>
      <c r="AH131">
        <v>2</v>
      </c>
      <c r="AI131">
        <v>33992252</v>
      </c>
      <c r="AJ131">
        <v>130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ROW(Source!A254)</f>
        <v>254</v>
      </c>
      <c r="B132">
        <v>33992261</v>
      </c>
      <c r="C132">
        <v>33992247</v>
      </c>
      <c r="D132">
        <v>30063508</v>
      </c>
      <c r="E132">
        <v>1</v>
      </c>
      <c r="F132">
        <v>1</v>
      </c>
      <c r="G132">
        <v>29983435</v>
      </c>
      <c r="H132">
        <v>2</v>
      </c>
      <c r="I132" t="s">
        <v>713</v>
      </c>
      <c r="J132" t="s">
        <v>728</v>
      </c>
      <c r="K132" t="s">
        <v>715</v>
      </c>
      <c r="L132">
        <v>1367</v>
      </c>
      <c r="N132">
        <v>1011</v>
      </c>
      <c r="O132" t="s">
        <v>652</v>
      </c>
      <c r="P132" t="s">
        <v>652</v>
      </c>
      <c r="Q132">
        <v>1</v>
      </c>
      <c r="X132">
        <v>0.52</v>
      </c>
      <c r="Y132">
        <v>0</v>
      </c>
      <c r="Z132">
        <v>178.02</v>
      </c>
      <c r="AA132">
        <v>23.5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0.52</v>
      </c>
      <c r="AH132">
        <v>2</v>
      </c>
      <c r="AI132">
        <v>33992253</v>
      </c>
      <c r="AJ132">
        <v>131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ROW(Source!A254)</f>
        <v>254</v>
      </c>
      <c r="B133">
        <v>33992262</v>
      </c>
      <c r="C133">
        <v>33992247</v>
      </c>
      <c r="D133">
        <v>30042537</v>
      </c>
      <c r="E133">
        <v>1</v>
      </c>
      <c r="F133">
        <v>1</v>
      </c>
      <c r="G133">
        <v>29983435</v>
      </c>
      <c r="H133">
        <v>3</v>
      </c>
      <c r="I133" t="s">
        <v>467</v>
      </c>
      <c r="J133" t="s">
        <v>469</v>
      </c>
      <c r="K133" t="s">
        <v>468</v>
      </c>
      <c r="L133">
        <v>1339</v>
      </c>
      <c r="N133">
        <v>1007</v>
      </c>
      <c r="O133" t="s">
        <v>66</v>
      </c>
      <c r="P133" t="s">
        <v>66</v>
      </c>
      <c r="Q133">
        <v>1</v>
      </c>
      <c r="X133">
        <v>5</v>
      </c>
      <c r="Y133">
        <v>7.07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5</v>
      </c>
      <c r="AH133">
        <v>2</v>
      </c>
      <c r="AI133">
        <v>33992254</v>
      </c>
      <c r="AJ133">
        <v>132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ROW(Source!A254)</f>
        <v>254</v>
      </c>
      <c r="B134">
        <v>33992263</v>
      </c>
      <c r="C134">
        <v>33992247</v>
      </c>
      <c r="D134">
        <v>29984576</v>
      </c>
      <c r="E134">
        <v>29983435</v>
      </c>
      <c r="F134">
        <v>1</v>
      </c>
      <c r="G134">
        <v>29983435</v>
      </c>
      <c r="H134">
        <v>3</v>
      </c>
      <c r="I134" t="s">
        <v>895</v>
      </c>
      <c r="J134" t="s">
        <v>3</v>
      </c>
      <c r="K134" t="s">
        <v>896</v>
      </c>
      <c r="L134">
        <v>1339</v>
      </c>
      <c r="N134">
        <v>1007</v>
      </c>
      <c r="O134" t="s">
        <v>66</v>
      </c>
      <c r="P134" t="s">
        <v>66</v>
      </c>
      <c r="Q134">
        <v>1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 t="s">
        <v>3</v>
      </c>
      <c r="AG134">
        <v>0</v>
      </c>
      <c r="AH134">
        <v>3</v>
      </c>
      <c r="AI134">
        <v>-1</v>
      </c>
      <c r="AJ134" t="s">
        <v>3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ROW(Source!A256)</f>
        <v>256</v>
      </c>
      <c r="B135">
        <v>33992275</v>
      </c>
      <c r="C135">
        <v>33992265</v>
      </c>
      <c r="D135">
        <v>29983441</v>
      </c>
      <c r="E135">
        <v>29983435</v>
      </c>
      <c r="F135">
        <v>1</v>
      </c>
      <c r="G135">
        <v>29983435</v>
      </c>
      <c r="H135">
        <v>1</v>
      </c>
      <c r="I135" t="s">
        <v>646</v>
      </c>
      <c r="J135" t="s">
        <v>3</v>
      </c>
      <c r="K135" t="s">
        <v>647</v>
      </c>
      <c r="L135">
        <v>1191</v>
      </c>
      <c r="N135">
        <v>1013</v>
      </c>
      <c r="O135" t="s">
        <v>648</v>
      </c>
      <c r="P135" t="s">
        <v>648</v>
      </c>
      <c r="Q135">
        <v>1</v>
      </c>
      <c r="X135">
        <v>63.44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1</v>
      </c>
      <c r="AF135" t="s">
        <v>3</v>
      </c>
      <c r="AG135">
        <v>63.44</v>
      </c>
      <c r="AH135">
        <v>2</v>
      </c>
      <c r="AI135">
        <v>33992266</v>
      </c>
      <c r="AJ135">
        <v>134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ROW(Source!A256)</f>
        <v>256</v>
      </c>
      <c r="B136">
        <v>33992276</v>
      </c>
      <c r="C136">
        <v>33992265</v>
      </c>
      <c r="D136">
        <v>30064095</v>
      </c>
      <c r="E136">
        <v>1</v>
      </c>
      <c r="F136">
        <v>1</v>
      </c>
      <c r="G136">
        <v>29983435</v>
      </c>
      <c r="H136">
        <v>2</v>
      </c>
      <c r="I136" t="s">
        <v>680</v>
      </c>
      <c r="J136" t="s">
        <v>681</v>
      </c>
      <c r="K136" t="s">
        <v>682</v>
      </c>
      <c r="L136">
        <v>1367</v>
      </c>
      <c r="N136">
        <v>1011</v>
      </c>
      <c r="O136" t="s">
        <v>652</v>
      </c>
      <c r="P136" t="s">
        <v>652</v>
      </c>
      <c r="Q136">
        <v>1</v>
      </c>
      <c r="X136">
        <v>0.14000000000000001</v>
      </c>
      <c r="Y136">
        <v>0</v>
      </c>
      <c r="Z136">
        <v>76.81</v>
      </c>
      <c r="AA136">
        <v>14.36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0.14000000000000001</v>
      </c>
      <c r="AH136">
        <v>2</v>
      </c>
      <c r="AI136">
        <v>33992267</v>
      </c>
      <c r="AJ136">
        <v>135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ROW(Source!A256)</f>
        <v>256</v>
      </c>
      <c r="B137">
        <v>33992277</v>
      </c>
      <c r="C137">
        <v>33992265</v>
      </c>
      <c r="D137">
        <v>30063337</v>
      </c>
      <c r="E137">
        <v>1</v>
      </c>
      <c r="F137">
        <v>1</v>
      </c>
      <c r="G137">
        <v>29983435</v>
      </c>
      <c r="H137">
        <v>2</v>
      </c>
      <c r="I137" t="s">
        <v>729</v>
      </c>
      <c r="J137" t="s">
        <v>730</v>
      </c>
      <c r="K137" t="s">
        <v>731</v>
      </c>
      <c r="L137">
        <v>1367</v>
      </c>
      <c r="N137">
        <v>1011</v>
      </c>
      <c r="O137" t="s">
        <v>652</v>
      </c>
      <c r="P137" t="s">
        <v>652</v>
      </c>
      <c r="Q137">
        <v>1</v>
      </c>
      <c r="X137">
        <v>0.14000000000000001</v>
      </c>
      <c r="Y137">
        <v>0</v>
      </c>
      <c r="Z137">
        <v>190.93</v>
      </c>
      <c r="AA137">
        <v>18.149999999999999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0.14000000000000001</v>
      </c>
      <c r="AH137">
        <v>2</v>
      </c>
      <c r="AI137">
        <v>33992268</v>
      </c>
      <c r="AJ137">
        <v>136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ROW(Source!A256)</f>
        <v>256</v>
      </c>
      <c r="B138">
        <v>33992278</v>
      </c>
      <c r="C138">
        <v>33992265</v>
      </c>
      <c r="D138">
        <v>30063432</v>
      </c>
      <c r="E138">
        <v>1</v>
      </c>
      <c r="F138">
        <v>1</v>
      </c>
      <c r="G138">
        <v>29983435</v>
      </c>
      <c r="H138">
        <v>2</v>
      </c>
      <c r="I138" t="s">
        <v>754</v>
      </c>
      <c r="J138" t="s">
        <v>755</v>
      </c>
      <c r="K138" t="s">
        <v>756</v>
      </c>
      <c r="L138">
        <v>1367</v>
      </c>
      <c r="N138">
        <v>1011</v>
      </c>
      <c r="O138" t="s">
        <v>652</v>
      </c>
      <c r="P138" t="s">
        <v>652</v>
      </c>
      <c r="Q138">
        <v>1</v>
      </c>
      <c r="X138">
        <v>0.22</v>
      </c>
      <c r="Y138">
        <v>0</v>
      </c>
      <c r="Z138">
        <v>73</v>
      </c>
      <c r="AA138">
        <v>16.899999999999999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0.22</v>
      </c>
      <c r="AH138">
        <v>2</v>
      </c>
      <c r="AI138">
        <v>33992269</v>
      </c>
      <c r="AJ138">
        <v>137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ROW(Source!A256)</f>
        <v>256</v>
      </c>
      <c r="B139">
        <v>33992279</v>
      </c>
      <c r="C139">
        <v>33992265</v>
      </c>
      <c r="D139">
        <v>30042524</v>
      </c>
      <c r="E139">
        <v>1</v>
      </c>
      <c r="F139">
        <v>1</v>
      </c>
      <c r="G139">
        <v>29983435</v>
      </c>
      <c r="H139">
        <v>3</v>
      </c>
      <c r="I139" t="s">
        <v>757</v>
      </c>
      <c r="J139" t="s">
        <v>758</v>
      </c>
      <c r="K139" t="s">
        <v>759</v>
      </c>
      <c r="L139">
        <v>1348</v>
      </c>
      <c r="N139">
        <v>1009</v>
      </c>
      <c r="O139" t="s">
        <v>51</v>
      </c>
      <c r="P139" t="s">
        <v>51</v>
      </c>
      <c r="Q139">
        <v>1000</v>
      </c>
      <c r="X139">
        <v>1E-3</v>
      </c>
      <c r="Y139">
        <v>6521.42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1E-3</v>
      </c>
      <c r="AH139">
        <v>2</v>
      </c>
      <c r="AI139">
        <v>33992270</v>
      </c>
      <c r="AJ139">
        <v>138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ROW(Source!A256)</f>
        <v>256</v>
      </c>
      <c r="B140">
        <v>33992280</v>
      </c>
      <c r="C140">
        <v>33992265</v>
      </c>
      <c r="D140">
        <v>30042430</v>
      </c>
      <c r="E140">
        <v>1</v>
      </c>
      <c r="F140">
        <v>1</v>
      </c>
      <c r="G140">
        <v>29983435</v>
      </c>
      <c r="H140">
        <v>3</v>
      </c>
      <c r="I140" t="s">
        <v>760</v>
      </c>
      <c r="J140" t="s">
        <v>761</v>
      </c>
      <c r="K140" t="s">
        <v>762</v>
      </c>
      <c r="L140">
        <v>1339</v>
      </c>
      <c r="N140">
        <v>1007</v>
      </c>
      <c r="O140" t="s">
        <v>66</v>
      </c>
      <c r="P140" t="s">
        <v>66</v>
      </c>
      <c r="Q140">
        <v>1</v>
      </c>
      <c r="X140">
        <v>0.17</v>
      </c>
      <c r="Y140">
        <v>1828.56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0.17</v>
      </c>
      <c r="AH140">
        <v>2</v>
      </c>
      <c r="AI140">
        <v>33992271</v>
      </c>
      <c r="AJ140">
        <v>139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ROW(Source!A256)</f>
        <v>256</v>
      </c>
      <c r="B141">
        <v>33992281</v>
      </c>
      <c r="C141">
        <v>33992265</v>
      </c>
      <c r="D141">
        <v>30057410</v>
      </c>
      <c r="E141">
        <v>1</v>
      </c>
      <c r="F141">
        <v>1</v>
      </c>
      <c r="G141">
        <v>29983435</v>
      </c>
      <c r="H141">
        <v>3</v>
      </c>
      <c r="I141" t="s">
        <v>732</v>
      </c>
      <c r="J141" t="s">
        <v>733</v>
      </c>
      <c r="K141" t="s">
        <v>734</v>
      </c>
      <c r="L141">
        <v>1339</v>
      </c>
      <c r="N141">
        <v>1007</v>
      </c>
      <c r="O141" t="s">
        <v>66</v>
      </c>
      <c r="P141" t="s">
        <v>66</v>
      </c>
      <c r="Q141">
        <v>1</v>
      </c>
      <c r="X141">
        <v>4.8</v>
      </c>
      <c r="Y141">
        <v>704.89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3</v>
      </c>
      <c r="AG141">
        <v>4.8</v>
      </c>
      <c r="AH141">
        <v>2</v>
      </c>
      <c r="AI141">
        <v>33992272</v>
      </c>
      <c r="AJ141">
        <v>140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ROW(Source!A256)</f>
        <v>256</v>
      </c>
      <c r="B142">
        <v>33992282</v>
      </c>
      <c r="C142">
        <v>33992265</v>
      </c>
      <c r="D142">
        <v>30057544</v>
      </c>
      <c r="E142">
        <v>1</v>
      </c>
      <c r="F142">
        <v>1</v>
      </c>
      <c r="G142">
        <v>29983435</v>
      </c>
      <c r="H142">
        <v>3</v>
      </c>
      <c r="I142" t="s">
        <v>735</v>
      </c>
      <c r="J142" t="s">
        <v>736</v>
      </c>
      <c r="K142" t="s">
        <v>737</v>
      </c>
      <c r="L142">
        <v>1339</v>
      </c>
      <c r="N142">
        <v>1007</v>
      </c>
      <c r="O142" t="s">
        <v>66</v>
      </c>
      <c r="P142" t="s">
        <v>66</v>
      </c>
      <c r="Q142">
        <v>1</v>
      </c>
      <c r="X142">
        <v>0.02</v>
      </c>
      <c r="Y142">
        <v>451.14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0.02</v>
      </c>
      <c r="AH142">
        <v>2</v>
      </c>
      <c r="AI142">
        <v>33992273</v>
      </c>
      <c r="AJ142">
        <v>141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ROW(Source!A256)</f>
        <v>256</v>
      </c>
      <c r="B143">
        <v>33992283</v>
      </c>
      <c r="C143">
        <v>33992265</v>
      </c>
      <c r="D143">
        <v>29987235</v>
      </c>
      <c r="E143">
        <v>29983435</v>
      </c>
      <c r="F143">
        <v>1</v>
      </c>
      <c r="G143">
        <v>29983435</v>
      </c>
      <c r="H143">
        <v>3</v>
      </c>
      <c r="I143" t="s">
        <v>897</v>
      </c>
      <c r="J143" t="s">
        <v>3</v>
      </c>
      <c r="K143" t="s">
        <v>900</v>
      </c>
      <c r="L143">
        <v>1339</v>
      </c>
      <c r="N143">
        <v>1007</v>
      </c>
      <c r="O143" t="s">
        <v>66</v>
      </c>
      <c r="P143" t="s">
        <v>66</v>
      </c>
      <c r="Q143">
        <v>1</v>
      </c>
      <c r="X143">
        <v>1.6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 t="s">
        <v>3</v>
      </c>
      <c r="AG143">
        <v>1.6</v>
      </c>
      <c r="AH143">
        <v>3</v>
      </c>
      <c r="AI143">
        <v>-1</v>
      </c>
      <c r="AJ143" t="s">
        <v>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ROW(Source!A328)</f>
        <v>328</v>
      </c>
      <c r="B144">
        <v>33992289</v>
      </c>
      <c r="C144">
        <v>33992285</v>
      </c>
      <c r="D144">
        <v>29983441</v>
      </c>
      <c r="E144">
        <v>29983435</v>
      </c>
      <c r="F144">
        <v>1</v>
      </c>
      <c r="G144">
        <v>29983435</v>
      </c>
      <c r="H144">
        <v>1</v>
      </c>
      <c r="I144" t="s">
        <v>646</v>
      </c>
      <c r="J144" t="s">
        <v>3</v>
      </c>
      <c r="K144" t="s">
        <v>647</v>
      </c>
      <c r="L144">
        <v>1191</v>
      </c>
      <c r="N144">
        <v>1013</v>
      </c>
      <c r="O144" t="s">
        <v>648</v>
      </c>
      <c r="P144" t="s">
        <v>648</v>
      </c>
      <c r="Q144">
        <v>1</v>
      </c>
      <c r="X144">
        <v>1.38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1</v>
      </c>
      <c r="AF144" t="s">
        <v>3</v>
      </c>
      <c r="AG144">
        <v>1.38</v>
      </c>
      <c r="AH144">
        <v>2</v>
      </c>
      <c r="AI144">
        <v>33992286</v>
      </c>
      <c r="AJ144">
        <v>143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ROW(Source!A328)</f>
        <v>328</v>
      </c>
      <c r="B145">
        <v>33992290</v>
      </c>
      <c r="C145">
        <v>33992285</v>
      </c>
      <c r="D145">
        <v>30063245</v>
      </c>
      <c r="E145">
        <v>1</v>
      </c>
      <c r="F145">
        <v>1</v>
      </c>
      <c r="G145">
        <v>29983435</v>
      </c>
      <c r="H145">
        <v>2</v>
      </c>
      <c r="I145" t="s">
        <v>740</v>
      </c>
      <c r="J145" t="s">
        <v>741</v>
      </c>
      <c r="K145" t="s">
        <v>742</v>
      </c>
      <c r="L145">
        <v>1367</v>
      </c>
      <c r="N145">
        <v>1011</v>
      </c>
      <c r="O145" t="s">
        <v>652</v>
      </c>
      <c r="P145" t="s">
        <v>652</v>
      </c>
      <c r="Q145">
        <v>1</v>
      </c>
      <c r="X145">
        <v>3.9874999999999998</v>
      </c>
      <c r="Y145">
        <v>0</v>
      </c>
      <c r="Z145">
        <v>162.4</v>
      </c>
      <c r="AA145">
        <v>28.6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3.9874999999999998</v>
      </c>
      <c r="AH145">
        <v>2</v>
      </c>
      <c r="AI145">
        <v>33992287</v>
      </c>
      <c r="AJ145">
        <v>144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ROW(Source!A328)</f>
        <v>328</v>
      </c>
      <c r="B146">
        <v>33992291</v>
      </c>
      <c r="C146">
        <v>33992285</v>
      </c>
      <c r="D146">
        <v>30063270</v>
      </c>
      <c r="E146">
        <v>1</v>
      </c>
      <c r="F146">
        <v>1</v>
      </c>
      <c r="G146">
        <v>29983435</v>
      </c>
      <c r="H146">
        <v>2</v>
      </c>
      <c r="I146" t="s">
        <v>743</v>
      </c>
      <c r="J146" t="s">
        <v>744</v>
      </c>
      <c r="K146" t="s">
        <v>745</v>
      </c>
      <c r="L146">
        <v>1367</v>
      </c>
      <c r="N146">
        <v>1011</v>
      </c>
      <c r="O146" t="s">
        <v>652</v>
      </c>
      <c r="P146" t="s">
        <v>652</v>
      </c>
      <c r="Q146">
        <v>1</v>
      </c>
      <c r="X146">
        <v>0.997</v>
      </c>
      <c r="Y146">
        <v>0</v>
      </c>
      <c r="Z146">
        <v>110.31</v>
      </c>
      <c r="AA146">
        <v>26.52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0.997</v>
      </c>
      <c r="AH146">
        <v>2</v>
      </c>
      <c r="AI146">
        <v>33992288</v>
      </c>
      <c r="AJ146">
        <v>145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ROW(Source!A329)</f>
        <v>329</v>
      </c>
      <c r="B147">
        <v>33992294</v>
      </c>
      <c r="C147">
        <v>33992292</v>
      </c>
      <c r="D147">
        <v>29983441</v>
      </c>
      <c r="E147">
        <v>29983435</v>
      </c>
      <c r="F147">
        <v>1</v>
      </c>
      <c r="G147">
        <v>29983435</v>
      </c>
      <c r="H147">
        <v>1</v>
      </c>
      <c r="I147" t="s">
        <v>646</v>
      </c>
      <c r="J147" t="s">
        <v>3</v>
      </c>
      <c r="K147" t="s">
        <v>647</v>
      </c>
      <c r="L147">
        <v>1191</v>
      </c>
      <c r="N147">
        <v>1013</v>
      </c>
      <c r="O147" t="s">
        <v>648</v>
      </c>
      <c r="P147" t="s">
        <v>648</v>
      </c>
      <c r="Q147">
        <v>1</v>
      </c>
      <c r="X147">
        <v>2.31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1</v>
      </c>
      <c r="AF147" t="s">
        <v>3</v>
      </c>
      <c r="AG147">
        <v>2.31</v>
      </c>
      <c r="AH147">
        <v>2</v>
      </c>
      <c r="AI147">
        <v>33992293</v>
      </c>
      <c r="AJ147">
        <v>146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ROW(Source!A330)</f>
        <v>330</v>
      </c>
      <c r="B148">
        <v>33992299</v>
      </c>
      <c r="C148">
        <v>33992295</v>
      </c>
      <c r="D148">
        <v>29983441</v>
      </c>
      <c r="E148">
        <v>29983435</v>
      </c>
      <c r="F148">
        <v>1</v>
      </c>
      <c r="G148">
        <v>29983435</v>
      </c>
      <c r="H148">
        <v>1</v>
      </c>
      <c r="I148" t="s">
        <v>646</v>
      </c>
      <c r="J148" t="s">
        <v>3</v>
      </c>
      <c r="K148" t="s">
        <v>647</v>
      </c>
      <c r="L148">
        <v>1191</v>
      </c>
      <c r="N148">
        <v>1013</v>
      </c>
      <c r="O148" t="s">
        <v>648</v>
      </c>
      <c r="P148" t="s">
        <v>648</v>
      </c>
      <c r="Q148">
        <v>1</v>
      </c>
      <c r="X148">
        <v>1.38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1</v>
      </c>
      <c r="AF148" t="s">
        <v>3</v>
      </c>
      <c r="AG148">
        <v>1.38</v>
      </c>
      <c r="AH148">
        <v>2</v>
      </c>
      <c r="AI148">
        <v>33992296</v>
      </c>
      <c r="AJ148">
        <v>147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ROW(Source!A330)</f>
        <v>330</v>
      </c>
      <c r="B149">
        <v>33992300</v>
      </c>
      <c r="C149">
        <v>33992295</v>
      </c>
      <c r="D149">
        <v>30063245</v>
      </c>
      <c r="E149">
        <v>1</v>
      </c>
      <c r="F149">
        <v>1</v>
      </c>
      <c r="G149">
        <v>29983435</v>
      </c>
      <c r="H149">
        <v>2</v>
      </c>
      <c r="I149" t="s">
        <v>740</v>
      </c>
      <c r="J149" t="s">
        <v>741</v>
      </c>
      <c r="K149" t="s">
        <v>742</v>
      </c>
      <c r="L149">
        <v>1367</v>
      </c>
      <c r="N149">
        <v>1011</v>
      </c>
      <c r="O149" t="s">
        <v>652</v>
      </c>
      <c r="P149" t="s">
        <v>652</v>
      </c>
      <c r="Q149">
        <v>1</v>
      </c>
      <c r="X149">
        <v>3.9874999999999998</v>
      </c>
      <c r="Y149">
        <v>0</v>
      </c>
      <c r="Z149">
        <v>162.4</v>
      </c>
      <c r="AA149">
        <v>28.6</v>
      </c>
      <c r="AB149">
        <v>0</v>
      </c>
      <c r="AC149">
        <v>0</v>
      </c>
      <c r="AD149">
        <v>1</v>
      </c>
      <c r="AE149">
        <v>0</v>
      </c>
      <c r="AF149" t="s">
        <v>3</v>
      </c>
      <c r="AG149">
        <v>3.9874999999999998</v>
      </c>
      <c r="AH149">
        <v>2</v>
      </c>
      <c r="AI149">
        <v>33992297</v>
      </c>
      <c r="AJ149">
        <v>148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ROW(Source!A330)</f>
        <v>330</v>
      </c>
      <c r="B150">
        <v>33992301</v>
      </c>
      <c r="C150">
        <v>33992295</v>
      </c>
      <c r="D150">
        <v>30063270</v>
      </c>
      <c r="E150">
        <v>1</v>
      </c>
      <c r="F150">
        <v>1</v>
      </c>
      <c r="G150">
        <v>29983435</v>
      </c>
      <c r="H150">
        <v>2</v>
      </c>
      <c r="I150" t="s">
        <v>743</v>
      </c>
      <c r="J150" t="s">
        <v>744</v>
      </c>
      <c r="K150" t="s">
        <v>745</v>
      </c>
      <c r="L150">
        <v>1367</v>
      </c>
      <c r="N150">
        <v>1011</v>
      </c>
      <c r="O150" t="s">
        <v>652</v>
      </c>
      <c r="P150" t="s">
        <v>652</v>
      </c>
      <c r="Q150">
        <v>1</v>
      </c>
      <c r="X150">
        <v>0.997</v>
      </c>
      <c r="Y150">
        <v>0</v>
      </c>
      <c r="Z150">
        <v>110.31</v>
      </c>
      <c r="AA150">
        <v>26.52</v>
      </c>
      <c r="AB150">
        <v>0</v>
      </c>
      <c r="AC150">
        <v>0</v>
      </c>
      <c r="AD150">
        <v>1</v>
      </c>
      <c r="AE150">
        <v>0</v>
      </c>
      <c r="AF150" t="s">
        <v>3</v>
      </c>
      <c r="AG150">
        <v>0.997</v>
      </c>
      <c r="AH150">
        <v>2</v>
      </c>
      <c r="AI150">
        <v>33992298</v>
      </c>
      <c r="AJ150">
        <v>149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ROW(Source!A331)</f>
        <v>331</v>
      </c>
      <c r="B151">
        <v>33992304</v>
      </c>
      <c r="C151">
        <v>33992302</v>
      </c>
      <c r="D151">
        <v>29983441</v>
      </c>
      <c r="E151">
        <v>29983435</v>
      </c>
      <c r="F151">
        <v>1</v>
      </c>
      <c r="G151">
        <v>29983435</v>
      </c>
      <c r="H151">
        <v>1</v>
      </c>
      <c r="I151" t="s">
        <v>646</v>
      </c>
      <c r="J151" t="s">
        <v>3</v>
      </c>
      <c r="K151" t="s">
        <v>647</v>
      </c>
      <c r="L151">
        <v>1191</v>
      </c>
      <c r="N151">
        <v>1013</v>
      </c>
      <c r="O151" t="s">
        <v>648</v>
      </c>
      <c r="P151" t="s">
        <v>648</v>
      </c>
      <c r="Q151">
        <v>1</v>
      </c>
      <c r="X151">
        <v>83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1</v>
      </c>
      <c r="AF151" t="s">
        <v>3</v>
      </c>
      <c r="AG151">
        <v>83</v>
      </c>
      <c r="AH151">
        <v>2</v>
      </c>
      <c r="AI151">
        <v>33992303</v>
      </c>
      <c r="AJ151">
        <v>150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ROW(Source!A332)</f>
        <v>332</v>
      </c>
      <c r="B152">
        <v>34039093</v>
      </c>
      <c r="C152">
        <v>33992305</v>
      </c>
      <c r="D152">
        <v>30064124</v>
      </c>
      <c r="E152">
        <v>1</v>
      </c>
      <c r="F152">
        <v>1</v>
      </c>
      <c r="G152">
        <v>29983435</v>
      </c>
      <c r="H152">
        <v>2</v>
      </c>
      <c r="I152" t="s">
        <v>746</v>
      </c>
      <c r="J152" t="s">
        <v>747</v>
      </c>
      <c r="K152" t="s">
        <v>748</v>
      </c>
      <c r="L152">
        <v>1367</v>
      </c>
      <c r="N152">
        <v>1011</v>
      </c>
      <c r="O152" t="s">
        <v>652</v>
      </c>
      <c r="P152" t="s">
        <v>652</v>
      </c>
      <c r="Q152">
        <v>1</v>
      </c>
      <c r="X152">
        <v>1</v>
      </c>
      <c r="Y152">
        <v>0</v>
      </c>
      <c r="Z152">
        <v>162.03</v>
      </c>
      <c r="AA152">
        <v>16.920000000000002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1</v>
      </c>
      <c r="AH152">
        <v>2</v>
      </c>
      <c r="AI152">
        <v>34039093</v>
      </c>
      <c r="AJ152">
        <v>151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ROW(Source!A333)</f>
        <v>333</v>
      </c>
      <c r="B153">
        <v>33995754</v>
      </c>
      <c r="C153">
        <v>33992308</v>
      </c>
      <c r="D153">
        <v>29983439</v>
      </c>
      <c r="E153">
        <v>29983435</v>
      </c>
      <c r="F153">
        <v>1</v>
      </c>
      <c r="G153">
        <v>29983435</v>
      </c>
      <c r="H153">
        <v>2</v>
      </c>
      <c r="I153" t="s">
        <v>674</v>
      </c>
      <c r="J153" t="s">
        <v>3</v>
      </c>
      <c r="K153" t="s">
        <v>675</v>
      </c>
      <c r="L153">
        <v>1344</v>
      </c>
      <c r="N153">
        <v>1008</v>
      </c>
      <c r="O153" t="s">
        <v>676</v>
      </c>
      <c r="P153" t="s">
        <v>676</v>
      </c>
      <c r="Q153">
        <v>1</v>
      </c>
      <c r="X153">
        <v>12.61</v>
      </c>
      <c r="Y153">
        <v>0</v>
      </c>
      <c r="Z153">
        <v>1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3</v>
      </c>
      <c r="AG153">
        <v>12.61</v>
      </c>
      <c r="AH153">
        <v>2</v>
      </c>
      <c r="AI153">
        <v>33995754</v>
      </c>
      <c r="AJ153">
        <v>152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ROW(Source!A334)</f>
        <v>334</v>
      </c>
      <c r="B154">
        <v>33992316</v>
      </c>
      <c r="C154">
        <v>33992311</v>
      </c>
      <c r="D154">
        <v>29983441</v>
      </c>
      <c r="E154">
        <v>29983435</v>
      </c>
      <c r="F154">
        <v>1</v>
      </c>
      <c r="G154">
        <v>29983435</v>
      </c>
      <c r="H154">
        <v>1</v>
      </c>
      <c r="I154" t="s">
        <v>646</v>
      </c>
      <c r="J154" t="s">
        <v>3</v>
      </c>
      <c r="K154" t="s">
        <v>647</v>
      </c>
      <c r="L154">
        <v>1191</v>
      </c>
      <c r="N154">
        <v>1013</v>
      </c>
      <c r="O154" t="s">
        <v>648</v>
      </c>
      <c r="P154" t="s">
        <v>648</v>
      </c>
      <c r="Q154">
        <v>1</v>
      </c>
      <c r="X154">
        <v>26.78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1</v>
      </c>
      <c r="AF154" t="s">
        <v>3</v>
      </c>
      <c r="AG154">
        <v>26.78</v>
      </c>
      <c r="AH154">
        <v>2</v>
      </c>
      <c r="AI154">
        <v>33992312</v>
      </c>
      <c r="AJ154">
        <v>153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ROW(Source!A334)</f>
        <v>334</v>
      </c>
      <c r="B155">
        <v>33992317</v>
      </c>
      <c r="C155">
        <v>33992311</v>
      </c>
      <c r="D155">
        <v>30063296</v>
      </c>
      <c r="E155">
        <v>1</v>
      </c>
      <c r="F155">
        <v>1</v>
      </c>
      <c r="G155">
        <v>29983435</v>
      </c>
      <c r="H155">
        <v>2</v>
      </c>
      <c r="I155" t="s">
        <v>763</v>
      </c>
      <c r="J155" t="s">
        <v>764</v>
      </c>
      <c r="K155" t="s">
        <v>765</v>
      </c>
      <c r="L155">
        <v>1367</v>
      </c>
      <c r="N155">
        <v>1011</v>
      </c>
      <c r="O155" t="s">
        <v>652</v>
      </c>
      <c r="P155" t="s">
        <v>652</v>
      </c>
      <c r="Q155">
        <v>1</v>
      </c>
      <c r="X155">
        <v>0.05</v>
      </c>
      <c r="Y155">
        <v>0</v>
      </c>
      <c r="Z155">
        <v>97.54</v>
      </c>
      <c r="AA155">
        <v>20.82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0.05</v>
      </c>
      <c r="AH155">
        <v>2</v>
      </c>
      <c r="AI155">
        <v>33992313</v>
      </c>
      <c r="AJ155">
        <v>154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ROW(Source!A334)</f>
        <v>334</v>
      </c>
      <c r="B156">
        <v>33992318</v>
      </c>
      <c r="C156">
        <v>33992311</v>
      </c>
      <c r="D156">
        <v>29983439</v>
      </c>
      <c r="E156">
        <v>29983435</v>
      </c>
      <c r="F156">
        <v>1</v>
      </c>
      <c r="G156">
        <v>29983435</v>
      </c>
      <c r="H156">
        <v>2</v>
      </c>
      <c r="I156" t="s">
        <v>674</v>
      </c>
      <c r="J156" t="s">
        <v>3</v>
      </c>
      <c r="K156" t="s">
        <v>675</v>
      </c>
      <c r="L156">
        <v>1344</v>
      </c>
      <c r="N156">
        <v>1008</v>
      </c>
      <c r="O156" t="s">
        <v>676</v>
      </c>
      <c r="P156" t="s">
        <v>676</v>
      </c>
      <c r="Q156">
        <v>1</v>
      </c>
      <c r="X156">
        <v>0.12</v>
      </c>
      <c r="Y156">
        <v>0</v>
      </c>
      <c r="Z156">
        <v>1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0.12</v>
      </c>
      <c r="AH156">
        <v>2</v>
      </c>
      <c r="AI156">
        <v>33992314</v>
      </c>
      <c r="AJ156">
        <v>155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ROW(Source!A334)</f>
        <v>334</v>
      </c>
      <c r="B157">
        <v>33992319</v>
      </c>
      <c r="C157">
        <v>33992311</v>
      </c>
      <c r="D157">
        <v>29990377</v>
      </c>
      <c r="E157">
        <v>29983435</v>
      </c>
      <c r="F157">
        <v>1</v>
      </c>
      <c r="G157">
        <v>29983435</v>
      </c>
      <c r="H157">
        <v>3</v>
      </c>
      <c r="I157" t="s">
        <v>901</v>
      </c>
      <c r="J157" t="s">
        <v>3</v>
      </c>
      <c r="K157" t="s">
        <v>281</v>
      </c>
      <c r="L157">
        <v>1339</v>
      </c>
      <c r="N157">
        <v>1007</v>
      </c>
      <c r="O157" t="s">
        <v>66</v>
      </c>
      <c r="P157" t="s">
        <v>66</v>
      </c>
      <c r="Q157">
        <v>1</v>
      </c>
      <c r="X157">
        <v>15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 t="s">
        <v>3</v>
      </c>
      <c r="AG157">
        <v>15</v>
      </c>
      <c r="AH157">
        <v>3</v>
      </c>
      <c r="AI157">
        <v>-1</v>
      </c>
      <c r="AJ157" t="s">
        <v>3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ROW(Source!A336)</f>
        <v>336</v>
      </c>
      <c r="B158">
        <v>33992324</v>
      </c>
      <c r="C158">
        <v>33992321</v>
      </c>
      <c r="D158">
        <v>29983441</v>
      </c>
      <c r="E158">
        <v>29983435</v>
      </c>
      <c r="F158">
        <v>1</v>
      </c>
      <c r="G158">
        <v>29983435</v>
      </c>
      <c r="H158">
        <v>1</v>
      </c>
      <c r="I158" t="s">
        <v>646</v>
      </c>
      <c r="J158" t="s">
        <v>3</v>
      </c>
      <c r="K158" t="s">
        <v>647</v>
      </c>
      <c r="L158">
        <v>1191</v>
      </c>
      <c r="N158">
        <v>1013</v>
      </c>
      <c r="O158" t="s">
        <v>648</v>
      </c>
      <c r="P158" t="s">
        <v>648</v>
      </c>
      <c r="Q158">
        <v>1</v>
      </c>
      <c r="X158">
        <v>40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1</v>
      </c>
      <c r="AF158" t="s">
        <v>3</v>
      </c>
      <c r="AG158">
        <v>40</v>
      </c>
      <c r="AH158">
        <v>2</v>
      </c>
      <c r="AI158">
        <v>33992322</v>
      </c>
      <c r="AJ158">
        <v>157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ROW(Source!A336)</f>
        <v>336</v>
      </c>
      <c r="B159">
        <v>33992325</v>
      </c>
      <c r="C159">
        <v>33992321</v>
      </c>
      <c r="D159">
        <v>29990377</v>
      </c>
      <c r="E159">
        <v>29983435</v>
      </c>
      <c r="F159">
        <v>1</v>
      </c>
      <c r="G159">
        <v>29983435</v>
      </c>
      <c r="H159">
        <v>3</v>
      </c>
      <c r="I159" t="s">
        <v>901</v>
      </c>
      <c r="J159" t="s">
        <v>3</v>
      </c>
      <c r="K159" t="s">
        <v>281</v>
      </c>
      <c r="L159">
        <v>1339</v>
      </c>
      <c r="N159">
        <v>1007</v>
      </c>
      <c r="O159" t="s">
        <v>66</v>
      </c>
      <c r="P159" t="s">
        <v>66</v>
      </c>
      <c r="Q159">
        <v>1</v>
      </c>
      <c r="X159">
        <v>15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 t="s">
        <v>3</v>
      </c>
      <c r="AG159">
        <v>15</v>
      </c>
      <c r="AH159">
        <v>3</v>
      </c>
      <c r="AI159">
        <v>-1</v>
      </c>
      <c r="AJ159" t="s">
        <v>3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ROW(Source!A338)</f>
        <v>338</v>
      </c>
      <c r="B160">
        <v>33992330</v>
      </c>
      <c r="C160">
        <v>33992327</v>
      </c>
      <c r="D160">
        <v>29983441</v>
      </c>
      <c r="E160">
        <v>29983435</v>
      </c>
      <c r="F160">
        <v>1</v>
      </c>
      <c r="G160">
        <v>29983435</v>
      </c>
      <c r="H160">
        <v>1</v>
      </c>
      <c r="I160" t="s">
        <v>646</v>
      </c>
      <c r="J160" t="s">
        <v>3</v>
      </c>
      <c r="K160" t="s">
        <v>647</v>
      </c>
      <c r="L160">
        <v>1191</v>
      </c>
      <c r="N160">
        <v>1013</v>
      </c>
      <c r="O160" t="s">
        <v>648</v>
      </c>
      <c r="P160" t="s">
        <v>648</v>
      </c>
      <c r="Q160">
        <v>1</v>
      </c>
      <c r="X160">
        <v>5.47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1</v>
      </c>
      <c r="AF160" t="s">
        <v>3</v>
      </c>
      <c r="AG160">
        <v>5.47</v>
      </c>
      <c r="AH160">
        <v>2</v>
      </c>
      <c r="AI160">
        <v>33992328</v>
      </c>
      <c r="AJ160">
        <v>159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ROW(Source!A338)</f>
        <v>338</v>
      </c>
      <c r="B161">
        <v>33992331</v>
      </c>
      <c r="C161">
        <v>33992327</v>
      </c>
      <c r="D161">
        <v>29990377</v>
      </c>
      <c r="E161">
        <v>29983435</v>
      </c>
      <c r="F161">
        <v>1</v>
      </c>
      <c r="G161">
        <v>29983435</v>
      </c>
      <c r="H161">
        <v>3</v>
      </c>
      <c r="I161" t="s">
        <v>901</v>
      </c>
      <c r="J161" t="s">
        <v>3</v>
      </c>
      <c r="K161" t="s">
        <v>281</v>
      </c>
      <c r="L161">
        <v>1339</v>
      </c>
      <c r="N161">
        <v>1007</v>
      </c>
      <c r="O161" t="s">
        <v>66</v>
      </c>
      <c r="P161" t="s">
        <v>66</v>
      </c>
      <c r="Q161">
        <v>1</v>
      </c>
      <c r="X161">
        <v>5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 t="s">
        <v>3</v>
      </c>
      <c r="AG161">
        <v>5</v>
      </c>
      <c r="AH161">
        <v>3</v>
      </c>
      <c r="AI161">
        <v>-1</v>
      </c>
      <c r="AJ161" t="s">
        <v>3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ROW(Source!A340)</f>
        <v>340</v>
      </c>
      <c r="B162">
        <v>33992337</v>
      </c>
      <c r="C162">
        <v>33992333</v>
      </c>
      <c r="D162">
        <v>29983441</v>
      </c>
      <c r="E162">
        <v>29983435</v>
      </c>
      <c r="F162">
        <v>1</v>
      </c>
      <c r="G162">
        <v>29983435</v>
      </c>
      <c r="H162">
        <v>1</v>
      </c>
      <c r="I162" t="s">
        <v>646</v>
      </c>
      <c r="J162" t="s">
        <v>3</v>
      </c>
      <c r="K162" t="s">
        <v>647</v>
      </c>
      <c r="L162">
        <v>1191</v>
      </c>
      <c r="N162">
        <v>1013</v>
      </c>
      <c r="O162" t="s">
        <v>648</v>
      </c>
      <c r="P162" t="s">
        <v>648</v>
      </c>
      <c r="Q162">
        <v>1</v>
      </c>
      <c r="X162">
        <v>5.25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1</v>
      </c>
      <c r="AF162" t="s">
        <v>3</v>
      </c>
      <c r="AG162">
        <v>5.25</v>
      </c>
      <c r="AH162">
        <v>2</v>
      </c>
      <c r="AI162">
        <v>33992334</v>
      </c>
      <c r="AJ162">
        <v>161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ROW(Source!A340)</f>
        <v>340</v>
      </c>
      <c r="B163">
        <v>33992338</v>
      </c>
      <c r="C163">
        <v>33992333</v>
      </c>
      <c r="D163">
        <v>30042537</v>
      </c>
      <c r="E163">
        <v>1</v>
      </c>
      <c r="F163">
        <v>1</v>
      </c>
      <c r="G163">
        <v>29983435</v>
      </c>
      <c r="H163">
        <v>3</v>
      </c>
      <c r="I163" t="s">
        <v>467</v>
      </c>
      <c r="J163" t="s">
        <v>469</v>
      </c>
      <c r="K163" t="s">
        <v>468</v>
      </c>
      <c r="L163">
        <v>1339</v>
      </c>
      <c r="N163">
        <v>1007</v>
      </c>
      <c r="O163" t="s">
        <v>66</v>
      </c>
      <c r="P163" t="s">
        <v>66</v>
      </c>
      <c r="Q163">
        <v>1</v>
      </c>
      <c r="X163">
        <v>10</v>
      </c>
      <c r="Y163">
        <v>7.07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10</v>
      </c>
      <c r="AH163">
        <v>2</v>
      </c>
      <c r="AI163">
        <v>33992335</v>
      </c>
      <c r="AJ163">
        <v>162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ROW(Source!A340)</f>
        <v>340</v>
      </c>
      <c r="B164">
        <v>33992339</v>
      </c>
      <c r="C164">
        <v>33992333</v>
      </c>
      <c r="D164">
        <v>29986514</v>
      </c>
      <c r="E164">
        <v>29983435</v>
      </c>
      <c r="F164">
        <v>1</v>
      </c>
      <c r="G164">
        <v>29983435</v>
      </c>
      <c r="H164">
        <v>3</v>
      </c>
      <c r="I164" t="s">
        <v>902</v>
      </c>
      <c r="J164" t="s">
        <v>3</v>
      </c>
      <c r="K164" t="s">
        <v>903</v>
      </c>
      <c r="L164">
        <v>1346</v>
      </c>
      <c r="N164">
        <v>1009</v>
      </c>
      <c r="O164" t="s">
        <v>300</v>
      </c>
      <c r="P164" t="s">
        <v>300</v>
      </c>
      <c r="Q164">
        <v>1</v>
      </c>
      <c r="X164">
        <v>4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 t="s">
        <v>3</v>
      </c>
      <c r="AG164">
        <v>4</v>
      </c>
      <c r="AH164">
        <v>3</v>
      </c>
      <c r="AI164">
        <v>-1</v>
      </c>
      <c r="AJ164" t="s">
        <v>3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ROW(Source!A378)</f>
        <v>378</v>
      </c>
      <c r="B165">
        <v>33992345</v>
      </c>
      <c r="C165">
        <v>33992341</v>
      </c>
      <c r="D165">
        <v>29983441</v>
      </c>
      <c r="E165">
        <v>29983435</v>
      </c>
      <c r="F165">
        <v>1</v>
      </c>
      <c r="G165">
        <v>29983435</v>
      </c>
      <c r="H165">
        <v>1</v>
      </c>
      <c r="I165" t="s">
        <v>646</v>
      </c>
      <c r="J165" t="s">
        <v>3</v>
      </c>
      <c r="K165" t="s">
        <v>647</v>
      </c>
      <c r="L165">
        <v>1191</v>
      </c>
      <c r="N165">
        <v>1013</v>
      </c>
      <c r="O165" t="s">
        <v>648</v>
      </c>
      <c r="P165" t="s">
        <v>648</v>
      </c>
      <c r="Q165">
        <v>1</v>
      </c>
      <c r="X165">
        <v>1.38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1</v>
      </c>
      <c r="AF165" t="s">
        <v>3</v>
      </c>
      <c r="AG165">
        <v>1.38</v>
      </c>
      <c r="AH165">
        <v>2</v>
      </c>
      <c r="AI165">
        <v>33992342</v>
      </c>
      <c r="AJ165">
        <v>164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ROW(Source!A378)</f>
        <v>378</v>
      </c>
      <c r="B166">
        <v>33992346</v>
      </c>
      <c r="C166">
        <v>33992341</v>
      </c>
      <c r="D166">
        <v>30063245</v>
      </c>
      <c r="E166">
        <v>1</v>
      </c>
      <c r="F166">
        <v>1</v>
      </c>
      <c r="G166">
        <v>29983435</v>
      </c>
      <c r="H166">
        <v>2</v>
      </c>
      <c r="I166" t="s">
        <v>740</v>
      </c>
      <c r="J166" t="s">
        <v>741</v>
      </c>
      <c r="K166" t="s">
        <v>742</v>
      </c>
      <c r="L166">
        <v>1367</v>
      </c>
      <c r="N166">
        <v>1011</v>
      </c>
      <c r="O166" t="s">
        <v>652</v>
      </c>
      <c r="P166" t="s">
        <v>652</v>
      </c>
      <c r="Q166">
        <v>1</v>
      </c>
      <c r="X166">
        <v>3.9874999999999998</v>
      </c>
      <c r="Y166">
        <v>0</v>
      </c>
      <c r="Z166">
        <v>162.4</v>
      </c>
      <c r="AA166">
        <v>28.6</v>
      </c>
      <c r="AB166">
        <v>0</v>
      </c>
      <c r="AC166">
        <v>0</v>
      </c>
      <c r="AD166">
        <v>1</v>
      </c>
      <c r="AE166">
        <v>0</v>
      </c>
      <c r="AF166" t="s">
        <v>3</v>
      </c>
      <c r="AG166">
        <v>3.9874999999999998</v>
      </c>
      <c r="AH166">
        <v>2</v>
      </c>
      <c r="AI166">
        <v>33992343</v>
      </c>
      <c r="AJ166">
        <v>165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ROW(Source!A378)</f>
        <v>378</v>
      </c>
      <c r="B167">
        <v>33992347</v>
      </c>
      <c r="C167">
        <v>33992341</v>
      </c>
      <c r="D167">
        <v>30063270</v>
      </c>
      <c r="E167">
        <v>1</v>
      </c>
      <c r="F167">
        <v>1</v>
      </c>
      <c r="G167">
        <v>29983435</v>
      </c>
      <c r="H167">
        <v>2</v>
      </c>
      <c r="I167" t="s">
        <v>743</v>
      </c>
      <c r="J167" t="s">
        <v>744</v>
      </c>
      <c r="K167" t="s">
        <v>745</v>
      </c>
      <c r="L167">
        <v>1367</v>
      </c>
      <c r="N167">
        <v>1011</v>
      </c>
      <c r="O167" t="s">
        <v>652</v>
      </c>
      <c r="P167" t="s">
        <v>652</v>
      </c>
      <c r="Q167">
        <v>1</v>
      </c>
      <c r="X167">
        <v>0.997</v>
      </c>
      <c r="Y167">
        <v>0</v>
      </c>
      <c r="Z167">
        <v>110.31</v>
      </c>
      <c r="AA167">
        <v>26.52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0.997</v>
      </c>
      <c r="AH167">
        <v>2</v>
      </c>
      <c r="AI167">
        <v>33992344</v>
      </c>
      <c r="AJ167">
        <v>166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ROW(Source!A379)</f>
        <v>379</v>
      </c>
      <c r="B168">
        <v>33992350</v>
      </c>
      <c r="C168">
        <v>33992348</v>
      </c>
      <c r="D168">
        <v>29983441</v>
      </c>
      <c r="E168">
        <v>29983435</v>
      </c>
      <c r="F168">
        <v>1</v>
      </c>
      <c r="G168">
        <v>29983435</v>
      </c>
      <c r="H168">
        <v>1</v>
      </c>
      <c r="I168" t="s">
        <v>646</v>
      </c>
      <c r="J168" t="s">
        <v>3</v>
      </c>
      <c r="K168" t="s">
        <v>647</v>
      </c>
      <c r="L168">
        <v>1191</v>
      </c>
      <c r="N168">
        <v>1013</v>
      </c>
      <c r="O168" t="s">
        <v>648</v>
      </c>
      <c r="P168" t="s">
        <v>648</v>
      </c>
      <c r="Q168">
        <v>1</v>
      </c>
      <c r="X168">
        <v>83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1</v>
      </c>
      <c r="AF168" t="s">
        <v>3</v>
      </c>
      <c r="AG168">
        <v>83</v>
      </c>
      <c r="AH168">
        <v>2</v>
      </c>
      <c r="AI168">
        <v>33992349</v>
      </c>
      <c r="AJ168">
        <v>167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ROW(Source!A380)</f>
        <v>380</v>
      </c>
      <c r="B169">
        <v>34039096</v>
      </c>
      <c r="C169">
        <v>33992351</v>
      </c>
      <c r="D169">
        <v>30064124</v>
      </c>
      <c r="E169">
        <v>1</v>
      </c>
      <c r="F169">
        <v>1</v>
      </c>
      <c r="G169">
        <v>29983435</v>
      </c>
      <c r="H169">
        <v>2</v>
      </c>
      <c r="I169" t="s">
        <v>746</v>
      </c>
      <c r="J169" t="s">
        <v>747</v>
      </c>
      <c r="K169" t="s">
        <v>748</v>
      </c>
      <c r="L169">
        <v>1367</v>
      </c>
      <c r="N169">
        <v>1011</v>
      </c>
      <c r="O169" t="s">
        <v>652</v>
      </c>
      <c r="P169" t="s">
        <v>652</v>
      </c>
      <c r="Q169">
        <v>1</v>
      </c>
      <c r="X169">
        <v>1</v>
      </c>
      <c r="Y169">
        <v>0</v>
      </c>
      <c r="Z169">
        <v>162.03</v>
      </c>
      <c r="AA169">
        <v>16.920000000000002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1</v>
      </c>
      <c r="AH169">
        <v>2</v>
      </c>
      <c r="AI169">
        <v>34039096</v>
      </c>
      <c r="AJ169">
        <v>168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ROW(Source!A381)</f>
        <v>381</v>
      </c>
      <c r="B170">
        <v>33995756</v>
      </c>
      <c r="C170">
        <v>33992354</v>
      </c>
      <c r="D170">
        <v>29983439</v>
      </c>
      <c r="E170">
        <v>29983435</v>
      </c>
      <c r="F170">
        <v>1</v>
      </c>
      <c r="G170">
        <v>29983435</v>
      </c>
      <c r="H170">
        <v>2</v>
      </c>
      <c r="I170" t="s">
        <v>674</v>
      </c>
      <c r="J170" t="s">
        <v>3</v>
      </c>
      <c r="K170" t="s">
        <v>675</v>
      </c>
      <c r="L170">
        <v>1344</v>
      </c>
      <c r="N170">
        <v>1008</v>
      </c>
      <c r="O170" t="s">
        <v>676</v>
      </c>
      <c r="P170" t="s">
        <v>676</v>
      </c>
      <c r="Q170">
        <v>1</v>
      </c>
      <c r="X170">
        <v>12.61</v>
      </c>
      <c r="Y170">
        <v>0</v>
      </c>
      <c r="Z170">
        <v>1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12.61</v>
      </c>
      <c r="AH170">
        <v>2</v>
      </c>
      <c r="AI170">
        <v>33995756</v>
      </c>
      <c r="AJ170">
        <v>169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ROW(Source!A382)</f>
        <v>382</v>
      </c>
      <c r="B171">
        <v>33992363</v>
      </c>
      <c r="C171">
        <v>33992357</v>
      </c>
      <c r="D171">
        <v>29983441</v>
      </c>
      <c r="E171">
        <v>29983435</v>
      </c>
      <c r="F171">
        <v>1</v>
      </c>
      <c r="G171">
        <v>29983435</v>
      </c>
      <c r="H171">
        <v>1</v>
      </c>
      <c r="I171" t="s">
        <v>646</v>
      </c>
      <c r="J171" t="s">
        <v>3</v>
      </c>
      <c r="K171" t="s">
        <v>647</v>
      </c>
      <c r="L171">
        <v>1191</v>
      </c>
      <c r="N171">
        <v>1013</v>
      </c>
      <c r="O171" t="s">
        <v>648</v>
      </c>
      <c r="P171" t="s">
        <v>648</v>
      </c>
      <c r="Q171">
        <v>1</v>
      </c>
      <c r="X171">
        <v>9.66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1</v>
      </c>
      <c r="AF171" t="s">
        <v>3</v>
      </c>
      <c r="AG171">
        <v>9.66</v>
      </c>
      <c r="AH171">
        <v>2</v>
      </c>
      <c r="AI171">
        <v>33992358</v>
      </c>
      <c r="AJ171">
        <v>170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ROW(Source!A382)</f>
        <v>382</v>
      </c>
      <c r="B172">
        <v>33992364</v>
      </c>
      <c r="C172">
        <v>33992357</v>
      </c>
      <c r="D172">
        <v>30063964</v>
      </c>
      <c r="E172">
        <v>1</v>
      </c>
      <c r="F172">
        <v>1</v>
      </c>
      <c r="G172">
        <v>29983435</v>
      </c>
      <c r="H172">
        <v>2</v>
      </c>
      <c r="I172" t="s">
        <v>766</v>
      </c>
      <c r="J172" t="s">
        <v>767</v>
      </c>
      <c r="K172" t="s">
        <v>768</v>
      </c>
      <c r="L172">
        <v>1367</v>
      </c>
      <c r="N172">
        <v>1011</v>
      </c>
      <c r="O172" t="s">
        <v>652</v>
      </c>
      <c r="P172" t="s">
        <v>652</v>
      </c>
      <c r="Q172">
        <v>1</v>
      </c>
      <c r="X172">
        <v>0.2</v>
      </c>
      <c r="Y172">
        <v>0</v>
      </c>
      <c r="Z172">
        <v>5.31</v>
      </c>
      <c r="AA172">
        <v>0.36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0.2</v>
      </c>
      <c r="AH172">
        <v>2</v>
      </c>
      <c r="AI172">
        <v>33992359</v>
      </c>
      <c r="AJ172">
        <v>171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ROW(Source!A382)</f>
        <v>382</v>
      </c>
      <c r="B173">
        <v>33992365</v>
      </c>
      <c r="C173">
        <v>33992357</v>
      </c>
      <c r="D173">
        <v>30063296</v>
      </c>
      <c r="E173">
        <v>1</v>
      </c>
      <c r="F173">
        <v>1</v>
      </c>
      <c r="G173">
        <v>29983435</v>
      </c>
      <c r="H173">
        <v>2</v>
      </c>
      <c r="I173" t="s">
        <v>763</v>
      </c>
      <c r="J173" t="s">
        <v>764</v>
      </c>
      <c r="K173" t="s">
        <v>765</v>
      </c>
      <c r="L173">
        <v>1367</v>
      </c>
      <c r="N173">
        <v>1011</v>
      </c>
      <c r="O173" t="s">
        <v>652</v>
      </c>
      <c r="P173" t="s">
        <v>652</v>
      </c>
      <c r="Q173">
        <v>1</v>
      </c>
      <c r="X173">
        <v>0.2</v>
      </c>
      <c r="Y173">
        <v>0</v>
      </c>
      <c r="Z173">
        <v>97.54</v>
      </c>
      <c r="AA173">
        <v>20.82</v>
      </c>
      <c r="AB173">
        <v>0</v>
      </c>
      <c r="AC173">
        <v>0</v>
      </c>
      <c r="AD173">
        <v>1</v>
      </c>
      <c r="AE173">
        <v>0</v>
      </c>
      <c r="AF173" t="s">
        <v>3</v>
      </c>
      <c r="AG173">
        <v>0.2</v>
      </c>
      <c r="AH173">
        <v>2</v>
      </c>
      <c r="AI173">
        <v>33992360</v>
      </c>
      <c r="AJ173">
        <v>172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ROW(Source!A382)</f>
        <v>382</v>
      </c>
      <c r="B174">
        <v>33992366</v>
      </c>
      <c r="C174">
        <v>33992357</v>
      </c>
      <c r="D174">
        <v>30057923</v>
      </c>
      <c r="E174">
        <v>1</v>
      </c>
      <c r="F174">
        <v>1</v>
      </c>
      <c r="G174">
        <v>29983435</v>
      </c>
      <c r="H174">
        <v>3</v>
      </c>
      <c r="I174" t="s">
        <v>769</v>
      </c>
      <c r="J174" t="s">
        <v>770</v>
      </c>
      <c r="K174" t="s">
        <v>771</v>
      </c>
      <c r="L174">
        <v>1339</v>
      </c>
      <c r="N174">
        <v>1007</v>
      </c>
      <c r="O174" t="s">
        <v>66</v>
      </c>
      <c r="P174" t="s">
        <v>66</v>
      </c>
      <c r="Q174">
        <v>1</v>
      </c>
      <c r="X174">
        <v>0.7</v>
      </c>
      <c r="Y174">
        <v>407.48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F174" t="s">
        <v>3</v>
      </c>
      <c r="AG174">
        <v>0.7</v>
      </c>
      <c r="AH174">
        <v>2</v>
      </c>
      <c r="AI174">
        <v>33992361</v>
      </c>
      <c r="AJ174">
        <v>174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ROW(Source!A382)</f>
        <v>382</v>
      </c>
      <c r="B175">
        <v>33992367</v>
      </c>
      <c r="C175">
        <v>33992357</v>
      </c>
      <c r="D175">
        <v>29990377</v>
      </c>
      <c r="E175">
        <v>29983435</v>
      </c>
      <c r="F175">
        <v>1</v>
      </c>
      <c r="G175">
        <v>29983435</v>
      </c>
      <c r="H175">
        <v>3</v>
      </c>
      <c r="I175" t="s">
        <v>901</v>
      </c>
      <c r="J175" t="s">
        <v>3</v>
      </c>
      <c r="K175" t="s">
        <v>281</v>
      </c>
      <c r="L175">
        <v>1339</v>
      </c>
      <c r="N175">
        <v>1007</v>
      </c>
      <c r="O175" t="s">
        <v>66</v>
      </c>
      <c r="P175" t="s">
        <v>66</v>
      </c>
      <c r="Q175">
        <v>1</v>
      </c>
      <c r="X175">
        <v>2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 t="s">
        <v>3</v>
      </c>
      <c r="AG175">
        <v>2</v>
      </c>
      <c r="AH175">
        <v>3</v>
      </c>
      <c r="AI175">
        <v>-1</v>
      </c>
      <c r="AJ175" t="s">
        <v>3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ROW(Source!A384)</f>
        <v>384</v>
      </c>
      <c r="B176">
        <v>33992373</v>
      </c>
      <c r="C176">
        <v>33992369</v>
      </c>
      <c r="D176">
        <v>29983441</v>
      </c>
      <c r="E176">
        <v>29983435</v>
      </c>
      <c r="F176">
        <v>1</v>
      </c>
      <c r="G176">
        <v>29983435</v>
      </c>
      <c r="H176">
        <v>1</v>
      </c>
      <c r="I176" t="s">
        <v>646</v>
      </c>
      <c r="J176" t="s">
        <v>3</v>
      </c>
      <c r="K176" t="s">
        <v>647</v>
      </c>
      <c r="L176">
        <v>1191</v>
      </c>
      <c r="N176">
        <v>1013</v>
      </c>
      <c r="O176" t="s">
        <v>648</v>
      </c>
      <c r="P176" t="s">
        <v>648</v>
      </c>
      <c r="Q176">
        <v>1</v>
      </c>
      <c r="X176">
        <v>14.6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1</v>
      </c>
      <c r="AF176" t="s">
        <v>3</v>
      </c>
      <c r="AG176">
        <v>14.6</v>
      </c>
      <c r="AH176">
        <v>2</v>
      </c>
      <c r="AI176">
        <v>33992370</v>
      </c>
      <c r="AJ176">
        <v>175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ROW(Source!A384)</f>
        <v>384</v>
      </c>
      <c r="B177">
        <v>33992374</v>
      </c>
      <c r="C177">
        <v>33992369</v>
      </c>
      <c r="D177">
        <v>30057923</v>
      </c>
      <c r="E177">
        <v>1</v>
      </c>
      <c r="F177">
        <v>1</v>
      </c>
      <c r="G177">
        <v>29983435</v>
      </c>
      <c r="H177">
        <v>3</v>
      </c>
      <c r="I177" t="s">
        <v>769</v>
      </c>
      <c r="J177" t="s">
        <v>770</v>
      </c>
      <c r="K177" t="s">
        <v>771</v>
      </c>
      <c r="L177">
        <v>1339</v>
      </c>
      <c r="N177">
        <v>1007</v>
      </c>
      <c r="O177" t="s">
        <v>66</v>
      </c>
      <c r="P177" t="s">
        <v>66</v>
      </c>
      <c r="Q177">
        <v>1</v>
      </c>
      <c r="X177">
        <v>0.7</v>
      </c>
      <c r="Y177">
        <v>407.48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0.7</v>
      </c>
      <c r="AH177">
        <v>2</v>
      </c>
      <c r="AI177">
        <v>33992371</v>
      </c>
      <c r="AJ177">
        <v>177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ROW(Source!A384)</f>
        <v>384</v>
      </c>
      <c r="B178">
        <v>33992375</v>
      </c>
      <c r="C178">
        <v>33992369</v>
      </c>
      <c r="D178">
        <v>29990377</v>
      </c>
      <c r="E178">
        <v>29983435</v>
      </c>
      <c r="F178">
        <v>1</v>
      </c>
      <c r="G178">
        <v>29983435</v>
      </c>
      <c r="H178">
        <v>3</v>
      </c>
      <c r="I178" t="s">
        <v>901</v>
      </c>
      <c r="J178" t="s">
        <v>3</v>
      </c>
      <c r="K178" t="s">
        <v>281</v>
      </c>
      <c r="L178">
        <v>1339</v>
      </c>
      <c r="N178">
        <v>1007</v>
      </c>
      <c r="O178" t="s">
        <v>66</v>
      </c>
      <c r="P178" t="s">
        <v>66</v>
      </c>
      <c r="Q178">
        <v>1</v>
      </c>
      <c r="X178">
        <v>2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 t="s">
        <v>3</v>
      </c>
      <c r="AG178">
        <v>2</v>
      </c>
      <c r="AH178">
        <v>3</v>
      </c>
      <c r="AI178">
        <v>-1</v>
      </c>
      <c r="AJ178" t="s">
        <v>3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ROW(Source!A386)</f>
        <v>386</v>
      </c>
      <c r="B179">
        <v>33992382</v>
      </c>
      <c r="C179">
        <v>33992377</v>
      </c>
      <c r="D179">
        <v>29983441</v>
      </c>
      <c r="E179">
        <v>29983435</v>
      </c>
      <c r="F179">
        <v>1</v>
      </c>
      <c r="G179">
        <v>29983435</v>
      </c>
      <c r="H179">
        <v>1</v>
      </c>
      <c r="I179" t="s">
        <v>646</v>
      </c>
      <c r="J179" t="s">
        <v>3</v>
      </c>
      <c r="K179" t="s">
        <v>647</v>
      </c>
      <c r="L179">
        <v>1191</v>
      </c>
      <c r="N179">
        <v>1013</v>
      </c>
      <c r="O179" t="s">
        <v>648</v>
      </c>
      <c r="P179" t="s">
        <v>648</v>
      </c>
      <c r="Q179">
        <v>1</v>
      </c>
      <c r="X179">
        <v>6.16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1</v>
      </c>
      <c r="AF179" t="s">
        <v>3</v>
      </c>
      <c r="AG179">
        <v>6.16</v>
      </c>
      <c r="AH179">
        <v>2</v>
      </c>
      <c r="AI179">
        <v>33992378</v>
      </c>
      <c r="AJ179">
        <v>178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ROW(Source!A386)</f>
        <v>386</v>
      </c>
      <c r="B180">
        <v>33992383</v>
      </c>
      <c r="C180">
        <v>33992377</v>
      </c>
      <c r="D180">
        <v>30063518</v>
      </c>
      <c r="E180">
        <v>1</v>
      </c>
      <c r="F180">
        <v>1</v>
      </c>
      <c r="G180">
        <v>29983435</v>
      </c>
      <c r="H180">
        <v>2</v>
      </c>
      <c r="I180" t="s">
        <v>686</v>
      </c>
      <c r="J180" t="s">
        <v>726</v>
      </c>
      <c r="K180" t="s">
        <v>727</v>
      </c>
      <c r="L180">
        <v>1367</v>
      </c>
      <c r="N180">
        <v>1011</v>
      </c>
      <c r="O180" t="s">
        <v>652</v>
      </c>
      <c r="P180" t="s">
        <v>652</v>
      </c>
      <c r="Q180">
        <v>1</v>
      </c>
      <c r="X180">
        <v>0.26</v>
      </c>
      <c r="Y180">
        <v>0</v>
      </c>
      <c r="Z180">
        <v>140.58000000000001</v>
      </c>
      <c r="AA180">
        <v>28.61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0.26</v>
      </c>
      <c r="AH180">
        <v>2</v>
      </c>
      <c r="AI180">
        <v>33992379</v>
      </c>
      <c r="AJ180">
        <v>179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ROW(Source!A386)</f>
        <v>386</v>
      </c>
      <c r="B181">
        <v>33992384</v>
      </c>
      <c r="C181">
        <v>33992377</v>
      </c>
      <c r="D181">
        <v>30042537</v>
      </c>
      <c r="E181">
        <v>1</v>
      </c>
      <c r="F181">
        <v>1</v>
      </c>
      <c r="G181">
        <v>29983435</v>
      </c>
      <c r="H181">
        <v>3</v>
      </c>
      <c r="I181" t="s">
        <v>467</v>
      </c>
      <c r="J181" t="s">
        <v>469</v>
      </c>
      <c r="K181" t="s">
        <v>468</v>
      </c>
      <c r="L181">
        <v>1339</v>
      </c>
      <c r="N181">
        <v>1007</v>
      </c>
      <c r="O181" t="s">
        <v>66</v>
      </c>
      <c r="P181" t="s">
        <v>66</v>
      </c>
      <c r="Q181">
        <v>1</v>
      </c>
      <c r="X181">
        <v>1.07</v>
      </c>
      <c r="Y181">
        <v>7.07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F181" t="s">
        <v>3</v>
      </c>
      <c r="AG181">
        <v>1.07</v>
      </c>
      <c r="AH181">
        <v>2</v>
      </c>
      <c r="AI181">
        <v>33992380</v>
      </c>
      <c r="AJ181">
        <v>180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ROW(Source!A386)</f>
        <v>386</v>
      </c>
      <c r="B182">
        <v>33992385</v>
      </c>
      <c r="C182">
        <v>33992377</v>
      </c>
      <c r="D182">
        <v>29983631</v>
      </c>
      <c r="E182">
        <v>29983435</v>
      </c>
      <c r="F182">
        <v>1</v>
      </c>
      <c r="G182">
        <v>29983435</v>
      </c>
      <c r="H182">
        <v>3</v>
      </c>
      <c r="I182" t="s">
        <v>904</v>
      </c>
      <c r="J182" t="s">
        <v>3</v>
      </c>
      <c r="K182" t="s">
        <v>905</v>
      </c>
      <c r="L182">
        <v>1354</v>
      </c>
      <c r="N182">
        <v>1010</v>
      </c>
      <c r="O182" t="s">
        <v>328</v>
      </c>
      <c r="P182" t="s">
        <v>328</v>
      </c>
      <c r="Q182">
        <v>1</v>
      </c>
      <c r="X182">
        <v>10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 t="s">
        <v>3</v>
      </c>
      <c r="AG182">
        <v>10</v>
      </c>
      <c r="AH182">
        <v>3</v>
      </c>
      <c r="AI182">
        <v>-1</v>
      </c>
      <c r="AJ182" t="s">
        <v>3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ROW(Source!A492)</f>
        <v>492</v>
      </c>
      <c r="B183">
        <v>33992392</v>
      </c>
      <c r="C183">
        <v>33992387</v>
      </c>
      <c r="D183">
        <v>29983441</v>
      </c>
      <c r="E183">
        <v>29983435</v>
      </c>
      <c r="F183">
        <v>1</v>
      </c>
      <c r="G183">
        <v>29983435</v>
      </c>
      <c r="H183">
        <v>1</v>
      </c>
      <c r="I183" t="s">
        <v>646</v>
      </c>
      <c r="J183" t="s">
        <v>3</v>
      </c>
      <c r="K183" t="s">
        <v>647</v>
      </c>
      <c r="L183">
        <v>1191</v>
      </c>
      <c r="N183">
        <v>1013</v>
      </c>
      <c r="O183" t="s">
        <v>648</v>
      </c>
      <c r="P183" t="s">
        <v>648</v>
      </c>
      <c r="Q183">
        <v>1</v>
      </c>
      <c r="X183">
        <v>29.95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1</v>
      </c>
      <c r="AF183" t="s">
        <v>3</v>
      </c>
      <c r="AG183">
        <v>29.95</v>
      </c>
      <c r="AH183">
        <v>2</v>
      </c>
      <c r="AI183">
        <v>33992388</v>
      </c>
      <c r="AJ183">
        <v>182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ROW(Source!A492)</f>
        <v>492</v>
      </c>
      <c r="B184">
        <v>33992393</v>
      </c>
      <c r="C184">
        <v>33992387</v>
      </c>
      <c r="D184">
        <v>30063259</v>
      </c>
      <c r="E184">
        <v>1</v>
      </c>
      <c r="F184">
        <v>1</v>
      </c>
      <c r="G184">
        <v>29983435</v>
      </c>
      <c r="H184">
        <v>2</v>
      </c>
      <c r="I184" t="s">
        <v>772</v>
      </c>
      <c r="J184" t="s">
        <v>773</v>
      </c>
      <c r="K184" t="s">
        <v>774</v>
      </c>
      <c r="L184">
        <v>1367</v>
      </c>
      <c r="N184">
        <v>1011</v>
      </c>
      <c r="O184" t="s">
        <v>652</v>
      </c>
      <c r="P184" t="s">
        <v>652</v>
      </c>
      <c r="Q184">
        <v>1</v>
      </c>
      <c r="X184">
        <v>0.54</v>
      </c>
      <c r="Y184">
        <v>0</v>
      </c>
      <c r="Z184">
        <v>80</v>
      </c>
      <c r="AA184">
        <v>20.87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0.54</v>
      </c>
      <c r="AH184">
        <v>2</v>
      </c>
      <c r="AI184">
        <v>33992389</v>
      </c>
      <c r="AJ184">
        <v>183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ROW(Source!A492)</f>
        <v>492</v>
      </c>
      <c r="B185">
        <v>33992394</v>
      </c>
      <c r="C185">
        <v>33992387</v>
      </c>
      <c r="D185">
        <v>30057923</v>
      </c>
      <c r="E185">
        <v>1</v>
      </c>
      <c r="F185">
        <v>1</v>
      </c>
      <c r="G185">
        <v>29983435</v>
      </c>
      <c r="H185">
        <v>3</v>
      </c>
      <c r="I185" t="s">
        <v>769</v>
      </c>
      <c r="J185" t="s">
        <v>770</v>
      </c>
      <c r="K185" t="s">
        <v>771</v>
      </c>
      <c r="L185">
        <v>1339</v>
      </c>
      <c r="N185">
        <v>1007</v>
      </c>
      <c r="O185" t="s">
        <v>66</v>
      </c>
      <c r="P185" t="s">
        <v>66</v>
      </c>
      <c r="Q185">
        <v>1</v>
      </c>
      <c r="X185">
        <v>2.1</v>
      </c>
      <c r="Y185">
        <v>407.48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3</v>
      </c>
      <c r="AG185">
        <v>2.1</v>
      </c>
      <c r="AH185">
        <v>2</v>
      </c>
      <c r="AI185">
        <v>33992390</v>
      </c>
      <c r="AJ185">
        <v>185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ROW(Source!A492)</f>
        <v>492</v>
      </c>
      <c r="B186">
        <v>33992395</v>
      </c>
      <c r="C186">
        <v>33992387</v>
      </c>
      <c r="D186">
        <v>29990377</v>
      </c>
      <c r="E186">
        <v>29983435</v>
      </c>
      <c r="F186">
        <v>1</v>
      </c>
      <c r="G186">
        <v>29983435</v>
      </c>
      <c r="H186">
        <v>3</v>
      </c>
      <c r="I186" t="s">
        <v>901</v>
      </c>
      <c r="J186" t="s">
        <v>3</v>
      </c>
      <c r="K186" t="s">
        <v>281</v>
      </c>
      <c r="L186">
        <v>1339</v>
      </c>
      <c r="N186">
        <v>1007</v>
      </c>
      <c r="O186" t="s">
        <v>66</v>
      </c>
      <c r="P186" t="s">
        <v>66</v>
      </c>
      <c r="Q186">
        <v>1</v>
      </c>
      <c r="X186">
        <v>6.2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 t="s">
        <v>3</v>
      </c>
      <c r="AG186">
        <v>6.2</v>
      </c>
      <c r="AH186">
        <v>3</v>
      </c>
      <c r="AI186">
        <v>-1</v>
      </c>
      <c r="AJ186" t="s">
        <v>3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ROW(Source!A494)</f>
        <v>494</v>
      </c>
      <c r="B187">
        <v>33992401</v>
      </c>
      <c r="C187">
        <v>33992397</v>
      </c>
      <c r="D187">
        <v>29983441</v>
      </c>
      <c r="E187">
        <v>29983435</v>
      </c>
      <c r="F187">
        <v>1</v>
      </c>
      <c r="G187">
        <v>29983435</v>
      </c>
      <c r="H187">
        <v>1</v>
      </c>
      <c r="I187" t="s">
        <v>646</v>
      </c>
      <c r="J187" t="s">
        <v>3</v>
      </c>
      <c r="K187" t="s">
        <v>647</v>
      </c>
      <c r="L187">
        <v>1191</v>
      </c>
      <c r="N187">
        <v>1013</v>
      </c>
      <c r="O187" t="s">
        <v>648</v>
      </c>
      <c r="P187" t="s">
        <v>648</v>
      </c>
      <c r="Q187">
        <v>1</v>
      </c>
      <c r="X187">
        <v>51.09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1</v>
      </c>
      <c r="AF187" t="s">
        <v>3</v>
      </c>
      <c r="AG187">
        <v>51.09</v>
      </c>
      <c r="AH187">
        <v>2</v>
      </c>
      <c r="AI187">
        <v>33992398</v>
      </c>
      <c r="AJ187">
        <v>186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ROW(Source!A494)</f>
        <v>494</v>
      </c>
      <c r="B188">
        <v>33992402</v>
      </c>
      <c r="C188">
        <v>33992397</v>
      </c>
      <c r="D188">
        <v>30057923</v>
      </c>
      <c r="E188">
        <v>1</v>
      </c>
      <c r="F188">
        <v>1</v>
      </c>
      <c r="G188">
        <v>29983435</v>
      </c>
      <c r="H188">
        <v>3</v>
      </c>
      <c r="I188" t="s">
        <v>769</v>
      </c>
      <c r="J188" t="s">
        <v>770</v>
      </c>
      <c r="K188" t="s">
        <v>771</v>
      </c>
      <c r="L188">
        <v>1339</v>
      </c>
      <c r="N188">
        <v>1007</v>
      </c>
      <c r="O188" t="s">
        <v>66</v>
      </c>
      <c r="P188" t="s">
        <v>66</v>
      </c>
      <c r="Q188">
        <v>1</v>
      </c>
      <c r="X188">
        <v>2.1</v>
      </c>
      <c r="Y188">
        <v>407.48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3</v>
      </c>
      <c r="AG188">
        <v>2.1</v>
      </c>
      <c r="AH188">
        <v>2</v>
      </c>
      <c r="AI188">
        <v>33992399</v>
      </c>
      <c r="AJ188">
        <v>188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ROW(Source!A494)</f>
        <v>494</v>
      </c>
      <c r="B189">
        <v>33992403</v>
      </c>
      <c r="C189">
        <v>33992397</v>
      </c>
      <c r="D189">
        <v>29990377</v>
      </c>
      <c r="E189">
        <v>29983435</v>
      </c>
      <c r="F189">
        <v>1</v>
      </c>
      <c r="G189">
        <v>29983435</v>
      </c>
      <c r="H189">
        <v>3</v>
      </c>
      <c r="I189" t="s">
        <v>901</v>
      </c>
      <c r="J189" t="s">
        <v>3</v>
      </c>
      <c r="K189" t="s">
        <v>281</v>
      </c>
      <c r="L189">
        <v>1339</v>
      </c>
      <c r="N189">
        <v>1007</v>
      </c>
      <c r="O189" t="s">
        <v>66</v>
      </c>
      <c r="P189" t="s">
        <v>66</v>
      </c>
      <c r="Q189">
        <v>1</v>
      </c>
      <c r="X189">
        <v>6.2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 t="s">
        <v>3</v>
      </c>
      <c r="AG189">
        <v>6.2</v>
      </c>
      <c r="AH189">
        <v>3</v>
      </c>
      <c r="AI189">
        <v>-1</v>
      </c>
      <c r="AJ189" t="s">
        <v>3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ROW(Source!A496)</f>
        <v>496</v>
      </c>
      <c r="B190">
        <v>33992409</v>
      </c>
      <c r="C190">
        <v>33992405</v>
      </c>
      <c r="D190">
        <v>29983441</v>
      </c>
      <c r="E190">
        <v>29983435</v>
      </c>
      <c r="F190">
        <v>1</v>
      </c>
      <c r="G190">
        <v>29983435</v>
      </c>
      <c r="H190">
        <v>1</v>
      </c>
      <c r="I190" t="s">
        <v>646</v>
      </c>
      <c r="J190" t="s">
        <v>3</v>
      </c>
      <c r="K190" t="s">
        <v>647</v>
      </c>
      <c r="L190">
        <v>1191</v>
      </c>
      <c r="N190">
        <v>1013</v>
      </c>
      <c r="O190" t="s">
        <v>648</v>
      </c>
      <c r="P190" t="s">
        <v>648</v>
      </c>
      <c r="Q190">
        <v>1</v>
      </c>
      <c r="X190">
        <v>1.38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v>1</v>
      </c>
      <c r="AF190" t="s">
        <v>3</v>
      </c>
      <c r="AG190">
        <v>1.38</v>
      </c>
      <c r="AH190">
        <v>2</v>
      </c>
      <c r="AI190">
        <v>33992406</v>
      </c>
      <c r="AJ190">
        <v>189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ROW(Source!A496)</f>
        <v>496</v>
      </c>
      <c r="B191">
        <v>33992410</v>
      </c>
      <c r="C191">
        <v>33992405</v>
      </c>
      <c r="D191">
        <v>30063245</v>
      </c>
      <c r="E191">
        <v>1</v>
      </c>
      <c r="F191">
        <v>1</v>
      </c>
      <c r="G191">
        <v>29983435</v>
      </c>
      <c r="H191">
        <v>2</v>
      </c>
      <c r="I191" t="s">
        <v>740</v>
      </c>
      <c r="J191" t="s">
        <v>741</v>
      </c>
      <c r="K191" t="s">
        <v>742</v>
      </c>
      <c r="L191">
        <v>1367</v>
      </c>
      <c r="N191">
        <v>1011</v>
      </c>
      <c r="O191" t="s">
        <v>652</v>
      </c>
      <c r="P191" t="s">
        <v>652</v>
      </c>
      <c r="Q191">
        <v>1</v>
      </c>
      <c r="X191">
        <v>3.9874999999999998</v>
      </c>
      <c r="Y191">
        <v>0</v>
      </c>
      <c r="Z191">
        <v>162.4</v>
      </c>
      <c r="AA191">
        <v>28.6</v>
      </c>
      <c r="AB191">
        <v>0</v>
      </c>
      <c r="AC191">
        <v>0</v>
      </c>
      <c r="AD191">
        <v>1</v>
      </c>
      <c r="AE191">
        <v>0</v>
      </c>
      <c r="AF191" t="s">
        <v>3</v>
      </c>
      <c r="AG191">
        <v>3.9874999999999998</v>
      </c>
      <c r="AH191">
        <v>2</v>
      </c>
      <c r="AI191">
        <v>33992407</v>
      </c>
      <c r="AJ191">
        <v>190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ROW(Source!A496)</f>
        <v>496</v>
      </c>
      <c r="B192">
        <v>33992411</v>
      </c>
      <c r="C192">
        <v>33992405</v>
      </c>
      <c r="D192">
        <v>30063270</v>
      </c>
      <c r="E192">
        <v>1</v>
      </c>
      <c r="F192">
        <v>1</v>
      </c>
      <c r="G192">
        <v>29983435</v>
      </c>
      <c r="H192">
        <v>2</v>
      </c>
      <c r="I192" t="s">
        <v>743</v>
      </c>
      <c r="J192" t="s">
        <v>744</v>
      </c>
      <c r="K192" t="s">
        <v>745</v>
      </c>
      <c r="L192">
        <v>1367</v>
      </c>
      <c r="N192">
        <v>1011</v>
      </c>
      <c r="O192" t="s">
        <v>652</v>
      </c>
      <c r="P192" t="s">
        <v>652</v>
      </c>
      <c r="Q192">
        <v>1</v>
      </c>
      <c r="X192">
        <v>0.997</v>
      </c>
      <c r="Y192">
        <v>0</v>
      </c>
      <c r="Z192">
        <v>110.31</v>
      </c>
      <c r="AA192">
        <v>26.52</v>
      </c>
      <c r="AB192">
        <v>0</v>
      </c>
      <c r="AC192">
        <v>0</v>
      </c>
      <c r="AD192">
        <v>1</v>
      </c>
      <c r="AE192">
        <v>0</v>
      </c>
      <c r="AF192" t="s">
        <v>3</v>
      </c>
      <c r="AG192">
        <v>0.997</v>
      </c>
      <c r="AH192">
        <v>2</v>
      </c>
      <c r="AI192">
        <v>33992408</v>
      </c>
      <c r="AJ192">
        <v>191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ROW(Source!A497)</f>
        <v>497</v>
      </c>
      <c r="B193">
        <v>34039099</v>
      </c>
      <c r="C193">
        <v>33992412</v>
      </c>
      <c r="D193">
        <v>29983441</v>
      </c>
      <c r="E193">
        <v>29983435</v>
      </c>
      <c r="F193">
        <v>1</v>
      </c>
      <c r="G193">
        <v>29983435</v>
      </c>
      <c r="H193">
        <v>1</v>
      </c>
      <c r="I193" t="s">
        <v>646</v>
      </c>
      <c r="J193" t="s">
        <v>3</v>
      </c>
      <c r="K193" t="s">
        <v>647</v>
      </c>
      <c r="L193">
        <v>1191</v>
      </c>
      <c r="N193">
        <v>1013</v>
      </c>
      <c r="O193" t="s">
        <v>648</v>
      </c>
      <c r="P193" t="s">
        <v>648</v>
      </c>
      <c r="Q193">
        <v>1</v>
      </c>
      <c r="X193">
        <v>83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1</v>
      </c>
      <c r="AE193">
        <v>1</v>
      </c>
      <c r="AF193" t="s">
        <v>3</v>
      </c>
      <c r="AG193">
        <v>83</v>
      </c>
      <c r="AH193">
        <v>2</v>
      </c>
      <c r="AI193">
        <v>34039099</v>
      </c>
      <c r="AJ193">
        <v>192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ROW(Source!A498)</f>
        <v>498</v>
      </c>
      <c r="B194">
        <v>34039098</v>
      </c>
      <c r="C194">
        <v>33992415</v>
      </c>
      <c r="D194">
        <v>30064124</v>
      </c>
      <c r="E194">
        <v>1</v>
      </c>
      <c r="F194">
        <v>1</v>
      </c>
      <c r="G194">
        <v>29983435</v>
      </c>
      <c r="H194">
        <v>2</v>
      </c>
      <c r="I194" t="s">
        <v>746</v>
      </c>
      <c r="J194" t="s">
        <v>747</v>
      </c>
      <c r="K194" t="s">
        <v>748</v>
      </c>
      <c r="L194">
        <v>1367</v>
      </c>
      <c r="N194">
        <v>1011</v>
      </c>
      <c r="O194" t="s">
        <v>652</v>
      </c>
      <c r="P194" t="s">
        <v>652</v>
      </c>
      <c r="Q194">
        <v>1</v>
      </c>
      <c r="X194">
        <v>1</v>
      </c>
      <c r="Y194">
        <v>0</v>
      </c>
      <c r="Z194">
        <v>162.03</v>
      </c>
      <c r="AA194">
        <v>16.920000000000002</v>
      </c>
      <c r="AB194">
        <v>0</v>
      </c>
      <c r="AC194">
        <v>0</v>
      </c>
      <c r="AD194">
        <v>1</v>
      </c>
      <c r="AE194">
        <v>0</v>
      </c>
      <c r="AF194" t="s">
        <v>3</v>
      </c>
      <c r="AG194">
        <v>1</v>
      </c>
      <c r="AH194">
        <v>2</v>
      </c>
      <c r="AI194">
        <v>34039098</v>
      </c>
      <c r="AJ194">
        <v>193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ROW(Source!A499)</f>
        <v>499</v>
      </c>
      <c r="B195">
        <v>33995759</v>
      </c>
      <c r="C195">
        <v>33992418</v>
      </c>
      <c r="D195">
        <v>29983439</v>
      </c>
      <c r="E195">
        <v>29983435</v>
      </c>
      <c r="F195">
        <v>1</v>
      </c>
      <c r="G195">
        <v>29983435</v>
      </c>
      <c r="H195">
        <v>2</v>
      </c>
      <c r="I195" t="s">
        <v>674</v>
      </c>
      <c r="J195" t="s">
        <v>3</v>
      </c>
      <c r="K195" t="s">
        <v>675</v>
      </c>
      <c r="L195">
        <v>1344</v>
      </c>
      <c r="N195">
        <v>1008</v>
      </c>
      <c r="O195" t="s">
        <v>676</v>
      </c>
      <c r="P195" t="s">
        <v>676</v>
      </c>
      <c r="Q195">
        <v>1</v>
      </c>
      <c r="X195">
        <v>12.61</v>
      </c>
      <c r="Y195">
        <v>0</v>
      </c>
      <c r="Z195">
        <v>1</v>
      </c>
      <c r="AA195">
        <v>0</v>
      </c>
      <c r="AB195">
        <v>0</v>
      </c>
      <c r="AC195">
        <v>0</v>
      </c>
      <c r="AD195">
        <v>1</v>
      </c>
      <c r="AE195">
        <v>0</v>
      </c>
      <c r="AF195" t="s">
        <v>3</v>
      </c>
      <c r="AG195">
        <v>12.61</v>
      </c>
      <c r="AH195">
        <v>2</v>
      </c>
      <c r="AI195">
        <v>33995759</v>
      </c>
      <c r="AJ195">
        <v>194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ROW(Source!A500)</f>
        <v>500</v>
      </c>
      <c r="B196">
        <v>33992428</v>
      </c>
      <c r="C196">
        <v>33992421</v>
      </c>
      <c r="D196">
        <v>29983441</v>
      </c>
      <c r="E196">
        <v>29983435</v>
      </c>
      <c r="F196">
        <v>1</v>
      </c>
      <c r="G196">
        <v>29983435</v>
      </c>
      <c r="H196">
        <v>1</v>
      </c>
      <c r="I196" t="s">
        <v>646</v>
      </c>
      <c r="J196" t="s">
        <v>3</v>
      </c>
      <c r="K196" t="s">
        <v>647</v>
      </c>
      <c r="L196">
        <v>1191</v>
      </c>
      <c r="N196">
        <v>1013</v>
      </c>
      <c r="O196" t="s">
        <v>648</v>
      </c>
      <c r="P196" t="s">
        <v>648</v>
      </c>
      <c r="Q196">
        <v>1</v>
      </c>
      <c r="X196">
        <v>18.010000000000002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1</v>
      </c>
      <c r="AF196" t="s">
        <v>3</v>
      </c>
      <c r="AG196">
        <v>18.010000000000002</v>
      </c>
      <c r="AH196">
        <v>2</v>
      </c>
      <c r="AI196">
        <v>33992422</v>
      </c>
      <c r="AJ196">
        <v>195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ROW(Source!A500)</f>
        <v>500</v>
      </c>
      <c r="B197">
        <v>33992429</v>
      </c>
      <c r="C197">
        <v>33992421</v>
      </c>
      <c r="D197">
        <v>30063337</v>
      </c>
      <c r="E197">
        <v>1</v>
      </c>
      <c r="F197">
        <v>1</v>
      </c>
      <c r="G197">
        <v>29983435</v>
      </c>
      <c r="H197">
        <v>2</v>
      </c>
      <c r="I197" t="s">
        <v>729</v>
      </c>
      <c r="J197" t="s">
        <v>730</v>
      </c>
      <c r="K197" t="s">
        <v>731</v>
      </c>
      <c r="L197">
        <v>1367</v>
      </c>
      <c r="N197">
        <v>1011</v>
      </c>
      <c r="O197" t="s">
        <v>652</v>
      </c>
      <c r="P197" t="s">
        <v>652</v>
      </c>
      <c r="Q197">
        <v>1</v>
      </c>
      <c r="X197">
        <v>1.34</v>
      </c>
      <c r="Y197">
        <v>0</v>
      </c>
      <c r="Z197">
        <v>190.93</v>
      </c>
      <c r="AA197">
        <v>18.149999999999999</v>
      </c>
      <c r="AB197">
        <v>0</v>
      </c>
      <c r="AC197">
        <v>0</v>
      </c>
      <c r="AD197">
        <v>1</v>
      </c>
      <c r="AE197">
        <v>0</v>
      </c>
      <c r="AF197" t="s">
        <v>3</v>
      </c>
      <c r="AG197">
        <v>1.34</v>
      </c>
      <c r="AH197">
        <v>2</v>
      </c>
      <c r="AI197">
        <v>33992423</v>
      </c>
      <c r="AJ197">
        <v>196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ROW(Source!A500)</f>
        <v>500</v>
      </c>
      <c r="B198">
        <v>33992430</v>
      </c>
      <c r="C198">
        <v>33992421</v>
      </c>
      <c r="D198">
        <v>30063518</v>
      </c>
      <c r="E198">
        <v>1</v>
      </c>
      <c r="F198">
        <v>1</v>
      </c>
      <c r="G198">
        <v>29983435</v>
      </c>
      <c r="H198">
        <v>2</v>
      </c>
      <c r="I198" t="s">
        <v>686</v>
      </c>
      <c r="J198" t="s">
        <v>726</v>
      </c>
      <c r="K198" t="s">
        <v>727</v>
      </c>
      <c r="L198">
        <v>1367</v>
      </c>
      <c r="N198">
        <v>1011</v>
      </c>
      <c r="O198" t="s">
        <v>652</v>
      </c>
      <c r="P198" t="s">
        <v>652</v>
      </c>
      <c r="Q198">
        <v>1</v>
      </c>
      <c r="X198">
        <v>0.61</v>
      </c>
      <c r="Y198">
        <v>0</v>
      </c>
      <c r="Z198">
        <v>140.58000000000001</v>
      </c>
      <c r="AA198">
        <v>28.61</v>
      </c>
      <c r="AB198">
        <v>0</v>
      </c>
      <c r="AC198">
        <v>0</v>
      </c>
      <c r="AD198">
        <v>1</v>
      </c>
      <c r="AE198">
        <v>0</v>
      </c>
      <c r="AF198" t="s">
        <v>3</v>
      </c>
      <c r="AG198">
        <v>0.61</v>
      </c>
      <c r="AH198">
        <v>2</v>
      </c>
      <c r="AI198">
        <v>33992424</v>
      </c>
      <c r="AJ198">
        <v>197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ROW(Source!A500)</f>
        <v>500</v>
      </c>
      <c r="B199">
        <v>33992431</v>
      </c>
      <c r="C199">
        <v>33992421</v>
      </c>
      <c r="D199">
        <v>30042537</v>
      </c>
      <c r="E199">
        <v>1</v>
      </c>
      <c r="F199">
        <v>1</v>
      </c>
      <c r="G199">
        <v>29983435</v>
      </c>
      <c r="H199">
        <v>3</v>
      </c>
      <c r="I199" t="s">
        <v>467</v>
      </c>
      <c r="J199" t="s">
        <v>469</v>
      </c>
      <c r="K199" t="s">
        <v>468</v>
      </c>
      <c r="L199">
        <v>1339</v>
      </c>
      <c r="N199">
        <v>1007</v>
      </c>
      <c r="O199" t="s">
        <v>66</v>
      </c>
      <c r="P199" t="s">
        <v>66</v>
      </c>
      <c r="Q199">
        <v>1</v>
      </c>
      <c r="X199">
        <v>2.6</v>
      </c>
      <c r="Y199">
        <v>7.07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F199" t="s">
        <v>3</v>
      </c>
      <c r="AG199">
        <v>2.6</v>
      </c>
      <c r="AH199">
        <v>2</v>
      </c>
      <c r="AI199">
        <v>33992425</v>
      </c>
      <c r="AJ199">
        <v>198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ROW(Source!A500)</f>
        <v>500</v>
      </c>
      <c r="B200">
        <v>33992432</v>
      </c>
      <c r="C200">
        <v>33992421</v>
      </c>
      <c r="D200">
        <v>29983631</v>
      </c>
      <c r="E200">
        <v>29983435</v>
      </c>
      <c r="F200">
        <v>1</v>
      </c>
      <c r="G200">
        <v>29983435</v>
      </c>
      <c r="H200">
        <v>3</v>
      </c>
      <c r="I200" t="s">
        <v>904</v>
      </c>
      <c r="J200" t="s">
        <v>3</v>
      </c>
      <c r="K200" t="s">
        <v>905</v>
      </c>
      <c r="L200">
        <v>1354</v>
      </c>
      <c r="N200">
        <v>1010</v>
      </c>
      <c r="O200" t="s">
        <v>328</v>
      </c>
      <c r="P200" t="s">
        <v>328</v>
      </c>
      <c r="Q200">
        <v>1</v>
      </c>
      <c r="X200">
        <v>10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 t="s">
        <v>3</v>
      </c>
      <c r="AG200">
        <v>10</v>
      </c>
      <c r="AH200">
        <v>3</v>
      </c>
      <c r="AI200">
        <v>-1</v>
      </c>
      <c r="AJ200" t="s">
        <v>3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ROW(Source!A500)</f>
        <v>500</v>
      </c>
      <c r="B201">
        <v>33992433</v>
      </c>
      <c r="C201">
        <v>33992421</v>
      </c>
      <c r="D201">
        <v>29983437</v>
      </c>
      <c r="E201">
        <v>29983435</v>
      </c>
      <c r="F201">
        <v>1</v>
      </c>
      <c r="G201">
        <v>29983435</v>
      </c>
      <c r="H201">
        <v>3</v>
      </c>
      <c r="I201" t="s">
        <v>738</v>
      </c>
      <c r="J201" t="s">
        <v>3</v>
      </c>
      <c r="K201" t="s">
        <v>739</v>
      </c>
      <c r="L201">
        <v>1344</v>
      </c>
      <c r="N201">
        <v>1008</v>
      </c>
      <c r="O201" t="s">
        <v>676</v>
      </c>
      <c r="P201" t="s">
        <v>676</v>
      </c>
      <c r="Q201">
        <v>1</v>
      </c>
      <c r="X201">
        <v>21.7</v>
      </c>
      <c r="Y201">
        <v>1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0</v>
      </c>
      <c r="AF201" t="s">
        <v>3</v>
      </c>
      <c r="AG201">
        <v>21.7</v>
      </c>
      <c r="AH201">
        <v>2</v>
      </c>
      <c r="AI201">
        <v>33992427</v>
      </c>
      <c r="AJ201">
        <v>200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ROW(Source!A572)</f>
        <v>572</v>
      </c>
      <c r="B202">
        <v>33992438</v>
      </c>
      <c r="C202">
        <v>33992435</v>
      </c>
      <c r="D202">
        <v>29983441</v>
      </c>
      <c r="E202">
        <v>29983435</v>
      </c>
      <c r="F202">
        <v>1</v>
      </c>
      <c r="G202">
        <v>29983435</v>
      </c>
      <c r="H202">
        <v>1</v>
      </c>
      <c r="I202" t="s">
        <v>646</v>
      </c>
      <c r="J202" t="s">
        <v>3</v>
      </c>
      <c r="K202" t="s">
        <v>647</v>
      </c>
      <c r="L202">
        <v>1191</v>
      </c>
      <c r="N202">
        <v>1013</v>
      </c>
      <c r="O202" t="s">
        <v>648</v>
      </c>
      <c r="P202" t="s">
        <v>648</v>
      </c>
      <c r="Q202">
        <v>1</v>
      </c>
      <c r="X202">
        <v>46.7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1</v>
      </c>
      <c r="AF202" t="s">
        <v>3</v>
      </c>
      <c r="AG202">
        <v>46.7</v>
      </c>
      <c r="AH202">
        <v>2</v>
      </c>
      <c r="AI202">
        <v>33992436</v>
      </c>
      <c r="AJ202">
        <v>201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ROW(Source!A572)</f>
        <v>572</v>
      </c>
      <c r="B203">
        <v>33992439</v>
      </c>
      <c r="C203">
        <v>33992435</v>
      </c>
      <c r="D203">
        <v>29990377</v>
      </c>
      <c r="E203">
        <v>29983435</v>
      </c>
      <c r="F203">
        <v>1</v>
      </c>
      <c r="G203">
        <v>29983435</v>
      </c>
      <c r="H203">
        <v>3</v>
      </c>
      <c r="I203" t="s">
        <v>901</v>
      </c>
      <c r="J203" t="s">
        <v>3</v>
      </c>
      <c r="K203" t="s">
        <v>281</v>
      </c>
      <c r="L203">
        <v>1339</v>
      </c>
      <c r="N203">
        <v>1007</v>
      </c>
      <c r="O203" t="s">
        <v>66</v>
      </c>
      <c r="P203" t="s">
        <v>66</v>
      </c>
      <c r="Q203">
        <v>1</v>
      </c>
      <c r="X203">
        <v>20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 t="s">
        <v>3</v>
      </c>
      <c r="AG203">
        <v>20</v>
      </c>
      <c r="AH203">
        <v>3</v>
      </c>
      <c r="AI203">
        <v>-1</v>
      </c>
      <c r="AJ203" t="s">
        <v>3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ROW(Source!A574)</f>
        <v>574</v>
      </c>
      <c r="B204">
        <v>33992444</v>
      </c>
      <c r="C204">
        <v>33992441</v>
      </c>
      <c r="D204">
        <v>29983441</v>
      </c>
      <c r="E204">
        <v>29983435</v>
      </c>
      <c r="F204">
        <v>1</v>
      </c>
      <c r="G204">
        <v>29983435</v>
      </c>
      <c r="H204">
        <v>1</v>
      </c>
      <c r="I204" t="s">
        <v>646</v>
      </c>
      <c r="J204" t="s">
        <v>3</v>
      </c>
      <c r="K204" t="s">
        <v>647</v>
      </c>
      <c r="L204">
        <v>1191</v>
      </c>
      <c r="N204">
        <v>1013</v>
      </c>
      <c r="O204" t="s">
        <v>648</v>
      </c>
      <c r="P204" t="s">
        <v>648</v>
      </c>
      <c r="Q204">
        <v>1</v>
      </c>
      <c r="X204">
        <v>5.42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1</v>
      </c>
      <c r="AF204" t="s">
        <v>367</v>
      </c>
      <c r="AG204">
        <v>21.68</v>
      </c>
      <c r="AH204">
        <v>2</v>
      </c>
      <c r="AI204">
        <v>33992442</v>
      </c>
      <c r="AJ204">
        <v>203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">
      <c r="A205">
        <f>ROW(Source!A574)</f>
        <v>574</v>
      </c>
      <c r="B205">
        <v>33992445</v>
      </c>
      <c r="C205">
        <v>33992441</v>
      </c>
      <c r="D205">
        <v>29990377</v>
      </c>
      <c r="E205">
        <v>29983435</v>
      </c>
      <c r="F205">
        <v>1</v>
      </c>
      <c r="G205">
        <v>29983435</v>
      </c>
      <c r="H205">
        <v>3</v>
      </c>
      <c r="I205" t="s">
        <v>901</v>
      </c>
      <c r="J205" t="s">
        <v>3</v>
      </c>
      <c r="K205" t="s">
        <v>281</v>
      </c>
      <c r="L205">
        <v>1339</v>
      </c>
      <c r="N205">
        <v>1007</v>
      </c>
      <c r="O205" t="s">
        <v>66</v>
      </c>
      <c r="P205" t="s">
        <v>66</v>
      </c>
      <c r="Q205">
        <v>1</v>
      </c>
      <c r="X205">
        <v>5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 t="s">
        <v>3</v>
      </c>
      <c r="AG205">
        <v>5</v>
      </c>
      <c r="AH205">
        <v>3</v>
      </c>
      <c r="AI205">
        <v>-1</v>
      </c>
      <c r="AJ205" t="s">
        <v>3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>
        <f>ROW(Source!A576)</f>
        <v>576</v>
      </c>
      <c r="B206">
        <v>33992454</v>
      </c>
      <c r="C206">
        <v>33992447</v>
      </c>
      <c r="D206">
        <v>29983441</v>
      </c>
      <c r="E206">
        <v>29983435</v>
      </c>
      <c r="F206">
        <v>1</v>
      </c>
      <c r="G206">
        <v>29983435</v>
      </c>
      <c r="H206">
        <v>1</v>
      </c>
      <c r="I206" t="s">
        <v>646</v>
      </c>
      <c r="J206" t="s">
        <v>3</v>
      </c>
      <c r="K206" t="s">
        <v>647</v>
      </c>
      <c r="L206">
        <v>1191</v>
      </c>
      <c r="N206">
        <v>1013</v>
      </c>
      <c r="O206" t="s">
        <v>648</v>
      </c>
      <c r="P206" t="s">
        <v>648</v>
      </c>
      <c r="Q206">
        <v>1</v>
      </c>
      <c r="X206">
        <v>135.01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1</v>
      </c>
      <c r="AF206" t="s">
        <v>3</v>
      </c>
      <c r="AG206">
        <v>135.01</v>
      </c>
      <c r="AH206">
        <v>2</v>
      </c>
      <c r="AI206">
        <v>33992448</v>
      </c>
      <c r="AJ206">
        <v>205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ROW(Source!A576)</f>
        <v>576</v>
      </c>
      <c r="B207">
        <v>33992455</v>
      </c>
      <c r="C207">
        <v>33992447</v>
      </c>
      <c r="D207">
        <v>30042537</v>
      </c>
      <c r="E207">
        <v>1</v>
      </c>
      <c r="F207">
        <v>1</v>
      </c>
      <c r="G207">
        <v>29983435</v>
      </c>
      <c r="H207">
        <v>3</v>
      </c>
      <c r="I207" t="s">
        <v>467</v>
      </c>
      <c r="J207" t="s">
        <v>469</v>
      </c>
      <c r="K207" t="s">
        <v>468</v>
      </c>
      <c r="L207">
        <v>1339</v>
      </c>
      <c r="N207">
        <v>1007</v>
      </c>
      <c r="O207" t="s">
        <v>66</v>
      </c>
      <c r="P207" t="s">
        <v>66</v>
      </c>
      <c r="Q207">
        <v>1</v>
      </c>
      <c r="X207">
        <v>30</v>
      </c>
      <c r="Y207">
        <v>7.07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F207" t="s">
        <v>3</v>
      </c>
      <c r="AG207">
        <v>30</v>
      </c>
      <c r="AH207">
        <v>2</v>
      </c>
      <c r="AI207">
        <v>33992449</v>
      </c>
      <c r="AJ207">
        <v>206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ROW(Source!A576)</f>
        <v>576</v>
      </c>
      <c r="B208">
        <v>33992456</v>
      </c>
      <c r="C208">
        <v>33992447</v>
      </c>
      <c r="D208">
        <v>30042428</v>
      </c>
      <c r="E208">
        <v>1</v>
      </c>
      <c r="F208">
        <v>1</v>
      </c>
      <c r="G208">
        <v>29983435</v>
      </c>
      <c r="H208">
        <v>3</v>
      </c>
      <c r="I208" t="s">
        <v>775</v>
      </c>
      <c r="J208" t="s">
        <v>776</v>
      </c>
      <c r="K208" t="s">
        <v>777</v>
      </c>
      <c r="L208">
        <v>1339</v>
      </c>
      <c r="N208">
        <v>1007</v>
      </c>
      <c r="O208" t="s">
        <v>66</v>
      </c>
      <c r="P208" t="s">
        <v>66</v>
      </c>
      <c r="Q208">
        <v>1</v>
      </c>
      <c r="X208">
        <v>8.0000000000000002E-3</v>
      </c>
      <c r="Y208">
        <v>1828.56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3</v>
      </c>
      <c r="AG208">
        <v>8.0000000000000002E-3</v>
      </c>
      <c r="AH208">
        <v>2</v>
      </c>
      <c r="AI208">
        <v>33992450</v>
      </c>
      <c r="AJ208">
        <v>207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>
        <f>ROW(Source!A576)</f>
        <v>576</v>
      </c>
      <c r="B209">
        <v>33992457</v>
      </c>
      <c r="C209">
        <v>33992447</v>
      </c>
      <c r="D209">
        <v>30057923</v>
      </c>
      <c r="E209">
        <v>1</v>
      </c>
      <c r="F209">
        <v>1</v>
      </c>
      <c r="G209">
        <v>29983435</v>
      </c>
      <c r="H209">
        <v>3</v>
      </c>
      <c r="I209" t="s">
        <v>769</v>
      </c>
      <c r="J209" t="s">
        <v>770</v>
      </c>
      <c r="K209" t="s">
        <v>771</v>
      </c>
      <c r="L209">
        <v>1339</v>
      </c>
      <c r="N209">
        <v>1007</v>
      </c>
      <c r="O209" t="s">
        <v>66</v>
      </c>
      <c r="P209" t="s">
        <v>66</v>
      </c>
      <c r="Q209">
        <v>1</v>
      </c>
      <c r="X209">
        <v>2</v>
      </c>
      <c r="Y209">
        <v>407.48</v>
      </c>
      <c r="Z209">
        <v>0</v>
      </c>
      <c r="AA209">
        <v>0</v>
      </c>
      <c r="AB209">
        <v>0</v>
      </c>
      <c r="AC209">
        <v>0</v>
      </c>
      <c r="AD209">
        <v>1</v>
      </c>
      <c r="AE209">
        <v>0</v>
      </c>
      <c r="AF209" t="s">
        <v>3</v>
      </c>
      <c r="AG209">
        <v>2</v>
      </c>
      <c r="AH209">
        <v>2</v>
      </c>
      <c r="AI209">
        <v>33992451</v>
      </c>
      <c r="AJ209">
        <v>209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ROW(Source!A576)</f>
        <v>576</v>
      </c>
      <c r="B210">
        <v>33992458</v>
      </c>
      <c r="C210">
        <v>33992447</v>
      </c>
      <c r="D210">
        <v>31828910</v>
      </c>
      <c r="E210">
        <v>29983435</v>
      </c>
      <c r="F210">
        <v>1</v>
      </c>
      <c r="G210">
        <v>29983435</v>
      </c>
      <c r="H210">
        <v>3</v>
      </c>
      <c r="I210" t="s">
        <v>906</v>
      </c>
      <c r="J210" t="s">
        <v>3</v>
      </c>
      <c r="K210" t="s">
        <v>907</v>
      </c>
      <c r="L210">
        <v>1354</v>
      </c>
      <c r="N210">
        <v>1010</v>
      </c>
      <c r="O210" t="s">
        <v>328</v>
      </c>
      <c r="P210" t="s">
        <v>328</v>
      </c>
      <c r="Q210">
        <v>1</v>
      </c>
      <c r="X210">
        <v>1680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 t="s">
        <v>3</v>
      </c>
      <c r="AG210">
        <v>1680</v>
      </c>
      <c r="AH210">
        <v>3</v>
      </c>
      <c r="AI210">
        <v>-1</v>
      </c>
      <c r="AJ210" t="s">
        <v>3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ROW(Source!A576)</f>
        <v>576</v>
      </c>
      <c r="B211">
        <v>33992459</v>
      </c>
      <c r="C211">
        <v>33992447</v>
      </c>
      <c r="D211">
        <v>29983437</v>
      </c>
      <c r="E211">
        <v>29983435</v>
      </c>
      <c r="F211">
        <v>1</v>
      </c>
      <c r="G211">
        <v>29983435</v>
      </c>
      <c r="H211">
        <v>3</v>
      </c>
      <c r="I211" t="s">
        <v>738</v>
      </c>
      <c r="J211" t="s">
        <v>3</v>
      </c>
      <c r="K211" t="s">
        <v>739</v>
      </c>
      <c r="L211">
        <v>1344</v>
      </c>
      <c r="N211">
        <v>1008</v>
      </c>
      <c r="O211" t="s">
        <v>676</v>
      </c>
      <c r="P211" t="s">
        <v>676</v>
      </c>
      <c r="Q211">
        <v>1</v>
      </c>
      <c r="X211">
        <v>6.79</v>
      </c>
      <c r="Y211">
        <v>1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F211" t="s">
        <v>3</v>
      </c>
      <c r="AG211">
        <v>6.79</v>
      </c>
      <c r="AH211">
        <v>2</v>
      </c>
      <c r="AI211">
        <v>33992453</v>
      </c>
      <c r="AJ211">
        <v>210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2">
      <c r="A212">
        <f>ROW(Source!A578)</f>
        <v>578</v>
      </c>
      <c r="B212">
        <v>33992468</v>
      </c>
      <c r="C212">
        <v>33992461</v>
      </c>
      <c r="D212">
        <v>29983441</v>
      </c>
      <c r="E212">
        <v>29983435</v>
      </c>
      <c r="F212">
        <v>1</v>
      </c>
      <c r="G212">
        <v>29983435</v>
      </c>
      <c r="H212">
        <v>1</v>
      </c>
      <c r="I212" t="s">
        <v>646</v>
      </c>
      <c r="J212" t="s">
        <v>3</v>
      </c>
      <c r="K212" t="s">
        <v>647</v>
      </c>
      <c r="L212">
        <v>1191</v>
      </c>
      <c r="N212">
        <v>1013</v>
      </c>
      <c r="O212" t="s">
        <v>648</v>
      </c>
      <c r="P212" t="s">
        <v>648</v>
      </c>
      <c r="Q212">
        <v>1</v>
      </c>
      <c r="X212">
        <v>135.01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1</v>
      </c>
      <c r="AF212" t="s">
        <v>3</v>
      </c>
      <c r="AG212">
        <v>135.01</v>
      </c>
      <c r="AH212">
        <v>2</v>
      </c>
      <c r="AI212">
        <v>33992462</v>
      </c>
      <c r="AJ212">
        <v>211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ROW(Source!A578)</f>
        <v>578</v>
      </c>
      <c r="B213">
        <v>33992469</v>
      </c>
      <c r="C213">
        <v>33992461</v>
      </c>
      <c r="D213">
        <v>30042537</v>
      </c>
      <c r="E213">
        <v>1</v>
      </c>
      <c r="F213">
        <v>1</v>
      </c>
      <c r="G213">
        <v>29983435</v>
      </c>
      <c r="H213">
        <v>3</v>
      </c>
      <c r="I213" t="s">
        <v>467</v>
      </c>
      <c r="J213" t="s">
        <v>469</v>
      </c>
      <c r="K213" t="s">
        <v>468</v>
      </c>
      <c r="L213">
        <v>1339</v>
      </c>
      <c r="N213">
        <v>1007</v>
      </c>
      <c r="O213" t="s">
        <v>66</v>
      </c>
      <c r="P213" t="s">
        <v>66</v>
      </c>
      <c r="Q213">
        <v>1</v>
      </c>
      <c r="X213">
        <v>30</v>
      </c>
      <c r="Y213">
        <v>7.07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0</v>
      </c>
      <c r="AF213" t="s">
        <v>3</v>
      </c>
      <c r="AG213">
        <v>30</v>
      </c>
      <c r="AH213">
        <v>2</v>
      </c>
      <c r="AI213">
        <v>33992463</v>
      </c>
      <c r="AJ213">
        <v>212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ROW(Source!A578)</f>
        <v>578</v>
      </c>
      <c r="B214">
        <v>33992470</v>
      </c>
      <c r="C214">
        <v>33992461</v>
      </c>
      <c r="D214">
        <v>30042428</v>
      </c>
      <c r="E214">
        <v>1</v>
      </c>
      <c r="F214">
        <v>1</v>
      </c>
      <c r="G214">
        <v>29983435</v>
      </c>
      <c r="H214">
        <v>3</v>
      </c>
      <c r="I214" t="s">
        <v>775</v>
      </c>
      <c r="J214" t="s">
        <v>776</v>
      </c>
      <c r="K214" t="s">
        <v>777</v>
      </c>
      <c r="L214">
        <v>1339</v>
      </c>
      <c r="N214">
        <v>1007</v>
      </c>
      <c r="O214" t="s">
        <v>66</v>
      </c>
      <c r="P214" t="s">
        <v>66</v>
      </c>
      <c r="Q214">
        <v>1</v>
      </c>
      <c r="X214">
        <v>8.0000000000000002E-3</v>
      </c>
      <c r="Y214">
        <v>1828.56</v>
      </c>
      <c r="Z214">
        <v>0</v>
      </c>
      <c r="AA214">
        <v>0</v>
      </c>
      <c r="AB214">
        <v>0</v>
      </c>
      <c r="AC214">
        <v>0</v>
      </c>
      <c r="AD214">
        <v>1</v>
      </c>
      <c r="AE214">
        <v>0</v>
      </c>
      <c r="AF214" t="s">
        <v>3</v>
      </c>
      <c r="AG214">
        <v>8.0000000000000002E-3</v>
      </c>
      <c r="AH214">
        <v>2</v>
      </c>
      <c r="AI214">
        <v>33992464</v>
      </c>
      <c r="AJ214">
        <v>213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ROW(Source!A578)</f>
        <v>578</v>
      </c>
      <c r="B215">
        <v>33992471</v>
      </c>
      <c r="C215">
        <v>33992461</v>
      </c>
      <c r="D215">
        <v>30057923</v>
      </c>
      <c r="E215">
        <v>1</v>
      </c>
      <c r="F215">
        <v>1</v>
      </c>
      <c r="G215">
        <v>29983435</v>
      </c>
      <c r="H215">
        <v>3</v>
      </c>
      <c r="I215" t="s">
        <v>769</v>
      </c>
      <c r="J215" t="s">
        <v>770</v>
      </c>
      <c r="K215" t="s">
        <v>771</v>
      </c>
      <c r="L215">
        <v>1339</v>
      </c>
      <c r="N215">
        <v>1007</v>
      </c>
      <c r="O215" t="s">
        <v>66</v>
      </c>
      <c r="P215" t="s">
        <v>66</v>
      </c>
      <c r="Q215">
        <v>1</v>
      </c>
      <c r="X215">
        <v>2</v>
      </c>
      <c r="Y215">
        <v>407.48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0</v>
      </c>
      <c r="AF215" t="s">
        <v>3</v>
      </c>
      <c r="AG215">
        <v>2</v>
      </c>
      <c r="AH215">
        <v>2</v>
      </c>
      <c r="AI215">
        <v>33992465</v>
      </c>
      <c r="AJ215">
        <v>215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ROW(Source!A578)</f>
        <v>578</v>
      </c>
      <c r="B216">
        <v>33992472</v>
      </c>
      <c r="C216">
        <v>33992461</v>
      </c>
      <c r="D216">
        <v>31828910</v>
      </c>
      <c r="E216">
        <v>29983435</v>
      </c>
      <c r="F216">
        <v>1</v>
      </c>
      <c r="G216">
        <v>29983435</v>
      </c>
      <c r="H216">
        <v>3</v>
      </c>
      <c r="I216" t="s">
        <v>906</v>
      </c>
      <c r="J216" t="s">
        <v>3</v>
      </c>
      <c r="K216" t="s">
        <v>907</v>
      </c>
      <c r="L216">
        <v>1354</v>
      </c>
      <c r="N216">
        <v>1010</v>
      </c>
      <c r="O216" t="s">
        <v>328</v>
      </c>
      <c r="P216" t="s">
        <v>328</v>
      </c>
      <c r="Q216">
        <v>1</v>
      </c>
      <c r="X216">
        <v>1680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 t="s">
        <v>3</v>
      </c>
      <c r="AG216">
        <v>1680</v>
      </c>
      <c r="AH216">
        <v>3</v>
      </c>
      <c r="AI216">
        <v>-1</v>
      </c>
      <c r="AJ216" t="s">
        <v>3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ROW(Source!A578)</f>
        <v>578</v>
      </c>
      <c r="B217">
        <v>33992473</v>
      </c>
      <c r="C217">
        <v>33992461</v>
      </c>
      <c r="D217">
        <v>29983437</v>
      </c>
      <c r="E217">
        <v>29983435</v>
      </c>
      <c r="F217">
        <v>1</v>
      </c>
      <c r="G217">
        <v>29983435</v>
      </c>
      <c r="H217">
        <v>3</v>
      </c>
      <c r="I217" t="s">
        <v>738</v>
      </c>
      <c r="J217" t="s">
        <v>3</v>
      </c>
      <c r="K217" t="s">
        <v>739</v>
      </c>
      <c r="L217">
        <v>1344</v>
      </c>
      <c r="N217">
        <v>1008</v>
      </c>
      <c r="O217" t="s">
        <v>676</v>
      </c>
      <c r="P217" t="s">
        <v>676</v>
      </c>
      <c r="Q217">
        <v>1</v>
      </c>
      <c r="X217">
        <v>6.79</v>
      </c>
      <c r="Y217">
        <v>1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0</v>
      </c>
      <c r="AF217" t="s">
        <v>3</v>
      </c>
      <c r="AG217">
        <v>6.79</v>
      </c>
      <c r="AH217">
        <v>2</v>
      </c>
      <c r="AI217">
        <v>33992467</v>
      </c>
      <c r="AJ217">
        <v>216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ROW(Source!A580)</f>
        <v>580</v>
      </c>
      <c r="B218">
        <v>33992480</v>
      </c>
      <c r="C218">
        <v>33992475</v>
      </c>
      <c r="D218">
        <v>29983441</v>
      </c>
      <c r="E218">
        <v>29983435</v>
      </c>
      <c r="F218">
        <v>1</v>
      </c>
      <c r="G218">
        <v>29983435</v>
      </c>
      <c r="H218">
        <v>1</v>
      </c>
      <c r="I218" t="s">
        <v>646</v>
      </c>
      <c r="J218" t="s">
        <v>3</v>
      </c>
      <c r="K218" t="s">
        <v>647</v>
      </c>
      <c r="L218">
        <v>1191</v>
      </c>
      <c r="N218">
        <v>1013</v>
      </c>
      <c r="O218" t="s">
        <v>648</v>
      </c>
      <c r="P218" t="s">
        <v>648</v>
      </c>
      <c r="Q218">
        <v>1</v>
      </c>
      <c r="X218">
        <v>6.88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1</v>
      </c>
      <c r="AF218" t="s">
        <v>3</v>
      </c>
      <c r="AG218">
        <v>6.88</v>
      </c>
      <c r="AH218">
        <v>2</v>
      </c>
      <c r="AI218">
        <v>33992476</v>
      </c>
      <c r="AJ218">
        <v>217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2">
      <c r="A219">
        <f>ROW(Source!A580)</f>
        <v>580</v>
      </c>
      <c r="B219">
        <v>33992481</v>
      </c>
      <c r="C219">
        <v>33992475</v>
      </c>
      <c r="D219">
        <v>30042428</v>
      </c>
      <c r="E219">
        <v>1</v>
      </c>
      <c r="F219">
        <v>1</v>
      </c>
      <c r="G219">
        <v>29983435</v>
      </c>
      <c r="H219">
        <v>3</v>
      </c>
      <c r="I219" t="s">
        <v>775</v>
      </c>
      <c r="J219" t="s">
        <v>776</v>
      </c>
      <c r="K219" t="s">
        <v>777</v>
      </c>
      <c r="L219">
        <v>1339</v>
      </c>
      <c r="N219">
        <v>1007</v>
      </c>
      <c r="O219" t="s">
        <v>66</v>
      </c>
      <c r="P219" t="s">
        <v>66</v>
      </c>
      <c r="Q219">
        <v>1</v>
      </c>
      <c r="X219">
        <v>5.0000000000000001E-3</v>
      </c>
      <c r="Y219">
        <v>1828.56</v>
      </c>
      <c r="Z219">
        <v>0</v>
      </c>
      <c r="AA219">
        <v>0</v>
      </c>
      <c r="AB219">
        <v>0</v>
      </c>
      <c r="AC219">
        <v>0</v>
      </c>
      <c r="AD219">
        <v>1</v>
      </c>
      <c r="AE219">
        <v>0</v>
      </c>
      <c r="AF219" t="s">
        <v>3</v>
      </c>
      <c r="AG219">
        <v>5.0000000000000001E-3</v>
      </c>
      <c r="AH219">
        <v>2</v>
      </c>
      <c r="AI219">
        <v>33992477</v>
      </c>
      <c r="AJ219">
        <v>218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ROW(Source!A580)</f>
        <v>580</v>
      </c>
      <c r="B220">
        <v>33992482</v>
      </c>
      <c r="C220">
        <v>33992475</v>
      </c>
      <c r="D220">
        <v>31828910</v>
      </c>
      <c r="E220">
        <v>29983435</v>
      </c>
      <c r="F220">
        <v>1</v>
      </c>
      <c r="G220">
        <v>29983435</v>
      </c>
      <c r="H220">
        <v>3</v>
      </c>
      <c r="I220" t="s">
        <v>906</v>
      </c>
      <c r="J220" t="s">
        <v>3</v>
      </c>
      <c r="K220" t="s">
        <v>907</v>
      </c>
      <c r="L220">
        <v>1354</v>
      </c>
      <c r="N220">
        <v>1010</v>
      </c>
      <c r="O220" t="s">
        <v>328</v>
      </c>
      <c r="P220" t="s">
        <v>328</v>
      </c>
      <c r="Q220">
        <v>1</v>
      </c>
      <c r="X220">
        <v>1050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 t="s">
        <v>3</v>
      </c>
      <c r="AG220">
        <v>1050</v>
      </c>
      <c r="AH220">
        <v>3</v>
      </c>
      <c r="AI220">
        <v>-1</v>
      </c>
      <c r="AJ220" t="s">
        <v>3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ROW(Source!A580)</f>
        <v>580</v>
      </c>
      <c r="B221">
        <v>33992483</v>
      </c>
      <c r="C221">
        <v>33992475</v>
      </c>
      <c r="D221">
        <v>29983437</v>
      </c>
      <c r="E221">
        <v>29983435</v>
      </c>
      <c r="F221">
        <v>1</v>
      </c>
      <c r="G221">
        <v>29983435</v>
      </c>
      <c r="H221">
        <v>3</v>
      </c>
      <c r="I221" t="s">
        <v>738</v>
      </c>
      <c r="J221" t="s">
        <v>3</v>
      </c>
      <c r="K221" t="s">
        <v>739</v>
      </c>
      <c r="L221">
        <v>1344</v>
      </c>
      <c r="N221">
        <v>1008</v>
      </c>
      <c r="O221" t="s">
        <v>676</v>
      </c>
      <c r="P221" t="s">
        <v>676</v>
      </c>
      <c r="Q221">
        <v>1</v>
      </c>
      <c r="X221">
        <v>4.34</v>
      </c>
      <c r="Y221">
        <v>1</v>
      </c>
      <c r="Z221">
        <v>0</v>
      </c>
      <c r="AA221">
        <v>0</v>
      </c>
      <c r="AB221">
        <v>0</v>
      </c>
      <c r="AC221">
        <v>0</v>
      </c>
      <c r="AD221">
        <v>1</v>
      </c>
      <c r="AE221">
        <v>0</v>
      </c>
      <c r="AF221" t="s">
        <v>3</v>
      </c>
      <c r="AG221">
        <v>4.34</v>
      </c>
      <c r="AH221">
        <v>2</v>
      </c>
      <c r="AI221">
        <v>33992479</v>
      </c>
      <c r="AJ221">
        <v>220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ROW(Source!A652)</f>
        <v>652</v>
      </c>
      <c r="B222">
        <v>33992489</v>
      </c>
      <c r="C222">
        <v>33992485</v>
      </c>
      <c r="D222">
        <v>29983441</v>
      </c>
      <c r="E222">
        <v>29983435</v>
      </c>
      <c r="F222">
        <v>1</v>
      </c>
      <c r="G222">
        <v>29983435</v>
      </c>
      <c r="H222">
        <v>1</v>
      </c>
      <c r="I222" t="s">
        <v>646</v>
      </c>
      <c r="J222" t="s">
        <v>3</v>
      </c>
      <c r="K222" t="s">
        <v>647</v>
      </c>
      <c r="L222">
        <v>1191</v>
      </c>
      <c r="N222">
        <v>1013</v>
      </c>
      <c r="O222" t="s">
        <v>648</v>
      </c>
      <c r="P222" t="s">
        <v>648</v>
      </c>
      <c r="Q222">
        <v>1</v>
      </c>
      <c r="X222">
        <v>1.38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1</v>
      </c>
      <c r="AF222" t="s">
        <v>3</v>
      </c>
      <c r="AG222">
        <v>1.38</v>
      </c>
      <c r="AH222">
        <v>2</v>
      </c>
      <c r="AI222">
        <v>33992486</v>
      </c>
      <c r="AJ222">
        <v>221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ROW(Source!A652)</f>
        <v>652</v>
      </c>
      <c r="B223">
        <v>33992490</v>
      </c>
      <c r="C223">
        <v>33992485</v>
      </c>
      <c r="D223">
        <v>30063245</v>
      </c>
      <c r="E223">
        <v>1</v>
      </c>
      <c r="F223">
        <v>1</v>
      </c>
      <c r="G223">
        <v>29983435</v>
      </c>
      <c r="H223">
        <v>2</v>
      </c>
      <c r="I223" t="s">
        <v>740</v>
      </c>
      <c r="J223" t="s">
        <v>741</v>
      </c>
      <c r="K223" t="s">
        <v>742</v>
      </c>
      <c r="L223">
        <v>1367</v>
      </c>
      <c r="N223">
        <v>1011</v>
      </c>
      <c r="O223" t="s">
        <v>652</v>
      </c>
      <c r="P223" t="s">
        <v>652</v>
      </c>
      <c r="Q223">
        <v>1</v>
      </c>
      <c r="X223">
        <v>3.9874999999999998</v>
      </c>
      <c r="Y223">
        <v>0</v>
      </c>
      <c r="Z223">
        <v>162.4</v>
      </c>
      <c r="AA223">
        <v>28.6</v>
      </c>
      <c r="AB223">
        <v>0</v>
      </c>
      <c r="AC223">
        <v>0</v>
      </c>
      <c r="AD223">
        <v>1</v>
      </c>
      <c r="AE223">
        <v>0</v>
      </c>
      <c r="AF223" t="s">
        <v>3</v>
      </c>
      <c r="AG223">
        <v>3.9874999999999998</v>
      </c>
      <c r="AH223">
        <v>2</v>
      </c>
      <c r="AI223">
        <v>33992487</v>
      </c>
      <c r="AJ223">
        <v>222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ROW(Source!A652)</f>
        <v>652</v>
      </c>
      <c r="B224">
        <v>33992491</v>
      </c>
      <c r="C224">
        <v>33992485</v>
      </c>
      <c r="D224">
        <v>30063270</v>
      </c>
      <c r="E224">
        <v>1</v>
      </c>
      <c r="F224">
        <v>1</v>
      </c>
      <c r="G224">
        <v>29983435</v>
      </c>
      <c r="H224">
        <v>2</v>
      </c>
      <c r="I224" t="s">
        <v>743</v>
      </c>
      <c r="J224" t="s">
        <v>744</v>
      </c>
      <c r="K224" t="s">
        <v>745</v>
      </c>
      <c r="L224">
        <v>1367</v>
      </c>
      <c r="N224">
        <v>1011</v>
      </c>
      <c r="O224" t="s">
        <v>652</v>
      </c>
      <c r="P224" t="s">
        <v>652</v>
      </c>
      <c r="Q224">
        <v>1</v>
      </c>
      <c r="X224">
        <v>0.997</v>
      </c>
      <c r="Y224">
        <v>0</v>
      </c>
      <c r="Z224">
        <v>110.31</v>
      </c>
      <c r="AA224">
        <v>26.52</v>
      </c>
      <c r="AB224">
        <v>0</v>
      </c>
      <c r="AC224">
        <v>0</v>
      </c>
      <c r="AD224">
        <v>1</v>
      </c>
      <c r="AE224">
        <v>0</v>
      </c>
      <c r="AF224" t="s">
        <v>3</v>
      </c>
      <c r="AG224">
        <v>0.997</v>
      </c>
      <c r="AH224">
        <v>2</v>
      </c>
      <c r="AI224">
        <v>33992488</v>
      </c>
      <c r="AJ224">
        <v>223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ROW(Source!A653)</f>
        <v>653</v>
      </c>
      <c r="B225">
        <v>33992494</v>
      </c>
      <c r="C225">
        <v>33992492</v>
      </c>
      <c r="D225">
        <v>29983441</v>
      </c>
      <c r="E225">
        <v>29983435</v>
      </c>
      <c r="F225">
        <v>1</v>
      </c>
      <c r="G225">
        <v>29983435</v>
      </c>
      <c r="H225">
        <v>1</v>
      </c>
      <c r="I225" t="s">
        <v>646</v>
      </c>
      <c r="J225" t="s">
        <v>3</v>
      </c>
      <c r="K225" t="s">
        <v>647</v>
      </c>
      <c r="L225">
        <v>1191</v>
      </c>
      <c r="N225">
        <v>1013</v>
      </c>
      <c r="O225" t="s">
        <v>648</v>
      </c>
      <c r="P225" t="s">
        <v>648</v>
      </c>
      <c r="Q225">
        <v>1</v>
      </c>
      <c r="X225">
        <v>192.7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1</v>
      </c>
      <c r="AE225">
        <v>1</v>
      </c>
      <c r="AF225" t="s">
        <v>3</v>
      </c>
      <c r="AG225">
        <v>192.7</v>
      </c>
      <c r="AH225">
        <v>2</v>
      </c>
      <c r="AI225">
        <v>33992493</v>
      </c>
      <c r="AJ225">
        <v>224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ROW(Source!A654)</f>
        <v>654</v>
      </c>
      <c r="B226">
        <v>33992497</v>
      </c>
      <c r="C226">
        <v>33992495</v>
      </c>
      <c r="D226">
        <v>29983441</v>
      </c>
      <c r="E226">
        <v>29983435</v>
      </c>
      <c r="F226">
        <v>1</v>
      </c>
      <c r="G226">
        <v>29983435</v>
      </c>
      <c r="H226">
        <v>1</v>
      </c>
      <c r="I226" t="s">
        <v>646</v>
      </c>
      <c r="J226" t="s">
        <v>3</v>
      </c>
      <c r="K226" t="s">
        <v>647</v>
      </c>
      <c r="L226">
        <v>1191</v>
      </c>
      <c r="N226">
        <v>1013</v>
      </c>
      <c r="O226" t="s">
        <v>648</v>
      </c>
      <c r="P226" t="s">
        <v>648</v>
      </c>
      <c r="Q226">
        <v>1</v>
      </c>
      <c r="X226">
        <v>83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1</v>
      </c>
      <c r="AE226">
        <v>1</v>
      </c>
      <c r="AF226" t="s">
        <v>3</v>
      </c>
      <c r="AG226">
        <v>83</v>
      </c>
      <c r="AH226">
        <v>2</v>
      </c>
      <c r="AI226">
        <v>33992496</v>
      </c>
      <c r="AJ226">
        <v>225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ROW(Source!A655)</f>
        <v>655</v>
      </c>
      <c r="B227">
        <v>34039103</v>
      </c>
      <c r="C227">
        <v>33992498</v>
      </c>
      <c r="D227">
        <v>30064124</v>
      </c>
      <c r="E227">
        <v>1</v>
      </c>
      <c r="F227">
        <v>1</v>
      </c>
      <c r="G227">
        <v>29983435</v>
      </c>
      <c r="H227">
        <v>2</v>
      </c>
      <c r="I227" t="s">
        <v>746</v>
      </c>
      <c r="J227" t="s">
        <v>747</v>
      </c>
      <c r="K227" t="s">
        <v>748</v>
      </c>
      <c r="L227">
        <v>1367</v>
      </c>
      <c r="N227">
        <v>1011</v>
      </c>
      <c r="O227" t="s">
        <v>652</v>
      </c>
      <c r="P227" t="s">
        <v>652</v>
      </c>
      <c r="Q227">
        <v>1</v>
      </c>
      <c r="X227">
        <v>1</v>
      </c>
      <c r="Y227">
        <v>0</v>
      </c>
      <c r="Z227">
        <v>162.03</v>
      </c>
      <c r="AA227">
        <v>16.920000000000002</v>
      </c>
      <c r="AB227">
        <v>0</v>
      </c>
      <c r="AC227">
        <v>0</v>
      </c>
      <c r="AD227">
        <v>1</v>
      </c>
      <c r="AE227">
        <v>0</v>
      </c>
      <c r="AF227" t="s">
        <v>3</v>
      </c>
      <c r="AG227">
        <v>1</v>
      </c>
      <c r="AH227">
        <v>2</v>
      </c>
      <c r="AI227">
        <v>34039103</v>
      </c>
      <c r="AJ227">
        <v>226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ROW(Source!A656)</f>
        <v>656</v>
      </c>
      <c r="B228">
        <v>34039102</v>
      </c>
      <c r="C228">
        <v>33992501</v>
      </c>
      <c r="D228">
        <v>29983439</v>
      </c>
      <c r="E228">
        <v>29983435</v>
      </c>
      <c r="F228">
        <v>1</v>
      </c>
      <c r="G228">
        <v>29983435</v>
      </c>
      <c r="H228">
        <v>2</v>
      </c>
      <c r="I228" t="s">
        <v>674</v>
      </c>
      <c r="J228" t="s">
        <v>3</v>
      </c>
      <c r="K228" t="s">
        <v>675</v>
      </c>
      <c r="L228">
        <v>1344</v>
      </c>
      <c r="N228">
        <v>1008</v>
      </c>
      <c r="O228" t="s">
        <v>676</v>
      </c>
      <c r="P228" t="s">
        <v>676</v>
      </c>
      <c r="Q228">
        <v>1</v>
      </c>
      <c r="X228">
        <v>12.61</v>
      </c>
      <c r="Y228">
        <v>0</v>
      </c>
      <c r="Z228">
        <v>1</v>
      </c>
      <c r="AA228">
        <v>0</v>
      </c>
      <c r="AB228">
        <v>0</v>
      </c>
      <c r="AC228">
        <v>0</v>
      </c>
      <c r="AD228">
        <v>1</v>
      </c>
      <c r="AE228">
        <v>0</v>
      </c>
      <c r="AF228" t="s">
        <v>3</v>
      </c>
      <c r="AG228">
        <v>12.61</v>
      </c>
      <c r="AH228">
        <v>2</v>
      </c>
      <c r="AI228">
        <v>34039102</v>
      </c>
      <c r="AJ228">
        <v>227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ROW(Source!A657)</f>
        <v>657</v>
      </c>
      <c r="B229">
        <v>33992513</v>
      </c>
      <c r="C229">
        <v>33992504</v>
      </c>
      <c r="D229">
        <v>29983441</v>
      </c>
      <c r="E229">
        <v>29983435</v>
      </c>
      <c r="F229">
        <v>1</v>
      </c>
      <c r="G229">
        <v>29983435</v>
      </c>
      <c r="H229">
        <v>1</v>
      </c>
      <c r="I229" t="s">
        <v>646</v>
      </c>
      <c r="J229" t="s">
        <v>3</v>
      </c>
      <c r="K229" t="s">
        <v>647</v>
      </c>
      <c r="L229">
        <v>1191</v>
      </c>
      <c r="N229">
        <v>1013</v>
      </c>
      <c r="O229" t="s">
        <v>648</v>
      </c>
      <c r="P229" t="s">
        <v>648</v>
      </c>
      <c r="Q229">
        <v>1</v>
      </c>
      <c r="X229">
        <v>14.4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1</v>
      </c>
      <c r="AE229">
        <v>1</v>
      </c>
      <c r="AF229" t="s">
        <v>3</v>
      </c>
      <c r="AG229">
        <v>14.4</v>
      </c>
      <c r="AH229">
        <v>2</v>
      </c>
      <c r="AI229">
        <v>33992505</v>
      </c>
      <c r="AJ229">
        <v>228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ROW(Source!A657)</f>
        <v>657</v>
      </c>
      <c r="B230">
        <v>33992514</v>
      </c>
      <c r="C230">
        <v>33992504</v>
      </c>
      <c r="D230">
        <v>30063290</v>
      </c>
      <c r="E230">
        <v>1</v>
      </c>
      <c r="F230">
        <v>1</v>
      </c>
      <c r="G230">
        <v>29983435</v>
      </c>
      <c r="H230">
        <v>2</v>
      </c>
      <c r="I230" t="s">
        <v>683</v>
      </c>
      <c r="J230" t="s">
        <v>684</v>
      </c>
      <c r="K230" t="s">
        <v>685</v>
      </c>
      <c r="L230">
        <v>1367</v>
      </c>
      <c r="N230">
        <v>1011</v>
      </c>
      <c r="O230" t="s">
        <v>652</v>
      </c>
      <c r="P230" t="s">
        <v>652</v>
      </c>
      <c r="Q230">
        <v>1</v>
      </c>
      <c r="X230">
        <v>1.66</v>
      </c>
      <c r="Y230">
        <v>0</v>
      </c>
      <c r="Z230">
        <v>116.89</v>
      </c>
      <c r="AA230">
        <v>23.41</v>
      </c>
      <c r="AB230">
        <v>0</v>
      </c>
      <c r="AC230">
        <v>0</v>
      </c>
      <c r="AD230">
        <v>1</v>
      </c>
      <c r="AE230">
        <v>0</v>
      </c>
      <c r="AF230" t="s">
        <v>3</v>
      </c>
      <c r="AG230">
        <v>1.66</v>
      </c>
      <c r="AH230">
        <v>2</v>
      </c>
      <c r="AI230">
        <v>33992506</v>
      </c>
      <c r="AJ230">
        <v>229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x14ac:dyDescent="0.2">
      <c r="A231">
        <f>ROW(Source!A657)</f>
        <v>657</v>
      </c>
      <c r="B231">
        <v>33992515</v>
      </c>
      <c r="C231">
        <v>33992504</v>
      </c>
      <c r="D231">
        <v>30063515</v>
      </c>
      <c r="E231">
        <v>1</v>
      </c>
      <c r="F231">
        <v>1</v>
      </c>
      <c r="G231">
        <v>29983435</v>
      </c>
      <c r="H231">
        <v>2</v>
      </c>
      <c r="I231" t="s">
        <v>723</v>
      </c>
      <c r="J231" t="s">
        <v>724</v>
      </c>
      <c r="K231" t="s">
        <v>725</v>
      </c>
      <c r="L231">
        <v>1367</v>
      </c>
      <c r="N231">
        <v>1011</v>
      </c>
      <c r="O231" t="s">
        <v>652</v>
      </c>
      <c r="P231" t="s">
        <v>652</v>
      </c>
      <c r="Q231">
        <v>1</v>
      </c>
      <c r="X231">
        <v>1.66</v>
      </c>
      <c r="Y231">
        <v>0</v>
      </c>
      <c r="Z231">
        <v>62.97</v>
      </c>
      <c r="AA231">
        <v>6.64</v>
      </c>
      <c r="AB231">
        <v>0</v>
      </c>
      <c r="AC231">
        <v>0</v>
      </c>
      <c r="AD231">
        <v>1</v>
      </c>
      <c r="AE231">
        <v>0</v>
      </c>
      <c r="AF231" t="s">
        <v>3</v>
      </c>
      <c r="AG231">
        <v>1.66</v>
      </c>
      <c r="AH231">
        <v>2</v>
      </c>
      <c r="AI231">
        <v>33992507</v>
      </c>
      <c r="AJ231">
        <v>230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x14ac:dyDescent="0.2">
      <c r="A232">
        <f>ROW(Source!A657)</f>
        <v>657</v>
      </c>
      <c r="B232">
        <v>33992516</v>
      </c>
      <c r="C232">
        <v>33992504</v>
      </c>
      <c r="D232">
        <v>30063518</v>
      </c>
      <c r="E232">
        <v>1</v>
      </c>
      <c r="F232">
        <v>1</v>
      </c>
      <c r="G232">
        <v>29983435</v>
      </c>
      <c r="H232">
        <v>2</v>
      </c>
      <c r="I232" t="s">
        <v>686</v>
      </c>
      <c r="J232" t="s">
        <v>726</v>
      </c>
      <c r="K232" t="s">
        <v>727</v>
      </c>
      <c r="L232">
        <v>1367</v>
      </c>
      <c r="N232">
        <v>1011</v>
      </c>
      <c r="O232" t="s">
        <v>652</v>
      </c>
      <c r="P232" t="s">
        <v>652</v>
      </c>
      <c r="Q232">
        <v>1</v>
      </c>
      <c r="X232">
        <v>0.65</v>
      </c>
      <c r="Y232">
        <v>0</v>
      </c>
      <c r="Z232">
        <v>140.58000000000001</v>
      </c>
      <c r="AA232">
        <v>28.61</v>
      </c>
      <c r="AB232">
        <v>0</v>
      </c>
      <c r="AC232">
        <v>0</v>
      </c>
      <c r="AD232">
        <v>1</v>
      </c>
      <c r="AE232">
        <v>0</v>
      </c>
      <c r="AF232" t="s">
        <v>3</v>
      </c>
      <c r="AG232">
        <v>0.65</v>
      </c>
      <c r="AH232">
        <v>2</v>
      </c>
      <c r="AI232">
        <v>33992508</v>
      </c>
      <c r="AJ232">
        <v>231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x14ac:dyDescent="0.2">
      <c r="A233">
        <f>ROW(Source!A657)</f>
        <v>657</v>
      </c>
      <c r="B233">
        <v>33992517</v>
      </c>
      <c r="C233">
        <v>33992504</v>
      </c>
      <c r="D233">
        <v>30063546</v>
      </c>
      <c r="E233">
        <v>1</v>
      </c>
      <c r="F233">
        <v>1</v>
      </c>
      <c r="G233">
        <v>29983435</v>
      </c>
      <c r="H233">
        <v>2</v>
      </c>
      <c r="I233" t="s">
        <v>671</v>
      </c>
      <c r="J233" t="s">
        <v>672</v>
      </c>
      <c r="K233" t="s">
        <v>673</v>
      </c>
      <c r="L233">
        <v>1367</v>
      </c>
      <c r="N233">
        <v>1011</v>
      </c>
      <c r="O233" t="s">
        <v>652</v>
      </c>
      <c r="P233" t="s">
        <v>652</v>
      </c>
      <c r="Q233">
        <v>1</v>
      </c>
      <c r="X233">
        <v>1.55</v>
      </c>
      <c r="Y233">
        <v>0</v>
      </c>
      <c r="Z233">
        <v>125.13</v>
      </c>
      <c r="AA233">
        <v>24.74</v>
      </c>
      <c r="AB233">
        <v>0</v>
      </c>
      <c r="AC233">
        <v>0</v>
      </c>
      <c r="AD233">
        <v>1</v>
      </c>
      <c r="AE233">
        <v>0</v>
      </c>
      <c r="AF233" t="s">
        <v>3</v>
      </c>
      <c r="AG233">
        <v>1.55</v>
      </c>
      <c r="AH233">
        <v>2</v>
      </c>
      <c r="AI233">
        <v>33992509</v>
      </c>
      <c r="AJ233">
        <v>232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x14ac:dyDescent="0.2">
      <c r="A234">
        <f>ROW(Source!A657)</f>
        <v>657</v>
      </c>
      <c r="B234">
        <v>33992518</v>
      </c>
      <c r="C234">
        <v>33992504</v>
      </c>
      <c r="D234">
        <v>30063508</v>
      </c>
      <c r="E234">
        <v>1</v>
      </c>
      <c r="F234">
        <v>1</v>
      </c>
      <c r="G234">
        <v>29983435</v>
      </c>
      <c r="H234">
        <v>2</v>
      </c>
      <c r="I234" t="s">
        <v>713</v>
      </c>
      <c r="J234" t="s">
        <v>728</v>
      </c>
      <c r="K234" t="s">
        <v>715</v>
      </c>
      <c r="L234">
        <v>1367</v>
      </c>
      <c r="N234">
        <v>1011</v>
      </c>
      <c r="O234" t="s">
        <v>652</v>
      </c>
      <c r="P234" t="s">
        <v>652</v>
      </c>
      <c r="Q234">
        <v>1</v>
      </c>
      <c r="X234">
        <v>0.52</v>
      </c>
      <c r="Y234">
        <v>0</v>
      </c>
      <c r="Z234">
        <v>178.02</v>
      </c>
      <c r="AA234">
        <v>23.5</v>
      </c>
      <c r="AB234">
        <v>0</v>
      </c>
      <c r="AC234">
        <v>0</v>
      </c>
      <c r="AD234">
        <v>1</v>
      </c>
      <c r="AE234">
        <v>0</v>
      </c>
      <c r="AF234" t="s">
        <v>3</v>
      </c>
      <c r="AG234">
        <v>0.52</v>
      </c>
      <c r="AH234">
        <v>2</v>
      </c>
      <c r="AI234">
        <v>33992510</v>
      </c>
      <c r="AJ234">
        <v>233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x14ac:dyDescent="0.2">
      <c r="A235">
        <f>ROW(Source!A657)</f>
        <v>657</v>
      </c>
      <c r="B235">
        <v>33992519</v>
      </c>
      <c r="C235">
        <v>33992504</v>
      </c>
      <c r="D235">
        <v>30042537</v>
      </c>
      <c r="E235">
        <v>1</v>
      </c>
      <c r="F235">
        <v>1</v>
      </c>
      <c r="G235">
        <v>29983435</v>
      </c>
      <c r="H235">
        <v>3</v>
      </c>
      <c r="I235" t="s">
        <v>467</v>
      </c>
      <c r="J235" t="s">
        <v>469</v>
      </c>
      <c r="K235" t="s">
        <v>468</v>
      </c>
      <c r="L235">
        <v>1339</v>
      </c>
      <c r="N235">
        <v>1007</v>
      </c>
      <c r="O235" t="s">
        <v>66</v>
      </c>
      <c r="P235" t="s">
        <v>66</v>
      </c>
      <c r="Q235">
        <v>1</v>
      </c>
      <c r="X235">
        <v>5</v>
      </c>
      <c r="Y235">
        <v>7.07</v>
      </c>
      <c r="Z235">
        <v>0</v>
      </c>
      <c r="AA235">
        <v>0</v>
      </c>
      <c r="AB235">
        <v>0</v>
      </c>
      <c r="AC235">
        <v>0</v>
      </c>
      <c r="AD235">
        <v>1</v>
      </c>
      <c r="AE235">
        <v>0</v>
      </c>
      <c r="AF235" t="s">
        <v>3</v>
      </c>
      <c r="AG235">
        <v>5</v>
      </c>
      <c r="AH235">
        <v>2</v>
      </c>
      <c r="AI235">
        <v>33992511</v>
      </c>
      <c r="AJ235">
        <v>234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x14ac:dyDescent="0.2">
      <c r="A236">
        <f>ROW(Source!A657)</f>
        <v>657</v>
      </c>
      <c r="B236">
        <v>33992520</v>
      </c>
      <c r="C236">
        <v>33992504</v>
      </c>
      <c r="D236">
        <v>29984576</v>
      </c>
      <c r="E236">
        <v>29983435</v>
      </c>
      <c r="F236">
        <v>1</v>
      </c>
      <c r="G236">
        <v>29983435</v>
      </c>
      <c r="H236">
        <v>3</v>
      </c>
      <c r="I236" t="s">
        <v>895</v>
      </c>
      <c r="J236" t="s">
        <v>3</v>
      </c>
      <c r="K236" t="s">
        <v>896</v>
      </c>
      <c r="L236">
        <v>1339</v>
      </c>
      <c r="N236">
        <v>1007</v>
      </c>
      <c r="O236" t="s">
        <v>66</v>
      </c>
      <c r="P236" t="s">
        <v>66</v>
      </c>
      <c r="Q236">
        <v>1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 t="s">
        <v>3</v>
      </c>
      <c r="AG236">
        <v>0</v>
      </c>
      <c r="AH236">
        <v>3</v>
      </c>
      <c r="AI236">
        <v>-1</v>
      </c>
      <c r="AJ236" t="s">
        <v>3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x14ac:dyDescent="0.2">
      <c r="A237">
        <f>ROW(Source!A659)</f>
        <v>659</v>
      </c>
      <c r="B237">
        <v>33992532</v>
      </c>
      <c r="C237">
        <v>33992522</v>
      </c>
      <c r="D237">
        <v>29983441</v>
      </c>
      <c r="E237">
        <v>29983435</v>
      </c>
      <c r="F237">
        <v>1</v>
      </c>
      <c r="G237">
        <v>29983435</v>
      </c>
      <c r="H237">
        <v>1</v>
      </c>
      <c r="I237" t="s">
        <v>646</v>
      </c>
      <c r="J237" t="s">
        <v>3</v>
      </c>
      <c r="K237" t="s">
        <v>647</v>
      </c>
      <c r="L237">
        <v>1191</v>
      </c>
      <c r="N237">
        <v>1013</v>
      </c>
      <c r="O237" t="s">
        <v>648</v>
      </c>
      <c r="P237" t="s">
        <v>648</v>
      </c>
      <c r="Q237">
        <v>1</v>
      </c>
      <c r="X237">
        <v>21.6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1</v>
      </c>
      <c r="AF237" t="s">
        <v>3</v>
      </c>
      <c r="AG237">
        <v>21.6</v>
      </c>
      <c r="AH237">
        <v>2</v>
      </c>
      <c r="AI237">
        <v>33992523</v>
      </c>
      <c r="AJ237">
        <v>236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x14ac:dyDescent="0.2">
      <c r="A238">
        <f>ROW(Source!A659)</f>
        <v>659</v>
      </c>
      <c r="B238">
        <v>33992533</v>
      </c>
      <c r="C238">
        <v>33992522</v>
      </c>
      <c r="D238">
        <v>30063269</v>
      </c>
      <c r="E238">
        <v>1</v>
      </c>
      <c r="F238">
        <v>1</v>
      </c>
      <c r="G238">
        <v>29983435</v>
      </c>
      <c r="H238">
        <v>2</v>
      </c>
      <c r="I238" t="s">
        <v>749</v>
      </c>
      <c r="J238" t="s">
        <v>750</v>
      </c>
      <c r="K238" t="s">
        <v>751</v>
      </c>
      <c r="L238">
        <v>1367</v>
      </c>
      <c r="N238">
        <v>1011</v>
      </c>
      <c r="O238" t="s">
        <v>652</v>
      </c>
      <c r="P238" t="s">
        <v>652</v>
      </c>
      <c r="Q238">
        <v>1</v>
      </c>
      <c r="X238">
        <v>2.35</v>
      </c>
      <c r="Y238">
        <v>0</v>
      </c>
      <c r="Z238">
        <v>95.06</v>
      </c>
      <c r="AA238">
        <v>22.22</v>
      </c>
      <c r="AB238">
        <v>0</v>
      </c>
      <c r="AC238">
        <v>0</v>
      </c>
      <c r="AD238">
        <v>1</v>
      </c>
      <c r="AE238">
        <v>0</v>
      </c>
      <c r="AF238" t="s">
        <v>3</v>
      </c>
      <c r="AG238">
        <v>2.35</v>
      </c>
      <c r="AH238">
        <v>2</v>
      </c>
      <c r="AI238">
        <v>33992524</v>
      </c>
      <c r="AJ238">
        <v>237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x14ac:dyDescent="0.2">
      <c r="A239">
        <f>ROW(Source!A659)</f>
        <v>659</v>
      </c>
      <c r="B239">
        <v>33992534</v>
      </c>
      <c r="C239">
        <v>33992522</v>
      </c>
      <c r="D239">
        <v>30063518</v>
      </c>
      <c r="E239">
        <v>1</v>
      </c>
      <c r="F239">
        <v>1</v>
      </c>
      <c r="G239">
        <v>29983435</v>
      </c>
      <c r="H239">
        <v>2</v>
      </c>
      <c r="I239" t="s">
        <v>686</v>
      </c>
      <c r="J239" t="s">
        <v>726</v>
      </c>
      <c r="K239" t="s">
        <v>727</v>
      </c>
      <c r="L239">
        <v>1367</v>
      </c>
      <c r="N239">
        <v>1011</v>
      </c>
      <c r="O239" t="s">
        <v>652</v>
      </c>
      <c r="P239" t="s">
        <v>652</v>
      </c>
      <c r="Q239">
        <v>1</v>
      </c>
      <c r="X239">
        <v>0.91</v>
      </c>
      <c r="Y239">
        <v>0</v>
      </c>
      <c r="Z239">
        <v>140.58000000000001</v>
      </c>
      <c r="AA239">
        <v>28.61</v>
      </c>
      <c r="AB239">
        <v>0</v>
      </c>
      <c r="AC239">
        <v>0</v>
      </c>
      <c r="AD239">
        <v>1</v>
      </c>
      <c r="AE239">
        <v>0</v>
      </c>
      <c r="AF239" t="s">
        <v>3</v>
      </c>
      <c r="AG239">
        <v>0.91</v>
      </c>
      <c r="AH239">
        <v>2</v>
      </c>
      <c r="AI239">
        <v>33992525</v>
      </c>
      <c r="AJ239">
        <v>238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x14ac:dyDescent="0.2">
      <c r="A240">
        <f>ROW(Source!A659)</f>
        <v>659</v>
      </c>
      <c r="B240">
        <v>33992535</v>
      </c>
      <c r="C240">
        <v>33992522</v>
      </c>
      <c r="D240">
        <v>30063503</v>
      </c>
      <c r="E240">
        <v>1</v>
      </c>
      <c r="F240">
        <v>1</v>
      </c>
      <c r="G240">
        <v>29983435</v>
      </c>
      <c r="H240">
        <v>2</v>
      </c>
      <c r="I240" t="s">
        <v>689</v>
      </c>
      <c r="J240" t="s">
        <v>719</v>
      </c>
      <c r="K240" t="s">
        <v>691</v>
      </c>
      <c r="L240">
        <v>1367</v>
      </c>
      <c r="N240">
        <v>1011</v>
      </c>
      <c r="O240" t="s">
        <v>652</v>
      </c>
      <c r="P240" t="s">
        <v>652</v>
      </c>
      <c r="Q240">
        <v>1</v>
      </c>
      <c r="X240">
        <v>7.17</v>
      </c>
      <c r="Y240">
        <v>0</v>
      </c>
      <c r="Z240">
        <v>84.82</v>
      </c>
      <c r="AA240">
        <v>22.85</v>
      </c>
      <c r="AB240">
        <v>0</v>
      </c>
      <c r="AC240">
        <v>0</v>
      </c>
      <c r="AD240">
        <v>1</v>
      </c>
      <c r="AE240">
        <v>0</v>
      </c>
      <c r="AF240" t="s">
        <v>3</v>
      </c>
      <c r="AG240">
        <v>7.17</v>
      </c>
      <c r="AH240">
        <v>2</v>
      </c>
      <c r="AI240">
        <v>33992526</v>
      </c>
      <c r="AJ240">
        <v>239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x14ac:dyDescent="0.2">
      <c r="A241">
        <f>ROW(Source!A659)</f>
        <v>659</v>
      </c>
      <c r="B241">
        <v>33992536</v>
      </c>
      <c r="C241">
        <v>33992522</v>
      </c>
      <c r="D241">
        <v>30063504</v>
      </c>
      <c r="E241">
        <v>1</v>
      </c>
      <c r="F241">
        <v>1</v>
      </c>
      <c r="G241">
        <v>29983435</v>
      </c>
      <c r="H241">
        <v>2</v>
      </c>
      <c r="I241" t="s">
        <v>692</v>
      </c>
      <c r="J241" t="s">
        <v>752</v>
      </c>
      <c r="K241" t="s">
        <v>753</v>
      </c>
      <c r="L241">
        <v>1367</v>
      </c>
      <c r="N241">
        <v>1011</v>
      </c>
      <c r="O241" t="s">
        <v>652</v>
      </c>
      <c r="P241" t="s">
        <v>652</v>
      </c>
      <c r="Q241">
        <v>1</v>
      </c>
      <c r="X241">
        <v>14.6</v>
      </c>
      <c r="Y241">
        <v>0</v>
      </c>
      <c r="Z241">
        <v>119.77</v>
      </c>
      <c r="AA241">
        <v>22.85</v>
      </c>
      <c r="AB241">
        <v>0</v>
      </c>
      <c r="AC241">
        <v>0</v>
      </c>
      <c r="AD241">
        <v>1</v>
      </c>
      <c r="AE241">
        <v>0</v>
      </c>
      <c r="AF241" t="s">
        <v>3</v>
      </c>
      <c r="AG241">
        <v>14.6</v>
      </c>
      <c r="AH241">
        <v>2</v>
      </c>
      <c r="AI241">
        <v>33992527</v>
      </c>
      <c r="AJ241">
        <v>240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x14ac:dyDescent="0.2">
      <c r="A242">
        <f>ROW(Source!A659)</f>
        <v>659</v>
      </c>
      <c r="B242">
        <v>33992537</v>
      </c>
      <c r="C242">
        <v>33992522</v>
      </c>
      <c r="D242">
        <v>30063546</v>
      </c>
      <c r="E242">
        <v>1</v>
      </c>
      <c r="F242">
        <v>1</v>
      </c>
      <c r="G242">
        <v>29983435</v>
      </c>
      <c r="H242">
        <v>2</v>
      </c>
      <c r="I242" t="s">
        <v>671</v>
      </c>
      <c r="J242" t="s">
        <v>672</v>
      </c>
      <c r="K242" t="s">
        <v>673</v>
      </c>
      <c r="L242">
        <v>1367</v>
      </c>
      <c r="N242">
        <v>1011</v>
      </c>
      <c r="O242" t="s">
        <v>652</v>
      </c>
      <c r="P242" t="s">
        <v>652</v>
      </c>
      <c r="Q242">
        <v>1</v>
      </c>
      <c r="X242">
        <v>1.79</v>
      </c>
      <c r="Y242">
        <v>0</v>
      </c>
      <c r="Z242">
        <v>125.13</v>
      </c>
      <c r="AA242">
        <v>24.74</v>
      </c>
      <c r="AB242">
        <v>0</v>
      </c>
      <c r="AC242">
        <v>0</v>
      </c>
      <c r="AD242">
        <v>1</v>
      </c>
      <c r="AE242">
        <v>0</v>
      </c>
      <c r="AF242" t="s">
        <v>3</v>
      </c>
      <c r="AG242">
        <v>1.79</v>
      </c>
      <c r="AH242">
        <v>2</v>
      </c>
      <c r="AI242">
        <v>33992528</v>
      </c>
      <c r="AJ242">
        <v>241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x14ac:dyDescent="0.2">
      <c r="A243">
        <f>ROW(Source!A659)</f>
        <v>659</v>
      </c>
      <c r="B243">
        <v>33992538</v>
      </c>
      <c r="C243">
        <v>33992522</v>
      </c>
      <c r="D243">
        <v>30063508</v>
      </c>
      <c r="E243">
        <v>1</v>
      </c>
      <c r="F243">
        <v>1</v>
      </c>
      <c r="G243">
        <v>29983435</v>
      </c>
      <c r="H243">
        <v>2</v>
      </c>
      <c r="I243" t="s">
        <v>713</v>
      </c>
      <c r="J243" t="s">
        <v>728</v>
      </c>
      <c r="K243" t="s">
        <v>715</v>
      </c>
      <c r="L243">
        <v>1367</v>
      </c>
      <c r="N243">
        <v>1011</v>
      </c>
      <c r="O243" t="s">
        <v>652</v>
      </c>
      <c r="P243" t="s">
        <v>652</v>
      </c>
      <c r="Q243">
        <v>1</v>
      </c>
      <c r="X243">
        <v>0.52</v>
      </c>
      <c r="Y243">
        <v>0</v>
      </c>
      <c r="Z243">
        <v>178.02</v>
      </c>
      <c r="AA243">
        <v>23.5</v>
      </c>
      <c r="AB243">
        <v>0</v>
      </c>
      <c r="AC243">
        <v>0</v>
      </c>
      <c r="AD243">
        <v>1</v>
      </c>
      <c r="AE243">
        <v>0</v>
      </c>
      <c r="AF243" t="s">
        <v>3</v>
      </c>
      <c r="AG243">
        <v>0.52</v>
      </c>
      <c r="AH243">
        <v>2</v>
      </c>
      <c r="AI243">
        <v>33992529</v>
      </c>
      <c r="AJ243">
        <v>242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x14ac:dyDescent="0.2">
      <c r="A244">
        <f>ROW(Source!A659)</f>
        <v>659</v>
      </c>
      <c r="B244">
        <v>33992539</v>
      </c>
      <c r="C244">
        <v>33992522</v>
      </c>
      <c r="D244">
        <v>30042537</v>
      </c>
      <c r="E244">
        <v>1</v>
      </c>
      <c r="F244">
        <v>1</v>
      </c>
      <c r="G244">
        <v>29983435</v>
      </c>
      <c r="H244">
        <v>3</v>
      </c>
      <c r="I244" t="s">
        <v>467</v>
      </c>
      <c r="J244" t="s">
        <v>469</v>
      </c>
      <c r="K244" t="s">
        <v>468</v>
      </c>
      <c r="L244">
        <v>1339</v>
      </c>
      <c r="N244">
        <v>1007</v>
      </c>
      <c r="O244" t="s">
        <v>66</v>
      </c>
      <c r="P244" t="s">
        <v>66</v>
      </c>
      <c r="Q244">
        <v>1</v>
      </c>
      <c r="X244">
        <v>7</v>
      </c>
      <c r="Y244">
        <v>7.07</v>
      </c>
      <c r="Z244">
        <v>0</v>
      </c>
      <c r="AA244">
        <v>0</v>
      </c>
      <c r="AB244">
        <v>0</v>
      </c>
      <c r="AC244">
        <v>0</v>
      </c>
      <c r="AD244">
        <v>1</v>
      </c>
      <c r="AE244">
        <v>0</v>
      </c>
      <c r="AF244" t="s">
        <v>3</v>
      </c>
      <c r="AG244">
        <v>7</v>
      </c>
      <c r="AH244">
        <v>2</v>
      </c>
      <c r="AI244">
        <v>33992530</v>
      </c>
      <c r="AJ244">
        <v>243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x14ac:dyDescent="0.2">
      <c r="A245">
        <f>ROW(Source!A659)</f>
        <v>659</v>
      </c>
      <c r="B245">
        <v>33992540</v>
      </c>
      <c r="C245">
        <v>33992522</v>
      </c>
      <c r="D245">
        <v>29983795</v>
      </c>
      <c r="E245">
        <v>29983435</v>
      </c>
      <c r="F245">
        <v>1</v>
      </c>
      <c r="G245">
        <v>29983435</v>
      </c>
      <c r="H245">
        <v>3</v>
      </c>
      <c r="I245" t="s">
        <v>891</v>
      </c>
      <c r="J245" t="s">
        <v>3</v>
      </c>
      <c r="K245" t="s">
        <v>899</v>
      </c>
      <c r="L245">
        <v>1339</v>
      </c>
      <c r="N245">
        <v>1007</v>
      </c>
      <c r="O245" t="s">
        <v>66</v>
      </c>
      <c r="P245" t="s">
        <v>66</v>
      </c>
      <c r="Q245">
        <v>1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 t="s">
        <v>3</v>
      </c>
      <c r="AG245">
        <v>0</v>
      </c>
      <c r="AH245">
        <v>3</v>
      </c>
      <c r="AI245">
        <v>-1</v>
      </c>
      <c r="AJ245" t="s">
        <v>3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x14ac:dyDescent="0.2">
      <c r="A246">
        <f>ROW(Source!A661)</f>
        <v>661</v>
      </c>
      <c r="B246">
        <v>33992553</v>
      </c>
      <c r="C246">
        <v>33992542</v>
      </c>
      <c r="D246">
        <v>29983441</v>
      </c>
      <c r="E246">
        <v>29983435</v>
      </c>
      <c r="F246">
        <v>1</v>
      </c>
      <c r="G246">
        <v>29983435</v>
      </c>
      <c r="H246">
        <v>1</v>
      </c>
      <c r="I246" t="s">
        <v>646</v>
      </c>
      <c r="J246" t="s">
        <v>3</v>
      </c>
      <c r="K246" t="s">
        <v>647</v>
      </c>
      <c r="L246">
        <v>1191</v>
      </c>
      <c r="N246">
        <v>1013</v>
      </c>
      <c r="O246" t="s">
        <v>648</v>
      </c>
      <c r="P246" t="s">
        <v>648</v>
      </c>
      <c r="Q246">
        <v>1</v>
      </c>
      <c r="X246">
        <v>116.59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1</v>
      </c>
      <c r="AE246">
        <v>1</v>
      </c>
      <c r="AF246" t="s">
        <v>3</v>
      </c>
      <c r="AG246">
        <v>116.59</v>
      </c>
      <c r="AH246">
        <v>2</v>
      </c>
      <c r="AI246">
        <v>33992543</v>
      </c>
      <c r="AJ246">
        <v>245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x14ac:dyDescent="0.2">
      <c r="A247">
        <f>ROW(Source!A661)</f>
        <v>661</v>
      </c>
      <c r="B247">
        <v>33992554</v>
      </c>
      <c r="C247">
        <v>33992542</v>
      </c>
      <c r="D247">
        <v>30063988</v>
      </c>
      <c r="E247">
        <v>1</v>
      </c>
      <c r="F247">
        <v>1</v>
      </c>
      <c r="G247">
        <v>29983435</v>
      </c>
      <c r="H247">
        <v>2</v>
      </c>
      <c r="I247" t="s">
        <v>778</v>
      </c>
      <c r="J247" t="s">
        <v>779</v>
      </c>
      <c r="K247" t="s">
        <v>780</v>
      </c>
      <c r="L247">
        <v>1367</v>
      </c>
      <c r="N247">
        <v>1011</v>
      </c>
      <c r="O247" t="s">
        <v>652</v>
      </c>
      <c r="P247" t="s">
        <v>652</v>
      </c>
      <c r="Q247">
        <v>1</v>
      </c>
      <c r="X247">
        <v>3.28</v>
      </c>
      <c r="Y247">
        <v>0</v>
      </c>
      <c r="Z247">
        <v>17.420000000000002</v>
      </c>
      <c r="AA247">
        <v>0.15</v>
      </c>
      <c r="AB247">
        <v>0</v>
      </c>
      <c r="AC247">
        <v>0</v>
      </c>
      <c r="AD247">
        <v>1</v>
      </c>
      <c r="AE247">
        <v>0</v>
      </c>
      <c r="AF247" t="s">
        <v>3</v>
      </c>
      <c r="AG247">
        <v>3.28</v>
      </c>
      <c r="AH247">
        <v>2</v>
      </c>
      <c r="AI247">
        <v>33992544</v>
      </c>
      <c r="AJ247">
        <v>246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x14ac:dyDescent="0.2">
      <c r="A248">
        <f>ROW(Source!A661)</f>
        <v>661</v>
      </c>
      <c r="B248">
        <v>33992555</v>
      </c>
      <c r="C248">
        <v>33992542</v>
      </c>
      <c r="D248">
        <v>30064095</v>
      </c>
      <c r="E248">
        <v>1</v>
      </c>
      <c r="F248">
        <v>1</v>
      </c>
      <c r="G248">
        <v>29983435</v>
      </c>
      <c r="H248">
        <v>2</v>
      </c>
      <c r="I248" t="s">
        <v>680</v>
      </c>
      <c r="J248" t="s">
        <v>681</v>
      </c>
      <c r="K248" t="s">
        <v>682</v>
      </c>
      <c r="L248">
        <v>1367</v>
      </c>
      <c r="N248">
        <v>1011</v>
      </c>
      <c r="O248" t="s">
        <v>652</v>
      </c>
      <c r="P248" t="s">
        <v>652</v>
      </c>
      <c r="Q248">
        <v>1</v>
      </c>
      <c r="X248">
        <v>0.81</v>
      </c>
      <c r="Y248">
        <v>0</v>
      </c>
      <c r="Z248">
        <v>76.81</v>
      </c>
      <c r="AA248">
        <v>14.36</v>
      </c>
      <c r="AB248">
        <v>0</v>
      </c>
      <c r="AC248">
        <v>0</v>
      </c>
      <c r="AD248">
        <v>1</v>
      </c>
      <c r="AE248">
        <v>0</v>
      </c>
      <c r="AF248" t="s">
        <v>3</v>
      </c>
      <c r="AG248">
        <v>0.81</v>
      </c>
      <c r="AH248">
        <v>2</v>
      </c>
      <c r="AI248">
        <v>33992545</v>
      </c>
      <c r="AJ248">
        <v>247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x14ac:dyDescent="0.2">
      <c r="A249">
        <f>ROW(Source!A661)</f>
        <v>661</v>
      </c>
      <c r="B249">
        <v>33992557</v>
      </c>
      <c r="C249">
        <v>33992542</v>
      </c>
      <c r="D249">
        <v>30064155</v>
      </c>
      <c r="E249">
        <v>1</v>
      </c>
      <c r="F249">
        <v>1</v>
      </c>
      <c r="G249">
        <v>29983435</v>
      </c>
      <c r="H249">
        <v>2</v>
      </c>
      <c r="I249" t="s">
        <v>781</v>
      </c>
      <c r="J249" t="s">
        <v>782</v>
      </c>
      <c r="K249" t="s">
        <v>783</v>
      </c>
      <c r="L249">
        <v>1367</v>
      </c>
      <c r="N249">
        <v>1011</v>
      </c>
      <c r="O249" t="s">
        <v>652</v>
      </c>
      <c r="P249" t="s">
        <v>652</v>
      </c>
      <c r="Q249">
        <v>1</v>
      </c>
      <c r="X249">
        <v>1.74</v>
      </c>
      <c r="Y249">
        <v>0</v>
      </c>
      <c r="Z249">
        <v>0.81</v>
      </c>
      <c r="AA249">
        <v>0.03</v>
      </c>
      <c r="AB249">
        <v>0</v>
      </c>
      <c r="AC249">
        <v>0</v>
      </c>
      <c r="AD249">
        <v>1</v>
      </c>
      <c r="AE249">
        <v>0</v>
      </c>
      <c r="AF249" t="s">
        <v>3</v>
      </c>
      <c r="AG249">
        <v>1.74</v>
      </c>
      <c r="AH249">
        <v>2</v>
      </c>
      <c r="AI249">
        <v>33992547</v>
      </c>
      <c r="AJ249">
        <v>248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x14ac:dyDescent="0.2">
      <c r="A250">
        <f>ROW(Source!A661)</f>
        <v>661</v>
      </c>
      <c r="B250">
        <v>33992556</v>
      </c>
      <c r="C250">
        <v>33992542</v>
      </c>
      <c r="D250">
        <v>30063337</v>
      </c>
      <c r="E250">
        <v>1</v>
      </c>
      <c r="F250">
        <v>1</v>
      </c>
      <c r="G250">
        <v>29983435</v>
      </c>
      <c r="H250">
        <v>2</v>
      </c>
      <c r="I250" t="s">
        <v>729</v>
      </c>
      <c r="J250" t="s">
        <v>730</v>
      </c>
      <c r="K250" t="s">
        <v>731</v>
      </c>
      <c r="L250">
        <v>1367</v>
      </c>
      <c r="N250">
        <v>1011</v>
      </c>
      <c r="O250" t="s">
        <v>652</v>
      </c>
      <c r="P250" t="s">
        <v>652</v>
      </c>
      <c r="Q250">
        <v>1</v>
      </c>
      <c r="X250">
        <v>0.81</v>
      </c>
      <c r="Y250">
        <v>0</v>
      </c>
      <c r="Z250">
        <v>190.93</v>
      </c>
      <c r="AA250">
        <v>18.149999999999999</v>
      </c>
      <c r="AB250">
        <v>0</v>
      </c>
      <c r="AC250">
        <v>0</v>
      </c>
      <c r="AD250">
        <v>1</v>
      </c>
      <c r="AE250">
        <v>0</v>
      </c>
      <c r="AF250" t="s">
        <v>3</v>
      </c>
      <c r="AG250">
        <v>0.81</v>
      </c>
      <c r="AH250">
        <v>2</v>
      </c>
      <c r="AI250">
        <v>33992546</v>
      </c>
      <c r="AJ250">
        <v>249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x14ac:dyDescent="0.2">
      <c r="A251">
        <f>ROW(Source!A661)</f>
        <v>661</v>
      </c>
      <c r="B251">
        <v>33992558</v>
      </c>
      <c r="C251">
        <v>33992542</v>
      </c>
      <c r="D251">
        <v>29983439</v>
      </c>
      <c r="E251">
        <v>29983435</v>
      </c>
      <c r="F251">
        <v>1</v>
      </c>
      <c r="G251">
        <v>29983435</v>
      </c>
      <c r="H251">
        <v>2</v>
      </c>
      <c r="I251" t="s">
        <v>674</v>
      </c>
      <c r="J251" t="s">
        <v>3</v>
      </c>
      <c r="K251" t="s">
        <v>675</v>
      </c>
      <c r="L251">
        <v>1344</v>
      </c>
      <c r="N251">
        <v>1008</v>
      </c>
      <c r="O251" t="s">
        <v>676</v>
      </c>
      <c r="P251" t="s">
        <v>676</v>
      </c>
      <c r="Q251">
        <v>1</v>
      </c>
      <c r="X251">
        <v>0.01</v>
      </c>
      <c r="Y251">
        <v>0</v>
      </c>
      <c r="Z251">
        <v>1</v>
      </c>
      <c r="AA251">
        <v>0</v>
      </c>
      <c r="AB251">
        <v>0</v>
      </c>
      <c r="AC251">
        <v>0</v>
      </c>
      <c r="AD251">
        <v>1</v>
      </c>
      <c r="AE251">
        <v>0</v>
      </c>
      <c r="AF251" t="s">
        <v>3</v>
      </c>
      <c r="AG251">
        <v>0.01</v>
      </c>
      <c r="AH251">
        <v>2</v>
      </c>
      <c r="AI251">
        <v>33992548</v>
      </c>
      <c r="AJ251">
        <v>250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x14ac:dyDescent="0.2">
      <c r="A252">
        <f>ROW(Source!A661)</f>
        <v>661</v>
      </c>
      <c r="B252">
        <v>33992559</v>
      </c>
      <c r="C252">
        <v>33992542</v>
      </c>
      <c r="D252">
        <v>30041978</v>
      </c>
      <c r="E252">
        <v>1</v>
      </c>
      <c r="F252">
        <v>1</v>
      </c>
      <c r="G252">
        <v>29983435</v>
      </c>
      <c r="H252">
        <v>3</v>
      </c>
      <c r="I252" t="s">
        <v>190</v>
      </c>
      <c r="J252" t="s">
        <v>192</v>
      </c>
      <c r="K252" t="s">
        <v>191</v>
      </c>
      <c r="L252">
        <v>1339</v>
      </c>
      <c r="N252">
        <v>1007</v>
      </c>
      <c r="O252" t="s">
        <v>66</v>
      </c>
      <c r="P252" t="s">
        <v>66</v>
      </c>
      <c r="Q252">
        <v>1</v>
      </c>
      <c r="X252">
        <v>0.21</v>
      </c>
      <c r="Y252">
        <v>104.99</v>
      </c>
      <c r="Z252">
        <v>0</v>
      </c>
      <c r="AA252">
        <v>0</v>
      </c>
      <c r="AB252">
        <v>0</v>
      </c>
      <c r="AC252">
        <v>0</v>
      </c>
      <c r="AD252">
        <v>1</v>
      </c>
      <c r="AE252">
        <v>0</v>
      </c>
      <c r="AF252" t="s">
        <v>3</v>
      </c>
      <c r="AG252">
        <v>0.21</v>
      </c>
      <c r="AH252">
        <v>2</v>
      </c>
      <c r="AI252">
        <v>33992549</v>
      </c>
      <c r="AJ252">
        <v>251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x14ac:dyDescent="0.2">
      <c r="A253">
        <f>ROW(Source!A661)</f>
        <v>661</v>
      </c>
      <c r="B253">
        <v>33992560</v>
      </c>
      <c r="C253">
        <v>33992542</v>
      </c>
      <c r="D253">
        <v>29987412</v>
      </c>
      <c r="E253">
        <v>29983435</v>
      </c>
      <c r="F253">
        <v>1</v>
      </c>
      <c r="G253">
        <v>29983435</v>
      </c>
      <c r="H253">
        <v>3</v>
      </c>
      <c r="I253" t="s">
        <v>908</v>
      </c>
      <c r="J253" t="s">
        <v>3</v>
      </c>
      <c r="K253" t="s">
        <v>909</v>
      </c>
      <c r="L253">
        <v>1354</v>
      </c>
      <c r="N253">
        <v>1010</v>
      </c>
      <c r="O253" t="s">
        <v>328</v>
      </c>
      <c r="P253" t="s">
        <v>328</v>
      </c>
      <c r="Q253">
        <v>1</v>
      </c>
      <c r="X253">
        <v>1.5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 t="s">
        <v>3</v>
      </c>
      <c r="AG253">
        <v>1.5</v>
      </c>
      <c r="AH253">
        <v>3</v>
      </c>
      <c r="AI253">
        <v>-1</v>
      </c>
      <c r="AJ253" t="s">
        <v>3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x14ac:dyDescent="0.2">
      <c r="A254">
        <f>ROW(Source!A661)</f>
        <v>661</v>
      </c>
      <c r="B254">
        <v>33992561</v>
      </c>
      <c r="C254">
        <v>33992542</v>
      </c>
      <c r="D254">
        <v>29984258</v>
      </c>
      <c r="E254">
        <v>29983435</v>
      </c>
      <c r="F254">
        <v>1</v>
      </c>
      <c r="G254">
        <v>29983435</v>
      </c>
      <c r="H254">
        <v>3</v>
      </c>
      <c r="I254" t="s">
        <v>910</v>
      </c>
      <c r="J254" t="s">
        <v>3</v>
      </c>
      <c r="K254" t="s">
        <v>911</v>
      </c>
      <c r="L254">
        <v>1348</v>
      </c>
      <c r="N254">
        <v>1009</v>
      </c>
      <c r="O254" t="s">
        <v>51</v>
      </c>
      <c r="P254" t="s">
        <v>51</v>
      </c>
      <c r="Q254">
        <v>1000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 t="s">
        <v>3</v>
      </c>
      <c r="AG254">
        <v>0</v>
      </c>
      <c r="AH254">
        <v>3</v>
      </c>
      <c r="AI254">
        <v>-1</v>
      </c>
      <c r="AJ254" t="s">
        <v>3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x14ac:dyDescent="0.2">
      <c r="A255">
        <f>ROW(Source!A661)</f>
        <v>661</v>
      </c>
      <c r="B255">
        <v>33992562</v>
      </c>
      <c r="C255">
        <v>33992542</v>
      </c>
      <c r="D255">
        <v>29987410</v>
      </c>
      <c r="E255">
        <v>29983435</v>
      </c>
      <c r="F255">
        <v>1</v>
      </c>
      <c r="G255">
        <v>29983435</v>
      </c>
      <c r="H255">
        <v>3</v>
      </c>
      <c r="I255" t="s">
        <v>912</v>
      </c>
      <c r="J255" t="s">
        <v>3</v>
      </c>
      <c r="K255" t="s">
        <v>913</v>
      </c>
      <c r="L255">
        <v>1327</v>
      </c>
      <c r="N255">
        <v>1005</v>
      </c>
      <c r="O255" t="s">
        <v>411</v>
      </c>
      <c r="P255" t="s">
        <v>411</v>
      </c>
      <c r="Q255">
        <v>1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 t="s">
        <v>3</v>
      </c>
      <c r="AG255">
        <v>0</v>
      </c>
      <c r="AH255">
        <v>3</v>
      </c>
      <c r="AI255">
        <v>-1</v>
      </c>
      <c r="AJ255" t="s">
        <v>3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x14ac:dyDescent="0.2">
      <c r="A256">
        <f>ROW(Source!A701)</f>
        <v>701</v>
      </c>
      <c r="B256">
        <v>33992568</v>
      </c>
      <c r="C256">
        <v>33992566</v>
      </c>
      <c r="D256">
        <v>29983441</v>
      </c>
      <c r="E256">
        <v>29983435</v>
      </c>
      <c r="F256">
        <v>1</v>
      </c>
      <c r="G256">
        <v>29983435</v>
      </c>
      <c r="H256">
        <v>1</v>
      </c>
      <c r="I256" t="s">
        <v>646</v>
      </c>
      <c r="J256" t="s">
        <v>3</v>
      </c>
      <c r="K256" t="s">
        <v>647</v>
      </c>
      <c r="L256">
        <v>1191</v>
      </c>
      <c r="N256">
        <v>1013</v>
      </c>
      <c r="O256" t="s">
        <v>648</v>
      </c>
      <c r="P256" t="s">
        <v>648</v>
      </c>
      <c r="Q256">
        <v>1</v>
      </c>
      <c r="X256">
        <v>76.7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1</v>
      </c>
      <c r="AE256">
        <v>1</v>
      </c>
      <c r="AF256" t="s">
        <v>3</v>
      </c>
      <c r="AG256">
        <v>76.7</v>
      </c>
      <c r="AH256">
        <v>2</v>
      </c>
      <c r="AI256">
        <v>33992567</v>
      </c>
      <c r="AJ256">
        <v>255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 x14ac:dyDescent="0.2">
      <c r="A257">
        <f>ROW(Source!A702)</f>
        <v>702</v>
      </c>
      <c r="B257">
        <v>34039116</v>
      </c>
      <c r="C257">
        <v>33992569</v>
      </c>
      <c r="D257">
        <v>29983441</v>
      </c>
      <c r="E257">
        <v>29983435</v>
      </c>
      <c r="F257">
        <v>1</v>
      </c>
      <c r="G257">
        <v>29983435</v>
      </c>
      <c r="H257">
        <v>1</v>
      </c>
      <c r="I257" t="s">
        <v>646</v>
      </c>
      <c r="J257" t="s">
        <v>3</v>
      </c>
      <c r="K257" t="s">
        <v>647</v>
      </c>
      <c r="L257">
        <v>1191</v>
      </c>
      <c r="N257">
        <v>1013</v>
      </c>
      <c r="O257" t="s">
        <v>648</v>
      </c>
      <c r="P257" t="s">
        <v>648</v>
      </c>
      <c r="Q257">
        <v>1</v>
      </c>
      <c r="X257">
        <v>1.1200000000000001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1</v>
      </c>
      <c r="AE257">
        <v>1</v>
      </c>
      <c r="AF257" t="s">
        <v>3</v>
      </c>
      <c r="AG257">
        <v>1.1200000000000001</v>
      </c>
      <c r="AH257">
        <v>2</v>
      </c>
      <c r="AI257">
        <v>34039116</v>
      </c>
      <c r="AJ257">
        <v>256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 x14ac:dyDescent="0.2">
      <c r="A258">
        <f>ROW(Source!A702)</f>
        <v>702</v>
      </c>
      <c r="B258">
        <v>34039117</v>
      </c>
      <c r="C258">
        <v>33992569</v>
      </c>
      <c r="D258">
        <v>30064109</v>
      </c>
      <c r="E258">
        <v>1</v>
      </c>
      <c r="F258">
        <v>1</v>
      </c>
      <c r="G258">
        <v>29983435</v>
      </c>
      <c r="H258">
        <v>2</v>
      </c>
      <c r="I258" t="s">
        <v>784</v>
      </c>
      <c r="J258" t="s">
        <v>785</v>
      </c>
      <c r="K258" t="s">
        <v>786</v>
      </c>
      <c r="L258">
        <v>1367</v>
      </c>
      <c r="N258">
        <v>1011</v>
      </c>
      <c r="O258" t="s">
        <v>652</v>
      </c>
      <c r="P258" t="s">
        <v>652</v>
      </c>
      <c r="Q258">
        <v>1</v>
      </c>
      <c r="X258">
        <v>0.38</v>
      </c>
      <c r="Y258">
        <v>0</v>
      </c>
      <c r="Z258">
        <v>42.2</v>
      </c>
      <c r="AA258">
        <v>18.38</v>
      </c>
      <c r="AB258">
        <v>0</v>
      </c>
      <c r="AC258">
        <v>0</v>
      </c>
      <c r="AD258">
        <v>1</v>
      </c>
      <c r="AE258">
        <v>0</v>
      </c>
      <c r="AF258" t="s">
        <v>3</v>
      </c>
      <c r="AG258">
        <v>0.38</v>
      </c>
      <c r="AH258">
        <v>2</v>
      </c>
      <c r="AI258">
        <v>34039117</v>
      </c>
      <c r="AJ258">
        <v>257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 x14ac:dyDescent="0.2">
      <c r="A259">
        <f>ROW(Source!A703)</f>
        <v>703</v>
      </c>
      <c r="B259">
        <v>34039118</v>
      </c>
      <c r="C259">
        <v>33992572</v>
      </c>
      <c r="D259">
        <v>29983441</v>
      </c>
      <c r="E259">
        <v>29983435</v>
      </c>
      <c r="F259">
        <v>1</v>
      </c>
      <c r="G259">
        <v>29983435</v>
      </c>
      <c r="H259">
        <v>1</v>
      </c>
      <c r="I259" t="s">
        <v>646</v>
      </c>
      <c r="J259" t="s">
        <v>3</v>
      </c>
      <c r="K259" t="s">
        <v>647</v>
      </c>
      <c r="L259">
        <v>1191</v>
      </c>
      <c r="N259">
        <v>1013</v>
      </c>
      <c r="O259" t="s">
        <v>648</v>
      </c>
      <c r="P259" t="s">
        <v>648</v>
      </c>
      <c r="Q259">
        <v>1</v>
      </c>
      <c r="X259">
        <v>1.02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1</v>
      </c>
      <c r="AE259">
        <v>1</v>
      </c>
      <c r="AF259" t="s">
        <v>3</v>
      </c>
      <c r="AG259">
        <v>1.02</v>
      </c>
      <c r="AH259">
        <v>2</v>
      </c>
      <c r="AI259">
        <v>34039118</v>
      </c>
      <c r="AJ259">
        <v>258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 x14ac:dyDescent="0.2">
      <c r="A260">
        <f>ROW(Source!A704)</f>
        <v>704</v>
      </c>
      <c r="B260">
        <v>34039115</v>
      </c>
      <c r="C260">
        <v>33992575</v>
      </c>
      <c r="D260">
        <v>30064127</v>
      </c>
      <c r="E260">
        <v>1</v>
      </c>
      <c r="F260">
        <v>1</v>
      </c>
      <c r="G260">
        <v>29983435</v>
      </c>
      <c r="H260">
        <v>2</v>
      </c>
      <c r="I260" t="s">
        <v>677</v>
      </c>
      <c r="J260" t="s">
        <v>678</v>
      </c>
      <c r="K260" t="s">
        <v>679</v>
      </c>
      <c r="L260">
        <v>1367</v>
      </c>
      <c r="N260">
        <v>1011</v>
      </c>
      <c r="O260" t="s">
        <v>652</v>
      </c>
      <c r="P260" t="s">
        <v>652</v>
      </c>
      <c r="Q260">
        <v>1</v>
      </c>
      <c r="X260">
        <v>1</v>
      </c>
      <c r="Y260">
        <v>0</v>
      </c>
      <c r="Z260">
        <v>193.32</v>
      </c>
      <c r="AA260">
        <v>18.11</v>
      </c>
      <c r="AB260">
        <v>0</v>
      </c>
      <c r="AC260">
        <v>0</v>
      </c>
      <c r="AD260">
        <v>1</v>
      </c>
      <c r="AE260">
        <v>0</v>
      </c>
      <c r="AF260" t="s">
        <v>3</v>
      </c>
      <c r="AG260">
        <v>1</v>
      </c>
      <c r="AH260">
        <v>2</v>
      </c>
      <c r="AI260">
        <v>34039115</v>
      </c>
      <c r="AJ260">
        <v>259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 x14ac:dyDescent="0.2">
      <c r="A261">
        <f>ROW(Source!A705)</f>
        <v>705</v>
      </c>
      <c r="B261">
        <v>34039114</v>
      </c>
      <c r="C261">
        <v>33992578</v>
      </c>
      <c r="D261">
        <v>29983439</v>
      </c>
      <c r="E261">
        <v>29983435</v>
      </c>
      <c r="F261">
        <v>1</v>
      </c>
      <c r="G261">
        <v>29983435</v>
      </c>
      <c r="H261">
        <v>2</v>
      </c>
      <c r="I261" t="s">
        <v>674</v>
      </c>
      <c r="J261" t="s">
        <v>3</v>
      </c>
      <c r="K261" t="s">
        <v>675</v>
      </c>
      <c r="L261">
        <v>1344</v>
      </c>
      <c r="N261">
        <v>1008</v>
      </c>
      <c r="O261" t="s">
        <v>676</v>
      </c>
      <c r="P261" t="s">
        <v>676</v>
      </c>
      <c r="Q261">
        <v>1</v>
      </c>
      <c r="X261">
        <v>22.57</v>
      </c>
      <c r="Y261">
        <v>0</v>
      </c>
      <c r="Z261">
        <v>1</v>
      </c>
      <c r="AA261">
        <v>0</v>
      </c>
      <c r="AB261">
        <v>0</v>
      </c>
      <c r="AC261">
        <v>0</v>
      </c>
      <c r="AD261">
        <v>1</v>
      </c>
      <c r="AE261">
        <v>0</v>
      </c>
      <c r="AF261" t="s">
        <v>3</v>
      </c>
      <c r="AG261">
        <v>22.57</v>
      </c>
      <c r="AH261">
        <v>2</v>
      </c>
      <c r="AI261">
        <v>34039114</v>
      </c>
      <c r="AJ261">
        <v>260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 x14ac:dyDescent="0.2">
      <c r="A262">
        <f>ROW(Source!A706)</f>
        <v>706</v>
      </c>
      <c r="B262">
        <v>33992590</v>
      </c>
      <c r="C262">
        <v>33992581</v>
      </c>
      <c r="D262">
        <v>29983441</v>
      </c>
      <c r="E262">
        <v>29983435</v>
      </c>
      <c r="F262">
        <v>1</v>
      </c>
      <c r="G262">
        <v>29983435</v>
      </c>
      <c r="H262">
        <v>1</v>
      </c>
      <c r="I262" t="s">
        <v>646</v>
      </c>
      <c r="J262" t="s">
        <v>3</v>
      </c>
      <c r="K262" t="s">
        <v>647</v>
      </c>
      <c r="L262">
        <v>1191</v>
      </c>
      <c r="N262">
        <v>1013</v>
      </c>
      <c r="O262" t="s">
        <v>648</v>
      </c>
      <c r="P262" t="s">
        <v>648</v>
      </c>
      <c r="Q262">
        <v>1</v>
      </c>
      <c r="X262">
        <v>14.4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1</v>
      </c>
      <c r="AE262">
        <v>1</v>
      </c>
      <c r="AF262" t="s">
        <v>3</v>
      </c>
      <c r="AG262">
        <v>14.4</v>
      </c>
      <c r="AH262">
        <v>2</v>
      </c>
      <c r="AI262">
        <v>33992582</v>
      </c>
      <c r="AJ262">
        <v>261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 x14ac:dyDescent="0.2">
      <c r="A263">
        <f>ROW(Source!A706)</f>
        <v>706</v>
      </c>
      <c r="B263">
        <v>33992591</v>
      </c>
      <c r="C263">
        <v>33992581</v>
      </c>
      <c r="D263">
        <v>30063290</v>
      </c>
      <c r="E263">
        <v>1</v>
      </c>
      <c r="F263">
        <v>1</v>
      </c>
      <c r="G263">
        <v>29983435</v>
      </c>
      <c r="H263">
        <v>2</v>
      </c>
      <c r="I263" t="s">
        <v>683</v>
      </c>
      <c r="J263" t="s">
        <v>684</v>
      </c>
      <c r="K263" t="s">
        <v>685</v>
      </c>
      <c r="L263">
        <v>1367</v>
      </c>
      <c r="N263">
        <v>1011</v>
      </c>
      <c r="O263" t="s">
        <v>652</v>
      </c>
      <c r="P263" t="s">
        <v>652</v>
      </c>
      <c r="Q263">
        <v>1</v>
      </c>
      <c r="X263">
        <v>1.66</v>
      </c>
      <c r="Y263">
        <v>0</v>
      </c>
      <c r="Z263">
        <v>116.89</v>
      </c>
      <c r="AA263">
        <v>23.41</v>
      </c>
      <c r="AB263">
        <v>0</v>
      </c>
      <c r="AC263">
        <v>0</v>
      </c>
      <c r="AD263">
        <v>1</v>
      </c>
      <c r="AE263">
        <v>0</v>
      </c>
      <c r="AF263" t="s">
        <v>3</v>
      </c>
      <c r="AG263">
        <v>1.66</v>
      </c>
      <c r="AH263">
        <v>2</v>
      </c>
      <c r="AI263">
        <v>33992583</v>
      </c>
      <c r="AJ263">
        <v>262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 x14ac:dyDescent="0.2">
      <c r="A264">
        <f>ROW(Source!A706)</f>
        <v>706</v>
      </c>
      <c r="B264">
        <v>33992592</v>
      </c>
      <c r="C264">
        <v>33992581</v>
      </c>
      <c r="D264">
        <v>30063515</v>
      </c>
      <c r="E264">
        <v>1</v>
      </c>
      <c r="F264">
        <v>1</v>
      </c>
      <c r="G264">
        <v>29983435</v>
      </c>
      <c r="H264">
        <v>2</v>
      </c>
      <c r="I264" t="s">
        <v>723</v>
      </c>
      <c r="J264" t="s">
        <v>724</v>
      </c>
      <c r="K264" t="s">
        <v>725</v>
      </c>
      <c r="L264">
        <v>1367</v>
      </c>
      <c r="N264">
        <v>1011</v>
      </c>
      <c r="O264" t="s">
        <v>652</v>
      </c>
      <c r="P264" t="s">
        <v>652</v>
      </c>
      <c r="Q264">
        <v>1</v>
      </c>
      <c r="X264">
        <v>1.66</v>
      </c>
      <c r="Y264">
        <v>0</v>
      </c>
      <c r="Z264">
        <v>62.97</v>
      </c>
      <c r="AA264">
        <v>6.64</v>
      </c>
      <c r="AB264">
        <v>0</v>
      </c>
      <c r="AC264">
        <v>0</v>
      </c>
      <c r="AD264">
        <v>1</v>
      </c>
      <c r="AE264">
        <v>0</v>
      </c>
      <c r="AF264" t="s">
        <v>3</v>
      </c>
      <c r="AG264">
        <v>1.66</v>
      </c>
      <c r="AH264">
        <v>2</v>
      </c>
      <c r="AI264">
        <v>33992584</v>
      </c>
      <c r="AJ264">
        <v>263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 x14ac:dyDescent="0.2">
      <c r="A265">
        <f>ROW(Source!A706)</f>
        <v>706</v>
      </c>
      <c r="B265">
        <v>33992593</v>
      </c>
      <c r="C265">
        <v>33992581</v>
      </c>
      <c r="D265">
        <v>30063518</v>
      </c>
      <c r="E265">
        <v>1</v>
      </c>
      <c r="F265">
        <v>1</v>
      </c>
      <c r="G265">
        <v>29983435</v>
      </c>
      <c r="H265">
        <v>2</v>
      </c>
      <c r="I265" t="s">
        <v>686</v>
      </c>
      <c r="J265" t="s">
        <v>726</v>
      </c>
      <c r="K265" t="s">
        <v>727</v>
      </c>
      <c r="L265">
        <v>1367</v>
      </c>
      <c r="N265">
        <v>1011</v>
      </c>
      <c r="O265" t="s">
        <v>652</v>
      </c>
      <c r="P265" t="s">
        <v>652</v>
      </c>
      <c r="Q265">
        <v>1</v>
      </c>
      <c r="X265">
        <v>0.65</v>
      </c>
      <c r="Y265">
        <v>0</v>
      </c>
      <c r="Z265">
        <v>140.58000000000001</v>
      </c>
      <c r="AA265">
        <v>28.61</v>
      </c>
      <c r="AB265">
        <v>0</v>
      </c>
      <c r="AC265">
        <v>0</v>
      </c>
      <c r="AD265">
        <v>1</v>
      </c>
      <c r="AE265">
        <v>0</v>
      </c>
      <c r="AF265" t="s">
        <v>3</v>
      </c>
      <c r="AG265">
        <v>0.65</v>
      </c>
      <c r="AH265">
        <v>2</v>
      </c>
      <c r="AI265">
        <v>33992585</v>
      </c>
      <c r="AJ265">
        <v>264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 x14ac:dyDescent="0.2">
      <c r="A266">
        <f>ROW(Source!A706)</f>
        <v>706</v>
      </c>
      <c r="B266">
        <v>33992594</v>
      </c>
      <c r="C266">
        <v>33992581</v>
      </c>
      <c r="D266">
        <v>30063546</v>
      </c>
      <c r="E266">
        <v>1</v>
      </c>
      <c r="F266">
        <v>1</v>
      </c>
      <c r="G266">
        <v>29983435</v>
      </c>
      <c r="H266">
        <v>2</v>
      </c>
      <c r="I266" t="s">
        <v>671</v>
      </c>
      <c r="J266" t="s">
        <v>672</v>
      </c>
      <c r="K266" t="s">
        <v>673</v>
      </c>
      <c r="L266">
        <v>1367</v>
      </c>
      <c r="N266">
        <v>1011</v>
      </c>
      <c r="O266" t="s">
        <v>652</v>
      </c>
      <c r="P266" t="s">
        <v>652</v>
      </c>
      <c r="Q266">
        <v>1</v>
      </c>
      <c r="X266">
        <v>1.55</v>
      </c>
      <c r="Y266">
        <v>0</v>
      </c>
      <c r="Z266">
        <v>125.13</v>
      </c>
      <c r="AA266">
        <v>24.74</v>
      </c>
      <c r="AB266">
        <v>0</v>
      </c>
      <c r="AC266">
        <v>0</v>
      </c>
      <c r="AD266">
        <v>1</v>
      </c>
      <c r="AE266">
        <v>0</v>
      </c>
      <c r="AF266" t="s">
        <v>3</v>
      </c>
      <c r="AG266">
        <v>1.55</v>
      </c>
      <c r="AH266">
        <v>2</v>
      </c>
      <c r="AI266">
        <v>33992586</v>
      </c>
      <c r="AJ266">
        <v>265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 x14ac:dyDescent="0.2">
      <c r="A267">
        <f>ROW(Source!A706)</f>
        <v>706</v>
      </c>
      <c r="B267">
        <v>33992595</v>
      </c>
      <c r="C267">
        <v>33992581</v>
      </c>
      <c r="D267">
        <v>30063508</v>
      </c>
      <c r="E267">
        <v>1</v>
      </c>
      <c r="F267">
        <v>1</v>
      </c>
      <c r="G267">
        <v>29983435</v>
      </c>
      <c r="H267">
        <v>2</v>
      </c>
      <c r="I267" t="s">
        <v>713</v>
      </c>
      <c r="J267" t="s">
        <v>728</v>
      </c>
      <c r="K267" t="s">
        <v>715</v>
      </c>
      <c r="L267">
        <v>1367</v>
      </c>
      <c r="N267">
        <v>1011</v>
      </c>
      <c r="O267" t="s">
        <v>652</v>
      </c>
      <c r="P267" t="s">
        <v>652</v>
      </c>
      <c r="Q267">
        <v>1</v>
      </c>
      <c r="X267">
        <v>0.52</v>
      </c>
      <c r="Y267">
        <v>0</v>
      </c>
      <c r="Z267">
        <v>178.02</v>
      </c>
      <c r="AA267">
        <v>23.5</v>
      </c>
      <c r="AB267">
        <v>0</v>
      </c>
      <c r="AC267">
        <v>0</v>
      </c>
      <c r="AD267">
        <v>1</v>
      </c>
      <c r="AE267">
        <v>0</v>
      </c>
      <c r="AF267" t="s">
        <v>3</v>
      </c>
      <c r="AG267">
        <v>0.52</v>
      </c>
      <c r="AH267">
        <v>2</v>
      </c>
      <c r="AI267">
        <v>33992587</v>
      </c>
      <c r="AJ267">
        <v>266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 x14ac:dyDescent="0.2">
      <c r="A268">
        <f>ROW(Source!A706)</f>
        <v>706</v>
      </c>
      <c r="B268">
        <v>33992596</v>
      </c>
      <c r="C268">
        <v>33992581</v>
      </c>
      <c r="D268">
        <v>30042537</v>
      </c>
      <c r="E268">
        <v>1</v>
      </c>
      <c r="F268">
        <v>1</v>
      </c>
      <c r="G268">
        <v>29983435</v>
      </c>
      <c r="H268">
        <v>3</v>
      </c>
      <c r="I268" t="s">
        <v>467</v>
      </c>
      <c r="J268" t="s">
        <v>469</v>
      </c>
      <c r="K268" t="s">
        <v>468</v>
      </c>
      <c r="L268">
        <v>1339</v>
      </c>
      <c r="N268">
        <v>1007</v>
      </c>
      <c r="O268" t="s">
        <v>66</v>
      </c>
      <c r="P268" t="s">
        <v>66</v>
      </c>
      <c r="Q268">
        <v>1</v>
      </c>
      <c r="X268">
        <v>5</v>
      </c>
      <c r="Y268">
        <v>7.07</v>
      </c>
      <c r="Z268">
        <v>0</v>
      </c>
      <c r="AA268">
        <v>0</v>
      </c>
      <c r="AB268">
        <v>0</v>
      </c>
      <c r="AC268">
        <v>0</v>
      </c>
      <c r="AD268">
        <v>1</v>
      </c>
      <c r="AE268">
        <v>0</v>
      </c>
      <c r="AF268" t="s">
        <v>3</v>
      </c>
      <c r="AG268">
        <v>5</v>
      </c>
      <c r="AH268">
        <v>2</v>
      </c>
      <c r="AI268">
        <v>33992588</v>
      </c>
      <c r="AJ268">
        <v>267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 x14ac:dyDescent="0.2">
      <c r="A269">
        <f>ROW(Source!A706)</f>
        <v>706</v>
      </c>
      <c r="B269">
        <v>33992597</v>
      </c>
      <c r="C269">
        <v>33992581</v>
      </c>
      <c r="D269">
        <v>29984576</v>
      </c>
      <c r="E269">
        <v>29983435</v>
      </c>
      <c r="F269">
        <v>1</v>
      </c>
      <c r="G269">
        <v>29983435</v>
      </c>
      <c r="H269">
        <v>3</v>
      </c>
      <c r="I269" t="s">
        <v>895</v>
      </c>
      <c r="J269" t="s">
        <v>3</v>
      </c>
      <c r="K269" t="s">
        <v>896</v>
      </c>
      <c r="L269">
        <v>1339</v>
      </c>
      <c r="N269">
        <v>1007</v>
      </c>
      <c r="O269" t="s">
        <v>66</v>
      </c>
      <c r="P269" t="s">
        <v>66</v>
      </c>
      <c r="Q269">
        <v>1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 t="s">
        <v>3</v>
      </c>
      <c r="AG269">
        <v>0</v>
      </c>
      <c r="AH269">
        <v>3</v>
      </c>
      <c r="AI269">
        <v>-1</v>
      </c>
      <c r="AJ269" t="s">
        <v>3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 x14ac:dyDescent="0.2">
      <c r="A270">
        <f>ROW(Source!A708)</f>
        <v>708</v>
      </c>
      <c r="B270">
        <v>33992609</v>
      </c>
      <c r="C270">
        <v>33992599</v>
      </c>
      <c r="D270">
        <v>29983441</v>
      </c>
      <c r="E270">
        <v>29983435</v>
      </c>
      <c r="F270">
        <v>1</v>
      </c>
      <c r="G270">
        <v>29983435</v>
      </c>
      <c r="H270">
        <v>1</v>
      </c>
      <c r="I270" t="s">
        <v>646</v>
      </c>
      <c r="J270" t="s">
        <v>3</v>
      </c>
      <c r="K270" t="s">
        <v>647</v>
      </c>
      <c r="L270">
        <v>1191</v>
      </c>
      <c r="N270">
        <v>1013</v>
      </c>
      <c r="O270" t="s">
        <v>648</v>
      </c>
      <c r="P270" t="s">
        <v>648</v>
      </c>
      <c r="Q270">
        <v>1</v>
      </c>
      <c r="X270">
        <v>63.44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1</v>
      </c>
      <c r="AE270">
        <v>1</v>
      </c>
      <c r="AF270" t="s">
        <v>3</v>
      </c>
      <c r="AG270">
        <v>63.44</v>
      </c>
      <c r="AH270">
        <v>2</v>
      </c>
      <c r="AI270">
        <v>33992600</v>
      </c>
      <c r="AJ270">
        <v>269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 x14ac:dyDescent="0.2">
      <c r="A271">
        <f>ROW(Source!A708)</f>
        <v>708</v>
      </c>
      <c r="B271">
        <v>33992610</v>
      </c>
      <c r="C271">
        <v>33992599</v>
      </c>
      <c r="D271">
        <v>30064095</v>
      </c>
      <c r="E271">
        <v>1</v>
      </c>
      <c r="F271">
        <v>1</v>
      </c>
      <c r="G271">
        <v>29983435</v>
      </c>
      <c r="H271">
        <v>2</v>
      </c>
      <c r="I271" t="s">
        <v>680</v>
      </c>
      <c r="J271" t="s">
        <v>681</v>
      </c>
      <c r="K271" t="s">
        <v>682</v>
      </c>
      <c r="L271">
        <v>1367</v>
      </c>
      <c r="N271">
        <v>1011</v>
      </c>
      <c r="O271" t="s">
        <v>652</v>
      </c>
      <c r="P271" t="s">
        <v>652</v>
      </c>
      <c r="Q271">
        <v>1</v>
      </c>
      <c r="X271">
        <v>0.14000000000000001</v>
      </c>
      <c r="Y271">
        <v>0</v>
      </c>
      <c r="Z271">
        <v>76.81</v>
      </c>
      <c r="AA271">
        <v>14.36</v>
      </c>
      <c r="AB271">
        <v>0</v>
      </c>
      <c r="AC271">
        <v>0</v>
      </c>
      <c r="AD271">
        <v>1</v>
      </c>
      <c r="AE271">
        <v>0</v>
      </c>
      <c r="AF271" t="s">
        <v>3</v>
      </c>
      <c r="AG271">
        <v>0.14000000000000001</v>
      </c>
      <c r="AH271">
        <v>2</v>
      </c>
      <c r="AI271">
        <v>33992601</v>
      </c>
      <c r="AJ271">
        <v>270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 x14ac:dyDescent="0.2">
      <c r="A272">
        <f>ROW(Source!A708)</f>
        <v>708</v>
      </c>
      <c r="B272">
        <v>33992611</v>
      </c>
      <c r="C272">
        <v>33992599</v>
      </c>
      <c r="D272">
        <v>30063337</v>
      </c>
      <c r="E272">
        <v>1</v>
      </c>
      <c r="F272">
        <v>1</v>
      </c>
      <c r="G272">
        <v>29983435</v>
      </c>
      <c r="H272">
        <v>2</v>
      </c>
      <c r="I272" t="s">
        <v>729</v>
      </c>
      <c r="J272" t="s">
        <v>730</v>
      </c>
      <c r="K272" t="s">
        <v>731</v>
      </c>
      <c r="L272">
        <v>1367</v>
      </c>
      <c r="N272">
        <v>1011</v>
      </c>
      <c r="O272" t="s">
        <v>652</v>
      </c>
      <c r="P272" t="s">
        <v>652</v>
      </c>
      <c r="Q272">
        <v>1</v>
      </c>
      <c r="X272">
        <v>0.14000000000000001</v>
      </c>
      <c r="Y272">
        <v>0</v>
      </c>
      <c r="Z272">
        <v>190.93</v>
      </c>
      <c r="AA272">
        <v>18.149999999999999</v>
      </c>
      <c r="AB272">
        <v>0</v>
      </c>
      <c r="AC272">
        <v>0</v>
      </c>
      <c r="AD272">
        <v>1</v>
      </c>
      <c r="AE272">
        <v>0</v>
      </c>
      <c r="AF272" t="s">
        <v>3</v>
      </c>
      <c r="AG272">
        <v>0.14000000000000001</v>
      </c>
      <c r="AH272">
        <v>2</v>
      </c>
      <c r="AI272">
        <v>33992602</v>
      </c>
      <c r="AJ272">
        <v>271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</row>
    <row r="273" spans="1:44" x14ac:dyDescent="0.2">
      <c r="A273">
        <f>ROW(Source!A708)</f>
        <v>708</v>
      </c>
      <c r="B273">
        <v>33992612</v>
      </c>
      <c r="C273">
        <v>33992599</v>
      </c>
      <c r="D273">
        <v>30063432</v>
      </c>
      <c r="E273">
        <v>1</v>
      </c>
      <c r="F273">
        <v>1</v>
      </c>
      <c r="G273">
        <v>29983435</v>
      </c>
      <c r="H273">
        <v>2</v>
      </c>
      <c r="I273" t="s">
        <v>754</v>
      </c>
      <c r="J273" t="s">
        <v>755</v>
      </c>
      <c r="K273" t="s">
        <v>756</v>
      </c>
      <c r="L273">
        <v>1367</v>
      </c>
      <c r="N273">
        <v>1011</v>
      </c>
      <c r="O273" t="s">
        <v>652</v>
      </c>
      <c r="P273" t="s">
        <v>652</v>
      </c>
      <c r="Q273">
        <v>1</v>
      </c>
      <c r="X273">
        <v>0.22</v>
      </c>
      <c r="Y273">
        <v>0</v>
      </c>
      <c r="Z273">
        <v>73</v>
      </c>
      <c r="AA273">
        <v>16.899999999999999</v>
      </c>
      <c r="AB273">
        <v>0</v>
      </c>
      <c r="AC273">
        <v>0</v>
      </c>
      <c r="AD273">
        <v>1</v>
      </c>
      <c r="AE273">
        <v>0</v>
      </c>
      <c r="AF273" t="s">
        <v>3</v>
      </c>
      <c r="AG273">
        <v>0.22</v>
      </c>
      <c r="AH273">
        <v>2</v>
      </c>
      <c r="AI273">
        <v>33992603</v>
      </c>
      <c r="AJ273">
        <v>272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 x14ac:dyDescent="0.2">
      <c r="A274">
        <f>ROW(Source!A708)</f>
        <v>708</v>
      </c>
      <c r="B274">
        <v>33992613</v>
      </c>
      <c r="C274">
        <v>33992599</v>
      </c>
      <c r="D274">
        <v>30042524</v>
      </c>
      <c r="E274">
        <v>1</v>
      </c>
      <c r="F274">
        <v>1</v>
      </c>
      <c r="G274">
        <v>29983435</v>
      </c>
      <c r="H274">
        <v>3</v>
      </c>
      <c r="I274" t="s">
        <v>757</v>
      </c>
      <c r="J274" t="s">
        <v>758</v>
      </c>
      <c r="K274" t="s">
        <v>759</v>
      </c>
      <c r="L274">
        <v>1348</v>
      </c>
      <c r="N274">
        <v>1009</v>
      </c>
      <c r="O274" t="s">
        <v>51</v>
      </c>
      <c r="P274" t="s">
        <v>51</v>
      </c>
      <c r="Q274">
        <v>1000</v>
      </c>
      <c r="X274">
        <v>1E-3</v>
      </c>
      <c r="Y274">
        <v>6521.42</v>
      </c>
      <c r="Z274">
        <v>0</v>
      </c>
      <c r="AA274">
        <v>0</v>
      </c>
      <c r="AB274">
        <v>0</v>
      </c>
      <c r="AC274">
        <v>0</v>
      </c>
      <c r="AD274">
        <v>1</v>
      </c>
      <c r="AE274">
        <v>0</v>
      </c>
      <c r="AF274" t="s">
        <v>3</v>
      </c>
      <c r="AG274">
        <v>1E-3</v>
      </c>
      <c r="AH274">
        <v>2</v>
      </c>
      <c r="AI274">
        <v>33992604</v>
      </c>
      <c r="AJ274">
        <v>273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</row>
    <row r="275" spans="1:44" x14ac:dyDescent="0.2">
      <c r="A275">
        <f>ROW(Source!A708)</f>
        <v>708</v>
      </c>
      <c r="B275">
        <v>33992614</v>
      </c>
      <c r="C275">
        <v>33992599</v>
      </c>
      <c r="D275">
        <v>30042430</v>
      </c>
      <c r="E275">
        <v>1</v>
      </c>
      <c r="F275">
        <v>1</v>
      </c>
      <c r="G275">
        <v>29983435</v>
      </c>
      <c r="H275">
        <v>3</v>
      </c>
      <c r="I275" t="s">
        <v>760</v>
      </c>
      <c r="J275" t="s">
        <v>761</v>
      </c>
      <c r="K275" t="s">
        <v>762</v>
      </c>
      <c r="L275">
        <v>1339</v>
      </c>
      <c r="N275">
        <v>1007</v>
      </c>
      <c r="O275" t="s">
        <v>66</v>
      </c>
      <c r="P275" t="s">
        <v>66</v>
      </c>
      <c r="Q275">
        <v>1</v>
      </c>
      <c r="X275">
        <v>0.17</v>
      </c>
      <c r="Y275">
        <v>1828.56</v>
      </c>
      <c r="Z275">
        <v>0</v>
      </c>
      <c r="AA275">
        <v>0</v>
      </c>
      <c r="AB275">
        <v>0</v>
      </c>
      <c r="AC275">
        <v>0</v>
      </c>
      <c r="AD275">
        <v>1</v>
      </c>
      <c r="AE275">
        <v>0</v>
      </c>
      <c r="AF275" t="s">
        <v>3</v>
      </c>
      <c r="AG275">
        <v>0.17</v>
      </c>
      <c r="AH275">
        <v>2</v>
      </c>
      <c r="AI275">
        <v>33992605</v>
      </c>
      <c r="AJ275">
        <v>274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</row>
    <row r="276" spans="1:44" x14ac:dyDescent="0.2">
      <c r="A276">
        <f>ROW(Source!A708)</f>
        <v>708</v>
      </c>
      <c r="B276">
        <v>33992615</v>
      </c>
      <c r="C276">
        <v>33992599</v>
      </c>
      <c r="D276">
        <v>30057410</v>
      </c>
      <c r="E276">
        <v>1</v>
      </c>
      <c r="F276">
        <v>1</v>
      </c>
      <c r="G276">
        <v>29983435</v>
      </c>
      <c r="H276">
        <v>3</v>
      </c>
      <c r="I276" t="s">
        <v>732</v>
      </c>
      <c r="J276" t="s">
        <v>733</v>
      </c>
      <c r="K276" t="s">
        <v>734</v>
      </c>
      <c r="L276">
        <v>1339</v>
      </c>
      <c r="N276">
        <v>1007</v>
      </c>
      <c r="O276" t="s">
        <v>66</v>
      </c>
      <c r="P276" t="s">
        <v>66</v>
      </c>
      <c r="Q276">
        <v>1</v>
      </c>
      <c r="X276">
        <v>4.8</v>
      </c>
      <c r="Y276">
        <v>704.89</v>
      </c>
      <c r="Z276">
        <v>0</v>
      </c>
      <c r="AA276">
        <v>0</v>
      </c>
      <c r="AB276">
        <v>0</v>
      </c>
      <c r="AC276">
        <v>0</v>
      </c>
      <c r="AD276">
        <v>1</v>
      </c>
      <c r="AE276">
        <v>0</v>
      </c>
      <c r="AF276" t="s">
        <v>3</v>
      </c>
      <c r="AG276">
        <v>4.8</v>
      </c>
      <c r="AH276">
        <v>2</v>
      </c>
      <c r="AI276">
        <v>33992606</v>
      </c>
      <c r="AJ276">
        <v>275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 x14ac:dyDescent="0.2">
      <c r="A277">
        <f>ROW(Source!A708)</f>
        <v>708</v>
      </c>
      <c r="B277">
        <v>33992616</v>
      </c>
      <c r="C277">
        <v>33992599</v>
      </c>
      <c r="D277">
        <v>30057544</v>
      </c>
      <c r="E277">
        <v>1</v>
      </c>
      <c r="F277">
        <v>1</v>
      </c>
      <c r="G277">
        <v>29983435</v>
      </c>
      <c r="H277">
        <v>3</v>
      </c>
      <c r="I277" t="s">
        <v>735</v>
      </c>
      <c r="J277" t="s">
        <v>736</v>
      </c>
      <c r="K277" t="s">
        <v>737</v>
      </c>
      <c r="L277">
        <v>1339</v>
      </c>
      <c r="N277">
        <v>1007</v>
      </c>
      <c r="O277" t="s">
        <v>66</v>
      </c>
      <c r="P277" t="s">
        <v>66</v>
      </c>
      <c r="Q277">
        <v>1</v>
      </c>
      <c r="X277">
        <v>0.02</v>
      </c>
      <c r="Y277">
        <v>451.14</v>
      </c>
      <c r="Z277">
        <v>0</v>
      </c>
      <c r="AA277">
        <v>0</v>
      </c>
      <c r="AB277">
        <v>0</v>
      </c>
      <c r="AC277">
        <v>0</v>
      </c>
      <c r="AD277">
        <v>1</v>
      </c>
      <c r="AE277">
        <v>0</v>
      </c>
      <c r="AF277" t="s">
        <v>3</v>
      </c>
      <c r="AG277">
        <v>0.02</v>
      </c>
      <c r="AH277">
        <v>2</v>
      </c>
      <c r="AI277">
        <v>33992607</v>
      </c>
      <c r="AJ277">
        <v>276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</row>
    <row r="278" spans="1:44" x14ac:dyDescent="0.2">
      <c r="A278">
        <f>ROW(Source!A708)</f>
        <v>708</v>
      </c>
      <c r="B278">
        <v>33992617</v>
      </c>
      <c r="C278">
        <v>33992599</v>
      </c>
      <c r="D278">
        <v>29987235</v>
      </c>
      <c r="E278">
        <v>29983435</v>
      </c>
      <c r="F278">
        <v>1</v>
      </c>
      <c r="G278">
        <v>29983435</v>
      </c>
      <c r="H278">
        <v>3</v>
      </c>
      <c r="I278" t="s">
        <v>897</v>
      </c>
      <c r="J278" t="s">
        <v>3</v>
      </c>
      <c r="K278" t="s">
        <v>900</v>
      </c>
      <c r="L278">
        <v>1339</v>
      </c>
      <c r="N278">
        <v>1007</v>
      </c>
      <c r="O278" t="s">
        <v>66</v>
      </c>
      <c r="P278" t="s">
        <v>66</v>
      </c>
      <c r="Q278">
        <v>1</v>
      </c>
      <c r="X278">
        <v>1.6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 t="s">
        <v>3</v>
      </c>
      <c r="AG278">
        <v>1.6</v>
      </c>
      <c r="AH278">
        <v>3</v>
      </c>
      <c r="AI278">
        <v>-1</v>
      </c>
      <c r="AJ278" t="s">
        <v>3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</row>
    <row r="279" spans="1:44" x14ac:dyDescent="0.2">
      <c r="A279">
        <f>ROW(Source!A780)</f>
        <v>780</v>
      </c>
      <c r="B279">
        <v>33992622</v>
      </c>
      <c r="C279">
        <v>33992619</v>
      </c>
      <c r="D279">
        <v>29983441</v>
      </c>
      <c r="E279">
        <v>29983435</v>
      </c>
      <c r="F279">
        <v>1</v>
      </c>
      <c r="G279">
        <v>29983435</v>
      </c>
      <c r="H279">
        <v>1</v>
      </c>
      <c r="I279" t="s">
        <v>646</v>
      </c>
      <c r="J279" t="s">
        <v>3</v>
      </c>
      <c r="K279" t="s">
        <v>647</v>
      </c>
      <c r="L279">
        <v>1191</v>
      </c>
      <c r="N279">
        <v>1013</v>
      </c>
      <c r="O279" t="s">
        <v>648</v>
      </c>
      <c r="P279" t="s">
        <v>648</v>
      </c>
      <c r="Q279">
        <v>1</v>
      </c>
      <c r="X279">
        <v>57.5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1</v>
      </c>
      <c r="AE279">
        <v>1</v>
      </c>
      <c r="AF279" t="s">
        <v>3</v>
      </c>
      <c r="AG279">
        <v>57.5</v>
      </c>
      <c r="AH279">
        <v>2</v>
      </c>
      <c r="AI279">
        <v>33992620</v>
      </c>
      <c r="AJ279">
        <v>278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</row>
    <row r="280" spans="1:44" x14ac:dyDescent="0.2">
      <c r="A280">
        <f>ROW(Source!A780)</f>
        <v>780</v>
      </c>
      <c r="B280">
        <v>33992623</v>
      </c>
      <c r="C280">
        <v>33992619</v>
      </c>
      <c r="D280">
        <v>29983458</v>
      </c>
      <c r="E280">
        <v>29983435</v>
      </c>
      <c r="F280">
        <v>1</v>
      </c>
      <c r="G280">
        <v>29983435</v>
      </c>
      <c r="H280">
        <v>3</v>
      </c>
      <c r="I280" t="s">
        <v>787</v>
      </c>
      <c r="J280" t="s">
        <v>3</v>
      </c>
      <c r="K280" t="s">
        <v>788</v>
      </c>
      <c r="L280">
        <v>1348</v>
      </c>
      <c r="N280">
        <v>1009</v>
      </c>
      <c r="O280" t="s">
        <v>51</v>
      </c>
      <c r="P280" t="s">
        <v>51</v>
      </c>
      <c r="Q280">
        <v>1000</v>
      </c>
      <c r="X280">
        <v>4.5999999999999996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1</v>
      </c>
      <c r="AE280">
        <v>0</v>
      </c>
      <c r="AF280" t="s">
        <v>3</v>
      </c>
      <c r="AG280">
        <v>4.5999999999999996</v>
      </c>
      <c r="AH280">
        <v>2</v>
      </c>
      <c r="AI280">
        <v>33992621</v>
      </c>
      <c r="AJ280">
        <v>279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</row>
    <row r="281" spans="1:44" x14ac:dyDescent="0.2">
      <c r="A281">
        <f>ROW(Source!A781)</f>
        <v>781</v>
      </c>
      <c r="B281">
        <v>34039119</v>
      </c>
      <c r="C281">
        <v>33992624</v>
      </c>
      <c r="D281">
        <v>29983441</v>
      </c>
      <c r="E281">
        <v>29983435</v>
      </c>
      <c r="F281">
        <v>1</v>
      </c>
      <c r="G281">
        <v>29983435</v>
      </c>
      <c r="H281">
        <v>1</v>
      </c>
      <c r="I281" t="s">
        <v>646</v>
      </c>
      <c r="J281" t="s">
        <v>3</v>
      </c>
      <c r="K281" t="s">
        <v>647</v>
      </c>
      <c r="L281">
        <v>1191</v>
      </c>
      <c r="N281">
        <v>1013</v>
      </c>
      <c r="O281" t="s">
        <v>648</v>
      </c>
      <c r="P281" t="s">
        <v>648</v>
      </c>
      <c r="Q281">
        <v>1</v>
      </c>
      <c r="X281">
        <v>1.02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1</v>
      </c>
      <c r="AE281">
        <v>1</v>
      </c>
      <c r="AF281" t="s">
        <v>3</v>
      </c>
      <c r="AG281">
        <v>1.02</v>
      </c>
      <c r="AH281">
        <v>2</v>
      </c>
      <c r="AI281">
        <v>34039119</v>
      </c>
      <c r="AJ281">
        <v>280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</row>
    <row r="282" spans="1:44" x14ac:dyDescent="0.2">
      <c r="A282">
        <f>ROW(Source!A782)</f>
        <v>782</v>
      </c>
      <c r="B282">
        <v>33992629</v>
      </c>
      <c r="C282">
        <v>33992627</v>
      </c>
      <c r="D282">
        <v>29983439</v>
      </c>
      <c r="E282">
        <v>29983435</v>
      </c>
      <c r="F282">
        <v>1</v>
      </c>
      <c r="G282">
        <v>29983435</v>
      </c>
      <c r="H282">
        <v>2</v>
      </c>
      <c r="I282" t="s">
        <v>674</v>
      </c>
      <c r="J282" t="s">
        <v>3</v>
      </c>
      <c r="K282" t="s">
        <v>675</v>
      </c>
      <c r="L282">
        <v>1344</v>
      </c>
      <c r="N282">
        <v>1008</v>
      </c>
      <c r="O282" t="s">
        <v>676</v>
      </c>
      <c r="P282" t="s">
        <v>676</v>
      </c>
      <c r="Q282">
        <v>1</v>
      </c>
      <c r="X282">
        <v>32.270000000000003</v>
      </c>
      <c r="Y282">
        <v>0</v>
      </c>
      <c r="Z282">
        <v>1</v>
      </c>
      <c r="AA282">
        <v>0</v>
      </c>
      <c r="AB282">
        <v>0</v>
      </c>
      <c r="AC282">
        <v>0</v>
      </c>
      <c r="AD282">
        <v>1</v>
      </c>
      <c r="AE282">
        <v>0</v>
      </c>
      <c r="AF282" t="s">
        <v>3</v>
      </c>
      <c r="AG282">
        <v>32.270000000000003</v>
      </c>
      <c r="AH282">
        <v>2</v>
      </c>
      <c r="AI282">
        <v>33992628</v>
      </c>
      <c r="AJ282">
        <v>281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</row>
    <row r="283" spans="1:44" x14ac:dyDescent="0.2">
      <c r="A283">
        <f>ROW(Source!A783)</f>
        <v>783</v>
      </c>
      <c r="B283">
        <v>34039120</v>
      </c>
      <c r="C283">
        <v>33992630</v>
      </c>
      <c r="D283">
        <v>29983439</v>
      </c>
      <c r="E283">
        <v>29983435</v>
      </c>
      <c r="F283">
        <v>1</v>
      </c>
      <c r="G283">
        <v>29983435</v>
      </c>
      <c r="H283">
        <v>2</v>
      </c>
      <c r="I283" t="s">
        <v>674</v>
      </c>
      <c r="J283" t="s">
        <v>3</v>
      </c>
      <c r="K283" t="s">
        <v>675</v>
      </c>
      <c r="L283">
        <v>1344</v>
      </c>
      <c r="N283">
        <v>1008</v>
      </c>
      <c r="O283" t="s">
        <v>676</v>
      </c>
      <c r="P283" t="s">
        <v>676</v>
      </c>
      <c r="Q283">
        <v>1</v>
      </c>
      <c r="X283">
        <v>21.71</v>
      </c>
      <c r="Y283">
        <v>0</v>
      </c>
      <c r="Z283">
        <v>1</v>
      </c>
      <c r="AA283">
        <v>0</v>
      </c>
      <c r="AB283">
        <v>0</v>
      </c>
      <c r="AC283">
        <v>0</v>
      </c>
      <c r="AD283">
        <v>1</v>
      </c>
      <c r="AE283">
        <v>0</v>
      </c>
      <c r="AF283" t="s">
        <v>3</v>
      </c>
      <c r="AG283">
        <v>21.71</v>
      </c>
      <c r="AH283">
        <v>2</v>
      </c>
      <c r="AI283">
        <v>34039120</v>
      </c>
      <c r="AJ283">
        <v>282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</row>
    <row r="284" spans="1:44" x14ac:dyDescent="0.2">
      <c r="A284">
        <f>ROW(Source!A784)</f>
        <v>784</v>
      </c>
      <c r="B284">
        <v>33992635</v>
      </c>
      <c r="C284">
        <v>33992633</v>
      </c>
      <c r="D284">
        <v>29983441</v>
      </c>
      <c r="E284">
        <v>29983435</v>
      </c>
      <c r="F284">
        <v>1</v>
      </c>
      <c r="G284">
        <v>29983435</v>
      </c>
      <c r="H284">
        <v>1</v>
      </c>
      <c r="I284" t="s">
        <v>646</v>
      </c>
      <c r="J284" t="s">
        <v>3</v>
      </c>
      <c r="K284" t="s">
        <v>647</v>
      </c>
      <c r="L284">
        <v>1191</v>
      </c>
      <c r="N284">
        <v>1013</v>
      </c>
      <c r="O284" t="s">
        <v>648</v>
      </c>
      <c r="P284" t="s">
        <v>648</v>
      </c>
      <c r="Q284">
        <v>1</v>
      </c>
      <c r="X284">
        <v>0.6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1</v>
      </c>
      <c r="AE284">
        <v>1</v>
      </c>
      <c r="AF284" t="s">
        <v>3</v>
      </c>
      <c r="AG284">
        <v>0.6</v>
      </c>
      <c r="AH284">
        <v>2</v>
      </c>
      <c r="AI284">
        <v>33992634</v>
      </c>
      <c r="AJ284">
        <v>283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</row>
    <row r="285" spans="1:44" x14ac:dyDescent="0.2">
      <c r="A285">
        <f>ROW(Source!A785)</f>
        <v>785</v>
      </c>
      <c r="B285">
        <v>33992644</v>
      </c>
      <c r="C285">
        <v>33992636</v>
      </c>
      <c r="D285">
        <v>29983441</v>
      </c>
      <c r="E285">
        <v>29983435</v>
      </c>
      <c r="F285">
        <v>1</v>
      </c>
      <c r="G285">
        <v>29983435</v>
      </c>
      <c r="H285">
        <v>1</v>
      </c>
      <c r="I285" t="s">
        <v>646</v>
      </c>
      <c r="J285" t="s">
        <v>3</v>
      </c>
      <c r="K285" t="s">
        <v>647</v>
      </c>
      <c r="L285">
        <v>1191</v>
      </c>
      <c r="N285">
        <v>1013</v>
      </c>
      <c r="O285" t="s">
        <v>648</v>
      </c>
      <c r="P285" t="s">
        <v>648</v>
      </c>
      <c r="Q285">
        <v>1</v>
      </c>
      <c r="X285">
        <v>61.1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1</v>
      </c>
      <c r="AE285">
        <v>1</v>
      </c>
      <c r="AF285" t="s">
        <v>3</v>
      </c>
      <c r="AG285">
        <v>61.1</v>
      </c>
      <c r="AH285">
        <v>2</v>
      </c>
      <c r="AI285">
        <v>33992637</v>
      </c>
      <c r="AJ285">
        <v>284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</row>
    <row r="286" spans="1:44" x14ac:dyDescent="0.2">
      <c r="A286">
        <f>ROW(Source!A785)</f>
        <v>785</v>
      </c>
      <c r="B286">
        <v>33992645</v>
      </c>
      <c r="C286">
        <v>33992636</v>
      </c>
      <c r="D286">
        <v>30063609</v>
      </c>
      <c r="E286">
        <v>1</v>
      </c>
      <c r="F286">
        <v>1</v>
      </c>
      <c r="G286">
        <v>29983435</v>
      </c>
      <c r="H286">
        <v>2</v>
      </c>
      <c r="I286" t="s">
        <v>789</v>
      </c>
      <c r="J286" t="s">
        <v>790</v>
      </c>
      <c r="K286" t="s">
        <v>791</v>
      </c>
      <c r="L286">
        <v>1367</v>
      </c>
      <c r="N286">
        <v>1011</v>
      </c>
      <c r="O286" t="s">
        <v>652</v>
      </c>
      <c r="P286" t="s">
        <v>652</v>
      </c>
      <c r="Q286">
        <v>1</v>
      </c>
      <c r="X286">
        <v>2.4</v>
      </c>
      <c r="Y286">
        <v>0</v>
      </c>
      <c r="Z286">
        <v>58.51</v>
      </c>
      <c r="AA286">
        <v>13.38</v>
      </c>
      <c r="AB286">
        <v>0</v>
      </c>
      <c r="AC286">
        <v>0</v>
      </c>
      <c r="AD286">
        <v>1</v>
      </c>
      <c r="AE286">
        <v>0</v>
      </c>
      <c r="AF286" t="s">
        <v>3</v>
      </c>
      <c r="AG286">
        <v>2.4</v>
      </c>
      <c r="AH286">
        <v>2</v>
      </c>
      <c r="AI286">
        <v>33992638</v>
      </c>
      <c r="AJ286">
        <v>285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</row>
    <row r="287" spans="1:44" x14ac:dyDescent="0.2">
      <c r="A287">
        <f>ROW(Source!A785)</f>
        <v>785</v>
      </c>
      <c r="B287">
        <v>33992646</v>
      </c>
      <c r="C287">
        <v>33992636</v>
      </c>
      <c r="D287">
        <v>29983439</v>
      </c>
      <c r="E287">
        <v>29983435</v>
      </c>
      <c r="F287">
        <v>1</v>
      </c>
      <c r="G287">
        <v>29983435</v>
      </c>
      <c r="H287">
        <v>2</v>
      </c>
      <c r="I287" t="s">
        <v>674</v>
      </c>
      <c r="J287" t="s">
        <v>3</v>
      </c>
      <c r="K287" t="s">
        <v>675</v>
      </c>
      <c r="L287">
        <v>1344</v>
      </c>
      <c r="N287">
        <v>1008</v>
      </c>
      <c r="O287" t="s">
        <v>676</v>
      </c>
      <c r="P287" t="s">
        <v>676</v>
      </c>
      <c r="Q287">
        <v>1</v>
      </c>
      <c r="X287">
        <v>16.38</v>
      </c>
      <c r="Y287">
        <v>0</v>
      </c>
      <c r="Z287">
        <v>1</v>
      </c>
      <c r="AA287">
        <v>0</v>
      </c>
      <c r="AB287">
        <v>0</v>
      </c>
      <c r="AC287">
        <v>0</v>
      </c>
      <c r="AD287">
        <v>1</v>
      </c>
      <c r="AE287">
        <v>0</v>
      </c>
      <c r="AF287" t="s">
        <v>3</v>
      </c>
      <c r="AG287">
        <v>16.38</v>
      </c>
      <c r="AH287">
        <v>2</v>
      </c>
      <c r="AI287">
        <v>33992639</v>
      </c>
      <c r="AJ287">
        <v>286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</row>
    <row r="288" spans="1:44" x14ac:dyDescent="0.2">
      <c r="A288">
        <f>ROW(Source!A785)</f>
        <v>785</v>
      </c>
      <c r="B288">
        <v>33992647</v>
      </c>
      <c r="C288">
        <v>33992636</v>
      </c>
      <c r="D288">
        <v>29990457</v>
      </c>
      <c r="E288">
        <v>29983435</v>
      </c>
      <c r="F288">
        <v>1</v>
      </c>
      <c r="G288">
        <v>29983435</v>
      </c>
      <c r="H288">
        <v>3</v>
      </c>
      <c r="I288" t="s">
        <v>914</v>
      </c>
      <c r="J288" t="s">
        <v>3</v>
      </c>
      <c r="K288" t="s">
        <v>468</v>
      </c>
      <c r="L288">
        <v>1339</v>
      </c>
      <c r="N288">
        <v>1007</v>
      </c>
      <c r="O288" t="s">
        <v>66</v>
      </c>
      <c r="P288" t="s">
        <v>66</v>
      </c>
      <c r="Q288">
        <v>1</v>
      </c>
      <c r="X288">
        <v>0.10584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 t="s">
        <v>3</v>
      </c>
      <c r="AG288">
        <v>0.10584</v>
      </c>
      <c r="AH288">
        <v>3</v>
      </c>
      <c r="AI288">
        <v>-1</v>
      </c>
      <c r="AJ288" t="s">
        <v>3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</row>
    <row r="289" spans="1:44" x14ac:dyDescent="0.2">
      <c r="A289">
        <f>ROW(Source!A785)</f>
        <v>785</v>
      </c>
      <c r="B289">
        <v>33992648</v>
      </c>
      <c r="C289">
        <v>33992636</v>
      </c>
      <c r="D289">
        <v>29983898</v>
      </c>
      <c r="E289">
        <v>29983435</v>
      </c>
      <c r="F289">
        <v>1</v>
      </c>
      <c r="G289">
        <v>29983435</v>
      </c>
      <c r="H289">
        <v>3</v>
      </c>
      <c r="I289" t="s">
        <v>915</v>
      </c>
      <c r="J289" t="s">
        <v>3</v>
      </c>
      <c r="K289" t="s">
        <v>916</v>
      </c>
      <c r="L289">
        <v>1348</v>
      </c>
      <c r="N289">
        <v>1009</v>
      </c>
      <c r="O289" t="s">
        <v>51</v>
      </c>
      <c r="P289" t="s">
        <v>51</v>
      </c>
      <c r="Q289">
        <v>1000</v>
      </c>
      <c r="X289">
        <v>0.6048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 t="s">
        <v>3</v>
      </c>
      <c r="AG289">
        <v>0.6048</v>
      </c>
      <c r="AH289">
        <v>3</v>
      </c>
      <c r="AI289">
        <v>-1</v>
      </c>
      <c r="AJ289" t="s">
        <v>3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</row>
    <row r="290" spans="1:44" x14ac:dyDescent="0.2">
      <c r="A290">
        <f>ROW(Source!A785)</f>
        <v>785</v>
      </c>
      <c r="B290">
        <v>33992649</v>
      </c>
      <c r="C290">
        <v>33992636</v>
      </c>
      <c r="D290">
        <v>29985417</v>
      </c>
      <c r="E290">
        <v>29983435</v>
      </c>
      <c r="F290">
        <v>1</v>
      </c>
      <c r="G290">
        <v>29983435</v>
      </c>
      <c r="H290">
        <v>3</v>
      </c>
      <c r="I290" t="s">
        <v>917</v>
      </c>
      <c r="J290" t="s">
        <v>3</v>
      </c>
      <c r="K290" t="s">
        <v>918</v>
      </c>
      <c r="L290">
        <v>1339</v>
      </c>
      <c r="N290">
        <v>1007</v>
      </c>
      <c r="O290" t="s">
        <v>66</v>
      </c>
      <c r="P290" t="s">
        <v>66</v>
      </c>
      <c r="Q290">
        <v>1</v>
      </c>
      <c r="X290">
        <v>1.512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 t="s">
        <v>3</v>
      </c>
      <c r="AG290">
        <v>1.512</v>
      </c>
      <c r="AH290">
        <v>3</v>
      </c>
      <c r="AI290">
        <v>-1</v>
      </c>
      <c r="AJ290" t="s">
        <v>3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</row>
    <row r="291" spans="1:44" x14ac:dyDescent="0.2">
      <c r="A291">
        <f>ROW(Source!A785)</f>
        <v>785</v>
      </c>
      <c r="B291">
        <v>33992650</v>
      </c>
      <c r="C291">
        <v>33992636</v>
      </c>
      <c r="D291">
        <v>29983437</v>
      </c>
      <c r="E291">
        <v>29983435</v>
      </c>
      <c r="F291">
        <v>1</v>
      </c>
      <c r="G291">
        <v>29983435</v>
      </c>
      <c r="H291">
        <v>3</v>
      </c>
      <c r="I291" t="s">
        <v>738</v>
      </c>
      <c r="J291" t="s">
        <v>3</v>
      </c>
      <c r="K291" t="s">
        <v>739</v>
      </c>
      <c r="L291">
        <v>1344</v>
      </c>
      <c r="N291">
        <v>1008</v>
      </c>
      <c r="O291" t="s">
        <v>676</v>
      </c>
      <c r="P291" t="s">
        <v>676</v>
      </c>
      <c r="Q291">
        <v>1</v>
      </c>
      <c r="X291">
        <v>1.41</v>
      </c>
      <c r="Y291">
        <v>1</v>
      </c>
      <c r="Z291">
        <v>0</v>
      </c>
      <c r="AA291">
        <v>0</v>
      </c>
      <c r="AB291">
        <v>0</v>
      </c>
      <c r="AC291">
        <v>0</v>
      </c>
      <c r="AD291">
        <v>1</v>
      </c>
      <c r="AE291">
        <v>0</v>
      </c>
      <c r="AF291" t="s">
        <v>3</v>
      </c>
      <c r="AG291">
        <v>1.41</v>
      </c>
      <c r="AH291">
        <v>2</v>
      </c>
      <c r="AI291">
        <v>33992642</v>
      </c>
      <c r="AJ291">
        <v>290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</row>
    <row r="292" spans="1:44" x14ac:dyDescent="0.2">
      <c r="A292">
        <f>ROW(Source!A789)</f>
        <v>789</v>
      </c>
      <c r="B292">
        <v>33992664</v>
      </c>
      <c r="C292">
        <v>33992654</v>
      </c>
      <c r="D292">
        <v>29983441</v>
      </c>
      <c r="E292">
        <v>29983435</v>
      </c>
      <c r="F292">
        <v>1</v>
      </c>
      <c r="G292">
        <v>29983435</v>
      </c>
      <c r="H292">
        <v>1</v>
      </c>
      <c r="I292" t="s">
        <v>646</v>
      </c>
      <c r="J292" t="s">
        <v>3</v>
      </c>
      <c r="K292" t="s">
        <v>647</v>
      </c>
      <c r="L292">
        <v>1191</v>
      </c>
      <c r="N292">
        <v>1013</v>
      </c>
      <c r="O292" t="s">
        <v>648</v>
      </c>
      <c r="P292" t="s">
        <v>648</v>
      </c>
      <c r="Q292">
        <v>1</v>
      </c>
      <c r="X292">
        <v>13.2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1</v>
      </c>
      <c r="AE292">
        <v>1</v>
      </c>
      <c r="AF292" t="s">
        <v>3</v>
      </c>
      <c r="AG292">
        <v>13.2</v>
      </c>
      <c r="AH292">
        <v>2</v>
      </c>
      <c r="AI292">
        <v>33992655</v>
      </c>
      <c r="AJ292">
        <v>291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</row>
    <row r="293" spans="1:44" x14ac:dyDescent="0.2">
      <c r="A293">
        <f>ROW(Source!A789)</f>
        <v>789</v>
      </c>
      <c r="B293">
        <v>33992665</v>
      </c>
      <c r="C293">
        <v>33992654</v>
      </c>
      <c r="D293">
        <v>30064095</v>
      </c>
      <c r="E293">
        <v>1</v>
      </c>
      <c r="F293">
        <v>1</v>
      </c>
      <c r="G293">
        <v>29983435</v>
      </c>
      <c r="H293">
        <v>2</v>
      </c>
      <c r="I293" t="s">
        <v>680</v>
      </c>
      <c r="J293" t="s">
        <v>681</v>
      </c>
      <c r="K293" t="s">
        <v>682</v>
      </c>
      <c r="L293">
        <v>1367</v>
      </c>
      <c r="N293">
        <v>1011</v>
      </c>
      <c r="O293" t="s">
        <v>652</v>
      </c>
      <c r="P293" t="s">
        <v>652</v>
      </c>
      <c r="Q293">
        <v>1</v>
      </c>
      <c r="X293">
        <v>0.11</v>
      </c>
      <c r="Y293">
        <v>0</v>
      </c>
      <c r="Z293">
        <v>76.81</v>
      </c>
      <c r="AA293">
        <v>14.36</v>
      </c>
      <c r="AB293">
        <v>0</v>
      </c>
      <c r="AC293">
        <v>0</v>
      </c>
      <c r="AD293">
        <v>1</v>
      </c>
      <c r="AE293">
        <v>0</v>
      </c>
      <c r="AF293" t="s">
        <v>3</v>
      </c>
      <c r="AG293">
        <v>0.11</v>
      </c>
      <c r="AH293">
        <v>2</v>
      </c>
      <c r="AI293">
        <v>33992656</v>
      </c>
      <c r="AJ293">
        <v>292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</row>
    <row r="294" spans="1:44" x14ac:dyDescent="0.2">
      <c r="A294">
        <f>ROW(Source!A789)</f>
        <v>789</v>
      </c>
      <c r="B294">
        <v>33992666</v>
      </c>
      <c r="C294">
        <v>33992654</v>
      </c>
      <c r="D294">
        <v>30063446</v>
      </c>
      <c r="E294">
        <v>1</v>
      </c>
      <c r="F294">
        <v>1</v>
      </c>
      <c r="G294">
        <v>29983435</v>
      </c>
      <c r="H294">
        <v>2</v>
      </c>
      <c r="I294" t="s">
        <v>792</v>
      </c>
      <c r="J294" t="s">
        <v>793</v>
      </c>
      <c r="K294" t="s">
        <v>794</v>
      </c>
      <c r="L294">
        <v>1367</v>
      </c>
      <c r="N294">
        <v>1011</v>
      </c>
      <c r="O294" t="s">
        <v>652</v>
      </c>
      <c r="P294" t="s">
        <v>652</v>
      </c>
      <c r="Q294">
        <v>1</v>
      </c>
      <c r="X294">
        <v>0.21</v>
      </c>
      <c r="Y294">
        <v>0</v>
      </c>
      <c r="Z294">
        <v>1.28</v>
      </c>
      <c r="AA294">
        <v>0.67</v>
      </c>
      <c r="AB294">
        <v>0</v>
      </c>
      <c r="AC294">
        <v>0</v>
      </c>
      <c r="AD294">
        <v>1</v>
      </c>
      <c r="AE294">
        <v>0</v>
      </c>
      <c r="AF294" t="s">
        <v>3</v>
      </c>
      <c r="AG294">
        <v>0.21</v>
      </c>
      <c r="AH294">
        <v>2</v>
      </c>
      <c r="AI294">
        <v>33992657</v>
      </c>
      <c r="AJ294">
        <v>293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</row>
    <row r="295" spans="1:44" x14ac:dyDescent="0.2">
      <c r="A295">
        <f>ROW(Source!A789)</f>
        <v>789</v>
      </c>
      <c r="B295">
        <v>33992667</v>
      </c>
      <c r="C295">
        <v>33992654</v>
      </c>
      <c r="D295">
        <v>30042540</v>
      </c>
      <c r="E295">
        <v>1</v>
      </c>
      <c r="F295">
        <v>1</v>
      </c>
      <c r="G295">
        <v>29983435</v>
      </c>
      <c r="H295">
        <v>3</v>
      </c>
      <c r="I295" t="s">
        <v>795</v>
      </c>
      <c r="J295" t="s">
        <v>796</v>
      </c>
      <c r="K295" t="s">
        <v>797</v>
      </c>
      <c r="L295">
        <v>1346</v>
      </c>
      <c r="N295">
        <v>1009</v>
      </c>
      <c r="O295" t="s">
        <v>300</v>
      </c>
      <c r="P295" t="s">
        <v>300</v>
      </c>
      <c r="Q295">
        <v>1</v>
      </c>
      <c r="X295">
        <v>0.41</v>
      </c>
      <c r="Y295">
        <v>1.61</v>
      </c>
      <c r="Z295">
        <v>0</v>
      </c>
      <c r="AA295">
        <v>0</v>
      </c>
      <c r="AB295">
        <v>0</v>
      </c>
      <c r="AC295">
        <v>0</v>
      </c>
      <c r="AD295">
        <v>1</v>
      </c>
      <c r="AE295">
        <v>0</v>
      </c>
      <c r="AF295" t="s">
        <v>3</v>
      </c>
      <c r="AG295">
        <v>0.41</v>
      </c>
      <c r="AH295">
        <v>2</v>
      </c>
      <c r="AI295">
        <v>33992658</v>
      </c>
      <c r="AJ295">
        <v>294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</row>
    <row r="296" spans="1:44" x14ac:dyDescent="0.2">
      <c r="A296">
        <f>ROW(Source!A789)</f>
        <v>789</v>
      </c>
      <c r="B296">
        <v>33992668</v>
      </c>
      <c r="C296">
        <v>33992654</v>
      </c>
      <c r="D296">
        <v>30041305</v>
      </c>
      <c r="E296">
        <v>1</v>
      </c>
      <c r="F296">
        <v>1</v>
      </c>
      <c r="G296">
        <v>29983435</v>
      </c>
      <c r="H296">
        <v>3</v>
      </c>
      <c r="I296" t="s">
        <v>798</v>
      </c>
      <c r="J296" t="s">
        <v>799</v>
      </c>
      <c r="K296" t="s">
        <v>800</v>
      </c>
      <c r="L296">
        <v>1348</v>
      </c>
      <c r="N296">
        <v>1009</v>
      </c>
      <c r="O296" t="s">
        <v>51</v>
      </c>
      <c r="P296" t="s">
        <v>51</v>
      </c>
      <c r="Q296">
        <v>1000</v>
      </c>
      <c r="X296">
        <v>1.2E-2</v>
      </c>
      <c r="Y296">
        <v>10697.76</v>
      </c>
      <c r="Z296">
        <v>0</v>
      </c>
      <c r="AA296">
        <v>0</v>
      </c>
      <c r="AB296">
        <v>0</v>
      </c>
      <c r="AC296">
        <v>0</v>
      </c>
      <c r="AD296">
        <v>1</v>
      </c>
      <c r="AE296">
        <v>0</v>
      </c>
      <c r="AF296" t="s">
        <v>3</v>
      </c>
      <c r="AG296">
        <v>1.2E-2</v>
      </c>
      <c r="AH296">
        <v>2</v>
      </c>
      <c r="AI296">
        <v>33992659</v>
      </c>
      <c r="AJ296">
        <v>295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</row>
    <row r="297" spans="1:44" x14ac:dyDescent="0.2">
      <c r="A297">
        <f>ROW(Source!A789)</f>
        <v>789</v>
      </c>
      <c r="B297">
        <v>33992669</v>
      </c>
      <c r="C297">
        <v>33992654</v>
      </c>
      <c r="D297">
        <v>30042491</v>
      </c>
      <c r="E297">
        <v>1</v>
      </c>
      <c r="F297">
        <v>1</v>
      </c>
      <c r="G297">
        <v>29983435</v>
      </c>
      <c r="H297">
        <v>3</v>
      </c>
      <c r="I297" t="s">
        <v>801</v>
      </c>
      <c r="J297" t="s">
        <v>802</v>
      </c>
      <c r="K297" t="s">
        <v>803</v>
      </c>
      <c r="L297">
        <v>1348</v>
      </c>
      <c r="N297">
        <v>1009</v>
      </c>
      <c r="O297" t="s">
        <v>51</v>
      </c>
      <c r="P297" t="s">
        <v>51</v>
      </c>
      <c r="Q297">
        <v>1000</v>
      </c>
      <c r="X297">
        <v>1.4999999999999999E-2</v>
      </c>
      <c r="Y297">
        <v>11449.85</v>
      </c>
      <c r="Z297">
        <v>0</v>
      </c>
      <c r="AA297">
        <v>0</v>
      </c>
      <c r="AB297">
        <v>0</v>
      </c>
      <c r="AC297">
        <v>0</v>
      </c>
      <c r="AD297">
        <v>1</v>
      </c>
      <c r="AE297">
        <v>0</v>
      </c>
      <c r="AF297" t="s">
        <v>3</v>
      </c>
      <c r="AG297">
        <v>1.4999999999999999E-2</v>
      </c>
      <c r="AH297">
        <v>2</v>
      </c>
      <c r="AI297">
        <v>33992660</v>
      </c>
      <c r="AJ297">
        <v>296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</row>
    <row r="298" spans="1:44" x14ac:dyDescent="0.2">
      <c r="A298">
        <f>ROW(Source!A789)</f>
        <v>789</v>
      </c>
      <c r="B298">
        <v>33992670</v>
      </c>
      <c r="C298">
        <v>33992654</v>
      </c>
      <c r="D298">
        <v>30041984</v>
      </c>
      <c r="E298">
        <v>1</v>
      </c>
      <c r="F298">
        <v>1</v>
      </c>
      <c r="G298">
        <v>29983435</v>
      </c>
      <c r="H298">
        <v>3</v>
      </c>
      <c r="I298" t="s">
        <v>804</v>
      </c>
      <c r="J298" t="s">
        <v>805</v>
      </c>
      <c r="K298" t="s">
        <v>806</v>
      </c>
      <c r="L298">
        <v>1348</v>
      </c>
      <c r="N298">
        <v>1009</v>
      </c>
      <c r="O298" t="s">
        <v>51</v>
      </c>
      <c r="P298" t="s">
        <v>51</v>
      </c>
      <c r="Q298">
        <v>1000</v>
      </c>
      <c r="X298">
        <v>2.4000000000000001E-4</v>
      </c>
      <c r="Y298">
        <v>176.5</v>
      </c>
      <c r="Z298">
        <v>0</v>
      </c>
      <c r="AA298">
        <v>0</v>
      </c>
      <c r="AB298">
        <v>0</v>
      </c>
      <c r="AC298">
        <v>0</v>
      </c>
      <c r="AD298">
        <v>1</v>
      </c>
      <c r="AE298">
        <v>0</v>
      </c>
      <c r="AF298" t="s">
        <v>3</v>
      </c>
      <c r="AG298">
        <v>2.4000000000000001E-4</v>
      </c>
      <c r="AH298">
        <v>2</v>
      </c>
      <c r="AI298">
        <v>33992661</v>
      </c>
      <c r="AJ298">
        <v>298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</row>
    <row r="299" spans="1:44" x14ac:dyDescent="0.2">
      <c r="A299">
        <f>ROW(Source!A789)</f>
        <v>789</v>
      </c>
      <c r="B299">
        <v>33992671</v>
      </c>
      <c r="C299">
        <v>33992654</v>
      </c>
      <c r="D299">
        <v>30041767</v>
      </c>
      <c r="E299">
        <v>1</v>
      </c>
      <c r="F299">
        <v>1</v>
      </c>
      <c r="G299">
        <v>29983435</v>
      </c>
      <c r="H299">
        <v>3</v>
      </c>
      <c r="I299" t="s">
        <v>807</v>
      </c>
      <c r="J299" t="s">
        <v>808</v>
      </c>
      <c r="K299" t="s">
        <v>809</v>
      </c>
      <c r="L299">
        <v>1348</v>
      </c>
      <c r="N299">
        <v>1009</v>
      </c>
      <c r="O299" t="s">
        <v>51</v>
      </c>
      <c r="P299" t="s">
        <v>51</v>
      </c>
      <c r="Q299">
        <v>1000</v>
      </c>
      <c r="X299">
        <v>0.01</v>
      </c>
      <c r="Y299">
        <v>12534.98</v>
      </c>
      <c r="Z299">
        <v>0</v>
      </c>
      <c r="AA299">
        <v>0</v>
      </c>
      <c r="AB299">
        <v>0</v>
      </c>
      <c r="AC299">
        <v>0</v>
      </c>
      <c r="AD299">
        <v>1</v>
      </c>
      <c r="AE299">
        <v>0</v>
      </c>
      <c r="AF299" t="s">
        <v>3</v>
      </c>
      <c r="AG299">
        <v>0.01</v>
      </c>
      <c r="AH299">
        <v>2</v>
      </c>
      <c r="AI299">
        <v>33992662</v>
      </c>
      <c r="AJ299">
        <v>299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</row>
    <row r="300" spans="1:44" x14ac:dyDescent="0.2">
      <c r="A300">
        <f>ROW(Source!A789)</f>
        <v>789</v>
      </c>
      <c r="B300">
        <v>33992672</v>
      </c>
      <c r="C300">
        <v>33992654</v>
      </c>
      <c r="D300">
        <v>29985055</v>
      </c>
      <c r="E300">
        <v>29983435</v>
      </c>
      <c r="F300">
        <v>1</v>
      </c>
      <c r="G300">
        <v>29983435</v>
      </c>
      <c r="H300">
        <v>3</v>
      </c>
      <c r="I300" t="s">
        <v>919</v>
      </c>
      <c r="J300" t="s">
        <v>3</v>
      </c>
      <c r="K300" t="s">
        <v>920</v>
      </c>
      <c r="L300">
        <v>1348</v>
      </c>
      <c r="N300">
        <v>1009</v>
      </c>
      <c r="O300" t="s">
        <v>51</v>
      </c>
      <c r="P300" t="s">
        <v>51</v>
      </c>
      <c r="Q300">
        <v>1000</v>
      </c>
      <c r="X300">
        <v>5.8999999999999997E-2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 t="s">
        <v>3</v>
      </c>
      <c r="AG300">
        <v>5.8999999999999997E-2</v>
      </c>
      <c r="AH300">
        <v>3</v>
      </c>
      <c r="AI300">
        <v>-1</v>
      </c>
      <c r="AJ300" t="s">
        <v>3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</row>
    <row r="301" spans="1:44" x14ac:dyDescent="0.2">
      <c r="A301">
        <f>ROW(Source!A861)</f>
        <v>861</v>
      </c>
      <c r="B301">
        <v>33992680</v>
      </c>
      <c r="C301">
        <v>33992674</v>
      </c>
      <c r="D301">
        <v>29983441</v>
      </c>
      <c r="E301">
        <v>29983435</v>
      </c>
      <c r="F301">
        <v>1</v>
      </c>
      <c r="G301">
        <v>29983435</v>
      </c>
      <c r="H301">
        <v>1</v>
      </c>
      <c r="I301" t="s">
        <v>646</v>
      </c>
      <c r="J301" t="s">
        <v>3</v>
      </c>
      <c r="K301" t="s">
        <v>647</v>
      </c>
      <c r="L301">
        <v>1191</v>
      </c>
      <c r="N301">
        <v>1013</v>
      </c>
      <c r="O301" t="s">
        <v>648</v>
      </c>
      <c r="P301" t="s">
        <v>648</v>
      </c>
      <c r="Q301">
        <v>1</v>
      </c>
      <c r="X301">
        <v>72.599999999999994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1</v>
      </c>
      <c r="AE301">
        <v>1</v>
      </c>
      <c r="AF301" t="s">
        <v>3</v>
      </c>
      <c r="AG301">
        <v>72.599999999999994</v>
      </c>
      <c r="AH301">
        <v>2</v>
      </c>
      <c r="AI301">
        <v>33992675</v>
      </c>
      <c r="AJ301">
        <v>300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</row>
    <row r="302" spans="1:44" x14ac:dyDescent="0.2">
      <c r="A302">
        <f>ROW(Source!A861)</f>
        <v>861</v>
      </c>
      <c r="B302">
        <v>33992681</v>
      </c>
      <c r="C302">
        <v>33992674</v>
      </c>
      <c r="D302">
        <v>29983439</v>
      </c>
      <c r="E302">
        <v>29983435</v>
      </c>
      <c r="F302">
        <v>1</v>
      </c>
      <c r="G302">
        <v>29983435</v>
      </c>
      <c r="H302">
        <v>2</v>
      </c>
      <c r="I302" t="s">
        <v>674</v>
      </c>
      <c r="J302" t="s">
        <v>3</v>
      </c>
      <c r="K302" t="s">
        <v>675</v>
      </c>
      <c r="L302">
        <v>1344</v>
      </c>
      <c r="N302">
        <v>1008</v>
      </c>
      <c r="O302" t="s">
        <v>676</v>
      </c>
      <c r="P302" t="s">
        <v>676</v>
      </c>
      <c r="Q302">
        <v>1</v>
      </c>
      <c r="X302">
        <v>228.62</v>
      </c>
      <c r="Y302">
        <v>0</v>
      </c>
      <c r="Z302">
        <v>1</v>
      </c>
      <c r="AA302">
        <v>0</v>
      </c>
      <c r="AB302">
        <v>0</v>
      </c>
      <c r="AC302">
        <v>0</v>
      </c>
      <c r="AD302">
        <v>1</v>
      </c>
      <c r="AE302">
        <v>0</v>
      </c>
      <c r="AF302" t="s">
        <v>3</v>
      </c>
      <c r="AG302">
        <v>228.62</v>
      </c>
      <c r="AH302">
        <v>2</v>
      </c>
      <c r="AI302">
        <v>33992676</v>
      </c>
      <c r="AJ302">
        <v>301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</row>
    <row r="303" spans="1:44" x14ac:dyDescent="0.2">
      <c r="A303">
        <f>ROW(Source!A861)</f>
        <v>861</v>
      </c>
      <c r="B303">
        <v>33992682</v>
      </c>
      <c r="C303">
        <v>33992674</v>
      </c>
      <c r="D303">
        <v>30057545</v>
      </c>
      <c r="E303">
        <v>1</v>
      </c>
      <c r="F303">
        <v>1</v>
      </c>
      <c r="G303">
        <v>29983435</v>
      </c>
      <c r="H303">
        <v>3</v>
      </c>
      <c r="I303" t="s">
        <v>810</v>
      </c>
      <c r="J303" t="s">
        <v>811</v>
      </c>
      <c r="K303" t="s">
        <v>812</v>
      </c>
      <c r="L303">
        <v>1339</v>
      </c>
      <c r="N303">
        <v>1007</v>
      </c>
      <c r="O303" t="s">
        <v>66</v>
      </c>
      <c r="P303" t="s">
        <v>66</v>
      </c>
      <c r="Q303">
        <v>1</v>
      </c>
      <c r="X303">
        <v>2.11</v>
      </c>
      <c r="Y303">
        <v>478.96</v>
      </c>
      <c r="Z303">
        <v>0</v>
      </c>
      <c r="AA303">
        <v>0</v>
      </c>
      <c r="AB303">
        <v>0</v>
      </c>
      <c r="AC303">
        <v>0</v>
      </c>
      <c r="AD303">
        <v>1</v>
      </c>
      <c r="AE303">
        <v>0</v>
      </c>
      <c r="AF303" t="s">
        <v>3</v>
      </c>
      <c r="AG303">
        <v>2.11</v>
      </c>
      <c r="AH303">
        <v>2</v>
      </c>
      <c r="AI303">
        <v>33992677</v>
      </c>
      <c r="AJ303">
        <v>303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</row>
    <row r="304" spans="1:44" x14ac:dyDescent="0.2">
      <c r="A304">
        <f>ROW(Source!A861)</f>
        <v>861</v>
      </c>
      <c r="B304">
        <v>33992683</v>
      </c>
      <c r="C304">
        <v>33992674</v>
      </c>
      <c r="D304">
        <v>29984301</v>
      </c>
      <c r="E304">
        <v>29983435</v>
      </c>
      <c r="F304">
        <v>1</v>
      </c>
      <c r="G304">
        <v>29983435</v>
      </c>
      <c r="H304">
        <v>3</v>
      </c>
      <c r="I304" t="s">
        <v>921</v>
      </c>
      <c r="J304" t="s">
        <v>3</v>
      </c>
      <c r="K304" t="s">
        <v>922</v>
      </c>
      <c r="L304">
        <v>1327</v>
      </c>
      <c r="N304">
        <v>1005</v>
      </c>
      <c r="O304" t="s">
        <v>411</v>
      </c>
      <c r="P304" t="s">
        <v>411</v>
      </c>
      <c r="Q304">
        <v>1</v>
      </c>
      <c r="X304">
        <v>102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 t="s">
        <v>3</v>
      </c>
      <c r="AG304">
        <v>102</v>
      </c>
      <c r="AH304">
        <v>3</v>
      </c>
      <c r="AI304">
        <v>-1</v>
      </c>
      <c r="AJ304" t="s">
        <v>3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</row>
    <row r="305" spans="1:44" x14ac:dyDescent="0.2">
      <c r="A305">
        <f>ROW(Source!A861)</f>
        <v>861</v>
      </c>
      <c r="B305">
        <v>33992684</v>
      </c>
      <c r="C305">
        <v>33992674</v>
      </c>
      <c r="D305">
        <v>29983437</v>
      </c>
      <c r="E305">
        <v>29983435</v>
      </c>
      <c r="F305">
        <v>1</v>
      </c>
      <c r="G305">
        <v>29983435</v>
      </c>
      <c r="H305">
        <v>3</v>
      </c>
      <c r="I305" t="s">
        <v>738</v>
      </c>
      <c r="J305" t="s">
        <v>3</v>
      </c>
      <c r="K305" t="s">
        <v>739</v>
      </c>
      <c r="L305">
        <v>1344</v>
      </c>
      <c r="N305">
        <v>1008</v>
      </c>
      <c r="O305" t="s">
        <v>676</v>
      </c>
      <c r="P305" t="s">
        <v>676</v>
      </c>
      <c r="Q305">
        <v>1</v>
      </c>
      <c r="X305">
        <v>5.67</v>
      </c>
      <c r="Y305">
        <v>1</v>
      </c>
      <c r="Z305">
        <v>0</v>
      </c>
      <c r="AA305">
        <v>0</v>
      </c>
      <c r="AB305">
        <v>0</v>
      </c>
      <c r="AC305">
        <v>0</v>
      </c>
      <c r="AD305">
        <v>1</v>
      </c>
      <c r="AE305">
        <v>0</v>
      </c>
      <c r="AF305" t="s">
        <v>3</v>
      </c>
      <c r="AG305">
        <v>5.67</v>
      </c>
      <c r="AH305">
        <v>2</v>
      </c>
      <c r="AI305">
        <v>33992679</v>
      </c>
      <c r="AJ305">
        <v>304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</row>
    <row r="306" spans="1:44" x14ac:dyDescent="0.2">
      <c r="A306">
        <f>ROW(Source!A1001)</f>
        <v>1001</v>
      </c>
      <c r="B306">
        <v>33992694</v>
      </c>
      <c r="C306">
        <v>33992686</v>
      </c>
      <c r="D306">
        <v>29983441</v>
      </c>
      <c r="E306">
        <v>29983435</v>
      </c>
      <c r="F306">
        <v>1</v>
      </c>
      <c r="G306">
        <v>29983435</v>
      </c>
      <c r="H306">
        <v>1</v>
      </c>
      <c r="I306" t="s">
        <v>646</v>
      </c>
      <c r="J306" t="s">
        <v>3</v>
      </c>
      <c r="K306" t="s">
        <v>647</v>
      </c>
      <c r="L306">
        <v>1191</v>
      </c>
      <c r="N306">
        <v>1013</v>
      </c>
      <c r="O306" t="s">
        <v>648</v>
      </c>
      <c r="P306" t="s">
        <v>648</v>
      </c>
      <c r="Q306">
        <v>1</v>
      </c>
      <c r="X306">
        <v>2.66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1</v>
      </c>
      <c r="AE306">
        <v>1</v>
      </c>
      <c r="AF306" t="s">
        <v>3</v>
      </c>
      <c r="AG306">
        <v>2.66</v>
      </c>
      <c r="AH306">
        <v>2</v>
      </c>
      <c r="AI306">
        <v>33992687</v>
      </c>
      <c r="AJ306">
        <v>305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</row>
    <row r="307" spans="1:44" x14ac:dyDescent="0.2">
      <c r="A307">
        <f>ROW(Source!A1001)</f>
        <v>1001</v>
      </c>
      <c r="B307">
        <v>33992695</v>
      </c>
      <c r="C307">
        <v>33992686</v>
      </c>
      <c r="D307">
        <v>30063812</v>
      </c>
      <c r="E307">
        <v>1</v>
      </c>
      <c r="F307">
        <v>1</v>
      </c>
      <c r="G307">
        <v>29983435</v>
      </c>
      <c r="H307">
        <v>2</v>
      </c>
      <c r="I307" t="s">
        <v>813</v>
      </c>
      <c r="J307" t="s">
        <v>814</v>
      </c>
      <c r="K307" t="s">
        <v>815</v>
      </c>
      <c r="L307">
        <v>1367</v>
      </c>
      <c r="N307">
        <v>1011</v>
      </c>
      <c r="O307" t="s">
        <v>652</v>
      </c>
      <c r="P307" t="s">
        <v>652</v>
      </c>
      <c r="Q307">
        <v>1</v>
      </c>
      <c r="X307">
        <v>0.45</v>
      </c>
      <c r="Y307">
        <v>0</v>
      </c>
      <c r="Z307">
        <v>43.4</v>
      </c>
      <c r="AA307">
        <v>2.68</v>
      </c>
      <c r="AB307">
        <v>0</v>
      </c>
      <c r="AC307">
        <v>0</v>
      </c>
      <c r="AD307">
        <v>1</v>
      </c>
      <c r="AE307">
        <v>0</v>
      </c>
      <c r="AF307" t="s">
        <v>3</v>
      </c>
      <c r="AG307">
        <v>0.45</v>
      </c>
      <c r="AH307">
        <v>2</v>
      </c>
      <c r="AI307">
        <v>33992688</v>
      </c>
      <c r="AJ307">
        <v>306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</row>
    <row r="308" spans="1:44" x14ac:dyDescent="0.2">
      <c r="A308">
        <f>ROW(Source!A1001)</f>
        <v>1001</v>
      </c>
      <c r="B308">
        <v>33992696</v>
      </c>
      <c r="C308">
        <v>33992686</v>
      </c>
      <c r="D308">
        <v>30063813</v>
      </c>
      <c r="E308">
        <v>1</v>
      </c>
      <c r="F308">
        <v>1</v>
      </c>
      <c r="G308">
        <v>29983435</v>
      </c>
      <c r="H308">
        <v>2</v>
      </c>
      <c r="I308" t="s">
        <v>816</v>
      </c>
      <c r="J308" t="s">
        <v>817</v>
      </c>
      <c r="K308" t="s">
        <v>818</v>
      </c>
      <c r="L308">
        <v>1367</v>
      </c>
      <c r="N308">
        <v>1011</v>
      </c>
      <c r="O308" t="s">
        <v>652</v>
      </c>
      <c r="P308" t="s">
        <v>652</v>
      </c>
      <c r="Q308">
        <v>1</v>
      </c>
      <c r="X308">
        <v>0.05</v>
      </c>
      <c r="Y308">
        <v>0</v>
      </c>
      <c r="Z308">
        <v>1.0900000000000001</v>
      </c>
      <c r="AA308">
        <v>0.09</v>
      </c>
      <c r="AB308">
        <v>0</v>
      </c>
      <c r="AC308">
        <v>0</v>
      </c>
      <c r="AD308">
        <v>1</v>
      </c>
      <c r="AE308">
        <v>0</v>
      </c>
      <c r="AF308" t="s">
        <v>3</v>
      </c>
      <c r="AG308">
        <v>0.05</v>
      </c>
      <c r="AH308">
        <v>2</v>
      </c>
      <c r="AI308">
        <v>33992689</v>
      </c>
      <c r="AJ308">
        <v>307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</row>
    <row r="309" spans="1:44" x14ac:dyDescent="0.2">
      <c r="A309">
        <f>ROW(Source!A1001)</f>
        <v>1001</v>
      </c>
      <c r="B309">
        <v>33992697</v>
      </c>
      <c r="C309">
        <v>33992686</v>
      </c>
      <c r="D309">
        <v>30064147</v>
      </c>
      <c r="E309">
        <v>1</v>
      </c>
      <c r="F309">
        <v>1</v>
      </c>
      <c r="G309">
        <v>29983435</v>
      </c>
      <c r="H309">
        <v>2</v>
      </c>
      <c r="I309" t="s">
        <v>819</v>
      </c>
      <c r="J309" t="s">
        <v>820</v>
      </c>
      <c r="K309" t="s">
        <v>821</v>
      </c>
      <c r="L309">
        <v>1367</v>
      </c>
      <c r="N309">
        <v>1011</v>
      </c>
      <c r="O309" t="s">
        <v>652</v>
      </c>
      <c r="P309" t="s">
        <v>652</v>
      </c>
      <c r="Q309">
        <v>1</v>
      </c>
      <c r="X309">
        <v>0.05</v>
      </c>
      <c r="Y309">
        <v>0</v>
      </c>
      <c r="Z309">
        <v>0.68</v>
      </c>
      <c r="AA309">
        <v>0.04</v>
      </c>
      <c r="AB309">
        <v>0</v>
      </c>
      <c r="AC309">
        <v>0</v>
      </c>
      <c r="AD309">
        <v>1</v>
      </c>
      <c r="AE309">
        <v>0</v>
      </c>
      <c r="AF309" t="s">
        <v>3</v>
      </c>
      <c r="AG309">
        <v>0.05</v>
      </c>
      <c r="AH309">
        <v>2</v>
      </c>
      <c r="AI309">
        <v>33992690</v>
      </c>
      <c r="AJ309">
        <v>308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</row>
    <row r="310" spans="1:44" x14ac:dyDescent="0.2">
      <c r="A310">
        <f>ROW(Source!A1001)</f>
        <v>1001</v>
      </c>
      <c r="B310">
        <v>33992698</v>
      </c>
      <c r="C310">
        <v>33992686</v>
      </c>
      <c r="D310">
        <v>30042290</v>
      </c>
      <c r="E310">
        <v>1</v>
      </c>
      <c r="F310">
        <v>1</v>
      </c>
      <c r="G310">
        <v>29983435</v>
      </c>
      <c r="H310">
        <v>3</v>
      </c>
      <c r="I310" t="s">
        <v>822</v>
      </c>
      <c r="J310" t="s">
        <v>823</v>
      </c>
      <c r="K310" t="s">
        <v>824</v>
      </c>
      <c r="L310">
        <v>1339</v>
      </c>
      <c r="N310">
        <v>1007</v>
      </c>
      <c r="O310" t="s">
        <v>66</v>
      </c>
      <c r="P310" t="s">
        <v>66</v>
      </c>
      <c r="Q310">
        <v>1</v>
      </c>
      <c r="X310">
        <v>6.7200000000000003E-3</v>
      </c>
      <c r="Y310">
        <v>5.91</v>
      </c>
      <c r="Z310">
        <v>0</v>
      </c>
      <c r="AA310">
        <v>0</v>
      </c>
      <c r="AB310">
        <v>0</v>
      </c>
      <c r="AC310">
        <v>0</v>
      </c>
      <c r="AD310">
        <v>1</v>
      </c>
      <c r="AE310">
        <v>0</v>
      </c>
      <c r="AF310" t="s">
        <v>3</v>
      </c>
      <c r="AG310">
        <v>6.7200000000000003E-3</v>
      </c>
      <c r="AH310">
        <v>2</v>
      </c>
      <c r="AI310">
        <v>33992691</v>
      </c>
      <c r="AJ310">
        <v>310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</row>
    <row r="311" spans="1:44" x14ac:dyDescent="0.2">
      <c r="A311">
        <f>ROW(Source!A1001)</f>
        <v>1001</v>
      </c>
      <c r="B311">
        <v>33992699</v>
      </c>
      <c r="C311">
        <v>33992686</v>
      </c>
      <c r="D311">
        <v>30041778</v>
      </c>
      <c r="E311">
        <v>1</v>
      </c>
      <c r="F311">
        <v>1</v>
      </c>
      <c r="G311">
        <v>29983435</v>
      </c>
      <c r="H311">
        <v>3</v>
      </c>
      <c r="I311" t="s">
        <v>825</v>
      </c>
      <c r="J311" t="s">
        <v>826</v>
      </c>
      <c r="K311" t="s">
        <v>827</v>
      </c>
      <c r="L311">
        <v>1339</v>
      </c>
      <c r="N311">
        <v>1007</v>
      </c>
      <c r="O311" t="s">
        <v>66</v>
      </c>
      <c r="P311" t="s">
        <v>66</v>
      </c>
      <c r="Q311">
        <v>1</v>
      </c>
      <c r="X311">
        <v>3.32E-3</v>
      </c>
      <c r="Y311">
        <v>5.67</v>
      </c>
      <c r="Z311">
        <v>0</v>
      </c>
      <c r="AA311">
        <v>0</v>
      </c>
      <c r="AB311">
        <v>0</v>
      </c>
      <c r="AC311">
        <v>0</v>
      </c>
      <c r="AD311">
        <v>1</v>
      </c>
      <c r="AE311">
        <v>0</v>
      </c>
      <c r="AF311" t="s">
        <v>3</v>
      </c>
      <c r="AG311">
        <v>3.32E-3</v>
      </c>
      <c r="AH311">
        <v>2</v>
      </c>
      <c r="AI311">
        <v>33992692</v>
      </c>
      <c r="AJ311">
        <v>311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</row>
    <row r="312" spans="1:44" x14ac:dyDescent="0.2">
      <c r="A312">
        <f>ROW(Source!A1001)</f>
        <v>1001</v>
      </c>
      <c r="B312">
        <v>33992700</v>
      </c>
      <c r="C312">
        <v>33992686</v>
      </c>
      <c r="D312">
        <v>29984752</v>
      </c>
      <c r="E312">
        <v>29983435</v>
      </c>
      <c r="F312">
        <v>1</v>
      </c>
      <c r="G312">
        <v>29983435</v>
      </c>
      <c r="H312">
        <v>3</v>
      </c>
      <c r="I312" t="s">
        <v>923</v>
      </c>
      <c r="J312" t="s">
        <v>3</v>
      </c>
      <c r="K312" t="s">
        <v>924</v>
      </c>
      <c r="L312">
        <v>1301</v>
      </c>
      <c r="N312">
        <v>1003</v>
      </c>
      <c r="O312" t="s">
        <v>569</v>
      </c>
      <c r="P312" t="s">
        <v>569</v>
      </c>
      <c r="Q312">
        <v>1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 t="s">
        <v>3</v>
      </c>
      <c r="AG312">
        <v>0</v>
      </c>
      <c r="AH312">
        <v>3</v>
      </c>
      <c r="AI312">
        <v>-1</v>
      </c>
      <c r="AJ312" t="s">
        <v>3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</row>
    <row r="313" spans="1:44" x14ac:dyDescent="0.2">
      <c r="A313">
        <f>ROW(Source!A1003)</f>
        <v>1003</v>
      </c>
      <c r="B313">
        <v>33992708</v>
      </c>
      <c r="C313">
        <v>33992702</v>
      </c>
      <c r="D313">
        <v>29983441</v>
      </c>
      <c r="E313">
        <v>29983435</v>
      </c>
      <c r="F313">
        <v>1</v>
      </c>
      <c r="G313">
        <v>29983435</v>
      </c>
      <c r="H313">
        <v>1</v>
      </c>
      <c r="I313" t="s">
        <v>646</v>
      </c>
      <c r="J313" t="s">
        <v>3</v>
      </c>
      <c r="K313" t="s">
        <v>647</v>
      </c>
      <c r="L313">
        <v>1191</v>
      </c>
      <c r="N313">
        <v>1013</v>
      </c>
      <c r="O313" t="s">
        <v>648</v>
      </c>
      <c r="P313" t="s">
        <v>648</v>
      </c>
      <c r="Q313">
        <v>1</v>
      </c>
      <c r="X313">
        <v>6.22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1</v>
      </c>
      <c r="AE313">
        <v>1</v>
      </c>
      <c r="AF313" t="s">
        <v>3</v>
      </c>
      <c r="AG313">
        <v>6.22</v>
      </c>
      <c r="AH313">
        <v>2</v>
      </c>
      <c r="AI313">
        <v>33992703</v>
      </c>
      <c r="AJ313">
        <v>312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</row>
    <row r="314" spans="1:44" x14ac:dyDescent="0.2">
      <c r="A314">
        <f>ROW(Source!A1003)</f>
        <v>1003</v>
      </c>
      <c r="B314">
        <v>33992709</v>
      </c>
      <c r="C314">
        <v>33992702</v>
      </c>
      <c r="D314">
        <v>30064095</v>
      </c>
      <c r="E314">
        <v>1</v>
      </c>
      <c r="F314">
        <v>1</v>
      </c>
      <c r="G314">
        <v>29983435</v>
      </c>
      <c r="H314">
        <v>2</v>
      </c>
      <c r="I314" t="s">
        <v>680</v>
      </c>
      <c r="J314" t="s">
        <v>681</v>
      </c>
      <c r="K314" t="s">
        <v>682</v>
      </c>
      <c r="L314">
        <v>1367</v>
      </c>
      <c r="N314">
        <v>1011</v>
      </c>
      <c r="O314" t="s">
        <v>652</v>
      </c>
      <c r="P314" t="s">
        <v>652</v>
      </c>
      <c r="Q314">
        <v>1</v>
      </c>
      <c r="X314">
        <v>0.02</v>
      </c>
      <c r="Y314">
        <v>0</v>
      </c>
      <c r="Z314">
        <v>76.81</v>
      </c>
      <c r="AA314">
        <v>14.36</v>
      </c>
      <c r="AB314">
        <v>0</v>
      </c>
      <c r="AC314">
        <v>0</v>
      </c>
      <c r="AD314">
        <v>1</v>
      </c>
      <c r="AE314">
        <v>0</v>
      </c>
      <c r="AF314" t="s">
        <v>3</v>
      </c>
      <c r="AG314">
        <v>0.02</v>
      </c>
      <c r="AH314">
        <v>2</v>
      </c>
      <c r="AI314">
        <v>33992704</v>
      </c>
      <c r="AJ314">
        <v>313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</row>
    <row r="315" spans="1:44" x14ac:dyDescent="0.2">
      <c r="A315">
        <f>ROW(Source!A1003)</f>
        <v>1003</v>
      </c>
      <c r="B315">
        <v>33992710</v>
      </c>
      <c r="C315">
        <v>33992702</v>
      </c>
      <c r="D315">
        <v>30042537</v>
      </c>
      <c r="E315">
        <v>1</v>
      </c>
      <c r="F315">
        <v>1</v>
      </c>
      <c r="G315">
        <v>29983435</v>
      </c>
      <c r="H315">
        <v>3</v>
      </c>
      <c r="I315" t="s">
        <v>467</v>
      </c>
      <c r="J315" t="s">
        <v>469</v>
      </c>
      <c r="K315" t="s">
        <v>468</v>
      </c>
      <c r="L315">
        <v>1339</v>
      </c>
      <c r="N315">
        <v>1007</v>
      </c>
      <c r="O315" t="s">
        <v>66</v>
      </c>
      <c r="P315" t="s">
        <v>66</v>
      </c>
      <c r="Q315">
        <v>1</v>
      </c>
      <c r="X315">
        <v>7.6999999999999999E-2</v>
      </c>
      <c r="Y315">
        <v>7.07</v>
      </c>
      <c r="Z315">
        <v>0</v>
      </c>
      <c r="AA315">
        <v>0</v>
      </c>
      <c r="AB315">
        <v>0</v>
      </c>
      <c r="AC315">
        <v>0</v>
      </c>
      <c r="AD315">
        <v>1</v>
      </c>
      <c r="AE315">
        <v>0</v>
      </c>
      <c r="AF315" t="s">
        <v>3</v>
      </c>
      <c r="AG315">
        <v>7.6999999999999999E-2</v>
      </c>
      <c r="AH315">
        <v>2</v>
      </c>
      <c r="AI315">
        <v>33992705</v>
      </c>
      <c r="AJ315">
        <v>314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</row>
    <row r="316" spans="1:44" x14ac:dyDescent="0.2">
      <c r="A316">
        <f>ROW(Source!A1003)</f>
        <v>1003</v>
      </c>
      <c r="B316">
        <v>33992711</v>
      </c>
      <c r="C316">
        <v>33992702</v>
      </c>
      <c r="D316">
        <v>30041457</v>
      </c>
      <c r="E316">
        <v>1</v>
      </c>
      <c r="F316">
        <v>1</v>
      </c>
      <c r="G316">
        <v>29983435</v>
      </c>
      <c r="H316">
        <v>3</v>
      </c>
      <c r="I316" t="s">
        <v>828</v>
      </c>
      <c r="J316" t="s">
        <v>829</v>
      </c>
      <c r="K316" t="s">
        <v>830</v>
      </c>
      <c r="L316">
        <v>1348</v>
      </c>
      <c r="N316">
        <v>1009</v>
      </c>
      <c r="O316" t="s">
        <v>51</v>
      </c>
      <c r="P316" t="s">
        <v>51</v>
      </c>
      <c r="Q316">
        <v>1000</v>
      </c>
      <c r="X316">
        <v>0.107</v>
      </c>
      <c r="Y316">
        <v>332.74</v>
      </c>
      <c r="Z316">
        <v>0</v>
      </c>
      <c r="AA316">
        <v>0</v>
      </c>
      <c r="AB316">
        <v>0</v>
      </c>
      <c r="AC316">
        <v>0</v>
      </c>
      <c r="AD316">
        <v>1</v>
      </c>
      <c r="AE316">
        <v>0</v>
      </c>
      <c r="AF316" t="s">
        <v>3</v>
      </c>
      <c r="AG316">
        <v>0.107</v>
      </c>
      <c r="AH316">
        <v>2</v>
      </c>
      <c r="AI316">
        <v>33992706</v>
      </c>
      <c r="AJ316">
        <v>315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</row>
    <row r="317" spans="1:44" x14ac:dyDescent="0.2">
      <c r="A317">
        <f>ROW(Source!A1003)</f>
        <v>1003</v>
      </c>
      <c r="B317">
        <v>33992712</v>
      </c>
      <c r="C317">
        <v>33992702</v>
      </c>
      <c r="D317">
        <v>30041978</v>
      </c>
      <c r="E317">
        <v>1</v>
      </c>
      <c r="F317">
        <v>1</v>
      </c>
      <c r="G317">
        <v>29983435</v>
      </c>
      <c r="H317">
        <v>3</v>
      </c>
      <c r="I317" t="s">
        <v>190</v>
      </c>
      <c r="J317" t="s">
        <v>192</v>
      </c>
      <c r="K317" t="s">
        <v>191</v>
      </c>
      <c r="L317">
        <v>1339</v>
      </c>
      <c r="N317">
        <v>1007</v>
      </c>
      <c r="O317" t="s">
        <v>66</v>
      </c>
      <c r="P317" t="s">
        <v>66</v>
      </c>
      <c r="Q317">
        <v>1</v>
      </c>
      <c r="X317">
        <v>0.29899999999999999</v>
      </c>
      <c r="Y317">
        <v>104.99</v>
      </c>
      <c r="Z317">
        <v>0</v>
      </c>
      <c r="AA317">
        <v>0</v>
      </c>
      <c r="AB317">
        <v>0</v>
      </c>
      <c r="AC317">
        <v>0</v>
      </c>
      <c r="AD317">
        <v>1</v>
      </c>
      <c r="AE317">
        <v>0</v>
      </c>
      <c r="AF317" t="s">
        <v>3</v>
      </c>
      <c r="AG317">
        <v>0.29899999999999999</v>
      </c>
      <c r="AH317">
        <v>2</v>
      </c>
      <c r="AI317">
        <v>33992707</v>
      </c>
      <c r="AJ317">
        <v>316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</row>
    <row r="318" spans="1:44" x14ac:dyDescent="0.2">
      <c r="A318">
        <f>ROW(Source!A1003)</f>
        <v>1003</v>
      </c>
      <c r="B318">
        <v>33992713</v>
      </c>
      <c r="C318">
        <v>33992702</v>
      </c>
      <c r="D318">
        <v>29988305</v>
      </c>
      <c r="E318">
        <v>29983435</v>
      </c>
      <c r="F318">
        <v>1</v>
      </c>
      <c r="G318">
        <v>29983435</v>
      </c>
      <c r="H318">
        <v>3</v>
      </c>
      <c r="I318" t="s">
        <v>925</v>
      </c>
      <c r="J318" t="s">
        <v>3</v>
      </c>
      <c r="K318" t="s">
        <v>926</v>
      </c>
      <c r="L318">
        <v>1354</v>
      </c>
      <c r="N318">
        <v>1010</v>
      </c>
      <c r="O318" t="s">
        <v>328</v>
      </c>
      <c r="P318" t="s">
        <v>328</v>
      </c>
      <c r="Q318">
        <v>1</v>
      </c>
      <c r="X318">
        <v>10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 t="s">
        <v>3</v>
      </c>
      <c r="AG318">
        <v>10</v>
      </c>
      <c r="AH318">
        <v>3</v>
      </c>
      <c r="AI318">
        <v>-1</v>
      </c>
      <c r="AJ318" t="s">
        <v>3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</row>
    <row r="319" spans="1:44" x14ac:dyDescent="0.2">
      <c r="A319">
        <f>ROW(Source!A1004)</f>
        <v>1004</v>
      </c>
      <c r="B319">
        <v>33992723</v>
      </c>
      <c r="C319">
        <v>33992714</v>
      </c>
      <c r="D319">
        <v>29983441</v>
      </c>
      <c r="E319">
        <v>29983435</v>
      </c>
      <c r="F319">
        <v>1</v>
      </c>
      <c r="G319">
        <v>29983435</v>
      </c>
      <c r="H319">
        <v>1</v>
      </c>
      <c r="I319" t="s">
        <v>646</v>
      </c>
      <c r="J319" t="s">
        <v>3</v>
      </c>
      <c r="K319" t="s">
        <v>647</v>
      </c>
      <c r="L319">
        <v>1191</v>
      </c>
      <c r="N319">
        <v>1013</v>
      </c>
      <c r="O319" t="s">
        <v>648</v>
      </c>
      <c r="P319" t="s">
        <v>648</v>
      </c>
      <c r="Q319">
        <v>1</v>
      </c>
      <c r="X319">
        <v>1.83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1</v>
      </c>
      <c r="AE319">
        <v>1</v>
      </c>
      <c r="AF319" t="s">
        <v>3</v>
      </c>
      <c r="AG319">
        <v>1.83</v>
      </c>
      <c r="AH319">
        <v>2</v>
      </c>
      <c r="AI319">
        <v>33992715</v>
      </c>
      <c r="AJ319">
        <v>317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</row>
    <row r="320" spans="1:44" x14ac:dyDescent="0.2">
      <c r="A320">
        <f>ROW(Source!A1004)</f>
        <v>1004</v>
      </c>
      <c r="B320">
        <v>33992724</v>
      </c>
      <c r="C320">
        <v>33992714</v>
      </c>
      <c r="D320">
        <v>30063812</v>
      </c>
      <c r="E320">
        <v>1</v>
      </c>
      <c r="F320">
        <v>1</v>
      </c>
      <c r="G320">
        <v>29983435</v>
      </c>
      <c r="H320">
        <v>2</v>
      </c>
      <c r="I320" t="s">
        <v>813</v>
      </c>
      <c r="J320" t="s">
        <v>814</v>
      </c>
      <c r="K320" t="s">
        <v>815</v>
      </c>
      <c r="L320">
        <v>1367</v>
      </c>
      <c r="N320">
        <v>1011</v>
      </c>
      <c r="O320" t="s">
        <v>652</v>
      </c>
      <c r="P320" t="s">
        <v>652</v>
      </c>
      <c r="Q320">
        <v>1</v>
      </c>
      <c r="X320">
        <v>4.7E-2</v>
      </c>
      <c r="Y320">
        <v>0</v>
      </c>
      <c r="Z320">
        <v>43.4</v>
      </c>
      <c r="AA320">
        <v>2.68</v>
      </c>
      <c r="AB320">
        <v>0</v>
      </c>
      <c r="AC320">
        <v>0</v>
      </c>
      <c r="AD320">
        <v>1</v>
      </c>
      <c r="AE320">
        <v>0</v>
      </c>
      <c r="AF320" t="s">
        <v>3</v>
      </c>
      <c r="AG320">
        <v>4.7E-2</v>
      </c>
      <c r="AH320">
        <v>2</v>
      </c>
      <c r="AI320">
        <v>33992716</v>
      </c>
      <c r="AJ320">
        <v>318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</row>
    <row r="321" spans="1:44" x14ac:dyDescent="0.2">
      <c r="A321">
        <f>ROW(Source!A1004)</f>
        <v>1004</v>
      </c>
      <c r="B321">
        <v>33992725</v>
      </c>
      <c r="C321">
        <v>33992714</v>
      </c>
      <c r="D321">
        <v>30064147</v>
      </c>
      <c r="E321">
        <v>1</v>
      </c>
      <c r="F321">
        <v>1</v>
      </c>
      <c r="G321">
        <v>29983435</v>
      </c>
      <c r="H321">
        <v>2</v>
      </c>
      <c r="I321" t="s">
        <v>819</v>
      </c>
      <c r="J321" t="s">
        <v>820</v>
      </c>
      <c r="K321" t="s">
        <v>821</v>
      </c>
      <c r="L321">
        <v>1367</v>
      </c>
      <c r="N321">
        <v>1011</v>
      </c>
      <c r="O321" t="s">
        <v>652</v>
      </c>
      <c r="P321" t="s">
        <v>652</v>
      </c>
      <c r="Q321">
        <v>1</v>
      </c>
      <c r="X321">
        <v>0.04</v>
      </c>
      <c r="Y321">
        <v>0</v>
      </c>
      <c r="Z321">
        <v>0.68</v>
      </c>
      <c r="AA321">
        <v>0.04</v>
      </c>
      <c r="AB321">
        <v>0</v>
      </c>
      <c r="AC321">
        <v>0</v>
      </c>
      <c r="AD321">
        <v>1</v>
      </c>
      <c r="AE321">
        <v>0</v>
      </c>
      <c r="AF321" t="s">
        <v>3</v>
      </c>
      <c r="AG321">
        <v>0.04</v>
      </c>
      <c r="AH321">
        <v>2</v>
      </c>
      <c r="AI321">
        <v>33992717</v>
      </c>
      <c r="AJ321">
        <v>319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</row>
    <row r="322" spans="1:44" x14ac:dyDescent="0.2">
      <c r="A322">
        <f>ROW(Source!A1004)</f>
        <v>1004</v>
      </c>
      <c r="B322">
        <v>33992726</v>
      </c>
      <c r="C322">
        <v>33992714</v>
      </c>
      <c r="D322">
        <v>30064170</v>
      </c>
      <c r="E322">
        <v>1</v>
      </c>
      <c r="F322">
        <v>1</v>
      </c>
      <c r="G322">
        <v>29983435</v>
      </c>
      <c r="H322">
        <v>2</v>
      </c>
      <c r="I322" t="s">
        <v>831</v>
      </c>
      <c r="J322" t="s">
        <v>832</v>
      </c>
      <c r="K322" t="s">
        <v>833</v>
      </c>
      <c r="L322">
        <v>1367</v>
      </c>
      <c r="N322">
        <v>1011</v>
      </c>
      <c r="O322" t="s">
        <v>652</v>
      </c>
      <c r="P322" t="s">
        <v>652</v>
      </c>
      <c r="Q322">
        <v>1</v>
      </c>
      <c r="X322">
        <v>6.8000000000000005E-2</v>
      </c>
      <c r="Y322">
        <v>0</v>
      </c>
      <c r="Z322">
        <v>61.48</v>
      </c>
      <c r="AA322">
        <v>20.64</v>
      </c>
      <c r="AB322">
        <v>0</v>
      </c>
      <c r="AC322">
        <v>0</v>
      </c>
      <c r="AD322">
        <v>1</v>
      </c>
      <c r="AE322">
        <v>0</v>
      </c>
      <c r="AF322" t="s">
        <v>3</v>
      </c>
      <c r="AG322">
        <v>6.8000000000000005E-2</v>
      </c>
      <c r="AH322">
        <v>2</v>
      </c>
      <c r="AI322">
        <v>33992718</v>
      </c>
      <c r="AJ322">
        <v>320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</row>
    <row r="323" spans="1:44" x14ac:dyDescent="0.2">
      <c r="A323">
        <f>ROW(Source!A1004)</f>
        <v>1004</v>
      </c>
      <c r="B323">
        <v>33992727</v>
      </c>
      <c r="C323">
        <v>33992714</v>
      </c>
      <c r="D323">
        <v>30041225</v>
      </c>
      <c r="E323">
        <v>1</v>
      </c>
      <c r="F323">
        <v>1</v>
      </c>
      <c r="G323">
        <v>29983435</v>
      </c>
      <c r="H323">
        <v>3</v>
      </c>
      <c r="I323" t="s">
        <v>834</v>
      </c>
      <c r="J323" t="s">
        <v>835</v>
      </c>
      <c r="K323" t="s">
        <v>836</v>
      </c>
      <c r="L323">
        <v>1348</v>
      </c>
      <c r="N323">
        <v>1009</v>
      </c>
      <c r="O323" t="s">
        <v>51</v>
      </c>
      <c r="P323" t="s">
        <v>51</v>
      </c>
      <c r="Q323">
        <v>1000</v>
      </c>
      <c r="X323">
        <v>2.7E-4</v>
      </c>
      <c r="Y323">
        <v>7191.81</v>
      </c>
      <c r="Z323">
        <v>0</v>
      </c>
      <c r="AA323">
        <v>0</v>
      </c>
      <c r="AB323">
        <v>0</v>
      </c>
      <c r="AC323">
        <v>0</v>
      </c>
      <c r="AD323">
        <v>1</v>
      </c>
      <c r="AE323">
        <v>0</v>
      </c>
      <c r="AF323" t="s">
        <v>3</v>
      </c>
      <c r="AG323">
        <v>2.7E-4</v>
      </c>
      <c r="AH323">
        <v>2</v>
      </c>
      <c r="AI323">
        <v>33992719</v>
      </c>
      <c r="AJ323">
        <v>322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</row>
    <row r="324" spans="1:44" x14ac:dyDescent="0.2">
      <c r="A324">
        <f>ROW(Source!A1004)</f>
        <v>1004</v>
      </c>
      <c r="B324">
        <v>33992728</v>
      </c>
      <c r="C324">
        <v>33992714</v>
      </c>
      <c r="D324">
        <v>30061902</v>
      </c>
      <c r="E324">
        <v>1</v>
      </c>
      <c r="F324">
        <v>1</v>
      </c>
      <c r="G324">
        <v>29983435</v>
      </c>
      <c r="H324">
        <v>3</v>
      </c>
      <c r="I324" t="s">
        <v>837</v>
      </c>
      <c r="J324" t="s">
        <v>838</v>
      </c>
      <c r="K324" t="s">
        <v>839</v>
      </c>
      <c r="L324">
        <v>1354</v>
      </c>
      <c r="N324">
        <v>1010</v>
      </c>
      <c r="O324" t="s">
        <v>328</v>
      </c>
      <c r="P324" t="s">
        <v>328</v>
      </c>
      <c r="Q324">
        <v>1</v>
      </c>
      <c r="X324">
        <v>8.0000000000000002E-3</v>
      </c>
      <c r="Y324">
        <v>10.4</v>
      </c>
      <c r="Z324">
        <v>0</v>
      </c>
      <c r="AA324">
        <v>0</v>
      </c>
      <c r="AB324">
        <v>0</v>
      </c>
      <c r="AC324">
        <v>0</v>
      </c>
      <c r="AD324">
        <v>1</v>
      </c>
      <c r="AE324">
        <v>0</v>
      </c>
      <c r="AF324" t="s">
        <v>3</v>
      </c>
      <c r="AG324">
        <v>8.0000000000000002E-3</v>
      </c>
      <c r="AH324">
        <v>2</v>
      </c>
      <c r="AI324">
        <v>33992720</v>
      </c>
      <c r="AJ324">
        <v>324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</row>
    <row r="325" spans="1:44" x14ac:dyDescent="0.2">
      <c r="A325">
        <f>ROW(Source!A1004)</f>
        <v>1004</v>
      </c>
      <c r="B325">
        <v>33992729</v>
      </c>
      <c r="C325">
        <v>33992714</v>
      </c>
      <c r="D325">
        <v>29987172</v>
      </c>
      <c r="E325">
        <v>29983435</v>
      </c>
      <c r="F325">
        <v>1</v>
      </c>
      <c r="G325">
        <v>29983435</v>
      </c>
      <c r="H325">
        <v>3</v>
      </c>
      <c r="I325" t="s">
        <v>927</v>
      </c>
      <c r="J325" t="s">
        <v>3</v>
      </c>
      <c r="K325" t="s">
        <v>928</v>
      </c>
      <c r="L325">
        <v>1348</v>
      </c>
      <c r="N325">
        <v>1009</v>
      </c>
      <c r="O325" t="s">
        <v>51</v>
      </c>
      <c r="P325" t="s">
        <v>51</v>
      </c>
      <c r="Q325">
        <v>1000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 t="s">
        <v>3</v>
      </c>
      <c r="AG325">
        <v>0</v>
      </c>
      <c r="AH325">
        <v>3</v>
      </c>
      <c r="AI325">
        <v>-1</v>
      </c>
      <c r="AJ325" t="s">
        <v>3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</row>
    <row r="326" spans="1:44" x14ac:dyDescent="0.2">
      <c r="A326">
        <f>ROW(Source!A1007)</f>
        <v>1007</v>
      </c>
      <c r="B326">
        <v>33992739</v>
      </c>
      <c r="C326">
        <v>33992732</v>
      </c>
      <c r="D326">
        <v>29983441</v>
      </c>
      <c r="E326">
        <v>29983435</v>
      </c>
      <c r="F326">
        <v>1</v>
      </c>
      <c r="G326">
        <v>29983435</v>
      </c>
      <c r="H326">
        <v>1</v>
      </c>
      <c r="I326" t="s">
        <v>646</v>
      </c>
      <c r="J326" t="s">
        <v>3</v>
      </c>
      <c r="K326" t="s">
        <v>647</v>
      </c>
      <c r="L326">
        <v>1191</v>
      </c>
      <c r="N326">
        <v>1013</v>
      </c>
      <c r="O326" t="s">
        <v>648</v>
      </c>
      <c r="P326" t="s">
        <v>648</v>
      </c>
      <c r="Q326">
        <v>1</v>
      </c>
      <c r="X326">
        <v>0.12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1</v>
      </c>
      <c r="AE326">
        <v>1</v>
      </c>
      <c r="AF326" t="s">
        <v>3</v>
      </c>
      <c r="AG326">
        <v>0.12</v>
      </c>
      <c r="AH326">
        <v>2</v>
      </c>
      <c r="AI326">
        <v>33992733</v>
      </c>
      <c r="AJ326">
        <v>325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</row>
    <row r="327" spans="1:44" x14ac:dyDescent="0.2">
      <c r="A327">
        <f>ROW(Source!A1007)</f>
        <v>1007</v>
      </c>
      <c r="B327">
        <v>33992740</v>
      </c>
      <c r="C327">
        <v>33992732</v>
      </c>
      <c r="D327">
        <v>30063812</v>
      </c>
      <c r="E327">
        <v>1</v>
      </c>
      <c r="F327">
        <v>1</v>
      </c>
      <c r="G327">
        <v>29983435</v>
      </c>
      <c r="H327">
        <v>2</v>
      </c>
      <c r="I327" t="s">
        <v>813</v>
      </c>
      <c r="J327" t="s">
        <v>814</v>
      </c>
      <c r="K327" t="s">
        <v>815</v>
      </c>
      <c r="L327">
        <v>1367</v>
      </c>
      <c r="N327">
        <v>1011</v>
      </c>
      <c r="O327" t="s">
        <v>652</v>
      </c>
      <c r="P327" t="s">
        <v>652</v>
      </c>
      <c r="Q327">
        <v>1</v>
      </c>
      <c r="X327">
        <v>0.02</v>
      </c>
      <c r="Y327">
        <v>0</v>
      </c>
      <c r="Z327">
        <v>43.4</v>
      </c>
      <c r="AA327">
        <v>2.68</v>
      </c>
      <c r="AB327">
        <v>0</v>
      </c>
      <c r="AC327">
        <v>0</v>
      </c>
      <c r="AD327">
        <v>1</v>
      </c>
      <c r="AE327">
        <v>0</v>
      </c>
      <c r="AF327" t="s">
        <v>3</v>
      </c>
      <c r="AG327">
        <v>0.02</v>
      </c>
      <c r="AH327">
        <v>2</v>
      </c>
      <c r="AI327">
        <v>33992734</v>
      </c>
      <c r="AJ327">
        <v>326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</row>
    <row r="328" spans="1:44" x14ac:dyDescent="0.2">
      <c r="A328">
        <f>ROW(Source!A1007)</f>
        <v>1007</v>
      </c>
      <c r="B328">
        <v>33992741</v>
      </c>
      <c r="C328">
        <v>33992732</v>
      </c>
      <c r="D328">
        <v>30064095</v>
      </c>
      <c r="E328">
        <v>1</v>
      </c>
      <c r="F328">
        <v>1</v>
      </c>
      <c r="G328">
        <v>29983435</v>
      </c>
      <c r="H328">
        <v>2</v>
      </c>
      <c r="I328" t="s">
        <v>680</v>
      </c>
      <c r="J328" t="s">
        <v>681</v>
      </c>
      <c r="K328" t="s">
        <v>682</v>
      </c>
      <c r="L328">
        <v>1367</v>
      </c>
      <c r="N328">
        <v>1011</v>
      </c>
      <c r="O328" t="s">
        <v>652</v>
      </c>
      <c r="P328" t="s">
        <v>652</v>
      </c>
      <c r="Q328">
        <v>1</v>
      </c>
      <c r="X328">
        <v>0.01</v>
      </c>
      <c r="Y328">
        <v>0</v>
      </c>
      <c r="Z328">
        <v>76.81</v>
      </c>
      <c r="AA328">
        <v>14.36</v>
      </c>
      <c r="AB328">
        <v>0</v>
      </c>
      <c r="AC328">
        <v>0</v>
      </c>
      <c r="AD328">
        <v>1</v>
      </c>
      <c r="AE328">
        <v>0</v>
      </c>
      <c r="AF328" t="s">
        <v>3</v>
      </c>
      <c r="AG328">
        <v>0.01</v>
      </c>
      <c r="AH328">
        <v>2</v>
      </c>
      <c r="AI328">
        <v>33992735</v>
      </c>
      <c r="AJ328">
        <v>327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</row>
    <row r="329" spans="1:44" x14ac:dyDescent="0.2">
      <c r="A329">
        <f>ROW(Source!A1007)</f>
        <v>1007</v>
      </c>
      <c r="B329">
        <v>33992742</v>
      </c>
      <c r="C329">
        <v>33992732</v>
      </c>
      <c r="D329">
        <v>30064147</v>
      </c>
      <c r="E329">
        <v>1</v>
      </c>
      <c r="F329">
        <v>1</v>
      </c>
      <c r="G329">
        <v>29983435</v>
      </c>
      <c r="H329">
        <v>2</v>
      </c>
      <c r="I329" t="s">
        <v>819</v>
      </c>
      <c r="J329" t="s">
        <v>820</v>
      </c>
      <c r="K329" t="s">
        <v>821</v>
      </c>
      <c r="L329">
        <v>1367</v>
      </c>
      <c r="N329">
        <v>1011</v>
      </c>
      <c r="O329" t="s">
        <v>652</v>
      </c>
      <c r="P329" t="s">
        <v>652</v>
      </c>
      <c r="Q329">
        <v>1</v>
      </c>
      <c r="X329">
        <v>0.01</v>
      </c>
      <c r="Y329">
        <v>0</v>
      </c>
      <c r="Z329">
        <v>0.68</v>
      </c>
      <c r="AA329">
        <v>0.04</v>
      </c>
      <c r="AB329">
        <v>0</v>
      </c>
      <c r="AC329">
        <v>0</v>
      </c>
      <c r="AD329">
        <v>1</v>
      </c>
      <c r="AE329">
        <v>0</v>
      </c>
      <c r="AF329" t="s">
        <v>3</v>
      </c>
      <c r="AG329">
        <v>0.01</v>
      </c>
      <c r="AH329">
        <v>2</v>
      </c>
      <c r="AI329">
        <v>33992736</v>
      </c>
      <c r="AJ329">
        <v>328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</row>
    <row r="330" spans="1:44" x14ac:dyDescent="0.2">
      <c r="A330">
        <f>ROW(Source!A1007)</f>
        <v>1007</v>
      </c>
      <c r="B330">
        <v>33992743</v>
      </c>
      <c r="C330">
        <v>33992732</v>
      </c>
      <c r="D330">
        <v>29983439</v>
      </c>
      <c r="E330">
        <v>29983435</v>
      </c>
      <c r="F330">
        <v>1</v>
      </c>
      <c r="G330">
        <v>29983435</v>
      </c>
      <c r="H330">
        <v>2</v>
      </c>
      <c r="I330" t="s">
        <v>674</v>
      </c>
      <c r="J330" t="s">
        <v>3</v>
      </c>
      <c r="K330" t="s">
        <v>675</v>
      </c>
      <c r="L330">
        <v>1344</v>
      </c>
      <c r="N330">
        <v>1008</v>
      </c>
      <c r="O330" t="s">
        <v>676</v>
      </c>
      <c r="P330" t="s">
        <v>676</v>
      </c>
      <c r="Q330">
        <v>1</v>
      </c>
      <c r="X330">
        <v>0.01</v>
      </c>
      <c r="Y330">
        <v>0</v>
      </c>
      <c r="Z330">
        <v>1</v>
      </c>
      <c r="AA330">
        <v>0</v>
      </c>
      <c r="AB330">
        <v>0</v>
      </c>
      <c r="AC330">
        <v>0</v>
      </c>
      <c r="AD330">
        <v>1</v>
      </c>
      <c r="AE330">
        <v>0</v>
      </c>
      <c r="AF330" t="s">
        <v>3</v>
      </c>
      <c r="AG330">
        <v>0.01</v>
      </c>
      <c r="AH330">
        <v>2</v>
      </c>
      <c r="AI330">
        <v>33992737</v>
      </c>
      <c r="AJ330">
        <v>329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</row>
    <row r="331" spans="1:44" x14ac:dyDescent="0.2">
      <c r="A331">
        <f>ROW(Source!A1007)</f>
        <v>1007</v>
      </c>
      <c r="B331">
        <v>33992744</v>
      </c>
      <c r="C331">
        <v>33992732</v>
      </c>
      <c r="D331">
        <v>30041225</v>
      </c>
      <c r="E331">
        <v>1</v>
      </c>
      <c r="F331">
        <v>1</v>
      </c>
      <c r="G331">
        <v>29983435</v>
      </c>
      <c r="H331">
        <v>3</v>
      </c>
      <c r="I331" t="s">
        <v>834</v>
      </c>
      <c r="J331" t="s">
        <v>835</v>
      </c>
      <c r="K331" t="s">
        <v>836</v>
      </c>
      <c r="L331">
        <v>1348</v>
      </c>
      <c r="N331">
        <v>1009</v>
      </c>
      <c r="O331" t="s">
        <v>51</v>
      </c>
      <c r="P331" t="s">
        <v>51</v>
      </c>
      <c r="Q331">
        <v>1000</v>
      </c>
      <c r="X331">
        <v>3.0000000000000001E-5</v>
      </c>
      <c r="Y331">
        <v>7191.81</v>
      </c>
      <c r="Z331">
        <v>0</v>
      </c>
      <c r="AA331">
        <v>0</v>
      </c>
      <c r="AB331">
        <v>0</v>
      </c>
      <c r="AC331">
        <v>0</v>
      </c>
      <c r="AD331">
        <v>1</v>
      </c>
      <c r="AE331">
        <v>0</v>
      </c>
      <c r="AF331" t="s">
        <v>3</v>
      </c>
      <c r="AG331">
        <v>3.0000000000000001E-5</v>
      </c>
      <c r="AH331">
        <v>2</v>
      </c>
      <c r="AI331">
        <v>33992738</v>
      </c>
      <c r="AJ331">
        <v>330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</row>
    <row r="332" spans="1:44" x14ac:dyDescent="0.2">
      <c r="A332">
        <f>ROW(Source!A1007)</f>
        <v>1007</v>
      </c>
      <c r="B332">
        <v>33992745</v>
      </c>
      <c r="C332">
        <v>33992732</v>
      </c>
      <c r="D332">
        <v>29984740</v>
      </c>
      <c r="E332">
        <v>29983435</v>
      </c>
      <c r="F332">
        <v>1</v>
      </c>
      <c r="G332">
        <v>29983435</v>
      </c>
      <c r="H332">
        <v>3</v>
      </c>
      <c r="I332" t="s">
        <v>929</v>
      </c>
      <c r="J332" t="s">
        <v>3</v>
      </c>
      <c r="K332" t="s">
        <v>930</v>
      </c>
      <c r="L332">
        <v>1327</v>
      </c>
      <c r="N332">
        <v>1005</v>
      </c>
      <c r="O332" t="s">
        <v>411</v>
      </c>
      <c r="P332" t="s">
        <v>411</v>
      </c>
      <c r="Q332">
        <v>1</v>
      </c>
      <c r="X332">
        <v>1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 t="s">
        <v>3</v>
      </c>
      <c r="AG332">
        <v>1</v>
      </c>
      <c r="AH332">
        <v>3</v>
      </c>
      <c r="AI332">
        <v>-1</v>
      </c>
      <c r="AJ332" t="s">
        <v>3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</row>
    <row r="333" spans="1:44" x14ac:dyDescent="0.2">
      <c r="A333">
        <f>ROW(Source!A1008)</f>
        <v>1008</v>
      </c>
      <c r="B333">
        <v>33992752</v>
      </c>
      <c r="C333">
        <v>33992746</v>
      </c>
      <c r="D333">
        <v>29983441</v>
      </c>
      <c r="E333">
        <v>29983435</v>
      </c>
      <c r="F333">
        <v>1</v>
      </c>
      <c r="G333">
        <v>29983435</v>
      </c>
      <c r="H333">
        <v>1</v>
      </c>
      <c r="I333" t="s">
        <v>646</v>
      </c>
      <c r="J333" t="s">
        <v>3</v>
      </c>
      <c r="K333" t="s">
        <v>647</v>
      </c>
      <c r="L333">
        <v>1191</v>
      </c>
      <c r="N333">
        <v>1013</v>
      </c>
      <c r="O333" t="s">
        <v>648</v>
      </c>
      <c r="P333" t="s">
        <v>648</v>
      </c>
      <c r="Q333">
        <v>1</v>
      </c>
      <c r="X333">
        <v>5.31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1</v>
      </c>
      <c r="AE333">
        <v>1</v>
      </c>
      <c r="AF333" t="s">
        <v>3</v>
      </c>
      <c r="AG333">
        <v>5.31</v>
      </c>
      <c r="AH333">
        <v>2</v>
      </c>
      <c r="AI333">
        <v>33992747</v>
      </c>
      <c r="AJ333">
        <v>331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</row>
    <row r="334" spans="1:44" x14ac:dyDescent="0.2">
      <c r="A334">
        <f>ROW(Source!A1008)</f>
        <v>1008</v>
      </c>
      <c r="B334">
        <v>33992753</v>
      </c>
      <c r="C334">
        <v>33992746</v>
      </c>
      <c r="D334">
        <v>30063720</v>
      </c>
      <c r="E334">
        <v>1</v>
      </c>
      <c r="F334">
        <v>1</v>
      </c>
      <c r="G334">
        <v>29983435</v>
      </c>
      <c r="H334">
        <v>2</v>
      </c>
      <c r="I334" t="s">
        <v>840</v>
      </c>
      <c r="J334" t="s">
        <v>841</v>
      </c>
      <c r="K334" t="s">
        <v>842</v>
      </c>
      <c r="L334">
        <v>1367</v>
      </c>
      <c r="N334">
        <v>1011</v>
      </c>
      <c r="O334" t="s">
        <v>652</v>
      </c>
      <c r="P334" t="s">
        <v>652</v>
      </c>
      <c r="Q334">
        <v>1</v>
      </c>
      <c r="X334">
        <v>1.1200000000000001</v>
      </c>
      <c r="Y334">
        <v>0</v>
      </c>
      <c r="Z334">
        <v>17.32</v>
      </c>
      <c r="AA334">
        <v>1.36</v>
      </c>
      <c r="AB334">
        <v>0</v>
      </c>
      <c r="AC334">
        <v>0</v>
      </c>
      <c r="AD334">
        <v>1</v>
      </c>
      <c r="AE334">
        <v>0</v>
      </c>
      <c r="AF334" t="s">
        <v>3</v>
      </c>
      <c r="AG334">
        <v>1.1200000000000001</v>
      </c>
      <c r="AH334">
        <v>2</v>
      </c>
      <c r="AI334">
        <v>33992748</v>
      </c>
      <c r="AJ334">
        <v>332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</row>
    <row r="335" spans="1:44" x14ac:dyDescent="0.2">
      <c r="A335">
        <f>ROW(Source!A1008)</f>
        <v>1008</v>
      </c>
      <c r="B335">
        <v>33992754</v>
      </c>
      <c r="C335">
        <v>33992746</v>
      </c>
      <c r="D335">
        <v>29983439</v>
      </c>
      <c r="E335">
        <v>29983435</v>
      </c>
      <c r="F335">
        <v>1</v>
      </c>
      <c r="G335">
        <v>29983435</v>
      </c>
      <c r="H335">
        <v>2</v>
      </c>
      <c r="I335" t="s">
        <v>674</v>
      </c>
      <c r="J335" t="s">
        <v>3</v>
      </c>
      <c r="K335" t="s">
        <v>675</v>
      </c>
      <c r="L335">
        <v>1344</v>
      </c>
      <c r="N335">
        <v>1008</v>
      </c>
      <c r="O335" t="s">
        <v>676</v>
      </c>
      <c r="P335" t="s">
        <v>676</v>
      </c>
      <c r="Q335">
        <v>1</v>
      </c>
      <c r="X335">
        <v>1.49</v>
      </c>
      <c r="Y335">
        <v>0</v>
      </c>
      <c r="Z335">
        <v>1</v>
      </c>
      <c r="AA335">
        <v>0</v>
      </c>
      <c r="AB335">
        <v>0</v>
      </c>
      <c r="AC335">
        <v>0</v>
      </c>
      <c r="AD335">
        <v>1</v>
      </c>
      <c r="AE335">
        <v>0</v>
      </c>
      <c r="AF335" t="s">
        <v>3</v>
      </c>
      <c r="AG335">
        <v>1.49</v>
      </c>
      <c r="AH335">
        <v>2</v>
      </c>
      <c r="AI335">
        <v>33992749</v>
      </c>
      <c r="AJ335">
        <v>333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</row>
    <row r="336" spans="1:44" x14ac:dyDescent="0.2">
      <c r="A336">
        <f>ROW(Source!A1008)</f>
        <v>1008</v>
      </c>
      <c r="B336">
        <v>33992755</v>
      </c>
      <c r="C336">
        <v>33992746</v>
      </c>
      <c r="D336">
        <v>30042195</v>
      </c>
      <c r="E336">
        <v>1</v>
      </c>
      <c r="F336">
        <v>1</v>
      </c>
      <c r="G336">
        <v>29983435</v>
      </c>
      <c r="H336">
        <v>3</v>
      </c>
      <c r="I336" t="s">
        <v>843</v>
      </c>
      <c r="J336" t="s">
        <v>844</v>
      </c>
      <c r="K336" t="s">
        <v>845</v>
      </c>
      <c r="L336">
        <v>1348</v>
      </c>
      <c r="N336">
        <v>1009</v>
      </c>
      <c r="O336" t="s">
        <v>51</v>
      </c>
      <c r="P336" t="s">
        <v>51</v>
      </c>
      <c r="Q336">
        <v>1000</v>
      </c>
      <c r="X336">
        <v>1.5E-3</v>
      </c>
      <c r="Y336">
        <v>6303.6</v>
      </c>
      <c r="Z336">
        <v>0</v>
      </c>
      <c r="AA336">
        <v>0</v>
      </c>
      <c r="AB336">
        <v>0</v>
      </c>
      <c r="AC336">
        <v>0</v>
      </c>
      <c r="AD336">
        <v>1</v>
      </c>
      <c r="AE336">
        <v>0</v>
      </c>
      <c r="AF336" t="s">
        <v>3</v>
      </c>
      <c r="AG336">
        <v>1.5E-3</v>
      </c>
      <c r="AH336">
        <v>2</v>
      </c>
      <c r="AI336">
        <v>33992750</v>
      </c>
      <c r="AJ336">
        <v>335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</row>
    <row r="337" spans="1:44" x14ac:dyDescent="0.2">
      <c r="A337">
        <f>ROW(Source!A1008)</f>
        <v>1008</v>
      </c>
      <c r="B337">
        <v>33992756</v>
      </c>
      <c r="C337">
        <v>33992746</v>
      </c>
      <c r="D337">
        <v>29986723</v>
      </c>
      <c r="E337">
        <v>29983435</v>
      </c>
      <c r="F337">
        <v>1</v>
      </c>
      <c r="G337">
        <v>29983435</v>
      </c>
      <c r="H337">
        <v>3</v>
      </c>
      <c r="I337" t="s">
        <v>931</v>
      </c>
      <c r="J337" t="s">
        <v>3</v>
      </c>
      <c r="K337" t="s">
        <v>932</v>
      </c>
      <c r="L337">
        <v>1348</v>
      </c>
      <c r="N337">
        <v>1009</v>
      </c>
      <c r="O337" t="s">
        <v>51</v>
      </c>
      <c r="P337" t="s">
        <v>51</v>
      </c>
      <c r="Q337">
        <v>1000</v>
      </c>
      <c r="X337">
        <v>8.9999999999999993E-3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 t="s">
        <v>3</v>
      </c>
      <c r="AG337">
        <v>8.9999999999999993E-3</v>
      </c>
      <c r="AH337">
        <v>3</v>
      </c>
      <c r="AI337">
        <v>-1</v>
      </c>
      <c r="AJ337" t="s">
        <v>3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</row>
    <row r="338" spans="1:44" x14ac:dyDescent="0.2">
      <c r="A338">
        <f>ROW(Source!A1010)</f>
        <v>1010</v>
      </c>
      <c r="B338">
        <v>33992764</v>
      </c>
      <c r="C338">
        <v>33992758</v>
      </c>
      <c r="D338">
        <v>29983441</v>
      </c>
      <c r="E338">
        <v>29983435</v>
      </c>
      <c r="F338">
        <v>1</v>
      </c>
      <c r="G338">
        <v>29983435</v>
      </c>
      <c r="H338">
        <v>1</v>
      </c>
      <c r="I338" t="s">
        <v>646</v>
      </c>
      <c r="J338" t="s">
        <v>3</v>
      </c>
      <c r="K338" t="s">
        <v>647</v>
      </c>
      <c r="L338">
        <v>1191</v>
      </c>
      <c r="N338">
        <v>1013</v>
      </c>
      <c r="O338" t="s">
        <v>648</v>
      </c>
      <c r="P338" t="s">
        <v>648</v>
      </c>
      <c r="Q338">
        <v>1</v>
      </c>
      <c r="X338">
        <v>2.13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1</v>
      </c>
      <c r="AE338">
        <v>1</v>
      </c>
      <c r="AF338" t="s">
        <v>3</v>
      </c>
      <c r="AG338">
        <v>2.13</v>
      </c>
      <c r="AH338">
        <v>2</v>
      </c>
      <c r="AI338">
        <v>33992759</v>
      </c>
      <c r="AJ338">
        <v>336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</row>
    <row r="339" spans="1:44" x14ac:dyDescent="0.2">
      <c r="A339">
        <f>ROW(Source!A1010)</f>
        <v>1010</v>
      </c>
      <c r="B339">
        <v>33992765</v>
      </c>
      <c r="C339">
        <v>33992758</v>
      </c>
      <c r="D339">
        <v>30064095</v>
      </c>
      <c r="E339">
        <v>1</v>
      </c>
      <c r="F339">
        <v>1</v>
      </c>
      <c r="G339">
        <v>29983435</v>
      </c>
      <c r="H339">
        <v>2</v>
      </c>
      <c r="I339" t="s">
        <v>680</v>
      </c>
      <c r="J339" t="s">
        <v>681</v>
      </c>
      <c r="K339" t="s">
        <v>682</v>
      </c>
      <c r="L339">
        <v>1367</v>
      </c>
      <c r="N339">
        <v>1011</v>
      </c>
      <c r="O339" t="s">
        <v>652</v>
      </c>
      <c r="P339" t="s">
        <v>652</v>
      </c>
      <c r="Q339">
        <v>1</v>
      </c>
      <c r="X339">
        <v>0.01</v>
      </c>
      <c r="Y339">
        <v>0</v>
      </c>
      <c r="Z339">
        <v>76.81</v>
      </c>
      <c r="AA339">
        <v>14.36</v>
      </c>
      <c r="AB339">
        <v>0</v>
      </c>
      <c r="AC339">
        <v>0</v>
      </c>
      <c r="AD339">
        <v>1</v>
      </c>
      <c r="AE339">
        <v>0</v>
      </c>
      <c r="AF339" t="s">
        <v>3</v>
      </c>
      <c r="AG339">
        <v>0.01</v>
      </c>
      <c r="AH339">
        <v>2</v>
      </c>
      <c r="AI339">
        <v>33992760</v>
      </c>
      <c r="AJ339">
        <v>337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</row>
    <row r="340" spans="1:44" x14ac:dyDescent="0.2">
      <c r="A340">
        <f>ROW(Source!A1010)</f>
        <v>1010</v>
      </c>
      <c r="B340">
        <v>33992766</v>
      </c>
      <c r="C340">
        <v>33992758</v>
      </c>
      <c r="D340">
        <v>30063432</v>
      </c>
      <c r="E340">
        <v>1</v>
      </c>
      <c r="F340">
        <v>1</v>
      </c>
      <c r="G340">
        <v>29983435</v>
      </c>
      <c r="H340">
        <v>2</v>
      </c>
      <c r="I340" t="s">
        <v>754</v>
      </c>
      <c r="J340" t="s">
        <v>755</v>
      </c>
      <c r="K340" t="s">
        <v>756</v>
      </c>
      <c r="L340">
        <v>1367</v>
      </c>
      <c r="N340">
        <v>1011</v>
      </c>
      <c r="O340" t="s">
        <v>652</v>
      </c>
      <c r="P340" t="s">
        <v>652</v>
      </c>
      <c r="Q340">
        <v>1</v>
      </c>
      <c r="X340">
        <v>0.01</v>
      </c>
      <c r="Y340">
        <v>0</v>
      </c>
      <c r="Z340">
        <v>73</v>
      </c>
      <c r="AA340">
        <v>16.899999999999999</v>
      </c>
      <c r="AB340">
        <v>0</v>
      </c>
      <c r="AC340">
        <v>0</v>
      </c>
      <c r="AD340">
        <v>1</v>
      </c>
      <c r="AE340">
        <v>0</v>
      </c>
      <c r="AF340" t="s">
        <v>3</v>
      </c>
      <c r="AG340">
        <v>0.01</v>
      </c>
      <c r="AH340">
        <v>2</v>
      </c>
      <c r="AI340">
        <v>33992761</v>
      </c>
      <c r="AJ340">
        <v>338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</row>
    <row r="341" spans="1:44" x14ac:dyDescent="0.2">
      <c r="A341">
        <f>ROW(Source!A1010)</f>
        <v>1010</v>
      </c>
      <c r="B341">
        <v>33992767</v>
      </c>
      <c r="C341">
        <v>33992758</v>
      </c>
      <c r="D341">
        <v>30041214</v>
      </c>
      <c r="E341">
        <v>1</v>
      </c>
      <c r="F341">
        <v>1</v>
      </c>
      <c r="G341">
        <v>29983435</v>
      </c>
      <c r="H341">
        <v>3</v>
      </c>
      <c r="I341" t="s">
        <v>846</v>
      </c>
      <c r="J341" t="s">
        <v>847</v>
      </c>
      <c r="K341" t="s">
        <v>848</v>
      </c>
      <c r="L341">
        <v>1346</v>
      </c>
      <c r="N341">
        <v>1009</v>
      </c>
      <c r="O341" t="s">
        <v>300</v>
      </c>
      <c r="P341" t="s">
        <v>300</v>
      </c>
      <c r="Q341">
        <v>1</v>
      </c>
      <c r="X341">
        <v>9</v>
      </c>
      <c r="Y341">
        <v>29.9</v>
      </c>
      <c r="Z341">
        <v>0</v>
      </c>
      <c r="AA341">
        <v>0</v>
      </c>
      <c r="AB341">
        <v>0</v>
      </c>
      <c r="AC341">
        <v>0</v>
      </c>
      <c r="AD341">
        <v>1</v>
      </c>
      <c r="AE341">
        <v>0</v>
      </c>
      <c r="AF341" t="s">
        <v>3</v>
      </c>
      <c r="AG341">
        <v>9</v>
      </c>
      <c r="AH341">
        <v>2</v>
      </c>
      <c r="AI341">
        <v>33992762</v>
      </c>
      <c r="AJ341">
        <v>339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</row>
    <row r="342" spans="1:44" x14ac:dyDescent="0.2">
      <c r="A342">
        <f>ROW(Source!A1010)</f>
        <v>1010</v>
      </c>
      <c r="B342">
        <v>33992768</v>
      </c>
      <c r="C342">
        <v>33992758</v>
      </c>
      <c r="D342">
        <v>30041767</v>
      </c>
      <c r="E342">
        <v>1</v>
      </c>
      <c r="F342">
        <v>1</v>
      </c>
      <c r="G342">
        <v>29983435</v>
      </c>
      <c r="H342">
        <v>3</v>
      </c>
      <c r="I342" t="s">
        <v>807</v>
      </c>
      <c r="J342" t="s">
        <v>808</v>
      </c>
      <c r="K342" t="s">
        <v>809</v>
      </c>
      <c r="L342">
        <v>1348</v>
      </c>
      <c r="N342">
        <v>1009</v>
      </c>
      <c r="O342" t="s">
        <v>51</v>
      </c>
      <c r="P342" t="s">
        <v>51</v>
      </c>
      <c r="Q342">
        <v>1000</v>
      </c>
      <c r="X342">
        <v>1.48E-3</v>
      </c>
      <c r="Y342">
        <v>12534.98</v>
      </c>
      <c r="Z342">
        <v>0</v>
      </c>
      <c r="AA342">
        <v>0</v>
      </c>
      <c r="AB342">
        <v>0</v>
      </c>
      <c r="AC342">
        <v>0</v>
      </c>
      <c r="AD342">
        <v>1</v>
      </c>
      <c r="AE342">
        <v>0</v>
      </c>
      <c r="AF342" t="s">
        <v>3</v>
      </c>
      <c r="AG342">
        <v>1.48E-3</v>
      </c>
      <c r="AH342">
        <v>2</v>
      </c>
      <c r="AI342">
        <v>33992763</v>
      </c>
      <c r="AJ342">
        <v>340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</row>
    <row r="343" spans="1:44" x14ac:dyDescent="0.2">
      <c r="A343">
        <f>ROW(Source!A1149)</f>
        <v>1149</v>
      </c>
      <c r="B343">
        <v>33992776</v>
      </c>
      <c r="C343">
        <v>33992769</v>
      </c>
      <c r="D343">
        <v>29983441</v>
      </c>
      <c r="E343">
        <v>29983435</v>
      </c>
      <c r="F343">
        <v>1</v>
      </c>
      <c r="G343">
        <v>29983435</v>
      </c>
      <c r="H343">
        <v>1</v>
      </c>
      <c r="I343" t="s">
        <v>646</v>
      </c>
      <c r="J343" t="s">
        <v>3</v>
      </c>
      <c r="K343" t="s">
        <v>647</v>
      </c>
      <c r="L343">
        <v>1191</v>
      </c>
      <c r="N343">
        <v>1013</v>
      </c>
      <c r="O343" t="s">
        <v>648</v>
      </c>
      <c r="P343" t="s">
        <v>648</v>
      </c>
      <c r="Q343">
        <v>1</v>
      </c>
      <c r="X343">
        <v>297.86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1</v>
      </c>
      <c r="AE343">
        <v>1</v>
      </c>
      <c r="AF343" t="s">
        <v>3</v>
      </c>
      <c r="AG343">
        <v>297.86</v>
      </c>
      <c r="AH343">
        <v>2</v>
      </c>
      <c r="AI343">
        <v>33992770</v>
      </c>
      <c r="AJ343">
        <v>341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</row>
    <row r="344" spans="1:44" x14ac:dyDescent="0.2">
      <c r="A344">
        <f>ROW(Source!A1149)</f>
        <v>1149</v>
      </c>
      <c r="B344">
        <v>33992777</v>
      </c>
      <c r="C344">
        <v>33992769</v>
      </c>
      <c r="D344">
        <v>30063679</v>
      </c>
      <c r="E344">
        <v>1</v>
      </c>
      <c r="F344">
        <v>1</v>
      </c>
      <c r="G344">
        <v>29983435</v>
      </c>
      <c r="H344">
        <v>2</v>
      </c>
      <c r="I344" t="s">
        <v>849</v>
      </c>
      <c r="J344" t="s">
        <v>850</v>
      </c>
      <c r="K344" t="s">
        <v>851</v>
      </c>
      <c r="L344">
        <v>1367</v>
      </c>
      <c r="N344">
        <v>1011</v>
      </c>
      <c r="O344" t="s">
        <v>652</v>
      </c>
      <c r="P344" t="s">
        <v>652</v>
      </c>
      <c r="Q344">
        <v>1</v>
      </c>
      <c r="X344">
        <v>11</v>
      </c>
      <c r="Y344">
        <v>0</v>
      </c>
      <c r="Z344">
        <v>101.39</v>
      </c>
      <c r="AA344">
        <v>22.54</v>
      </c>
      <c r="AB344">
        <v>0</v>
      </c>
      <c r="AC344">
        <v>0</v>
      </c>
      <c r="AD344">
        <v>1</v>
      </c>
      <c r="AE344">
        <v>0</v>
      </c>
      <c r="AF344" t="s">
        <v>3</v>
      </c>
      <c r="AG344">
        <v>11</v>
      </c>
      <c r="AH344">
        <v>2</v>
      </c>
      <c r="AI344">
        <v>33992771</v>
      </c>
      <c r="AJ344">
        <v>342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</row>
    <row r="345" spans="1:44" x14ac:dyDescent="0.2">
      <c r="A345">
        <f>ROW(Source!A1149)</f>
        <v>1149</v>
      </c>
      <c r="B345">
        <v>33992778</v>
      </c>
      <c r="C345">
        <v>33992769</v>
      </c>
      <c r="D345">
        <v>30042590</v>
      </c>
      <c r="E345">
        <v>1</v>
      </c>
      <c r="F345">
        <v>1</v>
      </c>
      <c r="G345">
        <v>29983435</v>
      </c>
      <c r="H345">
        <v>3</v>
      </c>
      <c r="I345" t="s">
        <v>852</v>
      </c>
      <c r="J345" t="s">
        <v>853</v>
      </c>
      <c r="K345" t="s">
        <v>854</v>
      </c>
      <c r="L345">
        <v>1348</v>
      </c>
      <c r="N345">
        <v>1009</v>
      </c>
      <c r="O345" t="s">
        <v>51</v>
      </c>
      <c r="P345" t="s">
        <v>51</v>
      </c>
      <c r="Q345">
        <v>1000</v>
      </c>
      <c r="X345">
        <v>4.8000000000000001E-2</v>
      </c>
      <c r="Y345">
        <v>24618.39</v>
      </c>
      <c r="Z345">
        <v>0</v>
      </c>
      <c r="AA345">
        <v>0</v>
      </c>
      <c r="AB345">
        <v>0</v>
      </c>
      <c r="AC345">
        <v>0</v>
      </c>
      <c r="AD345">
        <v>1</v>
      </c>
      <c r="AE345">
        <v>0</v>
      </c>
      <c r="AF345" t="s">
        <v>3</v>
      </c>
      <c r="AG345">
        <v>4.8000000000000001E-2</v>
      </c>
      <c r="AH345">
        <v>2</v>
      </c>
      <c r="AI345">
        <v>33992772</v>
      </c>
      <c r="AJ345">
        <v>343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</row>
    <row r="346" spans="1:44" x14ac:dyDescent="0.2">
      <c r="A346">
        <f>ROW(Source!A1149)</f>
        <v>1149</v>
      </c>
      <c r="B346">
        <v>33992779</v>
      </c>
      <c r="C346">
        <v>33992769</v>
      </c>
      <c r="D346">
        <v>29989734</v>
      </c>
      <c r="E346">
        <v>29983435</v>
      </c>
      <c r="F346">
        <v>1</v>
      </c>
      <c r="G346">
        <v>29983435</v>
      </c>
      <c r="H346">
        <v>3</v>
      </c>
      <c r="I346" t="s">
        <v>933</v>
      </c>
      <c r="J346" t="s">
        <v>3</v>
      </c>
      <c r="K346" t="s">
        <v>934</v>
      </c>
      <c r="L346">
        <v>1354</v>
      </c>
      <c r="N346">
        <v>1010</v>
      </c>
      <c r="O346" t="s">
        <v>328</v>
      </c>
      <c r="P346" t="s">
        <v>328</v>
      </c>
      <c r="Q346">
        <v>1</v>
      </c>
      <c r="X346">
        <v>100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 t="s">
        <v>3</v>
      </c>
      <c r="AG346">
        <v>100</v>
      </c>
      <c r="AH346">
        <v>3</v>
      </c>
      <c r="AI346">
        <v>-1</v>
      </c>
      <c r="AJ346" t="s">
        <v>3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</row>
    <row r="347" spans="1:44" x14ac:dyDescent="0.2">
      <c r="A347">
        <f>ROW(Source!A1149)</f>
        <v>1149</v>
      </c>
      <c r="B347">
        <v>33992780</v>
      </c>
      <c r="C347">
        <v>33992769</v>
      </c>
      <c r="D347">
        <v>29989734</v>
      </c>
      <c r="E347">
        <v>29983435</v>
      </c>
      <c r="F347">
        <v>1</v>
      </c>
      <c r="G347">
        <v>29983435</v>
      </c>
      <c r="H347">
        <v>3</v>
      </c>
      <c r="I347" t="s">
        <v>933</v>
      </c>
      <c r="J347" t="s">
        <v>3</v>
      </c>
      <c r="K347" t="s">
        <v>935</v>
      </c>
      <c r="L347">
        <v>1354</v>
      </c>
      <c r="N347">
        <v>1010</v>
      </c>
      <c r="O347" t="s">
        <v>328</v>
      </c>
      <c r="P347" t="s">
        <v>328</v>
      </c>
      <c r="Q347">
        <v>1</v>
      </c>
      <c r="X347">
        <v>100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 t="s">
        <v>3</v>
      </c>
      <c r="AG347">
        <v>100</v>
      </c>
      <c r="AH347">
        <v>3</v>
      </c>
      <c r="AI347">
        <v>-1</v>
      </c>
      <c r="AJ347" t="s">
        <v>3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</row>
    <row r="348" spans="1:44" x14ac:dyDescent="0.2">
      <c r="A348">
        <f>ROW(Source!A1153)</f>
        <v>1153</v>
      </c>
      <c r="B348">
        <v>33992789</v>
      </c>
      <c r="C348">
        <v>33992784</v>
      </c>
      <c r="D348">
        <v>29983441</v>
      </c>
      <c r="E348">
        <v>29983435</v>
      </c>
      <c r="F348">
        <v>1</v>
      </c>
      <c r="G348">
        <v>29983435</v>
      </c>
      <c r="H348">
        <v>1</v>
      </c>
      <c r="I348" t="s">
        <v>646</v>
      </c>
      <c r="J348" t="s">
        <v>3</v>
      </c>
      <c r="K348" t="s">
        <v>647</v>
      </c>
      <c r="L348">
        <v>1191</v>
      </c>
      <c r="N348">
        <v>1013</v>
      </c>
      <c r="O348" t="s">
        <v>648</v>
      </c>
      <c r="P348" t="s">
        <v>648</v>
      </c>
      <c r="Q348">
        <v>1</v>
      </c>
      <c r="X348">
        <v>69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1</v>
      </c>
      <c r="AE348">
        <v>1</v>
      </c>
      <c r="AF348" t="s">
        <v>3</v>
      </c>
      <c r="AG348">
        <v>69</v>
      </c>
      <c r="AH348">
        <v>2</v>
      </c>
      <c r="AI348">
        <v>33992785</v>
      </c>
      <c r="AJ348">
        <v>347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</row>
    <row r="349" spans="1:44" x14ac:dyDescent="0.2">
      <c r="A349">
        <f>ROW(Source!A1153)</f>
        <v>1153</v>
      </c>
      <c r="B349">
        <v>33992790</v>
      </c>
      <c r="C349">
        <v>33992784</v>
      </c>
      <c r="D349">
        <v>30060913</v>
      </c>
      <c r="E349">
        <v>1</v>
      </c>
      <c r="F349">
        <v>1</v>
      </c>
      <c r="G349">
        <v>29983435</v>
      </c>
      <c r="H349">
        <v>3</v>
      </c>
      <c r="I349" t="s">
        <v>572</v>
      </c>
      <c r="J349" t="s">
        <v>574</v>
      </c>
      <c r="K349" t="s">
        <v>573</v>
      </c>
      <c r="L349">
        <v>1354</v>
      </c>
      <c r="N349">
        <v>1010</v>
      </c>
      <c r="O349" t="s">
        <v>328</v>
      </c>
      <c r="P349" t="s">
        <v>328</v>
      </c>
      <c r="Q349">
        <v>1</v>
      </c>
      <c r="X349">
        <v>100</v>
      </c>
      <c r="Y349">
        <v>47.28</v>
      </c>
      <c r="Z349">
        <v>0</v>
      </c>
      <c r="AA349">
        <v>0</v>
      </c>
      <c r="AB349">
        <v>0</v>
      </c>
      <c r="AC349">
        <v>0</v>
      </c>
      <c r="AD349">
        <v>1</v>
      </c>
      <c r="AE349">
        <v>0</v>
      </c>
      <c r="AF349" t="s">
        <v>3</v>
      </c>
      <c r="AG349">
        <v>100</v>
      </c>
      <c r="AH349">
        <v>2</v>
      </c>
      <c r="AI349">
        <v>33992786</v>
      </c>
      <c r="AJ349">
        <v>348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</row>
    <row r="350" spans="1:44" x14ac:dyDescent="0.2">
      <c r="A350">
        <f>ROW(Source!A1153)</f>
        <v>1153</v>
      </c>
      <c r="B350">
        <v>33992791</v>
      </c>
      <c r="C350">
        <v>33992784</v>
      </c>
      <c r="D350">
        <v>29989734</v>
      </c>
      <c r="E350">
        <v>29983435</v>
      </c>
      <c r="F350">
        <v>1</v>
      </c>
      <c r="G350">
        <v>29983435</v>
      </c>
      <c r="H350">
        <v>3</v>
      </c>
      <c r="I350" t="s">
        <v>933</v>
      </c>
      <c r="J350" t="s">
        <v>3</v>
      </c>
      <c r="K350" t="s">
        <v>934</v>
      </c>
      <c r="L350">
        <v>1354</v>
      </c>
      <c r="N350">
        <v>1010</v>
      </c>
      <c r="O350" t="s">
        <v>328</v>
      </c>
      <c r="P350" t="s">
        <v>328</v>
      </c>
      <c r="Q350">
        <v>1</v>
      </c>
      <c r="X350">
        <v>100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 t="s">
        <v>3</v>
      </c>
      <c r="AG350">
        <v>100</v>
      </c>
      <c r="AH350">
        <v>3</v>
      </c>
      <c r="AI350">
        <v>-1</v>
      </c>
      <c r="AJ350" t="s">
        <v>3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</row>
    <row r="351" spans="1:44" x14ac:dyDescent="0.2">
      <c r="A351">
        <f>ROW(Source!A1192)</f>
        <v>1192</v>
      </c>
      <c r="B351">
        <v>33992804</v>
      </c>
      <c r="C351">
        <v>33992794</v>
      </c>
      <c r="D351">
        <v>29983441</v>
      </c>
      <c r="E351">
        <v>29983435</v>
      </c>
      <c r="F351">
        <v>1</v>
      </c>
      <c r="G351">
        <v>29983435</v>
      </c>
      <c r="H351">
        <v>1</v>
      </c>
      <c r="I351" t="s">
        <v>646</v>
      </c>
      <c r="J351" t="s">
        <v>3</v>
      </c>
      <c r="K351" t="s">
        <v>647</v>
      </c>
      <c r="L351">
        <v>1191</v>
      </c>
      <c r="N351">
        <v>1013</v>
      </c>
      <c r="O351" t="s">
        <v>648</v>
      </c>
      <c r="P351" t="s">
        <v>648</v>
      </c>
      <c r="Q351">
        <v>1</v>
      </c>
      <c r="X351">
        <v>4.2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1</v>
      </c>
      <c r="AE351">
        <v>1</v>
      </c>
      <c r="AF351" t="s">
        <v>3</v>
      </c>
      <c r="AG351">
        <v>4.2</v>
      </c>
      <c r="AH351">
        <v>2</v>
      </c>
      <c r="AI351">
        <v>33992795</v>
      </c>
      <c r="AJ351">
        <v>351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</row>
    <row r="352" spans="1:44" x14ac:dyDescent="0.2">
      <c r="A352">
        <f>ROW(Source!A1192)</f>
        <v>1192</v>
      </c>
      <c r="B352">
        <v>33992805</v>
      </c>
      <c r="C352">
        <v>33992794</v>
      </c>
      <c r="D352">
        <v>30064095</v>
      </c>
      <c r="E352">
        <v>1</v>
      </c>
      <c r="F352">
        <v>1</v>
      </c>
      <c r="G352">
        <v>29983435</v>
      </c>
      <c r="H352">
        <v>2</v>
      </c>
      <c r="I352" t="s">
        <v>680</v>
      </c>
      <c r="J352" t="s">
        <v>681</v>
      </c>
      <c r="K352" t="s">
        <v>682</v>
      </c>
      <c r="L352">
        <v>1367</v>
      </c>
      <c r="N352">
        <v>1011</v>
      </c>
      <c r="O352" t="s">
        <v>652</v>
      </c>
      <c r="P352" t="s">
        <v>652</v>
      </c>
      <c r="Q352">
        <v>1</v>
      </c>
      <c r="X352">
        <v>0.02</v>
      </c>
      <c r="Y352">
        <v>0</v>
      </c>
      <c r="Z352">
        <v>76.81</v>
      </c>
      <c r="AA352">
        <v>14.36</v>
      </c>
      <c r="AB352">
        <v>0</v>
      </c>
      <c r="AC352">
        <v>0</v>
      </c>
      <c r="AD352">
        <v>1</v>
      </c>
      <c r="AE352">
        <v>0</v>
      </c>
      <c r="AF352" t="s">
        <v>3</v>
      </c>
      <c r="AG352">
        <v>0.02</v>
      </c>
      <c r="AH352">
        <v>2</v>
      </c>
      <c r="AI352">
        <v>33992796</v>
      </c>
      <c r="AJ352">
        <v>352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</row>
    <row r="353" spans="1:44" x14ac:dyDescent="0.2">
      <c r="A353">
        <f>ROW(Source!A1192)</f>
        <v>1192</v>
      </c>
      <c r="B353">
        <v>33992806</v>
      </c>
      <c r="C353">
        <v>33992794</v>
      </c>
      <c r="D353">
        <v>30064224</v>
      </c>
      <c r="E353">
        <v>1</v>
      </c>
      <c r="F353">
        <v>1</v>
      </c>
      <c r="G353">
        <v>29983435</v>
      </c>
      <c r="H353">
        <v>2</v>
      </c>
      <c r="I353" t="s">
        <v>855</v>
      </c>
      <c r="J353" t="s">
        <v>856</v>
      </c>
      <c r="K353" t="s">
        <v>857</v>
      </c>
      <c r="L353">
        <v>1367</v>
      </c>
      <c r="N353">
        <v>1011</v>
      </c>
      <c r="O353" t="s">
        <v>652</v>
      </c>
      <c r="P353" t="s">
        <v>652</v>
      </c>
      <c r="Q353">
        <v>1</v>
      </c>
      <c r="X353">
        <v>1.64</v>
      </c>
      <c r="Y353">
        <v>0</v>
      </c>
      <c r="Z353">
        <v>2.36</v>
      </c>
      <c r="AA353">
        <v>0.04</v>
      </c>
      <c r="AB353">
        <v>0</v>
      </c>
      <c r="AC353">
        <v>0</v>
      </c>
      <c r="AD353">
        <v>1</v>
      </c>
      <c r="AE353">
        <v>0</v>
      </c>
      <c r="AF353" t="s">
        <v>3</v>
      </c>
      <c r="AG353">
        <v>1.64</v>
      </c>
      <c r="AH353">
        <v>2</v>
      </c>
      <c r="AI353">
        <v>33992797</v>
      </c>
      <c r="AJ353">
        <v>353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</row>
    <row r="354" spans="1:44" x14ac:dyDescent="0.2">
      <c r="A354">
        <f>ROW(Source!A1192)</f>
        <v>1192</v>
      </c>
      <c r="B354">
        <v>33992807</v>
      </c>
      <c r="C354">
        <v>33992794</v>
      </c>
      <c r="D354">
        <v>30064181</v>
      </c>
      <c r="E354">
        <v>1</v>
      </c>
      <c r="F354">
        <v>1</v>
      </c>
      <c r="G354">
        <v>29983435</v>
      </c>
      <c r="H354">
        <v>2</v>
      </c>
      <c r="I354" t="s">
        <v>858</v>
      </c>
      <c r="J354" t="s">
        <v>859</v>
      </c>
      <c r="K354" t="s">
        <v>860</v>
      </c>
      <c r="L354">
        <v>1367</v>
      </c>
      <c r="N354">
        <v>1011</v>
      </c>
      <c r="O354" t="s">
        <v>652</v>
      </c>
      <c r="P354" t="s">
        <v>652</v>
      </c>
      <c r="Q354">
        <v>1</v>
      </c>
      <c r="X354">
        <v>0.24</v>
      </c>
      <c r="Y354">
        <v>0</v>
      </c>
      <c r="Z354">
        <v>0.64</v>
      </c>
      <c r="AA354">
        <v>0.04</v>
      </c>
      <c r="AB354">
        <v>0</v>
      </c>
      <c r="AC354">
        <v>0</v>
      </c>
      <c r="AD354">
        <v>1</v>
      </c>
      <c r="AE354">
        <v>0</v>
      </c>
      <c r="AF354" t="s">
        <v>3</v>
      </c>
      <c r="AG354">
        <v>0.24</v>
      </c>
      <c r="AH354">
        <v>2</v>
      </c>
      <c r="AI354">
        <v>33992798</v>
      </c>
      <c r="AJ354">
        <v>354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</row>
    <row r="355" spans="1:44" x14ac:dyDescent="0.2">
      <c r="A355">
        <f>ROW(Source!A1192)</f>
        <v>1192</v>
      </c>
      <c r="B355">
        <v>33992808</v>
      </c>
      <c r="C355">
        <v>33992794</v>
      </c>
      <c r="D355">
        <v>30040151</v>
      </c>
      <c r="E355">
        <v>1</v>
      </c>
      <c r="F355">
        <v>1</v>
      </c>
      <c r="G355">
        <v>29983435</v>
      </c>
      <c r="H355">
        <v>3</v>
      </c>
      <c r="I355" t="s">
        <v>861</v>
      </c>
      <c r="J355" t="s">
        <v>862</v>
      </c>
      <c r="K355" t="s">
        <v>863</v>
      </c>
      <c r="L355">
        <v>1346</v>
      </c>
      <c r="N355">
        <v>1009</v>
      </c>
      <c r="O355" t="s">
        <v>300</v>
      </c>
      <c r="P355" t="s">
        <v>300</v>
      </c>
      <c r="Q355">
        <v>1</v>
      </c>
      <c r="X355">
        <v>0.86670000000000003</v>
      </c>
      <c r="Y355">
        <v>221.64</v>
      </c>
      <c r="Z355">
        <v>0</v>
      </c>
      <c r="AA355">
        <v>0</v>
      </c>
      <c r="AB355">
        <v>0</v>
      </c>
      <c r="AC355">
        <v>0</v>
      </c>
      <c r="AD355">
        <v>1</v>
      </c>
      <c r="AE355">
        <v>0</v>
      </c>
      <c r="AF355" t="s">
        <v>3</v>
      </c>
      <c r="AG355">
        <v>0.86670000000000003</v>
      </c>
      <c r="AH355">
        <v>2</v>
      </c>
      <c r="AI355">
        <v>33992799</v>
      </c>
      <c r="AJ355">
        <v>356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</row>
    <row r="356" spans="1:44" x14ac:dyDescent="0.2">
      <c r="A356">
        <f>ROW(Source!A1192)</f>
        <v>1192</v>
      </c>
      <c r="B356">
        <v>33992809</v>
      </c>
      <c r="C356">
        <v>33992794</v>
      </c>
      <c r="D356">
        <v>30061883</v>
      </c>
      <c r="E356">
        <v>1</v>
      </c>
      <c r="F356">
        <v>1</v>
      </c>
      <c r="G356">
        <v>29983435</v>
      </c>
      <c r="H356">
        <v>3</v>
      </c>
      <c r="I356" t="s">
        <v>864</v>
      </c>
      <c r="J356" t="s">
        <v>865</v>
      </c>
      <c r="K356" t="s">
        <v>866</v>
      </c>
      <c r="L356">
        <v>1354</v>
      </c>
      <c r="N356">
        <v>1010</v>
      </c>
      <c r="O356" t="s">
        <v>328</v>
      </c>
      <c r="P356" t="s">
        <v>328</v>
      </c>
      <c r="Q356">
        <v>1</v>
      </c>
      <c r="X356">
        <v>1.5209999999999999</v>
      </c>
      <c r="Y356">
        <v>373.37</v>
      </c>
      <c r="Z356">
        <v>0</v>
      </c>
      <c r="AA356">
        <v>0</v>
      </c>
      <c r="AB356">
        <v>0</v>
      </c>
      <c r="AC356">
        <v>0</v>
      </c>
      <c r="AD356">
        <v>1</v>
      </c>
      <c r="AE356">
        <v>0</v>
      </c>
      <c r="AF356" t="s">
        <v>3</v>
      </c>
      <c r="AG356">
        <v>1.5209999999999999</v>
      </c>
      <c r="AH356">
        <v>2</v>
      </c>
      <c r="AI356">
        <v>33992800</v>
      </c>
      <c r="AJ356">
        <v>357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</row>
    <row r="357" spans="1:44" x14ac:dyDescent="0.2">
      <c r="A357">
        <f>ROW(Source!A1192)</f>
        <v>1192</v>
      </c>
      <c r="B357">
        <v>33992810</v>
      </c>
      <c r="C357">
        <v>33992794</v>
      </c>
      <c r="D357">
        <v>30061682</v>
      </c>
      <c r="E357">
        <v>1</v>
      </c>
      <c r="F357">
        <v>1</v>
      </c>
      <c r="G357">
        <v>29983435</v>
      </c>
      <c r="H357">
        <v>3</v>
      </c>
      <c r="I357" t="s">
        <v>867</v>
      </c>
      <c r="J357" t="s">
        <v>868</v>
      </c>
      <c r="K357" t="s">
        <v>869</v>
      </c>
      <c r="L357">
        <v>1354</v>
      </c>
      <c r="N357">
        <v>1010</v>
      </c>
      <c r="O357" t="s">
        <v>328</v>
      </c>
      <c r="P357" t="s">
        <v>328</v>
      </c>
      <c r="Q357">
        <v>1</v>
      </c>
      <c r="X357">
        <v>22.814800000000002</v>
      </c>
      <c r="Y357">
        <v>11.58</v>
      </c>
      <c r="Z357">
        <v>0</v>
      </c>
      <c r="AA357">
        <v>0</v>
      </c>
      <c r="AB357">
        <v>0</v>
      </c>
      <c r="AC357">
        <v>0</v>
      </c>
      <c r="AD357">
        <v>1</v>
      </c>
      <c r="AE357">
        <v>0</v>
      </c>
      <c r="AF357" t="s">
        <v>3</v>
      </c>
      <c r="AG357">
        <v>22.814800000000002</v>
      </c>
      <c r="AH357">
        <v>2</v>
      </c>
      <c r="AI357">
        <v>33992801</v>
      </c>
      <c r="AJ357">
        <v>358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</row>
    <row r="358" spans="1:44" x14ac:dyDescent="0.2">
      <c r="A358">
        <f>ROW(Source!A1192)</f>
        <v>1192</v>
      </c>
      <c r="B358">
        <v>33992811</v>
      </c>
      <c r="C358">
        <v>33992794</v>
      </c>
      <c r="D358">
        <v>29987740</v>
      </c>
      <c r="E358">
        <v>29983435</v>
      </c>
      <c r="F358">
        <v>1</v>
      </c>
      <c r="G358">
        <v>29983435</v>
      </c>
      <c r="H358">
        <v>3</v>
      </c>
      <c r="I358" t="s">
        <v>936</v>
      </c>
      <c r="J358" t="s">
        <v>3</v>
      </c>
      <c r="K358" t="s">
        <v>937</v>
      </c>
      <c r="L358">
        <v>1354</v>
      </c>
      <c r="N358">
        <v>1010</v>
      </c>
      <c r="O358" t="s">
        <v>328</v>
      </c>
      <c r="P358" t="s">
        <v>328</v>
      </c>
      <c r="Q358">
        <v>1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 t="s">
        <v>3</v>
      </c>
      <c r="AG358">
        <v>0</v>
      </c>
      <c r="AH358">
        <v>3</v>
      </c>
      <c r="AI358">
        <v>-1</v>
      </c>
      <c r="AJ358" t="s">
        <v>3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</row>
    <row r="359" spans="1:44" x14ac:dyDescent="0.2">
      <c r="A359">
        <f>ROW(Source!A1192)</f>
        <v>1192</v>
      </c>
      <c r="B359">
        <v>33992812</v>
      </c>
      <c r="C359">
        <v>33992794</v>
      </c>
      <c r="D359">
        <v>29983437</v>
      </c>
      <c r="E359">
        <v>29983435</v>
      </c>
      <c r="F359">
        <v>1</v>
      </c>
      <c r="G359">
        <v>29983435</v>
      </c>
      <c r="H359">
        <v>3</v>
      </c>
      <c r="I359" t="s">
        <v>738</v>
      </c>
      <c r="J359" t="s">
        <v>3</v>
      </c>
      <c r="K359" t="s">
        <v>739</v>
      </c>
      <c r="L359">
        <v>1344</v>
      </c>
      <c r="N359">
        <v>1008</v>
      </c>
      <c r="O359" t="s">
        <v>676</v>
      </c>
      <c r="P359" t="s">
        <v>676</v>
      </c>
      <c r="Q359">
        <v>1</v>
      </c>
      <c r="X359">
        <v>0.01</v>
      </c>
      <c r="Y359">
        <v>1</v>
      </c>
      <c r="Z359">
        <v>0</v>
      </c>
      <c r="AA359">
        <v>0</v>
      </c>
      <c r="AB359">
        <v>0</v>
      </c>
      <c r="AC359">
        <v>0</v>
      </c>
      <c r="AD359">
        <v>1</v>
      </c>
      <c r="AE359">
        <v>0</v>
      </c>
      <c r="AF359" t="s">
        <v>3</v>
      </c>
      <c r="AG359">
        <v>0.01</v>
      </c>
      <c r="AH359">
        <v>2</v>
      </c>
      <c r="AI359">
        <v>33992803</v>
      </c>
      <c r="AJ359">
        <v>359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</row>
    <row r="360" spans="1:44" x14ac:dyDescent="0.2">
      <c r="A360">
        <f>ROW(Source!A1194)</f>
        <v>1194</v>
      </c>
      <c r="B360">
        <v>33992823</v>
      </c>
      <c r="C360">
        <v>33992814</v>
      </c>
      <c r="D360">
        <v>29983441</v>
      </c>
      <c r="E360">
        <v>29983435</v>
      </c>
      <c r="F360">
        <v>1</v>
      </c>
      <c r="G360">
        <v>29983435</v>
      </c>
      <c r="H360">
        <v>1</v>
      </c>
      <c r="I360" t="s">
        <v>646</v>
      </c>
      <c r="J360" t="s">
        <v>3</v>
      </c>
      <c r="K360" t="s">
        <v>647</v>
      </c>
      <c r="L360">
        <v>1191</v>
      </c>
      <c r="N360">
        <v>1013</v>
      </c>
      <c r="O360" t="s">
        <v>648</v>
      </c>
      <c r="P360" t="s">
        <v>648</v>
      </c>
      <c r="Q360">
        <v>1</v>
      </c>
      <c r="X360">
        <v>5.32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1</v>
      </c>
      <c r="AE360">
        <v>1</v>
      </c>
      <c r="AF360" t="s">
        <v>3</v>
      </c>
      <c r="AG360">
        <v>5.32</v>
      </c>
      <c r="AH360">
        <v>2</v>
      </c>
      <c r="AI360">
        <v>33992815</v>
      </c>
      <c r="AJ360">
        <v>360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</row>
    <row r="361" spans="1:44" x14ac:dyDescent="0.2">
      <c r="A361">
        <f>ROW(Source!A1194)</f>
        <v>1194</v>
      </c>
      <c r="B361">
        <v>33992824</v>
      </c>
      <c r="C361">
        <v>33992814</v>
      </c>
      <c r="D361">
        <v>30064095</v>
      </c>
      <c r="E361">
        <v>1</v>
      </c>
      <c r="F361">
        <v>1</v>
      </c>
      <c r="G361">
        <v>29983435</v>
      </c>
      <c r="H361">
        <v>2</v>
      </c>
      <c r="I361" t="s">
        <v>680</v>
      </c>
      <c r="J361" t="s">
        <v>681</v>
      </c>
      <c r="K361" t="s">
        <v>682</v>
      </c>
      <c r="L361">
        <v>1367</v>
      </c>
      <c r="N361">
        <v>1011</v>
      </c>
      <c r="O361" t="s">
        <v>652</v>
      </c>
      <c r="P361" t="s">
        <v>652</v>
      </c>
      <c r="Q361">
        <v>1</v>
      </c>
      <c r="X361">
        <v>0.03</v>
      </c>
      <c r="Y361">
        <v>0</v>
      </c>
      <c r="Z361">
        <v>76.81</v>
      </c>
      <c r="AA361">
        <v>14.36</v>
      </c>
      <c r="AB361">
        <v>0</v>
      </c>
      <c r="AC361">
        <v>0</v>
      </c>
      <c r="AD361">
        <v>1</v>
      </c>
      <c r="AE361">
        <v>0</v>
      </c>
      <c r="AF361" t="s">
        <v>3</v>
      </c>
      <c r="AG361">
        <v>0.03</v>
      </c>
      <c r="AH361">
        <v>2</v>
      </c>
      <c r="AI361">
        <v>33992816</v>
      </c>
      <c r="AJ361">
        <v>361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</row>
    <row r="362" spans="1:44" x14ac:dyDescent="0.2">
      <c r="A362">
        <f>ROW(Source!A1194)</f>
        <v>1194</v>
      </c>
      <c r="B362">
        <v>33992825</v>
      </c>
      <c r="C362">
        <v>33992814</v>
      </c>
      <c r="D362">
        <v>30064224</v>
      </c>
      <c r="E362">
        <v>1</v>
      </c>
      <c r="F362">
        <v>1</v>
      </c>
      <c r="G362">
        <v>29983435</v>
      </c>
      <c r="H362">
        <v>2</v>
      </c>
      <c r="I362" t="s">
        <v>855</v>
      </c>
      <c r="J362" t="s">
        <v>856</v>
      </c>
      <c r="K362" t="s">
        <v>857</v>
      </c>
      <c r="L362">
        <v>1367</v>
      </c>
      <c r="N362">
        <v>1011</v>
      </c>
      <c r="O362" t="s">
        <v>652</v>
      </c>
      <c r="P362" t="s">
        <v>652</v>
      </c>
      <c r="Q362">
        <v>1</v>
      </c>
      <c r="X362">
        <v>1.76</v>
      </c>
      <c r="Y362">
        <v>0</v>
      </c>
      <c r="Z362">
        <v>2.36</v>
      </c>
      <c r="AA362">
        <v>0.04</v>
      </c>
      <c r="AB362">
        <v>0</v>
      </c>
      <c r="AC362">
        <v>0</v>
      </c>
      <c r="AD362">
        <v>1</v>
      </c>
      <c r="AE362">
        <v>0</v>
      </c>
      <c r="AF362" t="s">
        <v>3</v>
      </c>
      <c r="AG362">
        <v>1.76</v>
      </c>
      <c r="AH362">
        <v>2</v>
      </c>
      <c r="AI362">
        <v>33992817</v>
      </c>
      <c r="AJ362">
        <v>362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</row>
    <row r="363" spans="1:44" x14ac:dyDescent="0.2">
      <c r="A363">
        <f>ROW(Source!A1194)</f>
        <v>1194</v>
      </c>
      <c r="B363">
        <v>33992826</v>
      </c>
      <c r="C363">
        <v>33992814</v>
      </c>
      <c r="D363">
        <v>30064181</v>
      </c>
      <c r="E363">
        <v>1</v>
      </c>
      <c r="F363">
        <v>1</v>
      </c>
      <c r="G363">
        <v>29983435</v>
      </c>
      <c r="H363">
        <v>2</v>
      </c>
      <c r="I363" t="s">
        <v>858</v>
      </c>
      <c r="J363" t="s">
        <v>859</v>
      </c>
      <c r="K363" t="s">
        <v>860</v>
      </c>
      <c r="L363">
        <v>1367</v>
      </c>
      <c r="N363">
        <v>1011</v>
      </c>
      <c r="O363" t="s">
        <v>652</v>
      </c>
      <c r="P363" t="s">
        <v>652</v>
      </c>
      <c r="Q363">
        <v>1</v>
      </c>
      <c r="X363">
        <v>0.32</v>
      </c>
      <c r="Y363">
        <v>0</v>
      </c>
      <c r="Z363">
        <v>0.64</v>
      </c>
      <c r="AA363">
        <v>0.04</v>
      </c>
      <c r="AB363">
        <v>0</v>
      </c>
      <c r="AC363">
        <v>0</v>
      </c>
      <c r="AD363">
        <v>1</v>
      </c>
      <c r="AE363">
        <v>0</v>
      </c>
      <c r="AF363" t="s">
        <v>3</v>
      </c>
      <c r="AG363">
        <v>0.32</v>
      </c>
      <c r="AH363">
        <v>2</v>
      </c>
      <c r="AI363">
        <v>33992818</v>
      </c>
      <c r="AJ363">
        <v>363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</row>
    <row r="364" spans="1:44" x14ac:dyDescent="0.2">
      <c r="A364">
        <f>ROW(Source!A1194)</f>
        <v>1194</v>
      </c>
      <c r="B364">
        <v>33992827</v>
      </c>
      <c r="C364">
        <v>33992814</v>
      </c>
      <c r="D364">
        <v>30040151</v>
      </c>
      <c r="E364">
        <v>1</v>
      </c>
      <c r="F364">
        <v>1</v>
      </c>
      <c r="G364">
        <v>29983435</v>
      </c>
      <c r="H364">
        <v>3</v>
      </c>
      <c r="I364" t="s">
        <v>861</v>
      </c>
      <c r="J364" t="s">
        <v>862</v>
      </c>
      <c r="K364" t="s">
        <v>863</v>
      </c>
      <c r="L364">
        <v>1346</v>
      </c>
      <c r="N364">
        <v>1009</v>
      </c>
      <c r="O364" t="s">
        <v>300</v>
      </c>
      <c r="P364" t="s">
        <v>300</v>
      </c>
      <c r="Q364">
        <v>1</v>
      </c>
      <c r="X364">
        <v>1.1556</v>
      </c>
      <c r="Y364">
        <v>221.64</v>
      </c>
      <c r="Z364">
        <v>0</v>
      </c>
      <c r="AA364">
        <v>0</v>
      </c>
      <c r="AB364">
        <v>0</v>
      </c>
      <c r="AC364">
        <v>0</v>
      </c>
      <c r="AD364">
        <v>1</v>
      </c>
      <c r="AE364">
        <v>0</v>
      </c>
      <c r="AF364" t="s">
        <v>3</v>
      </c>
      <c r="AG364">
        <v>1.1556</v>
      </c>
      <c r="AH364">
        <v>2</v>
      </c>
      <c r="AI364">
        <v>33992819</v>
      </c>
      <c r="AJ364">
        <v>365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</row>
    <row r="365" spans="1:44" x14ac:dyDescent="0.2">
      <c r="A365">
        <f>ROW(Source!A1194)</f>
        <v>1194</v>
      </c>
      <c r="B365">
        <v>33992828</v>
      </c>
      <c r="C365">
        <v>33992814</v>
      </c>
      <c r="D365">
        <v>30061883</v>
      </c>
      <c r="E365">
        <v>1</v>
      </c>
      <c r="F365">
        <v>1</v>
      </c>
      <c r="G365">
        <v>29983435</v>
      </c>
      <c r="H365">
        <v>3</v>
      </c>
      <c r="I365" t="s">
        <v>864</v>
      </c>
      <c r="J365" t="s">
        <v>865</v>
      </c>
      <c r="K365" t="s">
        <v>866</v>
      </c>
      <c r="L365">
        <v>1354</v>
      </c>
      <c r="N365">
        <v>1010</v>
      </c>
      <c r="O365" t="s">
        <v>328</v>
      </c>
      <c r="P365" t="s">
        <v>328</v>
      </c>
      <c r="Q365">
        <v>1</v>
      </c>
      <c r="X365">
        <v>1.6395</v>
      </c>
      <c r="Y365">
        <v>373.37</v>
      </c>
      <c r="Z365">
        <v>0</v>
      </c>
      <c r="AA365">
        <v>0</v>
      </c>
      <c r="AB365">
        <v>0</v>
      </c>
      <c r="AC365">
        <v>0</v>
      </c>
      <c r="AD365">
        <v>1</v>
      </c>
      <c r="AE365">
        <v>0</v>
      </c>
      <c r="AF365" t="s">
        <v>3</v>
      </c>
      <c r="AG365">
        <v>1.6395</v>
      </c>
      <c r="AH365">
        <v>2</v>
      </c>
      <c r="AI365">
        <v>33992820</v>
      </c>
      <c r="AJ365">
        <v>366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</row>
    <row r="366" spans="1:44" x14ac:dyDescent="0.2">
      <c r="A366">
        <f>ROW(Source!A1194)</f>
        <v>1194</v>
      </c>
      <c r="B366">
        <v>33992829</v>
      </c>
      <c r="C366">
        <v>33992814</v>
      </c>
      <c r="D366">
        <v>30061682</v>
      </c>
      <c r="E366">
        <v>1</v>
      </c>
      <c r="F366">
        <v>1</v>
      </c>
      <c r="G366">
        <v>29983435</v>
      </c>
      <c r="H366">
        <v>3</v>
      </c>
      <c r="I366" t="s">
        <v>867</v>
      </c>
      <c r="J366" t="s">
        <v>868</v>
      </c>
      <c r="K366" t="s">
        <v>869</v>
      </c>
      <c r="L366">
        <v>1354</v>
      </c>
      <c r="N366">
        <v>1010</v>
      </c>
      <c r="O366" t="s">
        <v>328</v>
      </c>
      <c r="P366" t="s">
        <v>328</v>
      </c>
      <c r="Q366">
        <v>1</v>
      </c>
      <c r="X366">
        <v>24.592600000000001</v>
      </c>
      <c r="Y366">
        <v>11.58</v>
      </c>
      <c r="Z366">
        <v>0</v>
      </c>
      <c r="AA366">
        <v>0</v>
      </c>
      <c r="AB366">
        <v>0</v>
      </c>
      <c r="AC366">
        <v>0</v>
      </c>
      <c r="AD366">
        <v>1</v>
      </c>
      <c r="AE366">
        <v>0</v>
      </c>
      <c r="AF366" t="s">
        <v>3</v>
      </c>
      <c r="AG366">
        <v>24.592600000000001</v>
      </c>
      <c r="AH366">
        <v>2</v>
      </c>
      <c r="AI366">
        <v>33992821</v>
      </c>
      <c r="AJ366">
        <v>367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</row>
    <row r="367" spans="1:44" x14ac:dyDescent="0.2">
      <c r="A367">
        <f>ROW(Source!A1194)</f>
        <v>1194</v>
      </c>
      <c r="B367">
        <v>33992830</v>
      </c>
      <c r="C367">
        <v>33992814</v>
      </c>
      <c r="D367">
        <v>29987740</v>
      </c>
      <c r="E367">
        <v>29983435</v>
      </c>
      <c r="F367">
        <v>1</v>
      </c>
      <c r="G367">
        <v>29983435</v>
      </c>
      <c r="H367">
        <v>3</v>
      </c>
      <c r="I367" t="s">
        <v>936</v>
      </c>
      <c r="J367" t="s">
        <v>3</v>
      </c>
      <c r="K367" t="s">
        <v>938</v>
      </c>
      <c r="L367">
        <v>1354</v>
      </c>
      <c r="N367">
        <v>1010</v>
      </c>
      <c r="O367" t="s">
        <v>328</v>
      </c>
      <c r="P367" t="s">
        <v>328</v>
      </c>
      <c r="Q367">
        <v>1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 t="s">
        <v>3</v>
      </c>
      <c r="AG367">
        <v>0</v>
      </c>
      <c r="AH367">
        <v>3</v>
      </c>
      <c r="AI367">
        <v>-1</v>
      </c>
      <c r="AJ367" t="s">
        <v>3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</row>
    <row r="368" spans="1:44" x14ac:dyDescent="0.2">
      <c r="A368">
        <f>ROW(Source!A1300)</f>
        <v>1300</v>
      </c>
      <c r="B368">
        <v>33992844</v>
      </c>
      <c r="C368">
        <v>33992832</v>
      </c>
      <c r="D368">
        <v>29983441</v>
      </c>
      <c r="E368">
        <v>29983435</v>
      </c>
      <c r="F368">
        <v>1</v>
      </c>
      <c r="G368">
        <v>29983435</v>
      </c>
      <c r="H368">
        <v>1</v>
      </c>
      <c r="I368" t="s">
        <v>646</v>
      </c>
      <c r="J368" t="s">
        <v>3</v>
      </c>
      <c r="K368" t="s">
        <v>647</v>
      </c>
      <c r="L368">
        <v>1191</v>
      </c>
      <c r="N368">
        <v>1013</v>
      </c>
      <c r="O368" t="s">
        <v>648</v>
      </c>
      <c r="P368" t="s">
        <v>648</v>
      </c>
      <c r="Q368">
        <v>1</v>
      </c>
      <c r="X368">
        <v>16.03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1</v>
      </c>
      <c r="AE368">
        <v>1</v>
      </c>
      <c r="AF368" t="s">
        <v>3</v>
      </c>
      <c r="AG368">
        <v>16.03</v>
      </c>
      <c r="AH368">
        <v>2</v>
      </c>
      <c r="AI368">
        <v>33992833</v>
      </c>
      <c r="AJ368">
        <v>368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</row>
    <row r="369" spans="1:44" x14ac:dyDescent="0.2">
      <c r="A369">
        <f>ROW(Source!A1300)</f>
        <v>1300</v>
      </c>
      <c r="B369">
        <v>33992845</v>
      </c>
      <c r="C369">
        <v>33992832</v>
      </c>
      <c r="D369">
        <v>30064059</v>
      </c>
      <c r="E369">
        <v>1</v>
      </c>
      <c r="F369">
        <v>1</v>
      </c>
      <c r="G369">
        <v>29983435</v>
      </c>
      <c r="H369">
        <v>2</v>
      </c>
      <c r="I369" t="s">
        <v>870</v>
      </c>
      <c r="J369" t="s">
        <v>871</v>
      </c>
      <c r="K369" t="s">
        <v>872</v>
      </c>
      <c r="L369">
        <v>1367</v>
      </c>
      <c r="N369">
        <v>1011</v>
      </c>
      <c r="O369" t="s">
        <v>652</v>
      </c>
      <c r="P369" t="s">
        <v>652</v>
      </c>
      <c r="Q369">
        <v>1</v>
      </c>
      <c r="X369">
        <v>2.11</v>
      </c>
      <c r="Y369">
        <v>0</v>
      </c>
      <c r="Z369">
        <v>44</v>
      </c>
      <c r="AA369">
        <v>15.44</v>
      </c>
      <c r="AB369">
        <v>0</v>
      </c>
      <c r="AC369">
        <v>0</v>
      </c>
      <c r="AD369">
        <v>1</v>
      </c>
      <c r="AE369">
        <v>0</v>
      </c>
      <c r="AF369" t="s">
        <v>3</v>
      </c>
      <c r="AG369">
        <v>2.11</v>
      </c>
      <c r="AH369">
        <v>2</v>
      </c>
      <c r="AI369">
        <v>33992834</v>
      </c>
      <c r="AJ369">
        <v>369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</row>
    <row r="370" spans="1:44" x14ac:dyDescent="0.2">
      <c r="A370">
        <f>ROW(Source!A1300)</f>
        <v>1300</v>
      </c>
      <c r="B370">
        <v>33992846</v>
      </c>
      <c r="C370">
        <v>33992832</v>
      </c>
      <c r="D370">
        <v>30064095</v>
      </c>
      <c r="E370">
        <v>1</v>
      </c>
      <c r="F370">
        <v>1</v>
      </c>
      <c r="G370">
        <v>29983435</v>
      </c>
      <c r="H370">
        <v>2</v>
      </c>
      <c r="I370" t="s">
        <v>680</v>
      </c>
      <c r="J370" t="s">
        <v>681</v>
      </c>
      <c r="K370" t="s">
        <v>682</v>
      </c>
      <c r="L370">
        <v>1367</v>
      </c>
      <c r="N370">
        <v>1011</v>
      </c>
      <c r="O370" t="s">
        <v>652</v>
      </c>
      <c r="P370" t="s">
        <v>652</v>
      </c>
      <c r="Q370">
        <v>1</v>
      </c>
      <c r="X370">
        <v>0.1</v>
      </c>
      <c r="Y370">
        <v>0</v>
      </c>
      <c r="Z370">
        <v>76.81</v>
      </c>
      <c r="AA370">
        <v>14.36</v>
      </c>
      <c r="AB370">
        <v>0</v>
      </c>
      <c r="AC370">
        <v>0</v>
      </c>
      <c r="AD370">
        <v>1</v>
      </c>
      <c r="AE370">
        <v>0</v>
      </c>
      <c r="AF370" t="s">
        <v>3</v>
      </c>
      <c r="AG370">
        <v>0.1</v>
      </c>
      <c r="AH370">
        <v>2</v>
      </c>
      <c r="AI370">
        <v>33992835</v>
      </c>
      <c r="AJ370">
        <v>370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</row>
    <row r="371" spans="1:44" x14ac:dyDescent="0.2">
      <c r="A371">
        <f>ROW(Source!A1300)</f>
        <v>1300</v>
      </c>
      <c r="B371">
        <v>33992847</v>
      </c>
      <c r="C371">
        <v>33992832</v>
      </c>
      <c r="D371">
        <v>30064135</v>
      </c>
      <c r="E371">
        <v>1</v>
      </c>
      <c r="F371">
        <v>1</v>
      </c>
      <c r="G371">
        <v>29983435</v>
      </c>
      <c r="H371">
        <v>2</v>
      </c>
      <c r="I371" t="s">
        <v>873</v>
      </c>
      <c r="J371" t="s">
        <v>874</v>
      </c>
      <c r="K371" t="s">
        <v>875</v>
      </c>
      <c r="L371">
        <v>1367</v>
      </c>
      <c r="N371">
        <v>1011</v>
      </c>
      <c r="O371" t="s">
        <v>652</v>
      </c>
      <c r="P371" t="s">
        <v>652</v>
      </c>
      <c r="Q371">
        <v>1</v>
      </c>
      <c r="X371">
        <v>0.94</v>
      </c>
      <c r="Y371">
        <v>0</v>
      </c>
      <c r="Z371">
        <v>2.36</v>
      </c>
      <c r="AA371">
        <v>0.1</v>
      </c>
      <c r="AB371">
        <v>0</v>
      </c>
      <c r="AC371">
        <v>0</v>
      </c>
      <c r="AD371">
        <v>1</v>
      </c>
      <c r="AE371">
        <v>0</v>
      </c>
      <c r="AF371" t="s">
        <v>3</v>
      </c>
      <c r="AG371">
        <v>0.94</v>
      </c>
      <c r="AH371">
        <v>2</v>
      </c>
      <c r="AI371">
        <v>33992836</v>
      </c>
      <c r="AJ371">
        <v>371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</row>
    <row r="372" spans="1:44" x14ac:dyDescent="0.2">
      <c r="A372">
        <f>ROW(Source!A1300)</f>
        <v>1300</v>
      </c>
      <c r="B372">
        <v>33992848</v>
      </c>
      <c r="C372">
        <v>33992832</v>
      </c>
      <c r="D372">
        <v>30063429</v>
      </c>
      <c r="E372">
        <v>1</v>
      </c>
      <c r="F372">
        <v>1</v>
      </c>
      <c r="G372">
        <v>29983435</v>
      </c>
      <c r="H372">
        <v>2</v>
      </c>
      <c r="I372" t="s">
        <v>876</v>
      </c>
      <c r="J372" t="s">
        <v>877</v>
      </c>
      <c r="K372" t="s">
        <v>878</v>
      </c>
      <c r="L372">
        <v>1367</v>
      </c>
      <c r="N372">
        <v>1011</v>
      </c>
      <c r="O372" t="s">
        <v>652</v>
      </c>
      <c r="P372" t="s">
        <v>652</v>
      </c>
      <c r="Q372">
        <v>1</v>
      </c>
      <c r="X372">
        <v>0.01</v>
      </c>
      <c r="Y372">
        <v>0</v>
      </c>
      <c r="Z372">
        <v>68.87</v>
      </c>
      <c r="AA372">
        <v>18.34</v>
      </c>
      <c r="AB372">
        <v>0</v>
      </c>
      <c r="AC372">
        <v>0</v>
      </c>
      <c r="AD372">
        <v>1</v>
      </c>
      <c r="AE372">
        <v>0</v>
      </c>
      <c r="AF372" t="s">
        <v>3</v>
      </c>
      <c r="AG372">
        <v>0.01</v>
      </c>
      <c r="AH372">
        <v>2</v>
      </c>
      <c r="AI372">
        <v>33992837</v>
      </c>
      <c r="AJ372">
        <v>372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</row>
    <row r="373" spans="1:44" x14ac:dyDescent="0.2">
      <c r="A373">
        <f>ROW(Source!A1300)</f>
        <v>1300</v>
      </c>
      <c r="B373">
        <v>33992849</v>
      </c>
      <c r="C373">
        <v>33992832</v>
      </c>
      <c r="D373">
        <v>30063638</v>
      </c>
      <c r="E373">
        <v>1</v>
      </c>
      <c r="F373">
        <v>1</v>
      </c>
      <c r="G373">
        <v>29983435</v>
      </c>
      <c r="H373">
        <v>2</v>
      </c>
      <c r="I373" t="s">
        <v>879</v>
      </c>
      <c r="J373" t="s">
        <v>880</v>
      </c>
      <c r="K373" t="s">
        <v>881</v>
      </c>
      <c r="L373">
        <v>1367</v>
      </c>
      <c r="N373">
        <v>1011</v>
      </c>
      <c r="O373" t="s">
        <v>652</v>
      </c>
      <c r="P373" t="s">
        <v>652</v>
      </c>
      <c r="Q373">
        <v>1</v>
      </c>
      <c r="X373">
        <v>2.11</v>
      </c>
      <c r="Y373">
        <v>0</v>
      </c>
      <c r="Z373">
        <v>36.57</v>
      </c>
      <c r="AA373">
        <v>16.77</v>
      </c>
      <c r="AB373">
        <v>0</v>
      </c>
      <c r="AC373">
        <v>0</v>
      </c>
      <c r="AD373">
        <v>1</v>
      </c>
      <c r="AE373">
        <v>0</v>
      </c>
      <c r="AF373" t="s">
        <v>3</v>
      </c>
      <c r="AG373">
        <v>2.11</v>
      </c>
      <c r="AH373">
        <v>2</v>
      </c>
      <c r="AI373">
        <v>33992838</v>
      </c>
      <c r="AJ373">
        <v>373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</row>
    <row r="374" spans="1:44" x14ac:dyDescent="0.2">
      <c r="A374">
        <f>ROW(Source!A1300)</f>
        <v>1300</v>
      </c>
      <c r="B374">
        <v>33992850</v>
      </c>
      <c r="C374">
        <v>33992832</v>
      </c>
      <c r="D374">
        <v>30041736</v>
      </c>
      <c r="E374">
        <v>1</v>
      </c>
      <c r="F374">
        <v>1</v>
      </c>
      <c r="G374">
        <v>29983435</v>
      </c>
      <c r="H374">
        <v>3</v>
      </c>
      <c r="I374" t="s">
        <v>882</v>
      </c>
      <c r="J374" t="s">
        <v>883</v>
      </c>
      <c r="K374" t="s">
        <v>884</v>
      </c>
      <c r="L374">
        <v>1348</v>
      </c>
      <c r="N374">
        <v>1009</v>
      </c>
      <c r="O374" t="s">
        <v>51</v>
      </c>
      <c r="P374" t="s">
        <v>51</v>
      </c>
      <c r="Q374">
        <v>1000</v>
      </c>
      <c r="X374">
        <v>3.15E-3</v>
      </c>
      <c r="Y374">
        <v>6240.56</v>
      </c>
      <c r="Z374">
        <v>0</v>
      </c>
      <c r="AA374">
        <v>0</v>
      </c>
      <c r="AB374">
        <v>0</v>
      </c>
      <c r="AC374">
        <v>0</v>
      </c>
      <c r="AD374">
        <v>1</v>
      </c>
      <c r="AE374">
        <v>0</v>
      </c>
      <c r="AF374" t="s">
        <v>3</v>
      </c>
      <c r="AG374">
        <v>3.15E-3</v>
      </c>
      <c r="AH374">
        <v>2</v>
      </c>
      <c r="AI374">
        <v>33992839</v>
      </c>
      <c r="AJ374">
        <v>374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</row>
    <row r="375" spans="1:44" x14ac:dyDescent="0.2">
      <c r="A375">
        <f>ROW(Source!A1300)</f>
        <v>1300</v>
      </c>
      <c r="B375">
        <v>33992851</v>
      </c>
      <c r="C375">
        <v>33992832</v>
      </c>
      <c r="D375">
        <v>30039587</v>
      </c>
      <c r="E375">
        <v>1</v>
      </c>
      <c r="F375">
        <v>1</v>
      </c>
      <c r="G375">
        <v>29983435</v>
      </c>
      <c r="H375">
        <v>3</v>
      </c>
      <c r="I375" t="s">
        <v>885</v>
      </c>
      <c r="J375" t="s">
        <v>886</v>
      </c>
      <c r="K375" t="s">
        <v>887</v>
      </c>
      <c r="L375">
        <v>1346</v>
      </c>
      <c r="N375">
        <v>1009</v>
      </c>
      <c r="O375" t="s">
        <v>300</v>
      </c>
      <c r="P375" t="s">
        <v>300</v>
      </c>
      <c r="Q375">
        <v>1</v>
      </c>
      <c r="X375">
        <v>241.5</v>
      </c>
      <c r="Y375">
        <v>69.17</v>
      </c>
      <c r="Z375">
        <v>0</v>
      </c>
      <c r="AA375">
        <v>0</v>
      </c>
      <c r="AB375">
        <v>0</v>
      </c>
      <c r="AC375">
        <v>0</v>
      </c>
      <c r="AD375">
        <v>1</v>
      </c>
      <c r="AE375">
        <v>0</v>
      </c>
      <c r="AF375" t="s">
        <v>3</v>
      </c>
      <c r="AG375">
        <v>241.5</v>
      </c>
      <c r="AH375">
        <v>2</v>
      </c>
      <c r="AI375">
        <v>33992840</v>
      </c>
      <c r="AJ375">
        <v>375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</row>
    <row r="376" spans="1:44" x14ac:dyDescent="0.2">
      <c r="A376">
        <f>ROW(Source!A1300)</f>
        <v>1300</v>
      </c>
      <c r="B376">
        <v>33992852</v>
      </c>
      <c r="C376">
        <v>33992832</v>
      </c>
      <c r="D376">
        <v>30041923</v>
      </c>
      <c r="E376">
        <v>1</v>
      </c>
      <c r="F376">
        <v>1</v>
      </c>
      <c r="G376">
        <v>29983435</v>
      </c>
      <c r="H376">
        <v>3</v>
      </c>
      <c r="I376" t="s">
        <v>888</v>
      </c>
      <c r="J376" t="s">
        <v>889</v>
      </c>
      <c r="K376" t="s">
        <v>890</v>
      </c>
      <c r="L376">
        <v>1327</v>
      </c>
      <c r="N376">
        <v>1005</v>
      </c>
      <c r="O376" t="s">
        <v>411</v>
      </c>
      <c r="P376" t="s">
        <v>411</v>
      </c>
      <c r="Q376">
        <v>1</v>
      </c>
      <c r="X376">
        <v>5.6</v>
      </c>
      <c r="Y376">
        <v>3.66</v>
      </c>
      <c r="Z376">
        <v>0</v>
      </c>
      <c r="AA376">
        <v>0</v>
      </c>
      <c r="AB376">
        <v>0</v>
      </c>
      <c r="AC376">
        <v>0</v>
      </c>
      <c r="AD376">
        <v>1</v>
      </c>
      <c r="AE376">
        <v>0</v>
      </c>
      <c r="AF376" t="s">
        <v>3</v>
      </c>
      <c r="AG376">
        <v>5.6</v>
      </c>
      <c r="AH376">
        <v>2</v>
      </c>
      <c r="AI376">
        <v>33992841</v>
      </c>
      <c r="AJ376">
        <v>377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</row>
    <row r="377" spans="1:44" x14ac:dyDescent="0.2">
      <c r="A377">
        <f>ROW(Source!A1300)</f>
        <v>1300</v>
      </c>
      <c r="B377">
        <v>33992853</v>
      </c>
      <c r="C377">
        <v>33992832</v>
      </c>
      <c r="D377">
        <v>29987948</v>
      </c>
      <c r="E377">
        <v>29983435</v>
      </c>
      <c r="F377">
        <v>1</v>
      </c>
      <c r="G377">
        <v>29983435</v>
      </c>
      <c r="H377">
        <v>3</v>
      </c>
      <c r="I377" t="s">
        <v>939</v>
      </c>
      <c r="J377" t="s">
        <v>3</v>
      </c>
      <c r="K377" t="s">
        <v>940</v>
      </c>
      <c r="L377">
        <v>1346</v>
      </c>
      <c r="N377">
        <v>1009</v>
      </c>
      <c r="O377" t="s">
        <v>300</v>
      </c>
      <c r="P377" t="s">
        <v>300</v>
      </c>
      <c r="Q377">
        <v>1</v>
      </c>
      <c r="X377">
        <v>52.5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 t="s">
        <v>3</v>
      </c>
      <c r="AG377">
        <v>52.5</v>
      </c>
      <c r="AH377">
        <v>3</v>
      </c>
      <c r="AI377">
        <v>-1</v>
      </c>
      <c r="AJ377" t="s">
        <v>3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</row>
    <row r="378" spans="1:44" x14ac:dyDescent="0.2">
      <c r="A378">
        <f>ROW(Source!A1300)</f>
        <v>1300</v>
      </c>
      <c r="B378">
        <v>33992854</v>
      </c>
      <c r="C378">
        <v>33992832</v>
      </c>
      <c r="D378">
        <v>29984262</v>
      </c>
      <c r="E378">
        <v>29983435</v>
      </c>
      <c r="F378">
        <v>1</v>
      </c>
      <c r="G378">
        <v>29983435</v>
      </c>
      <c r="H378">
        <v>3</v>
      </c>
      <c r="I378" t="s">
        <v>941</v>
      </c>
      <c r="J378" t="s">
        <v>3</v>
      </c>
      <c r="K378" t="s">
        <v>942</v>
      </c>
      <c r="L378">
        <v>1346</v>
      </c>
      <c r="N378">
        <v>1009</v>
      </c>
      <c r="O378" t="s">
        <v>300</v>
      </c>
      <c r="P378" t="s">
        <v>300</v>
      </c>
      <c r="Q378">
        <v>1</v>
      </c>
      <c r="X378">
        <v>735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 t="s">
        <v>3</v>
      </c>
      <c r="AG378">
        <v>735</v>
      </c>
      <c r="AH378">
        <v>3</v>
      </c>
      <c r="AI378">
        <v>-1</v>
      </c>
      <c r="AJ378" t="s">
        <v>3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</row>
    <row r="379" spans="1:44" x14ac:dyDescent="0.2">
      <c r="A379">
        <f>ROW(Source!A1300)</f>
        <v>1300</v>
      </c>
      <c r="B379">
        <v>33992855</v>
      </c>
      <c r="C379">
        <v>33992832</v>
      </c>
      <c r="D379">
        <v>29983437</v>
      </c>
      <c r="E379">
        <v>29983435</v>
      </c>
      <c r="F379">
        <v>1</v>
      </c>
      <c r="G379">
        <v>29983435</v>
      </c>
      <c r="H379">
        <v>3</v>
      </c>
      <c r="I379" t="s">
        <v>738</v>
      </c>
      <c r="J379" t="s">
        <v>3</v>
      </c>
      <c r="K379" t="s">
        <v>739</v>
      </c>
      <c r="L379">
        <v>1344</v>
      </c>
      <c r="N379">
        <v>1008</v>
      </c>
      <c r="O379" t="s">
        <v>676</v>
      </c>
      <c r="P379" t="s">
        <v>676</v>
      </c>
      <c r="Q379">
        <v>1</v>
      </c>
      <c r="X379">
        <v>0.01</v>
      </c>
      <c r="Y379">
        <v>1</v>
      </c>
      <c r="Z379">
        <v>0</v>
      </c>
      <c r="AA379">
        <v>0</v>
      </c>
      <c r="AB379">
        <v>0</v>
      </c>
      <c r="AC379">
        <v>0</v>
      </c>
      <c r="AD379">
        <v>1</v>
      </c>
      <c r="AE379">
        <v>0</v>
      </c>
      <c r="AF379" t="s">
        <v>3</v>
      </c>
      <c r="AG379">
        <v>0.01</v>
      </c>
      <c r="AH379">
        <v>2</v>
      </c>
      <c r="AI379">
        <v>33992842</v>
      </c>
      <c r="AJ379">
        <v>378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</row>
    <row r="380" spans="1:44" x14ac:dyDescent="0.2">
      <c r="A380">
        <f>ROW(Source!A1302)</f>
        <v>1302</v>
      </c>
      <c r="B380">
        <v>33992865</v>
      </c>
      <c r="C380">
        <v>33992857</v>
      </c>
      <c r="D380">
        <v>29983441</v>
      </c>
      <c r="E380">
        <v>29983435</v>
      </c>
      <c r="F380">
        <v>1</v>
      </c>
      <c r="G380">
        <v>29983435</v>
      </c>
      <c r="H380">
        <v>1</v>
      </c>
      <c r="I380" t="s">
        <v>646</v>
      </c>
      <c r="J380" t="s">
        <v>3</v>
      </c>
      <c r="K380" t="s">
        <v>647</v>
      </c>
      <c r="L380">
        <v>1191</v>
      </c>
      <c r="N380">
        <v>1013</v>
      </c>
      <c r="O380" t="s">
        <v>648</v>
      </c>
      <c r="P380" t="s">
        <v>648</v>
      </c>
      <c r="Q380">
        <v>1</v>
      </c>
      <c r="X380">
        <v>2.31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1</v>
      </c>
      <c r="AE380">
        <v>1</v>
      </c>
      <c r="AF380" t="s">
        <v>618</v>
      </c>
      <c r="AG380">
        <v>23.1</v>
      </c>
      <c r="AH380">
        <v>2</v>
      </c>
      <c r="AI380">
        <v>33992858</v>
      </c>
      <c r="AJ380">
        <v>379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</row>
    <row r="381" spans="1:44" x14ac:dyDescent="0.2">
      <c r="A381">
        <f>ROW(Source!A1302)</f>
        <v>1302</v>
      </c>
      <c r="B381">
        <v>33992866</v>
      </c>
      <c r="C381">
        <v>33992857</v>
      </c>
      <c r="D381">
        <v>30064059</v>
      </c>
      <c r="E381">
        <v>1</v>
      </c>
      <c r="F381">
        <v>1</v>
      </c>
      <c r="G381">
        <v>29983435</v>
      </c>
      <c r="H381">
        <v>2</v>
      </c>
      <c r="I381" t="s">
        <v>870</v>
      </c>
      <c r="J381" t="s">
        <v>871</v>
      </c>
      <c r="K381" t="s">
        <v>872</v>
      </c>
      <c r="L381">
        <v>1367</v>
      </c>
      <c r="N381">
        <v>1011</v>
      </c>
      <c r="O381" t="s">
        <v>652</v>
      </c>
      <c r="P381" t="s">
        <v>652</v>
      </c>
      <c r="Q381">
        <v>1</v>
      </c>
      <c r="X381">
        <v>0.4</v>
      </c>
      <c r="Y381">
        <v>0</v>
      </c>
      <c r="Z381">
        <v>44</v>
      </c>
      <c r="AA381">
        <v>15.44</v>
      </c>
      <c r="AB381">
        <v>0</v>
      </c>
      <c r="AC381">
        <v>0</v>
      </c>
      <c r="AD381">
        <v>1</v>
      </c>
      <c r="AE381">
        <v>0</v>
      </c>
      <c r="AF381" t="s">
        <v>618</v>
      </c>
      <c r="AG381">
        <v>4</v>
      </c>
      <c r="AH381">
        <v>2</v>
      </c>
      <c r="AI381">
        <v>33992859</v>
      </c>
      <c r="AJ381">
        <v>380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</row>
    <row r="382" spans="1:44" x14ac:dyDescent="0.2">
      <c r="A382">
        <f>ROW(Source!A1302)</f>
        <v>1302</v>
      </c>
      <c r="B382">
        <v>33992867</v>
      </c>
      <c r="C382">
        <v>33992857</v>
      </c>
      <c r="D382">
        <v>30064095</v>
      </c>
      <c r="E382">
        <v>1</v>
      </c>
      <c r="F382">
        <v>1</v>
      </c>
      <c r="G382">
        <v>29983435</v>
      </c>
      <c r="H382">
        <v>2</v>
      </c>
      <c r="I382" t="s">
        <v>680</v>
      </c>
      <c r="J382" t="s">
        <v>681</v>
      </c>
      <c r="K382" t="s">
        <v>682</v>
      </c>
      <c r="L382">
        <v>1367</v>
      </c>
      <c r="N382">
        <v>1011</v>
      </c>
      <c r="O382" t="s">
        <v>652</v>
      </c>
      <c r="P382" t="s">
        <v>652</v>
      </c>
      <c r="Q382">
        <v>1</v>
      </c>
      <c r="X382">
        <v>0.02</v>
      </c>
      <c r="Y382">
        <v>0</v>
      </c>
      <c r="Z382">
        <v>76.81</v>
      </c>
      <c r="AA382">
        <v>14.36</v>
      </c>
      <c r="AB382">
        <v>0</v>
      </c>
      <c r="AC382">
        <v>0</v>
      </c>
      <c r="AD382">
        <v>1</v>
      </c>
      <c r="AE382">
        <v>0</v>
      </c>
      <c r="AF382" t="s">
        <v>618</v>
      </c>
      <c r="AG382">
        <v>0.2</v>
      </c>
      <c r="AH382">
        <v>2</v>
      </c>
      <c r="AI382">
        <v>33992860</v>
      </c>
      <c r="AJ382">
        <v>381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</row>
    <row r="383" spans="1:44" x14ac:dyDescent="0.2">
      <c r="A383">
        <f>ROW(Source!A1302)</f>
        <v>1302</v>
      </c>
      <c r="B383">
        <v>33992868</v>
      </c>
      <c r="C383">
        <v>33992857</v>
      </c>
      <c r="D383">
        <v>30063638</v>
      </c>
      <c r="E383">
        <v>1</v>
      </c>
      <c r="F383">
        <v>1</v>
      </c>
      <c r="G383">
        <v>29983435</v>
      </c>
      <c r="H383">
        <v>2</v>
      </c>
      <c r="I383" t="s">
        <v>879</v>
      </c>
      <c r="J383" t="s">
        <v>880</v>
      </c>
      <c r="K383" t="s">
        <v>881</v>
      </c>
      <c r="L383">
        <v>1367</v>
      </c>
      <c r="N383">
        <v>1011</v>
      </c>
      <c r="O383" t="s">
        <v>652</v>
      </c>
      <c r="P383" t="s">
        <v>652</v>
      </c>
      <c r="Q383">
        <v>1</v>
      </c>
      <c r="X383">
        <v>0.4</v>
      </c>
      <c r="Y383">
        <v>0</v>
      </c>
      <c r="Z383">
        <v>36.57</v>
      </c>
      <c r="AA383">
        <v>16.77</v>
      </c>
      <c r="AB383">
        <v>0</v>
      </c>
      <c r="AC383">
        <v>0</v>
      </c>
      <c r="AD383">
        <v>1</v>
      </c>
      <c r="AE383">
        <v>0</v>
      </c>
      <c r="AF383" t="s">
        <v>618</v>
      </c>
      <c r="AG383">
        <v>4</v>
      </c>
      <c r="AH383">
        <v>2</v>
      </c>
      <c r="AI383">
        <v>33992861</v>
      </c>
      <c r="AJ383">
        <v>382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</row>
    <row r="384" spans="1:44" x14ac:dyDescent="0.2">
      <c r="A384">
        <f>ROW(Source!A1302)</f>
        <v>1302</v>
      </c>
      <c r="B384">
        <v>33992869</v>
      </c>
      <c r="C384">
        <v>33992857</v>
      </c>
      <c r="D384">
        <v>29983439</v>
      </c>
      <c r="E384">
        <v>29983435</v>
      </c>
      <c r="F384">
        <v>1</v>
      </c>
      <c r="G384">
        <v>29983435</v>
      </c>
      <c r="H384">
        <v>2</v>
      </c>
      <c r="I384" t="s">
        <v>674</v>
      </c>
      <c r="J384" t="s">
        <v>3</v>
      </c>
      <c r="K384" t="s">
        <v>675</v>
      </c>
      <c r="L384">
        <v>1344</v>
      </c>
      <c r="N384">
        <v>1008</v>
      </c>
      <c r="O384" t="s">
        <v>676</v>
      </c>
      <c r="P384" t="s">
        <v>676</v>
      </c>
      <c r="Q384">
        <v>1</v>
      </c>
      <c r="X384">
        <v>0.01</v>
      </c>
      <c r="Y384">
        <v>0</v>
      </c>
      <c r="Z384">
        <v>1</v>
      </c>
      <c r="AA384">
        <v>0</v>
      </c>
      <c r="AB384">
        <v>0</v>
      </c>
      <c r="AC384">
        <v>0</v>
      </c>
      <c r="AD384">
        <v>1</v>
      </c>
      <c r="AE384">
        <v>0</v>
      </c>
      <c r="AF384" t="s">
        <v>618</v>
      </c>
      <c r="AG384">
        <v>0.1</v>
      </c>
      <c r="AH384">
        <v>2</v>
      </c>
      <c r="AI384">
        <v>33992862</v>
      </c>
      <c r="AJ384">
        <v>383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</row>
    <row r="385" spans="1:44" x14ac:dyDescent="0.2">
      <c r="A385">
        <f>ROW(Source!A1302)</f>
        <v>1302</v>
      </c>
      <c r="B385">
        <v>33992870</v>
      </c>
      <c r="C385">
        <v>33992857</v>
      </c>
      <c r="D385">
        <v>30039587</v>
      </c>
      <c r="E385">
        <v>1</v>
      </c>
      <c r="F385">
        <v>1</v>
      </c>
      <c r="G385">
        <v>29983435</v>
      </c>
      <c r="H385">
        <v>3</v>
      </c>
      <c r="I385" t="s">
        <v>885</v>
      </c>
      <c r="J385" t="s">
        <v>886</v>
      </c>
      <c r="K385" t="s">
        <v>887</v>
      </c>
      <c r="L385">
        <v>1346</v>
      </c>
      <c r="N385">
        <v>1009</v>
      </c>
      <c r="O385" t="s">
        <v>300</v>
      </c>
      <c r="P385" t="s">
        <v>300</v>
      </c>
      <c r="Q385">
        <v>1</v>
      </c>
      <c r="X385">
        <v>42</v>
      </c>
      <c r="Y385">
        <v>69.17</v>
      </c>
      <c r="Z385">
        <v>0</v>
      </c>
      <c r="AA385">
        <v>0</v>
      </c>
      <c r="AB385">
        <v>0</v>
      </c>
      <c r="AC385">
        <v>0</v>
      </c>
      <c r="AD385">
        <v>1</v>
      </c>
      <c r="AE385">
        <v>0</v>
      </c>
      <c r="AF385" t="s">
        <v>618</v>
      </c>
      <c r="AG385">
        <v>420</v>
      </c>
      <c r="AH385">
        <v>2</v>
      </c>
      <c r="AI385">
        <v>33992863</v>
      </c>
      <c r="AJ385">
        <v>384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</row>
    <row r="386" spans="1:44" x14ac:dyDescent="0.2">
      <c r="A386">
        <f>ROW(Source!A1302)</f>
        <v>1302</v>
      </c>
      <c r="B386">
        <v>33992871</v>
      </c>
      <c r="C386">
        <v>33992857</v>
      </c>
      <c r="D386">
        <v>29987948</v>
      </c>
      <c r="E386">
        <v>29983435</v>
      </c>
      <c r="F386">
        <v>1</v>
      </c>
      <c r="G386">
        <v>29983435</v>
      </c>
      <c r="H386">
        <v>3</v>
      </c>
      <c r="I386" t="s">
        <v>939</v>
      </c>
      <c r="J386" t="s">
        <v>3</v>
      </c>
      <c r="K386" t="s">
        <v>940</v>
      </c>
      <c r="L386">
        <v>1346</v>
      </c>
      <c r="N386">
        <v>1009</v>
      </c>
      <c r="O386" t="s">
        <v>300</v>
      </c>
      <c r="P386" t="s">
        <v>300</v>
      </c>
      <c r="Q386">
        <v>1</v>
      </c>
      <c r="X386">
        <v>10.5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 t="s">
        <v>618</v>
      </c>
      <c r="AG386">
        <v>105</v>
      </c>
      <c r="AH386">
        <v>3</v>
      </c>
      <c r="AI386">
        <v>-1</v>
      </c>
      <c r="AJ386" t="s">
        <v>3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</row>
    <row r="387" spans="1:44" x14ac:dyDescent="0.2">
      <c r="A387">
        <f>ROW(Source!A1302)</f>
        <v>1302</v>
      </c>
      <c r="B387">
        <v>33992872</v>
      </c>
      <c r="C387">
        <v>33992857</v>
      </c>
      <c r="D387">
        <v>29984262</v>
      </c>
      <c r="E387">
        <v>29983435</v>
      </c>
      <c r="F387">
        <v>1</v>
      </c>
      <c r="G387">
        <v>29983435</v>
      </c>
      <c r="H387">
        <v>3</v>
      </c>
      <c r="I387" t="s">
        <v>941</v>
      </c>
      <c r="J387" t="s">
        <v>3</v>
      </c>
      <c r="K387" t="s">
        <v>942</v>
      </c>
      <c r="L387">
        <v>1346</v>
      </c>
      <c r="N387">
        <v>1009</v>
      </c>
      <c r="O387" t="s">
        <v>300</v>
      </c>
      <c r="P387" t="s">
        <v>300</v>
      </c>
      <c r="Q387">
        <v>1</v>
      </c>
      <c r="X387">
        <v>147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 t="s">
        <v>618</v>
      </c>
      <c r="AG387">
        <v>1470</v>
      </c>
      <c r="AH387">
        <v>3</v>
      </c>
      <c r="AI387">
        <v>-1</v>
      </c>
      <c r="AJ387" t="s">
        <v>3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</row>
    <row r="388" spans="1:44" x14ac:dyDescent="0.2">
      <c r="A388">
        <f>ROW(Source!A1304)</f>
        <v>1304</v>
      </c>
      <c r="B388">
        <v>33992886</v>
      </c>
      <c r="C388">
        <v>33992874</v>
      </c>
      <c r="D388">
        <v>29983441</v>
      </c>
      <c r="E388">
        <v>29983435</v>
      </c>
      <c r="F388">
        <v>1</v>
      </c>
      <c r="G388">
        <v>29983435</v>
      </c>
      <c r="H388">
        <v>1</v>
      </c>
      <c r="I388" t="s">
        <v>646</v>
      </c>
      <c r="J388" t="s">
        <v>3</v>
      </c>
      <c r="K388" t="s">
        <v>647</v>
      </c>
      <c r="L388">
        <v>1191</v>
      </c>
      <c r="N388">
        <v>1013</v>
      </c>
      <c r="O388" t="s">
        <v>648</v>
      </c>
      <c r="P388" t="s">
        <v>648</v>
      </c>
      <c r="Q388">
        <v>1</v>
      </c>
      <c r="X388">
        <v>16.03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1</v>
      </c>
      <c r="AE388">
        <v>1</v>
      </c>
      <c r="AF388" t="s">
        <v>3</v>
      </c>
      <c r="AG388">
        <v>16.03</v>
      </c>
      <c r="AH388">
        <v>2</v>
      </c>
      <c r="AI388">
        <v>33992875</v>
      </c>
      <c r="AJ388">
        <v>386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</row>
    <row r="389" spans="1:44" x14ac:dyDescent="0.2">
      <c r="A389">
        <f>ROW(Source!A1304)</f>
        <v>1304</v>
      </c>
      <c r="B389">
        <v>33992887</v>
      </c>
      <c r="C389">
        <v>33992874</v>
      </c>
      <c r="D389">
        <v>30064059</v>
      </c>
      <c r="E389">
        <v>1</v>
      </c>
      <c r="F389">
        <v>1</v>
      </c>
      <c r="G389">
        <v>29983435</v>
      </c>
      <c r="H389">
        <v>2</v>
      </c>
      <c r="I389" t="s">
        <v>870</v>
      </c>
      <c r="J389" t="s">
        <v>871</v>
      </c>
      <c r="K389" t="s">
        <v>872</v>
      </c>
      <c r="L389">
        <v>1367</v>
      </c>
      <c r="N389">
        <v>1011</v>
      </c>
      <c r="O389" t="s">
        <v>652</v>
      </c>
      <c r="P389" t="s">
        <v>652</v>
      </c>
      <c r="Q389">
        <v>1</v>
      </c>
      <c r="X389">
        <v>2.11</v>
      </c>
      <c r="Y389">
        <v>0</v>
      </c>
      <c r="Z389">
        <v>44</v>
      </c>
      <c r="AA389">
        <v>15.44</v>
      </c>
      <c r="AB389">
        <v>0</v>
      </c>
      <c r="AC389">
        <v>0</v>
      </c>
      <c r="AD389">
        <v>1</v>
      </c>
      <c r="AE389">
        <v>0</v>
      </c>
      <c r="AF389" t="s">
        <v>3</v>
      </c>
      <c r="AG389">
        <v>2.11</v>
      </c>
      <c r="AH389">
        <v>2</v>
      </c>
      <c r="AI389">
        <v>33992876</v>
      </c>
      <c r="AJ389">
        <v>387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</row>
    <row r="390" spans="1:44" x14ac:dyDescent="0.2">
      <c r="A390">
        <f>ROW(Source!A1304)</f>
        <v>1304</v>
      </c>
      <c r="B390">
        <v>33992888</v>
      </c>
      <c r="C390">
        <v>33992874</v>
      </c>
      <c r="D390">
        <v>30064095</v>
      </c>
      <c r="E390">
        <v>1</v>
      </c>
      <c r="F390">
        <v>1</v>
      </c>
      <c r="G390">
        <v>29983435</v>
      </c>
      <c r="H390">
        <v>2</v>
      </c>
      <c r="I390" t="s">
        <v>680</v>
      </c>
      <c r="J390" t="s">
        <v>681</v>
      </c>
      <c r="K390" t="s">
        <v>682</v>
      </c>
      <c r="L390">
        <v>1367</v>
      </c>
      <c r="N390">
        <v>1011</v>
      </c>
      <c r="O390" t="s">
        <v>652</v>
      </c>
      <c r="P390" t="s">
        <v>652</v>
      </c>
      <c r="Q390">
        <v>1</v>
      </c>
      <c r="X390">
        <v>0.1</v>
      </c>
      <c r="Y390">
        <v>0</v>
      </c>
      <c r="Z390">
        <v>76.81</v>
      </c>
      <c r="AA390">
        <v>14.36</v>
      </c>
      <c r="AB390">
        <v>0</v>
      </c>
      <c r="AC390">
        <v>0</v>
      </c>
      <c r="AD390">
        <v>1</v>
      </c>
      <c r="AE390">
        <v>0</v>
      </c>
      <c r="AF390" t="s">
        <v>3</v>
      </c>
      <c r="AG390">
        <v>0.1</v>
      </c>
      <c r="AH390">
        <v>2</v>
      </c>
      <c r="AI390">
        <v>33992877</v>
      </c>
      <c r="AJ390">
        <v>388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</row>
    <row r="391" spans="1:44" x14ac:dyDescent="0.2">
      <c r="A391">
        <f>ROW(Source!A1304)</f>
        <v>1304</v>
      </c>
      <c r="B391">
        <v>33992889</v>
      </c>
      <c r="C391">
        <v>33992874</v>
      </c>
      <c r="D391">
        <v>30064135</v>
      </c>
      <c r="E391">
        <v>1</v>
      </c>
      <c r="F391">
        <v>1</v>
      </c>
      <c r="G391">
        <v>29983435</v>
      </c>
      <c r="H391">
        <v>2</v>
      </c>
      <c r="I391" t="s">
        <v>873</v>
      </c>
      <c r="J391" t="s">
        <v>874</v>
      </c>
      <c r="K391" t="s">
        <v>875</v>
      </c>
      <c r="L391">
        <v>1367</v>
      </c>
      <c r="N391">
        <v>1011</v>
      </c>
      <c r="O391" t="s">
        <v>652</v>
      </c>
      <c r="P391" t="s">
        <v>652</v>
      </c>
      <c r="Q391">
        <v>1</v>
      </c>
      <c r="X391">
        <v>0.94</v>
      </c>
      <c r="Y391">
        <v>0</v>
      </c>
      <c r="Z391">
        <v>2.36</v>
      </c>
      <c r="AA391">
        <v>0.1</v>
      </c>
      <c r="AB391">
        <v>0</v>
      </c>
      <c r="AC391">
        <v>0</v>
      </c>
      <c r="AD391">
        <v>1</v>
      </c>
      <c r="AE391">
        <v>0</v>
      </c>
      <c r="AF391" t="s">
        <v>3</v>
      </c>
      <c r="AG391">
        <v>0.94</v>
      </c>
      <c r="AH391">
        <v>2</v>
      </c>
      <c r="AI391">
        <v>33992878</v>
      </c>
      <c r="AJ391">
        <v>389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</row>
    <row r="392" spans="1:44" x14ac:dyDescent="0.2">
      <c r="A392">
        <f>ROW(Source!A1304)</f>
        <v>1304</v>
      </c>
      <c r="B392">
        <v>33992890</v>
      </c>
      <c r="C392">
        <v>33992874</v>
      </c>
      <c r="D392">
        <v>30063429</v>
      </c>
      <c r="E392">
        <v>1</v>
      </c>
      <c r="F392">
        <v>1</v>
      </c>
      <c r="G392">
        <v>29983435</v>
      </c>
      <c r="H392">
        <v>2</v>
      </c>
      <c r="I392" t="s">
        <v>876</v>
      </c>
      <c r="J392" t="s">
        <v>877</v>
      </c>
      <c r="K392" t="s">
        <v>878</v>
      </c>
      <c r="L392">
        <v>1367</v>
      </c>
      <c r="N392">
        <v>1011</v>
      </c>
      <c r="O392" t="s">
        <v>652</v>
      </c>
      <c r="P392" t="s">
        <v>652</v>
      </c>
      <c r="Q392">
        <v>1</v>
      </c>
      <c r="X392">
        <v>0.01</v>
      </c>
      <c r="Y392">
        <v>0</v>
      </c>
      <c r="Z392">
        <v>68.87</v>
      </c>
      <c r="AA392">
        <v>18.34</v>
      </c>
      <c r="AB392">
        <v>0</v>
      </c>
      <c r="AC392">
        <v>0</v>
      </c>
      <c r="AD392">
        <v>1</v>
      </c>
      <c r="AE392">
        <v>0</v>
      </c>
      <c r="AF392" t="s">
        <v>3</v>
      </c>
      <c r="AG392">
        <v>0.01</v>
      </c>
      <c r="AH392">
        <v>2</v>
      </c>
      <c r="AI392">
        <v>33992879</v>
      </c>
      <c r="AJ392">
        <v>390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</row>
    <row r="393" spans="1:44" x14ac:dyDescent="0.2">
      <c r="A393">
        <f>ROW(Source!A1304)</f>
        <v>1304</v>
      </c>
      <c r="B393">
        <v>33992891</v>
      </c>
      <c r="C393">
        <v>33992874</v>
      </c>
      <c r="D393">
        <v>30063638</v>
      </c>
      <c r="E393">
        <v>1</v>
      </c>
      <c r="F393">
        <v>1</v>
      </c>
      <c r="G393">
        <v>29983435</v>
      </c>
      <c r="H393">
        <v>2</v>
      </c>
      <c r="I393" t="s">
        <v>879</v>
      </c>
      <c r="J393" t="s">
        <v>880</v>
      </c>
      <c r="K393" t="s">
        <v>881</v>
      </c>
      <c r="L393">
        <v>1367</v>
      </c>
      <c r="N393">
        <v>1011</v>
      </c>
      <c r="O393" t="s">
        <v>652</v>
      </c>
      <c r="P393" t="s">
        <v>652</v>
      </c>
      <c r="Q393">
        <v>1</v>
      </c>
      <c r="X393">
        <v>2.11</v>
      </c>
      <c r="Y393">
        <v>0</v>
      </c>
      <c r="Z393">
        <v>36.57</v>
      </c>
      <c r="AA393">
        <v>16.77</v>
      </c>
      <c r="AB393">
        <v>0</v>
      </c>
      <c r="AC393">
        <v>0</v>
      </c>
      <c r="AD393">
        <v>1</v>
      </c>
      <c r="AE393">
        <v>0</v>
      </c>
      <c r="AF393" t="s">
        <v>3</v>
      </c>
      <c r="AG393">
        <v>2.11</v>
      </c>
      <c r="AH393">
        <v>2</v>
      </c>
      <c r="AI393">
        <v>33992880</v>
      </c>
      <c r="AJ393">
        <v>391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</row>
    <row r="394" spans="1:44" x14ac:dyDescent="0.2">
      <c r="A394">
        <f>ROW(Source!A1304)</f>
        <v>1304</v>
      </c>
      <c r="B394">
        <v>33992892</v>
      </c>
      <c r="C394">
        <v>33992874</v>
      </c>
      <c r="D394">
        <v>30041736</v>
      </c>
      <c r="E394">
        <v>1</v>
      </c>
      <c r="F394">
        <v>1</v>
      </c>
      <c r="G394">
        <v>29983435</v>
      </c>
      <c r="H394">
        <v>3</v>
      </c>
      <c r="I394" t="s">
        <v>882</v>
      </c>
      <c r="J394" t="s">
        <v>883</v>
      </c>
      <c r="K394" t="s">
        <v>884</v>
      </c>
      <c r="L394">
        <v>1348</v>
      </c>
      <c r="N394">
        <v>1009</v>
      </c>
      <c r="O394" t="s">
        <v>51</v>
      </c>
      <c r="P394" t="s">
        <v>51</v>
      </c>
      <c r="Q394">
        <v>1000</v>
      </c>
      <c r="X394">
        <v>3.15E-3</v>
      </c>
      <c r="Y394">
        <v>6240.56</v>
      </c>
      <c r="Z394">
        <v>0</v>
      </c>
      <c r="AA394">
        <v>0</v>
      </c>
      <c r="AB394">
        <v>0</v>
      </c>
      <c r="AC394">
        <v>0</v>
      </c>
      <c r="AD394">
        <v>1</v>
      </c>
      <c r="AE394">
        <v>0</v>
      </c>
      <c r="AF394" t="s">
        <v>3</v>
      </c>
      <c r="AG394">
        <v>3.15E-3</v>
      </c>
      <c r="AH394">
        <v>2</v>
      </c>
      <c r="AI394">
        <v>33992881</v>
      </c>
      <c r="AJ394">
        <v>392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</row>
    <row r="395" spans="1:44" x14ac:dyDescent="0.2">
      <c r="A395">
        <f>ROW(Source!A1304)</f>
        <v>1304</v>
      </c>
      <c r="B395">
        <v>33992893</v>
      </c>
      <c r="C395">
        <v>33992874</v>
      </c>
      <c r="D395">
        <v>30039587</v>
      </c>
      <c r="E395">
        <v>1</v>
      </c>
      <c r="F395">
        <v>1</v>
      </c>
      <c r="G395">
        <v>29983435</v>
      </c>
      <c r="H395">
        <v>3</v>
      </c>
      <c r="I395" t="s">
        <v>885</v>
      </c>
      <c r="J395" t="s">
        <v>886</v>
      </c>
      <c r="K395" t="s">
        <v>887</v>
      </c>
      <c r="L395">
        <v>1346</v>
      </c>
      <c r="N395">
        <v>1009</v>
      </c>
      <c r="O395" t="s">
        <v>300</v>
      </c>
      <c r="P395" t="s">
        <v>300</v>
      </c>
      <c r="Q395">
        <v>1</v>
      </c>
      <c r="X395">
        <v>241.5</v>
      </c>
      <c r="Y395">
        <v>69.17</v>
      </c>
      <c r="Z395">
        <v>0</v>
      </c>
      <c r="AA395">
        <v>0</v>
      </c>
      <c r="AB395">
        <v>0</v>
      </c>
      <c r="AC395">
        <v>0</v>
      </c>
      <c r="AD395">
        <v>1</v>
      </c>
      <c r="AE395">
        <v>0</v>
      </c>
      <c r="AF395" t="s">
        <v>3</v>
      </c>
      <c r="AG395">
        <v>241.5</v>
      </c>
      <c r="AH395">
        <v>2</v>
      </c>
      <c r="AI395">
        <v>33992882</v>
      </c>
      <c r="AJ395">
        <v>393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</row>
    <row r="396" spans="1:44" x14ac:dyDescent="0.2">
      <c r="A396">
        <f>ROW(Source!A1304)</f>
        <v>1304</v>
      </c>
      <c r="B396">
        <v>33992894</v>
      </c>
      <c r="C396">
        <v>33992874</v>
      </c>
      <c r="D396">
        <v>30041923</v>
      </c>
      <c r="E396">
        <v>1</v>
      </c>
      <c r="F396">
        <v>1</v>
      </c>
      <c r="G396">
        <v>29983435</v>
      </c>
      <c r="H396">
        <v>3</v>
      </c>
      <c r="I396" t="s">
        <v>888</v>
      </c>
      <c r="J396" t="s">
        <v>889</v>
      </c>
      <c r="K396" t="s">
        <v>890</v>
      </c>
      <c r="L396">
        <v>1327</v>
      </c>
      <c r="N396">
        <v>1005</v>
      </c>
      <c r="O396" t="s">
        <v>411</v>
      </c>
      <c r="P396" t="s">
        <v>411</v>
      </c>
      <c r="Q396">
        <v>1</v>
      </c>
      <c r="X396">
        <v>5.6</v>
      </c>
      <c r="Y396">
        <v>3.66</v>
      </c>
      <c r="Z396">
        <v>0</v>
      </c>
      <c r="AA396">
        <v>0</v>
      </c>
      <c r="AB396">
        <v>0</v>
      </c>
      <c r="AC396">
        <v>0</v>
      </c>
      <c r="AD396">
        <v>1</v>
      </c>
      <c r="AE396">
        <v>0</v>
      </c>
      <c r="AF396" t="s">
        <v>3</v>
      </c>
      <c r="AG396">
        <v>5.6</v>
      </c>
      <c r="AH396">
        <v>2</v>
      </c>
      <c r="AI396">
        <v>33992883</v>
      </c>
      <c r="AJ396">
        <v>395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</row>
    <row r="397" spans="1:44" x14ac:dyDescent="0.2">
      <c r="A397">
        <f>ROW(Source!A1304)</f>
        <v>1304</v>
      </c>
      <c r="B397">
        <v>33992895</v>
      </c>
      <c r="C397">
        <v>33992874</v>
      </c>
      <c r="D397">
        <v>29987948</v>
      </c>
      <c r="E397">
        <v>29983435</v>
      </c>
      <c r="F397">
        <v>1</v>
      </c>
      <c r="G397">
        <v>29983435</v>
      </c>
      <c r="H397">
        <v>3</v>
      </c>
      <c r="I397" t="s">
        <v>939</v>
      </c>
      <c r="J397" t="s">
        <v>3</v>
      </c>
      <c r="K397" t="s">
        <v>940</v>
      </c>
      <c r="L397">
        <v>1346</v>
      </c>
      <c r="N397">
        <v>1009</v>
      </c>
      <c r="O397" t="s">
        <v>300</v>
      </c>
      <c r="P397" t="s">
        <v>300</v>
      </c>
      <c r="Q397">
        <v>1</v>
      </c>
      <c r="X397">
        <v>52.5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 t="s">
        <v>3</v>
      </c>
      <c r="AG397">
        <v>52.5</v>
      </c>
      <c r="AH397">
        <v>3</v>
      </c>
      <c r="AI397">
        <v>-1</v>
      </c>
      <c r="AJ397" t="s">
        <v>3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</row>
    <row r="398" spans="1:44" x14ac:dyDescent="0.2">
      <c r="A398">
        <f>ROW(Source!A1304)</f>
        <v>1304</v>
      </c>
      <c r="B398">
        <v>33992896</v>
      </c>
      <c r="C398">
        <v>33992874</v>
      </c>
      <c r="D398">
        <v>29984262</v>
      </c>
      <c r="E398">
        <v>29983435</v>
      </c>
      <c r="F398">
        <v>1</v>
      </c>
      <c r="G398">
        <v>29983435</v>
      </c>
      <c r="H398">
        <v>3</v>
      </c>
      <c r="I398" t="s">
        <v>941</v>
      </c>
      <c r="J398" t="s">
        <v>3</v>
      </c>
      <c r="K398" t="s">
        <v>942</v>
      </c>
      <c r="L398">
        <v>1346</v>
      </c>
      <c r="N398">
        <v>1009</v>
      </c>
      <c r="O398" t="s">
        <v>300</v>
      </c>
      <c r="P398" t="s">
        <v>300</v>
      </c>
      <c r="Q398">
        <v>1</v>
      </c>
      <c r="X398">
        <v>735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 t="s">
        <v>3</v>
      </c>
      <c r="AG398">
        <v>735</v>
      </c>
      <c r="AH398">
        <v>3</v>
      </c>
      <c r="AI398">
        <v>-1</v>
      </c>
      <c r="AJ398" t="s">
        <v>3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</row>
    <row r="399" spans="1:44" x14ac:dyDescent="0.2">
      <c r="A399">
        <f>ROW(Source!A1304)</f>
        <v>1304</v>
      </c>
      <c r="B399">
        <v>33992897</v>
      </c>
      <c r="C399">
        <v>33992874</v>
      </c>
      <c r="D399">
        <v>29983437</v>
      </c>
      <c r="E399">
        <v>29983435</v>
      </c>
      <c r="F399">
        <v>1</v>
      </c>
      <c r="G399">
        <v>29983435</v>
      </c>
      <c r="H399">
        <v>3</v>
      </c>
      <c r="I399" t="s">
        <v>738</v>
      </c>
      <c r="J399" t="s">
        <v>3</v>
      </c>
      <c r="K399" t="s">
        <v>739</v>
      </c>
      <c r="L399">
        <v>1344</v>
      </c>
      <c r="N399">
        <v>1008</v>
      </c>
      <c r="O399" t="s">
        <v>676</v>
      </c>
      <c r="P399" t="s">
        <v>676</v>
      </c>
      <c r="Q399">
        <v>1</v>
      </c>
      <c r="X399">
        <v>0.01</v>
      </c>
      <c r="Y399">
        <v>1</v>
      </c>
      <c r="Z399">
        <v>0</v>
      </c>
      <c r="AA399">
        <v>0</v>
      </c>
      <c r="AB399">
        <v>0</v>
      </c>
      <c r="AC399">
        <v>0</v>
      </c>
      <c r="AD399">
        <v>1</v>
      </c>
      <c r="AE399">
        <v>0</v>
      </c>
      <c r="AF399" t="s">
        <v>3</v>
      </c>
      <c r="AG399">
        <v>0.01</v>
      </c>
      <c r="AH399">
        <v>2</v>
      </c>
      <c r="AI399">
        <v>33992884</v>
      </c>
      <c r="AJ399">
        <v>396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</row>
    <row r="400" spans="1:44" x14ac:dyDescent="0.2">
      <c r="A400">
        <f>ROW(Source!A1342)</f>
        <v>1342</v>
      </c>
      <c r="B400">
        <v>33992907</v>
      </c>
      <c r="C400">
        <v>33992899</v>
      </c>
      <c r="D400">
        <v>29983441</v>
      </c>
      <c r="E400">
        <v>29983435</v>
      </c>
      <c r="F400">
        <v>1</v>
      </c>
      <c r="G400">
        <v>29983435</v>
      </c>
      <c r="H400">
        <v>1</v>
      </c>
      <c r="I400" t="s">
        <v>646</v>
      </c>
      <c r="J400" t="s">
        <v>3</v>
      </c>
      <c r="K400" t="s">
        <v>647</v>
      </c>
      <c r="L400">
        <v>1191</v>
      </c>
      <c r="N400">
        <v>1013</v>
      </c>
      <c r="O400" t="s">
        <v>648</v>
      </c>
      <c r="P400" t="s">
        <v>648</v>
      </c>
      <c r="Q400">
        <v>1</v>
      </c>
      <c r="X400">
        <v>101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1</v>
      </c>
      <c r="AE400">
        <v>1</v>
      </c>
      <c r="AF400" t="s">
        <v>3</v>
      </c>
      <c r="AG400">
        <v>101</v>
      </c>
      <c r="AH400">
        <v>2</v>
      </c>
      <c r="AI400">
        <v>33992900</v>
      </c>
      <c r="AJ400">
        <v>397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</row>
    <row r="401" spans="1:44" x14ac:dyDescent="0.2">
      <c r="A401">
        <f>ROW(Source!A1342)</f>
        <v>1342</v>
      </c>
      <c r="B401">
        <v>33992908</v>
      </c>
      <c r="C401">
        <v>33992899</v>
      </c>
      <c r="D401">
        <v>30063609</v>
      </c>
      <c r="E401">
        <v>1</v>
      </c>
      <c r="F401">
        <v>1</v>
      </c>
      <c r="G401">
        <v>29983435</v>
      </c>
      <c r="H401">
        <v>2</v>
      </c>
      <c r="I401" t="s">
        <v>789</v>
      </c>
      <c r="J401" t="s">
        <v>790</v>
      </c>
      <c r="K401" t="s">
        <v>791</v>
      </c>
      <c r="L401">
        <v>1367</v>
      </c>
      <c r="N401">
        <v>1011</v>
      </c>
      <c r="O401" t="s">
        <v>652</v>
      </c>
      <c r="P401" t="s">
        <v>652</v>
      </c>
      <c r="Q401">
        <v>1</v>
      </c>
      <c r="X401">
        <v>2.4</v>
      </c>
      <c r="Y401">
        <v>0</v>
      </c>
      <c r="Z401">
        <v>58.51</v>
      </c>
      <c r="AA401">
        <v>13.38</v>
      </c>
      <c r="AB401">
        <v>0</v>
      </c>
      <c r="AC401">
        <v>0</v>
      </c>
      <c r="AD401">
        <v>1</v>
      </c>
      <c r="AE401">
        <v>0</v>
      </c>
      <c r="AF401" t="s">
        <v>3</v>
      </c>
      <c r="AG401">
        <v>2.4</v>
      </c>
      <c r="AH401">
        <v>2</v>
      </c>
      <c r="AI401">
        <v>33992901</v>
      </c>
      <c r="AJ401">
        <v>398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</row>
    <row r="402" spans="1:44" x14ac:dyDescent="0.2">
      <c r="A402">
        <f>ROW(Source!A1342)</f>
        <v>1342</v>
      </c>
      <c r="B402">
        <v>33992909</v>
      </c>
      <c r="C402">
        <v>33992899</v>
      </c>
      <c r="D402">
        <v>29983439</v>
      </c>
      <c r="E402">
        <v>29983435</v>
      </c>
      <c r="F402">
        <v>1</v>
      </c>
      <c r="G402">
        <v>29983435</v>
      </c>
      <c r="H402">
        <v>2</v>
      </c>
      <c r="I402" t="s">
        <v>674</v>
      </c>
      <c r="J402" t="s">
        <v>3</v>
      </c>
      <c r="K402" t="s">
        <v>675</v>
      </c>
      <c r="L402">
        <v>1344</v>
      </c>
      <c r="N402">
        <v>1008</v>
      </c>
      <c r="O402" t="s">
        <v>676</v>
      </c>
      <c r="P402" t="s">
        <v>676</v>
      </c>
      <c r="Q402">
        <v>1</v>
      </c>
      <c r="X402">
        <v>19.350000000000001</v>
      </c>
      <c r="Y402">
        <v>0</v>
      </c>
      <c r="Z402">
        <v>1</v>
      </c>
      <c r="AA402">
        <v>0</v>
      </c>
      <c r="AB402">
        <v>0</v>
      </c>
      <c r="AC402">
        <v>0</v>
      </c>
      <c r="AD402">
        <v>1</v>
      </c>
      <c r="AE402">
        <v>0</v>
      </c>
      <c r="AF402" t="s">
        <v>3</v>
      </c>
      <c r="AG402">
        <v>19.350000000000001</v>
      </c>
      <c r="AH402">
        <v>2</v>
      </c>
      <c r="AI402">
        <v>33992902</v>
      </c>
      <c r="AJ402">
        <v>399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</row>
    <row r="403" spans="1:44" x14ac:dyDescent="0.2">
      <c r="A403">
        <f>ROW(Source!A1342)</f>
        <v>1342</v>
      </c>
      <c r="B403">
        <v>33992910</v>
      </c>
      <c r="C403">
        <v>33992899</v>
      </c>
      <c r="D403">
        <v>29990457</v>
      </c>
      <c r="E403">
        <v>29983435</v>
      </c>
      <c r="F403">
        <v>1</v>
      </c>
      <c r="G403">
        <v>29983435</v>
      </c>
      <c r="H403">
        <v>3</v>
      </c>
      <c r="I403" t="s">
        <v>914</v>
      </c>
      <c r="J403" t="s">
        <v>3</v>
      </c>
      <c r="K403" t="s">
        <v>468</v>
      </c>
      <c r="L403">
        <v>1339</v>
      </c>
      <c r="N403">
        <v>1007</v>
      </c>
      <c r="O403" t="s">
        <v>66</v>
      </c>
      <c r="P403" t="s">
        <v>66</v>
      </c>
      <c r="Q403">
        <v>1</v>
      </c>
      <c r="X403">
        <v>0.14280000000000001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 t="s">
        <v>3</v>
      </c>
      <c r="AG403">
        <v>0.14280000000000001</v>
      </c>
      <c r="AH403">
        <v>3</v>
      </c>
      <c r="AI403">
        <v>-1</v>
      </c>
      <c r="AJ403" t="s">
        <v>3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</row>
    <row r="404" spans="1:44" x14ac:dyDescent="0.2">
      <c r="A404">
        <f>ROW(Source!A1342)</f>
        <v>1342</v>
      </c>
      <c r="B404">
        <v>33992911</v>
      </c>
      <c r="C404">
        <v>33992899</v>
      </c>
      <c r="D404">
        <v>29983898</v>
      </c>
      <c r="E404">
        <v>29983435</v>
      </c>
      <c r="F404">
        <v>1</v>
      </c>
      <c r="G404">
        <v>29983435</v>
      </c>
      <c r="H404">
        <v>3</v>
      </c>
      <c r="I404" t="s">
        <v>915</v>
      </c>
      <c r="J404" t="s">
        <v>3</v>
      </c>
      <c r="K404" t="s">
        <v>916</v>
      </c>
      <c r="L404">
        <v>1348</v>
      </c>
      <c r="N404">
        <v>1009</v>
      </c>
      <c r="O404" t="s">
        <v>51</v>
      </c>
      <c r="P404" t="s">
        <v>51</v>
      </c>
      <c r="Q404">
        <v>1000</v>
      </c>
      <c r="X404">
        <v>0.81599999999999995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 t="s">
        <v>3</v>
      </c>
      <c r="AG404">
        <v>0.81599999999999995</v>
      </c>
      <c r="AH404">
        <v>3</v>
      </c>
      <c r="AI404">
        <v>-1</v>
      </c>
      <c r="AJ404" t="s">
        <v>3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</row>
    <row r="405" spans="1:44" x14ac:dyDescent="0.2">
      <c r="A405">
        <f>ROW(Source!A1342)</f>
        <v>1342</v>
      </c>
      <c r="B405">
        <v>33992912</v>
      </c>
      <c r="C405">
        <v>33992899</v>
      </c>
      <c r="D405">
        <v>29985417</v>
      </c>
      <c r="E405">
        <v>29983435</v>
      </c>
      <c r="F405">
        <v>1</v>
      </c>
      <c r="G405">
        <v>29983435</v>
      </c>
      <c r="H405">
        <v>3</v>
      </c>
      <c r="I405" t="s">
        <v>917</v>
      </c>
      <c r="J405" t="s">
        <v>3</v>
      </c>
      <c r="K405" t="s">
        <v>918</v>
      </c>
      <c r="L405">
        <v>1339</v>
      </c>
      <c r="N405">
        <v>1007</v>
      </c>
      <c r="O405" t="s">
        <v>66</v>
      </c>
      <c r="P405" t="s">
        <v>66</v>
      </c>
      <c r="Q405">
        <v>1</v>
      </c>
      <c r="X405">
        <v>2.04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 t="s">
        <v>3</v>
      </c>
      <c r="AG405">
        <v>2.04</v>
      </c>
      <c r="AH405">
        <v>3</v>
      </c>
      <c r="AI405">
        <v>-1</v>
      </c>
      <c r="AJ405" t="s">
        <v>3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</row>
    <row r="406" spans="1:44" x14ac:dyDescent="0.2">
      <c r="A406">
        <f>ROW(Source!A1342)</f>
        <v>1342</v>
      </c>
      <c r="B406">
        <v>33992913</v>
      </c>
      <c r="C406">
        <v>33992899</v>
      </c>
      <c r="D406">
        <v>29983437</v>
      </c>
      <c r="E406">
        <v>29983435</v>
      </c>
      <c r="F406">
        <v>1</v>
      </c>
      <c r="G406">
        <v>29983435</v>
      </c>
      <c r="H406">
        <v>3</v>
      </c>
      <c r="I406" t="s">
        <v>738</v>
      </c>
      <c r="J406" t="s">
        <v>3</v>
      </c>
      <c r="K406" t="s">
        <v>739</v>
      </c>
      <c r="L406">
        <v>1344</v>
      </c>
      <c r="N406">
        <v>1008</v>
      </c>
      <c r="O406" t="s">
        <v>676</v>
      </c>
      <c r="P406" t="s">
        <v>676</v>
      </c>
      <c r="Q406">
        <v>1</v>
      </c>
      <c r="X406">
        <v>1.41</v>
      </c>
      <c r="Y406">
        <v>1</v>
      </c>
      <c r="Z406">
        <v>0</v>
      </c>
      <c r="AA406">
        <v>0</v>
      </c>
      <c r="AB406">
        <v>0</v>
      </c>
      <c r="AC406">
        <v>0</v>
      </c>
      <c r="AD406">
        <v>1</v>
      </c>
      <c r="AE406">
        <v>0</v>
      </c>
      <c r="AF406" t="s">
        <v>3</v>
      </c>
      <c r="AG406">
        <v>1.41</v>
      </c>
      <c r="AH406">
        <v>2</v>
      </c>
      <c r="AI406">
        <v>33992905</v>
      </c>
      <c r="AJ406">
        <v>403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4"/>
  <sheetViews>
    <sheetView topLeftCell="A154" workbookViewId="0">
      <selection activeCell="A162" sqref="A162:XFD165"/>
    </sheetView>
  </sheetViews>
  <sheetFormatPr defaultRowHeight="12.75" x14ac:dyDescent="0.2"/>
  <cols>
    <col min="1" max="1" width="6.7109375" customWidth="1"/>
    <col min="2" max="2" width="75.7109375" customWidth="1"/>
    <col min="3" max="5" width="15.7109375" customWidth="1"/>
    <col min="30" max="30" width="114.7109375" hidden="1" customWidth="1"/>
    <col min="31" max="31" width="129.7109375" hidden="1" customWidth="1"/>
  </cols>
  <sheetData>
    <row r="1" spans="1:30" x14ac:dyDescent="0.2">
      <c r="A1" s="9" t="str">
        <f>Source!B1</f>
        <v>Smeta.RU  (495) 974-1589</v>
      </c>
    </row>
    <row r="2" spans="1:30" ht="14.25" x14ac:dyDescent="0.2">
      <c r="A2" s="11"/>
      <c r="B2" s="11"/>
      <c r="C2" s="11"/>
      <c r="D2" s="11"/>
      <c r="E2" s="11"/>
    </row>
    <row r="3" spans="1:30" ht="15.75" x14ac:dyDescent="0.25">
      <c r="A3" s="111" t="str">
        <f>CONCATENATE("Ведомость объемов работ ", IF(Source!AN15&lt;&gt;"", Source!AN15," "))</f>
        <v xml:space="preserve">Ведомость объемов работ  </v>
      </c>
      <c r="B3" s="111"/>
      <c r="C3" s="111"/>
      <c r="D3" s="111"/>
      <c r="E3" s="11"/>
    </row>
    <row r="4" spans="1:30" ht="15" x14ac:dyDescent="0.25">
      <c r="A4" s="112" t="s">
        <v>1075</v>
      </c>
      <c r="B4" s="112"/>
      <c r="C4" s="112"/>
      <c r="D4" s="112"/>
      <c r="E4" s="11"/>
      <c r="AD4" s="39" t="str">
        <f>CONCATENATE("На капитальный ремонт ", Source!F12, " ", Source!G12)</f>
        <v>На капитальный ремонт Новый объект_(Копия) 5.03.2021_КВАРТАЛ Таганка  без грунта</v>
      </c>
    </row>
    <row r="5" spans="1:30" ht="14.25" x14ac:dyDescent="0.2">
      <c r="A5" s="11"/>
      <c r="B5" s="11"/>
      <c r="C5" s="11"/>
      <c r="D5" s="11"/>
      <c r="E5" s="11"/>
    </row>
    <row r="6" spans="1:30" ht="28.5" x14ac:dyDescent="0.2">
      <c r="A6" s="20" t="s">
        <v>988</v>
      </c>
      <c r="B6" s="20" t="s">
        <v>960</v>
      </c>
      <c r="C6" s="20" t="s">
        <v>961</v>
      </c>
      <c r="D6" s="20" t="s">
        <v>989</v>
      </c>
      <c r="E6" s="21" t="s">
        <v>990</v>
      </c>
    </row>
    <row r="7" spans="1:30" ht="14.25" x14ac:dyDescent="0.2">
      <c r="A7" s="40">
        <v>1</v>
      </c>
      <c r="B7" s="40">
        <v>2</v>
      </c>
      <c r="C7" s="40">
        <v>3</v>
      </c>
      <c r="D7" s="40">
        <v>4</v>
      </c>
      <c r="E7" s="41">
        <v>5</v>
      </c>
    </row>
    <row r="8" spans="1:30" ht="16.5" x14ac:dyDescent="0.25">
      <c r="A8" s="110" t="str">
        <f>CONCATENATE("Локальная смета: ", Source!G20)</f>
        <v>Локальная смета: Новая локальная смета</v>
      </c>
      <c r="B8" s="110"/>
      <c r="C8" s="110"/>
      <c r="D8" s="110"/>
      <c r="E8" s="110"/>
    </row>
    <row r="9" spans="1:30" ht="16.5" x14ac:dyDescent="0.25">
      <c r="A9" s="110" t="str">
        <f>CONCATENATE("Раздел: ", Source!G24)</f>
        <v>Раздел: 1.1. Текущий ремонт мелкозернистого а/б покрытия (фрезеровка) -11416 м2</v>
      </c>
      <c r="B9" s="110"/>
      <c r="C9" s="110"/>
      <c r="D9" s="110"/>
      <c r="E9" s="110"/>
    </row>
    <row r="10" spans="1:30" ht="42.75" x14ac:dyDescent="0.2">
      <c r="A10" s="44" t="str">
        <f>Source!E28</f>
        <v>1</v>
      </c>
      <c r="B10" s="45" t="str">
        <f>Source!G28</f>
        <v>Срезка поверхностного слоя асфальтобетонных покрытий методом холодного фрезерования при ширине барабана фрезы 2000 (2100) мм толщиной 6 см, без препятствий</v>
      </c>
      <c r="C10" s="46" t="str">
        <f>Source!H28</f>
        <v>100 м2</v>
      </c>
      <c r="D10" s="47">
        <f>Source!I28</f>
        <v>106.51128</v>
      </c>
      <c r="E10" s="45"/>
    </row>
    <row r="11" spans="1:30" ht="42.75" x14ac:dyDescent="0.2">
      <c r="A11" s="44" t="str">
        <f>Source!E29</f>
        <v>2</v>
      </c>
      <c r="B11" s="45" t="str">
        <f>Source!G29</f>
        <v>Разборка асфальтобетона вдоль бортового камня при срезке методом холодного фрезерования</v>
      </c>
      <c r="C11" s="46" t="str">
        <f>Source!H29</f>
        <v>100 м бортового камня</v>
      </c>
      <c r="D11" s="47">
        <f>Source!I29</f>
        <v>68.496080000000006</v>
      </c>
      <c r="E11" s="45"/>
    </row>
    <row r="12" spans="1:30" ht="28.5" x14ac:dyDescent="0.2">
      <c r="A12" s="44" t="str">
        <f>Source!E30</f>
        <v>3</v>
      </c>
      <c r="B12" s="45" t="str">
        <f>Source!G30</f>
        <v>Разборка покрытий и оснований асфальтобетонных</v>
      </c>
      <c r="C12" s="46" t="str">
        <f>Source!H30</f>
        <v>100 м3 конструкций</v>
      </c>
      <c r="D12" s="47">
        <f>Source!I30</f>
        <v>2.7398400000000001</v>
      </c>
      <c r="E12" s="45"/>
    </row>
    <row r="13" spans="1:30" ht="28.5" x14ac:dyDescent="0.2">
      <c r="A13" s="44" t="str">
        <f>Source!E31</f>
        <v>4</v>
      </c>
      <c r="B13" s="45" t="str">
        <f>Source!G31</f>
        <v>Погрузка и выгрузка вручную строительного мусора на транспортные средства</v>
      </c>
      <c r="C13" s="46" t="str">
        <f>Source!H31</f>
        <v>1 Т</v>
      </c>
      <c r="D13" s="47">
        <f>Source!I31</f>
        <v>65.756159999999994</v>
      </c>
      <c r="E13" s="45"/>
    </row>
    <row r="14" spans="1:30" ht="42.75" x14ac:dyDescent="0.2">
      <c r="A14" s="44" t="str">
        <f>Source!E34</f>
        <v>7</v>
      </c>
      <c r="B14" s="45" t="str">
        <f>Source!G34</f>
        <v>Исправление профиля щебеночных оснований с добавлением нового материала</v>
      </c>
      <c r="C14" s="46" t="str">
        <f>Source!H34</f>
        <v>1000 м2 площади основания</v>
      </c>
      <c r="D14" s="47">
        <f>Source!I34</f>
        <v>3.4114432799999999</v>
      </c>
      <c r="E14" s="45"/>
    </row>
    <row r="15" spans="1:30" ht="28.5" x14ac:dyDescent="0.2">
      <c r="A15" s="44" t="str">
        <f>Source!E35</f>
        <v>7,1</v>
      </c>
      <c r="B15" s="45" t="str">
        <f>Source!G35</f>
        <v>Щебень из естественного камня для дорожных работ, марка 600 - 400, фракция 20-40 мм</v>
      </c>
      <c r="C15" s="46" t="str">
        <f>Source!H35</f>
        <v>м3</v>
      </c>
      <c r="D15" s="47">
        <f>Source!I35</f>
        <v>429.84185300000001</v>
      </c>
      <c r="E15" s="45"/>
    </row>
    <row r="16" spans="1:30" ht="28.5" x14ac:dyDescent="0.2">
      <c r="A16" s="44" t="str">
        <f>Source!E37</f>
        <v>9</v>
      </c>
      <c r="B16" s="45" t="str">
        <f>Source!G37</f>
        <v>Устройство покрытий из горячих асфальтобетонных смесей толщиной 4 см комплектом машин</v>
      </c>
      <c r="C16" s="46" t="str">
        <f>Source!H37</f>
        <v>100 м2 покрытия</v>
      </c>
      <c r="D16" s="47">
        <f>Source!I37</f>
        <v>113.714776</v>
      </c>
      <c r="E16" s="45"/>
    </row>
    <row r="17" spans="1:5" ht="28.5" x14ac:dyDescent="0.2">
      <c r="A17" s="44" t="str">
        <f>Source!E38</f>
        <v>9,1</v>
      </c>
      <c r="B17" s="45" t="str">
        <f>Source!G38</f>
        <v>Смеси асфальтобетонные дорожные горячие мелкозернистые, марка I, тип Б</v>
      </c>
      <c r="C17" s="46" t="str">
        <f>Source!H38</f>
        <v>т</v>
      </c>
      <c r="D17" s="47">
        <f>Source!I38</f>
        <v>1159.890715</v>
      </c>
      <c r="E17" s="45"/>
    </row>
    <row r="18" spans="1:5" ht="28.5" x14ac:dyDescent="0.2">
      <c r="A18" s="44" t="str">
        <f>Source!E39</f>
        <v>10</v>
      </c>
      <c r="B18" s="45" t="str">
        <f>Source!G39</f>
        <v>Добавляется на каждый 1 см изменения толщины слоя сверх 4 см к позиции 3.27-42-1</v>
      </c>
      <c r="C18" s="46" t="str">
        <f>Source!H39</f>
        <v>100 м2 покрытия</v>
      </c>
      <c r="D18" s="47">
        <f>Source!I39</f>
        <v>113.714776</v>
      </c>
      <c r="E18" s="45"/>
    </row>
    <row r="19" spans="1:5" ht="28.5" x14ac:dyDescent="0.2">
      <c r="A19" s="44" t="str">
        <f>Source!E40</f>
        <v>10,1</v>
      </c>
      <c r="B19" s="45" t="str">
        <f>Source!G40</f>
        <v>Смеси асфальтобетонные дорожные горячие мелкозернистые, марка I, тип Б</v>
      </c>
      <c r="C19" s="46" t="str">
        <f>Source!H40</f>
        <v>т</v>
      </c>
      <c r="D19" s="47">
        <f>Source!I40</f>
        <v>291.109827</v>
      </c>
      <c r="E19" s="45"/>
    </row>
    <row r="20" spans="1:5" ht="16.5" x14ac:dyDescent="0.25">
      <c r="A20" s="110" t="str">
        <f>CONCATENATE("Раздел: ", Source!G73)</f>
        <v>Раздел: 3. А/б покрытие пешеходных тротуаров на существующее основание</v>
      </c>
      <c r="B20" s="110"/>
      <c r="C20" s="110"/>
      <c r="D20" s="110"/>
      <c r="E20" s="110"/>
    </row>
    <row r="21" spans="1:5" ht="28.5" x14ac:dyDescent="0.2">
      <c r="A21" s="44" t="str">
        <f>Source!E77</f>
        <v>11</v>
      </c>
      <c r="B21" s="45" t="str">
        <f>Source!G77</f>
        <v>Разборка покрытий и оснований асфальтобетонных</v>
      </c>
      <c r="C21" s="46" t="str">
        <f>Source!H77</f>
        <v>100 м3 конструкций</v>
      </c>
      <c r="D21" s="47">
        <f>Source!I77</f>
        <v>1.5911</v>
      </c>
      <c r="E21" s="45"/>
    </row>
    <row r="22" spans="1:5" ht="28.5" x14ac:dyDescent="0.2">
      <c r="A22" s="44" t="str">
        <f>Source!E78</f>
        <v>12</v>
      </c>
      <c r="B22" s="45" t="str">
        <f>Source!G78</f>
        <v>Разборка покрытий и оснований щебеночных</v>
      </c>
      <c r="C22" s="46" t="str">
        <f>Source!H78</f>
        <v>100 м3 конструкций</v>
      </c>
      <c r="D22" s="47">
        <f>Source!I78</f>
        <v>1.1365000000000001</v>
      </c>
      <c r="E22" s="45"/>
    </row>
    <row r="23" spans="1:5" ht="28.5" x14ac:dyDescent="0.2">
      <c r="A23" s="44" t="str">
        <f>Source!E80</f>
        <v>14</v>
      </c>
      <c r="B23" s="45" t="str">
        <f>Source!G80</f>
        <v>Погрузка и выгрузка вручную строительного мусора на транспортные средства</v>
      </c>
      <c r="C23" s="46" t="str">
        <f>Source!H80</f>
        <v>1 Т</v>
      </c>
      <c r="D23" s="47">
        <f>Source!I80</f>
        <v>56.370399999999997</v>
      </c>
      <c r="E23" s="45"/>
    </row>
    <row r="24" spans="1:5" ht="42.75" x14ac:dyDescent="0.2">
      <c r="A24" s="44" t="str">
        <f>Source!E84</f>
        <v>18</v>
      </c>
      <c r="B24" s="45" t="str">
        <f>Source!G84</f>
        <v>Исправление профиля щебеночных оснований с добавлением нового материала</v>
      </c>
      <c r="C24" s="46" t="str">
        <f>Source!H84</f>
        <v>1000 м2 площади основания</v>
      </c>
      <c r="D24" s="47">
        <f>Source!I84</f>
        <v>0.68189999999999995</v>
      </c>
      <c r="E24" s="45"/>
    </row>
    <row r="25" spans="1:5" ht="28.5" x14ac:dyDescent="0.2">
      <c r="A25" s="44" t="str">
        <f>Source!E85</f>
        <v>18,1</v>
      </c>
      <c r="B25" s="45" t="str">
        <f>Source!G85</f>
        <v>Щебень из естественного камня для дорожных работ, марка 600 - 400, фракция 20-40 мм</v>
      </c>
      <c r="C25" s="46" t="str">
        <f>Source!H85</f>
        <v>м3</v>
      </c>
      <c r="D25" s="47">
        <f>Source!I85</f>
        <v>85.919399999999996</v>
      </c>
      <c r="E25" s="45"/>
    </row>
    <row r="26" spans="1:5" ht="42.75" x14ac:dyDescent="0.2">
      <c r="A26" s="44" t="str">
        <f>Source!E86</f>
        <v>19</v>
      </c>
      <c r="B26" s="45" t="str">
        <f>Source!G86</f>
        <v>Устройство асфальтобетонных покрытий дорожек и тротуаров двухслойных верхний слой из песчаной асфальтобетонной смеси толщиной 3 см</v>
      </c>
      <c r="C26" s="46" t="str">
        <f>Source!H86</f>
        <v>100 м2 покрытия</v>
      </c>
      <c r="D26" s="47">
        <f>Source!I86</f>
        <v>22.73</v>
      </c>
      <c r="E26" s="45"/>
    </row>
    <row r="27" spans="1:5" ht="14.25" x14ac:dyDescent="0.2">
      <c r="A27" s="44" t="str">
        <f>Source!E87</f>
        <v>19,1</v>
      </c>
      <c r="B27" s="45" t="str">
        <f>Source!G87</f>
        <v>Смеси асфальтобетонные дорожные горячие песчаные, тип Д, марка II</v>
      </c>
      <c r="C27" s="46" t="str">
        <f>Source!H87</f>
        <v>т</v>
      </c>
      <c r="D27" s="47">
        <f>Source!I87</f>
        <v>347.76900000000001</v>
      </c>
      <c r="E27" s="45"/>
    </row>
    <row r="28" spans="1:5" ht="16.5" x14ac:dyDescent="0.25">
      <c r="A28" s="110" t="str">
        <f>CONCATENATE("Раздел: ", Source!G154)</f>
        <v>Раздел: 5.1. Установка дорожного бортового камня БР 100.30.15 с разборкой</v>
      </c>
      <c r="B28" s="110"/>
      <c r="C28" s="110"/>
      <c r="D28" s="110"/>
      <c r="E28" s="110"/>
    </row>
    <row r="29" spans="1:5" ht="14.25" x14ac:dyDescent="0.2">
      <c r="A29" s="44" t="str">
        <f>Source!E158</f>
        <v>20</v>
      </c>
      <c r="B29" s="45" t="str">
        <f>Source!G158</f>
        <v>Разборка бортовых камней на бетонном основании</v>
      </c>
      <c r="C29" s="46" t="str">
        <f>Source!H158</f>
        <v>100 м</v>
      </c>
      <c r="D29" s="47">
        <f>Source!I158</f>
        <v>34.97</v>
      </c>
      <c r="E29" s="45"/>
    </row>
    <row r="30" spans="1:5" ht="28.5" x14ac:dyDescent="0.2">
      <c r="A30" s="44" t="str">
        <f>Source!E159</f>
        <v>21</v>
      </c>
      <c r="B30" s="45" t="str">
        <f>Source!G159</f>
        <v>Погрузка и выгрузка вручную строительного мусора на транспортные средства</v>
      </c>
      <c r="C30" s="46" t="str">
        <f>Source!H159</f>
        <v>1 Т</v>
      </c>
      <c r="D30" s="47">
        <f>Source!I159</f>
        <v>84.76728</v>
      </c>
      <c r="E30" s="45"/>
    </row>
    <row r="31" spans="1:5" ht="42.75" x14ac:dyDescent="0.2">
      <c r="A31" s="44" t="str">
        <f>Source!E165</f>
        <v>26</v>
      </c>
      <c r="B31" s="45" t="str">
        <f>Source!G165</f>
        <v>Установка бортовых камней бетонных при других видах покрытий</v>
      </c>
      <c r="C31" s="46" t="str">
        <f>Source!H165</f>
        <v>100 м бортового камня</v>
      </c>
      <c r="D31" s="47">
        <f>Source!I165</f>
        <v>34.97</v>
      </c>
      <c r="E31" s="45"/>
    </row>
    <row r="32" spans="1:5" ht="16.5" x14ac:dyDescent="0.25">
      <c r="A32" s="110" t="str">
        <f>CONCATENATE("Раздел: ", Source!G198)</f>
        <v>Раздел: 10.1. Устройство новых оснований площадок (детские, спортивные, воркаут)</v>
      </c>
      <c r="B32" s="110"/>
      <c r="C32" s="110"/>
      <c r="D32" s="110"/>
      <c r="E32" s="110"/>
    </row>
    <row r="33" spans="1:5" ht="28.5" x14ac:dyDescent="0.2">
      <c r="A33" s="44" t="str">
        <f>Source!E202</f>
        <v>27</v>
      </c>
      <c r="B33" s="45" t="str">
        <f>Source!G202</f>
        <v>Разработка грунта с погрузкой на автомобили-самосвалы экскаваторами с ковшом вместимостью 0,5 м3 группа грунтов 1-3</v>
      </c>
      <c r="C33" s="46" t="str">
        <f>Source!H202</f>
        <v>100 м3 грунта</v>
      </c>
      <c r="D33" s="47">
        <f>Source!I202</f>
        <v>12.25854</v>
      </c>
      <c r="E33" s="45"/>
    </row>
    <row r="34" spans="1:5" ht="28.5" x14ac:dyDescent="0.2">
      <c r="A34" s="44" t="str">
        <f>Source!E203</f>
        <v>28</v>
      </c>
      <c r="B34" s="45" t="str">
        <f>Source!G203</f>
        <v>Разработка грунта вручную в траншеях глубиной до 2 м без креплений с откосами группа грунтов 1-3</v>
      </c>
      <c r="C34" s="46" t="str">
        <f>Source!H203</f>
        <v>100 м3 грунта</v>
      </c>
      <c r="D34" s="47">
        <f>Source!I203</f>
        <v>1.36206</v>
      </c>
      <c r="E34" s="45"/>
    </row>
    <row r="35" spans="1:5" ht="14.25" x14ac:dyDescent="0.2">
      <c r="A35" s="44" t="str">
        <f>Source!E204</f>
        <v>29</v>
      </c>
      <c r="B35" s="45" t="str">
        <f>Source!G204</f>
        <v>Погрузка грунта вручную в автомобили-самосвалы с выгрузкой</v>
      </c>
      <c r="C35" s="46" t="str">
        <f>Source!H204</f>
        <v>100 м3 грунта</v>
      </c>
      <c r="D35" s="47">
        <f>Source!I204</f>
        <v>1.36206</v>
      </c>
      <c r="E35" s="45"/>
    </row>
    <row r="36" spans="1:5" ht="57" x14ac:dyDescent="0.2">
      <c r="A36" s="44" t="str">
        <f>Source!E207</f>
        <v>32</v>
      </c>
      <c r="B36" s="45" t="str">
        <f>Source!G207</f>
        <v>Устройство подстилающих и выравнивающих слоев оснований из песка</v>
      </c>
      <c r="C36" s="46" t="str">
        <f>Source!H207</f>
        <v>100 м3 материала основания (в плотном теле)</v>
      </c>
      <c r="D36" s="47">
        <f>Source!I207</f>
        <v>6.4859999999999998</v>
      </c>
      <c r="E36" s="45"/>
    </row>
    <row r="37" spans="1:5" ht="14.25" x14ac:dyDescent="0.2">
      <c r="A37" s="44" t="str">
        <f>Source!E208</f>
        <v>32,1</v>
      </c>
      <c r="B37" s="45" t="str">
        <f>Source!G208</f>
        <v>Песок для строительных работ, рядовой</v>
      </c>
      <c r="C37" s="46" t="str">
        <f>Source!H208</f>
        <v>м3</v>
      </c>
      <c r="D37" s="47">
        <f>Source!I208</f>
        <v>713.46</v>
      </c>
      <c r="E37" s="45"/>
    </row>
    <row r="38" spans="1:5" ht="57" x14ac:dyDescent="0.2">
      <c r="A38" s="44" t="str">
        <f>Source!E209</f>
        <v>33</v>
      </c>
      <c r="B38" s="45" t="str">
        <f>Source!G209</f>
        <v>Устройство подстилающих и выравнивающих слоев оснований из щебня</v>
      </c>
      <c r="C38" s="46" t="str">
        <f>Source!H209</f>
        <v>100 м3 материала основания (в плотном теле)</v>
      </c>
      <c r="D38" s="47">
        <f>Source!I209</f>
        <v>4.8644999999999996</v>
      </c>
      <c r="E38" s="45"/>
    </row>
    <row r="39" spans="1:5" ht="28.5" x14ac:dyDescent="0.2">
      <c r="A39" s="44" t="str">
        <f>Source!E210</f>
        <v>33,1</v>
      </c>
      <c r="B39" s="45" t="str">
        <f>Source!G210</f>
        <v>Щебень из естественного камня для дорожных работ, марка 600 - 400, фракция 20-40 мм</v>
      </c>
      <c r="C39" s="46" t="str">
        <f>Source!H210</f>
        <v>м3</v>
      </c>
      <c r="D39" s="47">
        <f>Source!I210</f>
        <v>612.92700000000002</v>
      </c>
      <c r="E39" s="45"/>
    </row>
    <row r="40" spans="1:5" ht="42.75" x14ac:dyDescent="0.2">
      <c r="A40" s="44" t="str">
        <f>Source!E211</f>
        <v>34</v>
      </c>
      <c r="B40" s="45" t="str">
        <f>Source!G211</f>
        <v>Устройство асфальтобетонных покрытий дорожек и тротуаров двухслойных верхний слой из песчаной асфальтобетонной смеси толщиной 3 см</v>
      </c>
      <c r="C40" s="46" t="str">
        <f>Source!H211</f>
        <v>100 м2 покрытия</v>
      </c>
      <c r="D40" s="47">
        <f>Source!I211</f>
        <v>32.43</v>
      </c>
      <c r="E40" s="45"/>
    </row>
    <row r="41" spans="1:5" ht="14.25" x14ac:dyDescent="0.2">
      <c r="A41" s="44" t="str">
        <f>Source!E212</f>
        <v>34,1</v>
      </c>
      <c r="B41" s="45" t="str">
        <f>Source!G212</f>
        <v>Смеси асфальтобетонные дорожные горячие песчаные, тип Д, марка II</v>
      </c>
      <c r="C41" s="46" t="str">
        <f>Source!H212</f>
        <v>т</v>
      </c>
      <c r="D41" s="47">
        <f>Source!I212</f>
        <v>418.18484999999998</v>
      </c>
      <c r="E41" s="45"/>
    </row>
    <row r="42" spans="1:5" ht="16.5" x14ac:dyDescent="0.25">
      <c r="A42" s="110" t="str">
        <f>CONCATENATE("Раздел: ", Source!G245)</f>
        <v>Раздел: 11. Камень бетонный садовый 2093м</v>
      </c>
      <c r="B42" s="110"/>
      <c r="C42" s="110"/>
      <c r="D42" s="110"/>
      <c r="E42" s="110"/>
    </row>
    <row r="43" spans="1:5" ht="14.25" x14ac:dyDescent="0.2">
      <c r="A43" s="44" t="str">
        <f>Source!E249</f>
        <v>35</v>
      </c>
      <c r="B43" s="45" t="str">
        <f>Source!G249</f>
        <v>Разборка бортовых камней на бетонном основании</v>
      </c>
      <c r="C43" s="46" t="str">
        <f>Source!H249</f>
        <v>100 м</v>
      </c>
      <c r="D43" s="47">
        <f>Source!I249</f>
        <v>20.93</v>
      </c>
      <c r="E43" s="45"/>
    </row>
    <row r="44" spans="1:5" ht="28.5" x14ac:dyDescent="0.2">
      <c r="A44" s="44" t="str">
        <f>Source!E250</f>
        <v>36</v>
      </c>
      <c r="B44" s="45" t="str">
        <f>Source!G250</f>
        <v>Погрузка и выгрузка вручную строительного мусора на транспортные средства</v>
      </c>
      <c r="C44" s="46" t="str">
        <f>Source!H250</f>
        <v>1 Т</v>
      </c>
      <c r="D44" s="47">
        <f>Source!I250</f>
        <v>31.344767999999998</v>
      </c>
      <c r="E44" s="45"/>
    </row>
    <row r="45" spans="1:5" ht="57" x14ac:dyDescent="0.2">
      <c r="A45" s="44" t="str">
        <f>Source!E254</f>
        <v>40</v>
      </c>
      <c r="B45" s="45" t="str">
        <f>Source!G254</f>
        <v>Устройство подстилающих и выравнивающих слоев оснований из песка</v>
      </c>
      <c r="C45" s="46" t="str">
        <f>Source!H254</f>
        <v>100 м3 материала основания (в плотном теле)</v>
      </c>
      <c r="D45" s="47">
        <f>Source!I254</f>
        <v>0.41860000000000003</v>
      </c>
      <c r="E45" s="45"/>
    </row>
    <row r="46" spans="1:5" ht="14.25" x14ac:dyDescent="0.2">
      <c r="A46" s="44" t="str">
        <f>Source!E255</f>
        <v>40,1</v>
      </c>
      <c r="B46" s="45" t="str">
        <f>Source!G255</f>
        <v>Песок для строительных работ, рядовой</v>
      </c>
      <c r="C46" s="46" t="str">
        <f>Source!H255</f>
        <v>м3</v>
      </c>
      <c r="D46" s="47">
        <f>Source!I255</f>
        <v>46.045999999999999</v>
      </c>
      <c r="E46" s="45"/>
    </row>
    <row r="47" spans="1:5" ht="42.75" x14ac:dyDescent="0.2">
      <c r="A47" s="44" t="str">
        <f>Source!E256</f>
        <v>41</v>
      </c>
      <c r="B47" s="45" t="str">
        <f>Source!G256</f>
        <v>Установка бортовых камней бетонных газонных и садовых при других видах покрытий</v>
      </c>
      <c r="C47" s="46" t="str">
        <f>Source!H256</f>
        <v>100 м бортового камня</v>
      </c>
      <c r="D47" s="47">
        <f>Source!I256</f>
        <v>20.93</v>
      </c>
      <c r="E47" s="45"/>
    </row>
    <row r="48" spans="1:5" ht="14.25" x14ac:dyDescent="0.2">
      <c r="A48" s="44" t="str">
        <f>Source!E257</f>
        <v>41,1</v>
      </c>
      <c r="B48" s="45" t="str">
        <f>Source!G257</f>
        <v>Камни бетонные бортовые, марка БР 100.20.8</v>
      </c>
      <c r="C48" s="46" t="str">
        <f>Source!H257</f>
        <v>м3</v>
      </c>
      <c r="D48" s="47">
        <f>Source!I257</f>
        <v>29.536415999999999</v>
      </c>
      <c r="E48" s="45"/>
    </row>
    <row r="49" spans="1:5" ht="16.5" x14ac:dyDescent="0.25">
      <c r="A49" s="110" t="str">
        <f>CONCATENATE("Раздел: ", Source!G324)</f>
        <v>Раздел: 20.2. Газон посевной 10см</v>
      </c>
      <c r="B49" s="110"/>
      <c r="C49" s="110"/>
      <c r="D49" s="110"/>
      <c r="E49" s="110"/>
    </row>
    <row r="50" spans="1:5" ht="28.5" x14ac:dyDescent="0.2">
      <c r="A50" s="44" t="str">
        <f>Source!E328</f>
        <v>42</v>
      </c>
      <c r="B50" s="45" t="str">
        <f>Source!G328</f>
        <v>Разработка грунта с погрузкой на автомобили-самосвалы экскаваторами с ковшом вместимостью 0,5 м3 группа грунтов 1-3</v>
      </c>
      <c r="C50" s="46" t="str">
        <f>Source!H328</f>
        <v>100 м3 грунта</v>
      </c>
      <c r="D50" s="47">
        <f>Source!I328</f>
        <v>19.5885</v>
      </c>
      <c r="E50" s="45"/>
    </row>
    <row r="51" spans="1:5" ht="28.5" x14ac:dyDescent="0.2">
      <c r="A51" s="44" t="str">
        <f>Source!E329</f>
        <v>43</v>
      </c>
      <c r="B51" s="45" t="str">
        <f>Source!G329</f>
        <v>Устройство корыта под газоны и цветники с планировкой дна в грунтах 1 и 2 группы</v>
      </c>
      <c r="C51" s="46" t="str">
        <f>Source!H329</f>
        <v>1 м3</v>
      </c>
      <c r="D51" s="47">
        <f>Source!I329</f>
        <v>652.95000000000005</v>
      </c>
      <c r="E51" s="45"/>
    </row>
    <row r="52" spans="1:5" ht="28.5" x14ac:dyDescent="0.2">
      <c r="A52" s="44" t="str">
        <f>Source!E330</f>
        <v>44</v>
      </c>
      <c r="B52" s="45" t="str">
        <f>Source!G330</f>
        <v>Разработка грунта с погрузкой на автомобили-самосвалы экскаваторами с ковшом вместимостью 0,5 м3 группа грунтов 1-3</v>
      </c>
      <c r="C52" s="46" t="str">
        <f>Source!H330</f>
        <v>100 м3 грунта</v>
      </c>
      <c r="D52" s="47">
        <f>Source!I330</f>
        <v>5.8765499999999999</v>
      </c>
      <c r="E52" s="45"/>
    </row>
    <row r="53" spans="1:5" ht="14.25" x14ac:dyDescent="0.2">
      <c r="A53" s="44" t="str">
        <f>Source!E331</f>
        <v>45</v>
      </c>
      <c r="B53" s="45" t="str">
        <f>Source!G331</f>
        <v>Погрузка грунта вручную в автомобили-самосвалы с выгрузкой</v>
      </c>
      <c r="C53" s="46" t="str">
        <f>Source!H331</f>
        <v>100 м3 грунта</v>
      </c>
      <c r="D53" s="47">
        <f>Source!I331</f>
        <v>0.65295000000000003</v>
      </c>
      <c r="E53" s="45"/>
    </row>
    <row r="54" spans="1:5" ht="42.75" x14ac:dyDescent="0.2">
      <c r="A54" s="44" t="str">
        <f>Source!E334</f>
        <v>48</v>
      </c>
      <c r="B54" s="45" t="str">
        <f>Source!G334</f>
        <v>Подготовка почвы для устройства партерного и обыкновенного газонов с внесением растительной земли слоем 15 см механизированным способом</v>
      </c>
      <c r="C54" s="46" t="str">
        <f>Source!H334</f>
        <v>100 м2</v>
      </c>
      <c r="D54" s="47">
        <f>Source!I334</f>
        <v>195.88499999999999</v>
      </c>
      <c r="E54" s="45"/>
    </row>
    <row r="55" spans="1:5" ht="14.25" x14ac:dyDescent="0.2">
      <c r="A55" s="44" t="str">
        <f>Source!E335</f>
        <v>48,1</v>
      </c>
      <c r="B55" s="45" t="str">
        <f>Source!G335</f>
        <v>Земля растительная</v>
      </c>
      <c r="C55" s="46" t="str">
        <f>Source!H335</f>
        <v>м3</v>
      </c>
      <c r="D55" s="47">
        <f>Source!I335</f>
        <v>2938.2750000000001</v>
      </c>
      <c r="E55" s="45"/>
    </row>
    <row r="56" spans="1:5" ht="28.5" x14ac:dyDescent="0.2">
      <c r="A56" s="44" t="str">
        <f>Source!E336</f>
        <v>49</v>
      </c>
      <c r="B56" s="45" t="str">
        <f>Source!G336</f>
        <v>Подготовка почвы для устройства партерного и обыкновенного газонов с внесением растительной земли слоем 15 см вручную</v>
      </c>
      <c r="C56" s="46" t="str">
        <f>Source!H336</f>
        <v>100 м2</v>
      </c>
      <c r="D56" s="47">
        <f>Source!I336</f>
        <v>65.295000000000002</v>
      </c>
      <c r="E56" s="45"/>
    </row>
    <row r="57" spans="1:5" ht="14.25" x14ac:dyDescent="0.2">
      <c r="A57" s="44" t="str">
        <f>Source!E337</f>
        <v>49,1</v>
      </c>
      <c r="B57" s="45" t="str">
        <f>Source!G337</f>
        <v>Земля растительная</v>
      </c>
      <c r="C57" s="46" t="str">
        <f>Source!H337</f>
        <v>м3</v>
      </c>
      <c r="D57" s="47">
        <f>Source!I337</f>
        <v>979.42499999999995</v>
      </c>
      <c r="E57" s="45"/>
    </row>
    <row r="58" spans="1:5" ht="28.5" x14ac:dyDescent="0.2">
      <c r="A58" s="44" t="str">
        <f>Source!E338</f>
        <v>50</v>
      </c>
      <c r="B58" s="45" t="str">
        <f>Source!G338</f>
        <v>Подготовка почвы для устройства партерного и обыкновенного газонов на каждые 5 см изменения толщины слоя добавлять или исключать</v>
      </c>
      <c r="C58" s="46" t="str">
        <f>Source!H338</f>
        <v>100 м2</v>
      </c>
      <c r="D58" s="47">
        <f>Source!I338</f>
        <v>-261.18</v>
      </c>
      <c r="E58" s="45"/>
    </row>
    <row r="59" spans="1:5" ht="14.25" x14ac:dyDescent="0.2">
      <c r="A59" s="44" t="str">
        <f>Source!E339</f>
        <v>50,1</v>
      </c>
      <c r="B59" s="45" t="str">
        <f>Source!G339</f>
        <v>Земля растительная</v>
      </c>
      <c r="C59" s="46" t="str">
        <f>Source!H339</f>
        <v>м3</v>
      </c>
      <c r="D59" s="47">
        <f>Source!I339</f>
        <v>-1305.9000000000001</v>
      </c>
      <c r="E59" s="45"/>
    </row>
    <row r="60" spans="1:5" ht="14.25" x14ac:dyDescent="0.2">
      <c r="A60" s="44" t="str">
        <f>Source!E340</f>
        <v>51</v>
      </c>
      <c r="B60" s="45" t="str">
        <f>Source!G340</f>
        <v>Посев газонов партерных, мавританских, и обыкновенных вручную</v>
      </c>
      <c r="C60" s="46" t="str">
        <f>Source!H340</f>
        <v>100 м2</v>
      </c>
      <c r="D60" s="47">
        <f>Source!I340</f>
        <v>261.18</v>
      </c>
      <c r="E60" s="45"/>
    </row>
    <row r="61" spans="1:5" ht="14.25" x14ac:dyDescent="0.2">
      <c r="A61" s="44" t="str">
        <f>Source!E341</f>
        <v>51,1</v>
      </c>
      <c r="B61" s="45" t="str">
        <f>Source!G341</f>
        <v>Семена (смесь универсальная) газонных трав</v>
      </c>
      <c r="C61" s="46" t="str">
        <f>Source!H341</f>
        <v>кг</v>
      </c>
      <c r="D61" s="47">
        <f>Source!I341</f>
        <v>1044.72</v>
      </c>
      <c r="E61" s="45"/>
    </row>
    <row r="62" spans="1:5" ht="16.5" x14ac:dyDescent="0.25">
      <c r="A62" s="110" t="str">
        <f>CONCATENATE("Раздел: ", Source!G374)</f>
        <v>Раздел: 21.1. Посадка кустарников (h=0,7 м)</v>
      </c>
      <c r="B62" s="110"/>
      <c r="C62" s="110"/>
      <c r="D62" s="110"/>
      <c r="E62" s="110"/>
    </row>
    <row r="63" spans="1:5" ht="28.5" x14ac:dyDescent="0.2">
      <c r="A63" s="44" t="str">
        <f>Source!E378</f>
        <v>52</v>
      </c>
      <c r="B63" s="45" t="str">
        <f>Source!G378</f>
        <v>Разработка грунта с погрузкой на автомобили-самосвалы экскаваторами с ковшом вместимостью 0,5 м3 группа грунтов 1-3</v>
      </c>
      <c r="C63" s="46" t="str">
        <f>Source!H378</f>
        <v>100 м3 грунта</v>
      </c>
      <c r="D63" s="47">
        <f>Source!I378</f>
        <v>6.9678000000000004</v>
      </c>
      <c r="E63" s="45"/>
    </row>
    <row r="64" spans="1:5" ht="14.25" x14ac:dyDescent="0.2">
      <c r="A64" s="44" t="str">
        <f>Source!E379</f>
        <v>53</v>
      </c>
      <c r="B64" s="45" t="str">
        <f>Source!G379</f>
        <v>Погрузка грунта вручную в автомобили-самосвалы с выгрузкой</v>
      </c>
      <c r="C64" s="46" t="str">
        <f>Source!H379</f>
        <v>100 м3 грунта</v>
      </c>
      <c r="D64" s="47">
        <f>Source!I379</f>
        <v>0.7742</v>
      </c>
      <c r="E64" s="45"/>
    </row>
    <row r="65" spans="1:5" ht="42.75" x14ac:dyDescent="0.2">
      <c r="A65" s="44" t="str">
        <f>Source!E382</f>
        <v>56</v>
      </c>
      <c r="B65" s="45" t="str">
        <f>Source!G382</f>
        <v>Подготовка стандартных посадочных мест для деревьев и кустарников механизированным способом, с круглым комом земли размером 0,3х0,3 м с добавлением растительной земли до 100%</v>
      </c>
      <c r="C65" s="46" t="str">
        <f>Source!H382</f>
        <v>10 ям</v>
      </c>
      <c r="D65" s="47">
        <f>Source!I382</f>
        <v>110.6</v>
      </c>
      <c r="E65" s="45"/>
    </row>
    <row r="66" spans="1:5" ht="14.25" x14ac:dyDescent="0.2">
      <c r="A66" s="44" t="str">
        <f>Source!E383</f>
        <v>56,1</v>
      </c>
      <c r="B66" s="45" t="str">
        <f>Source!G383</f>
        <v>Земля растительная</v>
      </c>
      <c r="C66" s="46" t="str">
        <f>Source!H383</f>
        <v>м3</v>
      </c>
      <c r="D66" s="47">
        <f>Source!I383</f>
        <v>221.2</v>
      </c>
      <c r="E66" s="45"/>
    </row>
    <row r="67" spans="1:5" ht="28.5" x14ac:dyDescent="0.2">
      <c r="A67" s="44" t="str">
        <f>Source!E384</f>
        <v>57</v>
      </c>
      <c r="B67" s="45" t="str">
        <f>Source!G384</f>
        <v>Подготовка стандартных посадочных мест вручную, с круглым комом земли размером 0,3х0,3 м с добавлением растительной земли до 100%</v>
      </c>
      <c r="C67" s="46" t="str">
        <f>Source!H384</f>
        <v>10 ям</v>
      </c>
      <c r="D67" s="47">
        <f>Source!I384</f>
        <v>165.9</v>
      </c>
      <c r="E67" s="45"/>
    </row>
    <row r="68" spans="1:5" ht="14.25" x14ac:dyDescent="0.2">
      <c r="A68" s="44" t="str">
        <f>Source!E385</f>
        <v>57,1</v>
      </c>
      <c r="B68" s="45" t="str">
        <f>Source!G385</f>
        <v>Земля растительная</v>
      </c>
      <c r="C68" s="46" t="str">
        <f>Source!H385</f>
        <v>м3</v>
      </c>
      <c r="D68" s="47">
        <f>Source!I385</f>
        <v>331.8</v>
      </c>
      <c r="E68" s="45"/>
    </row>
    <row r="69" spans="1:5" ht="42.75" x14ac:dyDescent="0.2">
      <c r="A69" s="44" t="str">
        <f>Source!E386</f>
        <v>58</v>
      </c>
      <c r="B69" s="45" t="str">
        <f>Source!G386</f>
        <v>Посадка деревьев и кустарников с комом земли, диаметром 0,3 м и высотой 0,3 м</v>
      </c>
      <c r="C69" s="46" t="str">
        <f>Source!H386</f>
        <v>10 деревьев или кустарников</v>
      </c>
      <c r="D69" s="47">
        <f>Source!I386</f>
        <v>276.5</v>
      </c>
      <c r="E69" s="45"/>
    </row>
    <row r="70" spans="1:5" ht="28.5" x14ac:dyDescent="0.2">
      <c r="A70" s="44" t="str">
        <f>Source!E387</f>
        <v>58,1</v>
      </c>
      <c r="B70" s="45" t="str">
        <f>Source!G387</f>
        <v>Кустарники декоративные с комом земли, калина обыкновенная, высота 0,3 м, диаметр 0,3 м</v>
      </c>
      <c r="C70" s="46" t="str">
        <f>Source!H387</f>
        <v>шт.</v>
      </c>
      <c r="D70" s="47">
        <f>Source!I387</f>
        <v>2765</v>
      </c>
      <c r="E70" s="45"/>
    </row>
    <row r="71" spans="1:5" ht="16.5" x14ac:dyDescent="0.25">
      <c r="A71" s="110" t="str">
        <f>CONCATENATE("Раздел: ", Source!G488)</f>
        <v>Раздел: 22.1 Посадка деревьев с комом 0,8х0,6 м, высотой от 3 м</v>
      </c>
      <c r="B71" s="110"/>
      <c r="C71" s="110"/>
      <c r="D71" s="110"/>
      <c r="E71" s="110"/>
    </row>
    <row r="72" spans="1:5" ht="42.75" x14ac:dyDescent="0.2">
      <c r="A72" s="44" t="str">
        <f>Source!E492</f>
        <v>59</v>
      </c>
      <c r="B72" s="45" t="str">
        <f>Source!G492</f>
        <v>Подготовка стандартных посадочных мест для деревьев и кустарников механизированным способом, с круглым комом земли размером 0,8х0,6 м с добавлением растительной земли до 100%</v>
      </c>
      <c r="C72" s="46" t="str">
        <f>Source!H492</f>
        <v>10 ям</v>
      </c>
      <c r="D72" s="47">
        <f>Source!I492</f>
        <v>4.88</v>
      </c>
      <c r="E72" s="45"/>
    </row>
    <row r="73" spans="1:5" ht="14.25" x14ac:dyDescent="0.2">
      <c r="A73" s="44" t="str">
        <f>Source!E493</f>
        <v>59,1</v>
      </c>
      <c r="B73" s="45" t="str">
        <f>Source!G493</f>
        <v>Земля растительная</v>
      </c>
      <c r="C73" s="46" t="str">
        <f>Source!H493</f>
        <v>м3</v>
      </c>
      <c r="D73" s="47">
        <f>Source!I493</f>
        <v>30.256</v>
      </c>
      <c r="E73" s="45"/>
    </row>
    <row r="74" spans="1:5" ht="28.5" x14ac:dyDescent="0.2">
      <c r="A74" s="44" t="str">
        <f>Source!E494</f>
        <v>60</v>
      </c>
      <c r="B74" s="45" t="str">
        <f>Source!G494</f>
        <v>Подготовка стандартных посадочных мест вручную, с круглым комом земли размером 0,8х0,6 м с добавлением растительной земли до 100%</v>
      </c>
      <c r="C74" s="46" t="str">
        <f>Source!H494</f>
        <v>10 ям</v>
      </c>
      <c r="D74" s="47">
        <f>Source!I494</f>
        <v>7.32</v>
      </c>
      <c r="E74" s="45"/>
    </row>
    <row r="75" spans="1:5" ht="14.25" x14ac:dyDescent="0.2">
      <c r="A75" s="44" t="str">
        <f>Source!E495</f>
        <v>60,1</v>
      </c>
      <c r="B75" s="45" t="str">
        <f>Source!G495</f>
        <v>Земля растительная</v>
      </c>
      <c r="C75" s="46" t="str">
        <f>Source!H495</f>
        <v>м3</v>
      </c>
      <c r="D75" s="47">
        <f>Source!I495</f>
        <v>45.384</v>
      </c>
      <c r="E75" s="45"/>
    </row>
    <row r="76" spans="1:5" ht="28.5" x14ac:dyDescent="0.2">
      <c r="A76" s="44" t="str">
        <f>Source!E496</f>
        <v>61</v>
      </c>
      <c r="B76" s="45" t="str">
        <f>Source!G496</f>
        <v>Разработка грунта с погрузкой на автомобили-самосвалы экскаваторами с ковшом вместимостью 0,5 м3 группа грунтов 1-3</v>
      </c>
      <c r="C76" s="46" t="str">
        <f>Source!H496</f>
        <v>100 м3 грунта</v>
      </c>
      <c r="D76" s="47">
        <f>Source!I496</f>
        <v>0.74444399999999999</v>
      </c>
      <c r="E76" s="45"/>
    </row>
    <row r="77" spans="1:5" ht="14.25" x14ac:dyDescent="0.2">
      <c r="A77" s="44" t="str">
        <f>Source!E497</f>
        <v>62</v>
      </c>
      <c r="B77" s="45" t="str">
        <f>Source!G497</f>
        <v>Погрузка грунта вручную в автомобили-самосвалы с выгрузкой</v>
      </c>
      <c r="C77" s="46" t="str">
        <f>Source!H497</f>
        <v>100 м3 грунта</v>
      </c>
      <c r="D77" s="47">
        <f>Source!I497</f>
        <v>8.2715999999999998E-2</v>
      </c>
      <c r="E77" s="45"/>
    </row>
    <row r="78" spans="1:5" ht="42.75" x14ac:dyDescent="0.2">
      <c r="A78" s="44" t="str">
        <f>Source!E500</f>
        <v>65</v>
      </c>
      <c r="B78" s="45" t="str">
        <f>Source!G500</f>
        <v>Посадка деревьев и кустарников с комом земли, диаметром 0,8 м и высотой 0,6 м</v>
      </c>
      <c r="C78" s="46" t="str">
        <f>Source!H500</f>
        <v>10 деревьев или кустарников</v>
      </c>
      <c r="D78" s="47">
        <f>Source!I500</f>
        <v>12.2</v>
      </c>
      <c r="E78" s="45"/>
    </row>
    <row r="79" spans="1:5" ht="42.75" x14ac:dyDescent="0.2">
      <c r="A79" s="44" t="str">
        <f>Source!E501</f>
        <v>65,1</v>
      </c>
      <c r="B79" s="45" t="str">
        <f>Source!G501</f>
        <v>Деревья декоративные лиственных пород с комом земли, порода: бархат амурский, вяз, дуб, каштан, клен, липа, орех, ясень, размер кома: диаметр - 0,8 м, высота - 0,6 м</v>
      </c>
      <c r="C79" s="46" t="str">
        <f>Source!H501</f>
        <v>шт.</v>
      </c>
      <c r="D79" s="47">
        <f>Source!I501</f>
        <v>122</v>
      </c>
      <c r="E79" s="45"/>
    </row>
    <row r="80" spans="1:5" ht="16.5" x14ac:dyDescent="0.25">
      <c r="A80" s="110" t="str">
        <f>CONCATENATE("Раздел: ", Source!G568)</f>
        <v>Раздел: 23.1. Устройство цветников (многолетники)</v>
      </c>
      <c r="B80" s="110"/>
      <c r="C80" s="110"/>
      <c r="D80" s="110"/>
      <c r="E80" s="110"/>
    </row>
    <row r="81" spans="1:5" ht="28.5" x14ac:dyDescent="0.2">
      <c r="A81" s="44" t="str">
        <f>Source!E572</f>
        <v>66</v>
      </c>
      <c r="B81" s="45" t="str">
        <f>Source!G572</f>
        <v>Подготовка почвы под цветники толщиной слоя насыпки 20 см</v>
      </c>
      <c r="C81" s="46" t="str">
        <f>Source!H572</f>
        <v>100 м2 цветников</v>
      </c>
      <c r="D81" s="47">
        <f>Source!I572</f>
        <v>2.82</v>
      </c>
      <c r="E81" s="45"/>
    </row>
    <row r="82" spans="1:5" ht="14.25" x14ac:dyDescent="0.2">
      <c r="A82" s="44" t="str">
        <f>Source!E573</f>
        <v>66,1</v>
      </c>
      <c r="B82" s="45" t="str">
        <f>Source!G573</f>
        <v>Земля растительная</v>
      </c>
      <c r="C82" s="46" t="str">
        <f>Source!H573</f>
        <v>м3</v>
      </c>
      <c r="D82" s="47">
        <f>Source!I573</f>
        <v>56.4</v>
      </c>
      <c r="E82" s="45"/>
    </row>
    <row r="83" spans="1:5" ht="28.5" x14ac:dyDescent="0.2">
      <c r="A83" s="44" t="str">
        <f>Source!E574</f>
        <v>67</v>
      </c>
      <c r="B83" s="45" t="str">
        <f>Source!G574</f>
        <v>Добавлять или исключать на каждые 5 см изменения толщины слоя почвы под цветники к позиции 3.47-29-1</v>
      </c>
      <c r="C83" s="46" t="str">
        <f>Source!H574</f>
        <v>100 м2 цветников</v>
      </c>
      <c r="D83" s="47">
        <f>Source!I574</f>
        <v>2.82</v>
      </c>
      <c r="E83" s="45"/>
    </row>
    <row r="84" spans="1:5" ht="14.25" x14ac:dyDescent="0.2">
      <c r="A84" s="44" t="str">
        <f>Source!E575</f>
        <v>67,1</v>
      </c>
      <c r="B84" s="45" t="str">
        <f>Source!G575</f>
        <v>Земля растительная</v>
      </c>
      <c r="C84" s="46" t="str">
        <f>Source!H575</f>
        <v>м3</v>
      </c>
      <c r="D84" s="47">
        <f>Source!I575</f>
        <v>56.4</v>
      </c>
      <c r="E84" s="45"/>
    </row>
    <row r="85" spans="1:5" ht="28.5" x14ac:dyDescent="0.2">
      <c r="A85" s="44" t="str">
        <f>Source!E576</f>
        <v>68</v>
      </c>
      <c r="B85" s="45" t="str">
        <f>Source!G576</f>
        <v>Посадка многолетних цветников при густоте посадки 1,6 тыс. шт. цветов</v>
      </c>
      <c r="C85" s="46" t="str">
        <f>Source!H576</f>
        <v>100 м2 цветников</v>
      </c>
      <c r="D85" s="47">
        <f>Source!I576</f>
        <v>1.41</v>
      </c>
      <c r="E85" s="45"/>
    </row>
    <row r="86" spans="1:5" ht="14.25" x14ac:dyDescent="0.2">
      <c r="A86" s="44" t="str">
        <f>Source!E577</f>
        <v>68,1</v>
      </c>
      <c r="B86" s="45" t="str">
        <f>Source!G577</f>
        <v>Посадочный материал многолетних цветочных культур, хоста</v>
      </c>
      <c r="C86" s="46" t="str">
        <f>Source!H577</f>
        <v>шт.</v>
      </c>
      <c r="D86" s="47">
        <f>Source!I577</f>
        <v>2256</v>
      </c>
      <c r="E86" s="45"/>
    </row>
    <row r="87" spans="1:5" ht="28.5" x14ac:dyDescent="0.2">
      <c r="A87" s="44" t="str">
        <f>Source!E578</f>
        <v>69</v>
      </c>
      <c r="B87" s="45" t="str">
        <f>Source!G578</f>
        <v>Посадка многолетних цветников при густоте посадки 1,6 тыс. шт. цветов</v>
      </c>
      <c r="C87" s="46" t="str">
        <f>Source!H578</f>
        <v>100 м2 цветников</v>
      </c>
      <c r="D87" s="47">
        <f>Source!I578</f>
        <v>1.41</v>
      </c>
      <c r="E87" s="45"/>
    </row>
    <row r="88" spans="1:5" ht="14.25" x14ac:dyDescent="0.2">
      <c r="A88" s="44" t="str">
        <f>Source!E579</f>
        <v>69,1</v>
      </c>
      <c r="B88" s="45" t="str">
        <f>Source!G579</f>
        <v>Посадочный материал многолетних цветочных культур, астильба</v>
      </c>
      <c r="C88" s="46" t="str">
        <f>Source!H579</f>
        <v>шт.</v>
      </c>
      <c r="D88" s="47">
        <f>Source!I579</f>
        <v>2256</v>
      </c>
      <c r="E88" s="45"/>
    </row>
    <row r="89" spans="1:5" ht="28.5" x14ac:dyDescent="0.2">
      <c r="A89" s="44" t="str">
        <f>Source!E580</f>
        <v>70</v>
      </c>
      <c r="B89" s="45" t="str">
        <f>Source!G580</f>
        <v>Добавлять или исключать на каждые 1000 шт. высаживаемых цветов к позиции 3.47-31-1</v>
      </c>
      <c r="C89" s="46" t="str">
        <f>Source!H580</f>
        <v>100 м2 цветников</v>
      </c>
      <c r="D89" s="47">
        <f>Source!I580</f>
        <v>1.41</v>
      </c>
      <c r="E89" s="45"/>
    </row>
    <row r="90" spans="1:5" ht="14.25" x14ac:dyDescent="0.2">
      <c r="A90" s="44" t="str">
        <f>Source!E581</f>
        <v>70,1</v>
      </c>
      <c r="B90" s="45" t="str">
        <f>Source!G581</f>
        <v>Посадочный материал многолетних цветочных культур, астильба</v>
      </c>
      <c r="C90" s="46" t="str">
        <f>Source!H581</f>
        <v>шт.</v>
      </c>
      <c r="D90" s="47">
        <f>Source!I581</f>
        <v>1720.1999999999998</v>
      </c>
      <c r="E90" s="45"/>
    </row>
    <row r="91" spans="1:5" ht="16.5" x14ac:dyDescent="0.25">
      <c r="A91" s="110" t="str">
        <f>CONCATENATE("Раздел: ", Source!G648)</f>
        <v>Раздел: 27.1. Капитальный ремонт пешеходного покрытия из бетонной плитки 1503 м2</v>
      </c>
      <c r="B91" s="110"/>
      <c r="C91" s="110"/>
      <c r="D91" s="110"/>
      <c r="E91" s="110"/>
    </row>
    <row r="92" spans="1:5" ht="28.5" x14ac:dyDescent="0.2">
      <c r="A92" s="44" t="str">
        <f>Source!E652</f>
        <v>71</v>
      </c>
      <c r="B92" s="45" t="str">
        <f>Source!G652</f>
        <v>Разработка грунта с погрузкой на автомобили-самосвалы экскаваторами с ковшом вместимостью 0,5 м3 группа грунтов 1-3</v>
      </c>
      <c r="C92" s="46" t="str">
        <f>Source!H652</f>
        <v>100 м3 грунта</v>
      </c>
      <c r="D92" s="47">
        <f>Source!I652</f>
        <v>5.8166099999999998</v>
      </c>
      <c r="E92" s="45"/>
    </row>
    <row r="93" spans="1:5" ht="28.5" x14ac:dyDescent="0.2">
      <c r="A93" s="44" t="str">
        <f>Source!E653</f>
        <v>72</v>
      </c>
      <c r="B93" s="45" t="str">
        <f>Source!G653</f>
        <v>Разработка грунта вручную в траншеях глубиной до 2 м без креплений с откосами группа грунтов 1-3</v>
      </c>
      <c r="C93" s="46" t="str">
        <f>Source!H653</f>
        <v>100 м3 грунта</v>
      </c>
      <c r="D93" s="47">
        <f>Source!I653</f>
        <v>0.64629000000000003</v>
      </c>
      <c r="E93" s="45"/>
    </row>
    <row r="94" spans="1:5" ht="14.25" x14ac:dyDescent="0.2">
      <c r="A94" s="44" t="str">
        <f>Source!E654</f>
        <v>73</v>
      </c>
      <c r="B94" s="45" t="str">
        <f>Source!G654</f>
        <v>Погрузка грунта вручную в автомобили-самосвалы с выгрузкой</v>
      </c>
      <c r="C94" s="46" t="str">
        <f>Source!H654</f>
        <v>100 м3 грунта</v>
      </c>
      <c r="D94" s="47">
        <f>Source!I654</f>
        <v>0.64629000000000003</v>
      </c>
      <c r="E94" s="45"/>
    </row>
    <row r="95" spans="1:5" ht="57" x14ac:dyDescent="0.2">
      <c r="A95" s="44" t="str">
        <f>Source!E657</f>
        <v>76</v>
      </c>
      <c r="B95" s="45" t="str">
        <f>Source!G657</f>
        <v>Устройство подстилающих и выравнивающих слоев оснований из песка</v>
      </c>
      <c r="C95" s="46" t="str">
        <f>Source!H657</f>
        <v>100 м3 материала основания (в плотном теле)</v>
      </c>
      <c r="D95" s="47">
        <f>Source!I657</f>
        <v>3.0059999999999998</v>
      </c>
      <c r="E95" s="45"/>
    </row>
    <row r="96" spans="1:5" ht="14.25" x14ac:dyDescent="0.2">
      <c r="A96" s="44" t="str">
        <f>Source!E658</f>
        <v>76,1</v>
      </c>
      <c r="B96" s="45" t="str">
        <f>Source!G658</f>
        <v>Песок для строительных работ, рядовой</v>
      </c>
      <c r="C96" s="46" t="str">
        <f>Source!H658</f>
        <v>м3</v>
      </c>
      <c r="D96" s="47">
        <f>Source!I658</f>
        <v>330.66</v>
      </c>
      <c r="E96" s="45"/>
    </row>
    <row r="97" spans="1:5" ht="57" x14ac:dyDescent="0.2">
      <c r="A97" s="44" t="str">
        <f>Source!E659</f>
        <v>77</v>
      </c>
      <c r="B97" s="45" t="str">
        <f>Source!G659</f>
        <v>Устройство подстилающих и выравнивающих слоев оснований из щебня</v>
      </c>
      <c r="C97" s="46" t="str">
        <f>Source!H659</f>
        <v>100 м3 материала основания (в плотном теле)</v>
      </c>
      <c r="D97" s="47">
        <f>Source!I659</f>
        <v>1.8036000000000001</v>
      </c>
      <c r="E97" s="45"/>
    </row>
    <row r="98" spans="1:5" ht="28.5" x14ac:dyDescent="0.2">
      <c r="A98" s="44" t="str">
        <f>Source!E660</f>
        <v>77,1</v>
      </c>
      <c r="B98" s="45" t="str">
        <f>Source!G660</f>
        <v>Щебень из естественного камня для дорожных работ, марка 600 - 400, фракция 20-40 мм</v>
      </c>
      <c r="C98" s="46" t="str">
        <f>Source!H660</f>
        <v>м3</v>
      </c>
      <c r="D98" s="47">
        <f>Source!I660</f>
        <v>227.25360000000001</v>
      </c>
      <c r="E98" s="45"/>
    </row>
    <row r="99" spans="1:5" ht="28.5" x14ac:dyDescent="0.2">
      <c r="A99" s="44" t="str">
        <f>Source!E661</f>
        <v>78</v>
      </c>
      <c r="B99" s="45" t="str">
        <f>Source!G661</f>
        <v>Устройство покрытий тротуаров из бетонной плитки типа "Брусчатка" рядовым или паркетным мощением</v>
      </c>
      <c r="C99" s="46" t="str">
        <f>Source!H661</f>
        <v>100 м2</v>
      </c>
      <c r="D99" s="47">
        <f>Source!I661</f>
        <v>15.03</v>
      </c>
      <c r="E99" s="45"/>
    </row>
    <row r="100" spans="1:5" ht="28.5" x14ac:dyDescent="0.2">
      <c r="A100" s="44" t="str">
        <f>Source!E662</f>
        <v>78,1</v>
      </c>
      <c r="B100" s="45" t="str">
        <f>Source!G662</f>
        <v>Диск отрезной с алмазным покрытием, диаметр 230 мм, высота сегмента 7 мм</v>
      </c>
      <c r="C100" s="46" t="str">
        <f>Source!H662</f>
        <v>шт.</v>
      </c>
      <c r="D100" s="47">
        <f>Source!I662</f>
        <v>51.101999999999997</v>
      </c>
      <c r="E100" s="45"/>
    </row>
    <row r="101" spans="1:5" ht="14.25" x14ac:dyDescent="0.2">
      <c r="A101" s="44" t="str">
        <f>Source!E663</f>
        <v>78,2</v>
      </c>
      <c r="B101" s="45" t="str">
        <f>Source!G663</f>
        <v>Брусчатка бетонная овальная, марка 4ПБ 15.10.7, цвет светло-серый</v>
      </c>
      <c r="C101" s="46" t="str">
        <f>Source!H663</f>
        <v>м2</v>
      </c>
      <c r="D101" s="47">
        <f>Source!I663</f>
        <v>1503</v>
      </c>
      <c r="E101" s="45"/>
    </row>
    <row r="102" spans="1:5" ht="28.5" x14ac:dyDescent="0.2">
      <c r="A102" s="44" t="str">
        <f>Source!E664</f>
        <v>78,3</v>
      </c>
      <c r="B102" s="45" t="str">
        <f>Source!G664</f>
        <v>Смеси сухие монтажно-кладочные цементно-песчаные, В7,5 (М100), F50, крупность заполнителя не более 3,5 мм</v>
      </c>
      <c r="C102" s="46" t="str">
        <f>Source!H664</f>
        <v>т</v>
      </c>
      <c r="D102" s="47">
        <f>Source!I664</f>
        <v>33.817500000000003</v>
      </c>
      <c r="E102" s="45"/>
    </row>
    <row r="103" spans="1:5" ht="16.5" x14ac:dyDescent="0.25">
      <c r="A103" s="110" t="str">
        <f>CONCATENATE("Раздел: ", Source!G697)</f>
        <v>Раздел: 28. Камень бортовой садовый</v>
      </c>
      <c r="B103" s="110"/>
      <c r="C103" s="110"/>
      <c r="D103" s="110"/>
      <c r="E103" s="110"/>
    </row>
    <row r="104" spans="1:5" ht="14.25" x14ac:dyDescent="0.2">
      <c r="A104" s="44" t="str">
        <f>Source!E701</f>
        <v>79</v>
      </c>
      <c r="B104" s="45" t="str">
        <f>Source!G701</f>
        <v>Разборка бортовых камней на бетонном основании</v>
      </c>
      <c r="C104" s="46" t="str">
        <f>Source!H701</f>
        <v>100 м</v>
      </c>
      <c r="D104" s="47">
        <f>Source!I701</f>
        <v>12.61</v>
      </c>
      <c r="E104" s="45"/>
    </row>
    <row r="105" spans="1:5" ht="14.25" x14ac:dyDescent="0.2">
      <c r="A105" s="44" t="str">
        <f>Source!E702</f>
        <v>80</v>
      </c>
      <c r="B105" s="45" t="str">
        <f>Source!G702</f>
        <v>Погрузка вручную строительного мусора в самосвал</v>
      </c>
      <c r="C105" s="46" t="str">
        <f>Source!H702</f>
        <v>1 Т</v>
      </c>
      <c r="D105" s="47">
        <f>Source!I702</f>
        <v>18.884740000000001</v>
      </c>
      <c r="E105" s="45"/>
    </row>
    <row r="106" spans="1:5" ht="28.5" x14ac:dyDescent="0.2">
      <c r="A106" s="44" t="str">
        <f>Source!E703</f>
        <v>81</v>
      </c>
      <c r="B106" s="45" t="str">
        <f>Source!G703</f>
        <v>Погрузка и выгрузка вручную строительного мусора на транспортные средства</v>
      </c>
      <c r="C106" s="46" t="str">
        <f>Source!H703</f>
        <v>1 Т</v>
      </c>
      <c r="D106" s="47">
        <f>Source!I703</f>
        <v>169.96261999999999</v>
      </c>
      <c r="E106" s="45"/>
    </row>
    <row r="107" spans="1:5" ht="57" x14ac:dyDescent="0.2">
      <c r="A107" s="44" t="str">
        <f>Source!E706</f>
        <v>84</v>
      </c>
      <c r="B107" s="45" t="str">
        <f>Source!G706</f>
        <v>Устройство подстилающих и выравнивающих слоев оснований из песка</v>
      </c>
      <c r="C107" s="46" t="str">
        <f>Source!H706</f>
        <v>100 м3 материала основания (в плотном теле)</v>
      </c>
      <c r="D107" s="47">
        <f>Source!I706</f>
        <v>0.25219999999999998</v>
      </c>
      <c r="E107" s="45"/>
    </row>
    <row r="108" spans="1:5" ht="14.25" x14ac:dyDescent="0.2">
      <c r="A108" s="44" t="str">
        <f>Source!E707</f>
        <v>84,1</v>
      </c>
      <c r="B108" s="45" t="str">
        <f>Source!G707</f>
        <v>Песок для строительных работ, рядовой</v>
      </c>
      <c r="C108" s="46" t="str">
        <f>Source!H707</f>
        <v>м3</v>
      </c>
      <c r="D108" s="47">
        <f>Source!I707</f>
        <v>27.742000000000001</v>
      </c>
      <c r="E108" s="45"/>
    </row>
    <row r="109" spans="1:5" ht="42.75" x14ac:dyDescent="0.2">
      <c r="A109" s="44" t="str">
        <f>Source!E708</f>
        <v>85</v>
      </c>
      <c r="B109" s="45" t="str">
        <f>Source!G708</f>
        <v>Установка бортовых камней бетонных газонных и садовых при других видах покрытий</v>
      </c>
      <c r="C109" s="46" t="str">
        <f>Source!H708</f>
        <v>100 м бортового камня</v>
      </c>
      <c r="D109" s="47">
        <f>Source!I708</f>
        <v>12.61</v>
      </c>
      <c r="E109" s="45"/>
    </row>
    <row r="110" spans="1:5" ht="14.25" x14ac:dyDescent="0.2">
      <c r="A110" s="44" t="str">
        <f>Source!E709</f>
        <v>85,1</v>
      </c>
      <c r="B110" s="45" t="str">
        <f>Source!G709</f>
        <v>Камни бетонные бортовые, марка БР 100.20.8</v>
      </c>
      <c r="C110" s="46" t="str">
        <f>Source!H709</f>
        <v>м3</v>
      </c>
      <c r="D110" s="47">
        <f>Source!I709</f>
        <v>20.175999999999998</v>
      </c>
      <c r="E110" s="45"/>
    </row>
    <row r="111" spans="1:5" ht="16.5" x14ac:dyDescent="0.25">
      <c r="A111" s="110" t="str">
        <f>CONCATENATE("Раздел: ", Source!G776)</f>
        <v>Раздел: 30.2. Окраска подпорной стенки по штукатурке с расчисткой</v>
      </c>
      <c r="B111" s="110"/>
      <c r="C111" s="110"/>
      <c r="D111" s="110"/>
      <c r="E111" s="110"/>
    </row>
    <row r="112" spans="1:5" ht="28.5" x14ac:dyDescent="0.2">
      <c r="A112" s="44" t="str">
        <f>Source!E780</f>
        <v>86</v>
      </c>
      <c r="B112" s="45" t="str">
        <f>Source!G780</f>
        <v>Отбивка штукатурки по кирпичу и бетону стен, потолков площадью до 5 м2</v>
      </c>
      <c r="C112" s="46" t="str">
        <f>Source!H780</f>
        <v>100 м2</v>
      </c>
      <c r="D112" s="47">
        <f>Source!I780</f>
        <v>0.3</v>
      </c>
      <c r="E112" s="45"/>
    </row>
    <row r="113" spans="1:5" ht="28.5" x14ac:dyDescent="0.2">
      <c r="A113" s="44" t="str">
        <f>Source!E781</f>
        <v>87</v>
      </c>
      <c r="B113" s="45" t="str">
        <f>Source!G781</f>
        <v>Погрузка и выгрузка вручную строительного мусора на транспортные средства</v>
      </c>
      <c r="C113" s="46" t="str">
        <f>Source!H781</f>
        <v>1 Т</v>
      </c>
      <c r="D113" s="47">
        <f>Source!I781</f>
        <v>1.38</v>
      </c>
      <c r="E113" s="45"/>
    </row>
    <row r="114" spans="1:5" ht="28.5" x14ac:dyDescent="0.2">
      <c r="A114" s="44" t="str">
        <f>Source!E782</f>
        <v>88</v>
      </c>
      <c r="B114" s="45" t="str">
        <f>Source!G782</f>
        <v>Перевозка строительного мусора на расстояние до 27 км автосамосвалами грузоподъемностью до 20 т</v>
      </c>
      <c r="C114" s="46" t="str">
        <f>Source!H782</f>
        <v>т</v>
      </c>
      <c r="D114" s="47">
        <f>Source!I782</f>
        <v>0</v>
      </c>
      <c r="E114" s="45"/>
    </row>
    <row r="115" spans="1:5" ht="14.25" x14ac:dyDescent="0.2">
      <c r="A115" s="44" t="str">
        <f>Source!E783</f>
        <v>89</v>
      </c>
      <c r="B115" s="45" t="str">
        <f>Source!G783</f>
        <v>Отходы цемента в кусковой форме практически неопасные</v>
      </c>
      <c r="C115" s="46" t="str">
        <f>Source!H783</f>
        <v>1 Т</v>
      </c>
      <c r="D115" s="47">
        <f>Source!I783</f>
        <v>0</v>
      </c>
      <c r="E115" s="45"/>
    </row>
    <row r="116" spans="1:5" ht="28.5" x14ac:dyDescent="0.2">
      <c r="A116" s="44" t="str">
        <f>Source!E784</f>
        <v>90</v>
      </c>
      <c r="B116" s="45" t="str">
        <f>Source!G784</f>
        <v>Расчистка поверхностей от старых покрасок (шпателем, щетками и т.д.)</v>
      </c>
      <c r="C116" s="46" t="str">
        <f>Source!H784</f>
        <v>1 м2 поверхности</v>
      </c>
      <c r="D116" s="47">
        <f>Source!I784</f>
        <v>60</v>
      </c>
      <c r="E116" s="45"/>
    </row>
    <row r="117" spans="1:5" ht="57" x14ac:dyDescent="0.2">
      <c r="A117" s="44" t="str">
        <f>Source!E785</f>
        <v>91</v>
      </c>
      <c r="B117" s="45" t="str">
        <f>Source!G785</f>
        <v>Улучшенная штукатурка цементно-известковым раствором по камню стен</v>
      </c>
      <c r="C117" s="46" t="str">
        <f>Source!H785</f>
        <v>100 м2 оштукатуриваемой поверхности</v>
      </c>
      <c r="D117" s="47">
        <f>Source!I785</f>
        <v>0.3</v>
      </c>
      <c r="E117" s="45"/>
    </row>
    <row r="118" spans="1:5" ht="14.25" x14ac:dyDescent="0.2">
      <c r="A118" s="44" t="str">
        <f>Source!E786</f>
        <v>91,1</v>
      </c>
      <c r="B118" s="45" t="str">
        <f>Source!G786</f>
        <v>Вода</v>
      </c>
      <c r="C118" s="46" t="str">
        <f>Source!H786</f>
        <v>м3</v>
      </c>
      <c r="D118" s="47">
        <f>Source!I786</f>
        <v>3.1752000000000002E-2</v>
      </c>
      <c r="E118" s="45"/>
    </row>
    <row r="119" spans="1:5" ht="42.75" x14ac:dyDescent="0.2">
      <c r="A119" s="44" t="str">
        <f>Source!E787</f>
        <v>91,2</v>
      </c>
      <c r="B119" s="45" t="str">
        <f>Source!G787</f>
        <v>Смеси сухие штукатурные цементно-песчаные для внутренних и наружных работ, бездобавочные, В12,5 (М150), F50, крупность заполнителя не более 0,5 мм</v>
      </c>
      <c r="C119" s="46" t="str">
        <f>Source!H787</f>
        <v>т</v>
      </c>
      <c r="D119" s="47">
        <f>Source!I787</f>
        <v>0.18143999999999999</v>
      </c>
      <c r="E119" s="45"/>
    </row>
    <row r="120" spans="1:5" ht="14.25" x14ac:dyDescent="0.2">
      <c r="A120" s="44" t="str">
        <f>Source!E788</f>
        <v>91,3</v>
      </c>
      <c r="B120" s="45" t="str">
        <f>Source!G788</f>
        <v>Растворы цементно-известковые, марка 75</v>
      </c>
      <c r="C120" s="46" t="str">
        <f>Source!H788</f>
        <v>м3</v>
      </c>
      <c r="D120" s="47">
        <f>Source!I788</f>
        <v>0.4536</v>
      </c>
      <c r="E120" s="45"/>
    </row>
    <row r="121" spans="1:5" ht="42.75" x14ac:dyDescent="0.2">
      <c r="A121" s="44" t="str">
        <f>Source!E789</f>
        <v>92</v>
      </c>
      <c r="B121" s="45" t="str">
        <f>Source!G789</f>
        <v>Перхлорвиниловая окраска фасадов с лесов с подготовкой поверхности по штукатурке или бетону</v>
      </c>
      <c r="C121" s="46" t="str">
        <f>Source!H789</f>
        <v>100 м2 окрашиваемой поверхности</v>
      </c>
      <c r="D121" s="47">
        <f>Source!I789</f>
        <v>2</v>
      </c>
      <c r="E121" s="45"/>
    </row>
    <row r="122" spans="1:5" ht="14.25" x14ac:dyDescent="0.2">
      <c r="A122" s="44" t="str">
        <f>Source!E790</f>
        <v>92,1</v>
      </c>
      <c r="B122" s="45" t="str">
        <f>Source!G790</f>
        <v>Краски фасадные перхлорвиниловые, марка ХВ161 "А" (цветная)</v>
      </c>
      <c r="C122" s="46" t="str">
        <f>Source!H790</f>
        <v>т</v>
      </c>
      <c r="D122" s="47">
        <f>Source!I790</f>
        <v>0.11799999999999999</v>
      </c>
      <c r="E122" s="45"/>
    </row>
    <row r="123" spans="1:5" ht="16.5" x14ac:dyDescent="0.25">
      <c r="A123" s="110" t="str">
        <f>CONCATENATE("Раздел: ", Source!G857)</f>
        <v>Раздел: 31.5. Накрывные элементы на подпорные стены (природный камень)</v>
      </c>
      <c r="B123" s="110"/>
      <c r="C123" s="110"/>
      <c r="D123" s="110"/>
      <c r="E123" s="110"/>
    </row>
    <row r="124" spans="1:5" ht="28.5" x14ac:dyDescent="0.2">
      <c r="A124" s="44" t="str">
        <f>Source!E861</f>
        <v>93</v>
      </c>
      <c r="B124" s="45" t="str">
        <f>Source!G861</f>
        <v>Устройство покрытий на цементном растворе из плиток бетонных, цементных или мозаичных</v>
      </c>
      <c r="C124" s="46" t="str">
        <f>Source!H861</f>
        <v>100 м2 покрытия</v>
      </c>
      <c r="D124" s="47">
        <f>Source!I861</f>
        <v>0.4</v>
      </c>
      <c r="E124" s="45"/>
    </row>
    <row r="125" spans="1:5" ht="28.5" x14ac:dyDescent="0.2">
      <c r="A125" s="44" t="str">
        <f>Source!E862</f>
        <v>93,1</v>
      </c>
      <c r="B125" s="45" t="str">
        <f>Source!G862</f>
        <v>Плиты из известняка полированные, толщина 40 мм, месторождение: Мелехово-Федотовское</v>
      </c>
      <c r="C125" s="46" t="str">
        <f>Source!H862</f>
        <v>м2</v>
      </c>
      <c r="D125" s="47">
        <f>Source!I862</f>
        <v>40</v>
      </c>
      <c r="E125" s="45"/>
    </row>
    <row r="126" spans="1:5" ht="16.5" x14ac:dyDescent="0.25">
      <c r="A126" s="110" t="str">
        <f>CONCATENATE("Раздел: ", Source!G997)</f>
        <v>Раздел: 36. Установка ограждения детской площадки 1,2 м</v>
      </c>
      <c r="B126" s="110"/>
      <c r="C126" s="110"/>
      <c r="D126" s="110"/>
      <c r="E126" s="110"/>
    </row>
    <row r="127" spans="1:5" ht="28.5" x14ac:dyDescent="0.2">
      <c r="A127" s="44" t="str">
        <f>Source!E1001</f>
        <v>94</v>
      </c>
      <c r="B127" s="45" t="str">
        <f>Source!G1001</f>
        <v>Изготовление стоек металлического ограждения газонов из трубы, масса стоек до 5 кг</v>
      </c>
      <c r="C127" s="46" t="str">
        <f>Source!H1001</f>
        <v>10 шт.</v>
      </c>
      <c r="D127" s="47">
        <f>Source!I1001</f>
        <v>35.299999999999997</v>
      </c>
      <c r="E127" s="45"/>
    </row>
    <row r="128" spans="1:5" ht="28.5" x14ac:dyDescent="0.2">
      <c r="A128" s="44" t="str">
        <f>Source!E1002</f>
        <v>94,1</v>
      </c>
      <c r="B128" s="45" t="str">
        <f>Source!G1002</f>
        <v>Профили стальные электросварные прямоугольного сечения трубчатые, размер 40х60 мм, толщина стенки 3,5 мм</v>
      </c>
      <c r="C128" s="46" t="str">
        <f>Source!H1002</f>
        <v>т</v>
      </c>
      <c r="D128" s="47">
        <f>Source!I1002</f>
        <v>3.83711</v>
      </c>
      <c r="E128" s="45"/>
    </row>
    <row r="129" spans="1:5" ht="28.5" x14ac:dyDescent="0.2">
      <c r="A129" s="44" t="str">
        <f>Source!E1003</f>
        <v>95</v>
      </c>
      <c r="B129" s="45" t="str">
        <f>Source!G1003</f>
        <v>Установка стоек металлического ограждения газонов из трубы, масса стоек до 5 кг</v>
      </c>
      <c r="C129" s="46" t="str">
        <f>Source!H1003</f>
        <v>10 шт.</v>
      </c>
      <c r="D129" s="47">
        <f>Source!I1003</f>
        <v>35.299999999999997</v>
      </c>
      <c r="E129" s="45"/>
    </row>
    <row r="130" spans="1:5" ht="28.5" x14ac:dyDescent="0.2">
      <c r="A130" s="44" t="str">
        <f>Source!E1004</f>
        <v>96</v>
      </c>
      <c r="B130" s="45" t="str">
        <f>Source!G1004</f>
        <v>Изготовление секций металлического ограждения газонов из профилированной трубы, масса секции до 10 кг</v>
      </c>
      <c r="C130" s="46" t="str">
        <f>Source!H1004</f>
        <v>1 м2</v>
      </c>
      <c r="D130" s="47">
        <f>Source!I1004</f>
        <v>847.2</v>
      </c>
      <c r="E130" s="45"/>
    </row>
    <row r="131" spans="1:5" ht="28.5" x14ac:dyDescent="0.2">
      <c r="A131" s="44" t="str">
        <f>Source!E1005</f>
        <v>96,1</v>
      </c>
      <c r="B131" s="45" t="str">
        <f>Source!G1005</f>
        <v>Профили стальные электросварные прямоугольного сечения трубчатые, размер 20х40 мм, толщина стенки 2,0 мм</v>
      </c>
      <c r="C131" s="46" t="str">
        <f>Source!H1005</f>
        <v>т</v>
      </c>
      <c r="D131" s="47">
        <f>Source!I1005</f>
        <v>4.3207199999999997</v>
      </c>
      <c r="E131" s="45"/>
    </row>
    <row r="132" spans="1:5" ht="28.5" x14ac:dyDescent="0.2">
      <c r="A132" s="44" t="str">
        <f>Source!E1006</f>
        <v>96,2</v>
      </c>
      <c r="B132" s="45" t="str">
        <f>Source!G1006</f>
        <v>Круг, квадрат горячекатаный из стали углеродистой обыкновенного качества, кипящей, размер 5-12 мм</v>
      </c>
      <c r="C132" s="46" t="str">
        <f>Source!H1006</f>
        <v>т</v>
      </c>
      <c r="D132" s="47">
        <f>Source!I1006</f>
        <v>5.9219280000000003</v>
      </c>
      <c r="E132" s="45"/>
    </row>
    <row r="133" spans="1:5" ht="28.5" x14ac:dyDescent="0.2">
      <c r="A133" s="44" t="str">
        <f>Source!E1007</f>
        <v>97</v>
      </c>
      <c r="B133" s="45" t="str">
        <f>Source!G1007</f>
        <v>Установка секций металлического ограждения газонов из профилированной трубы, масса секции до 10 кг</v>
      </c>
      <c r="C133" s="46" t="str">
        <f>Source!H1007</f>
        <v>1 м2</v>
      </c>
      <c r="D133" s="47">
        <f>Source!I1007</f>
        <v>847.2</v>
      </c>
      <c r="E133" s="45"/>
    </row>
    <row r="134" spans="1:5" ht="14.25" x14ac:dyDescent="0.2">
      <c r="A134" s="44" t="str">
        <f>Source!E1008</f>
        <v>98</v>
      </c>
      <c r="B134" s="45" t="str">
        <f>Source!G1008</f>
        <v>Огрунтовка металлических поверхностей грунтовкой ГФ-021 за один раз</v>
      </c>
      <c r="C134" s="46" t="str">
        <f>Source!H1008</f>
        <v>100 м2</v>
      </c>
      <c r="D134" s="47">
        <f>Source!I1008</f>
        <v>9.1800022160000001</v>
      </c>
      <c r="E134" s="45"/>
    </row>
    <row r="135" spans="1:5" ht="14.25" x14ac:dyDescent="0.2">
      <c r="A135" s="44" t="str">
        <f>Source!E1009</f>
        <v>98,1</v>
      </c>
      <c r="B135" s="45" t="str">
        <f>Source!G1009</f>
        <v>Грунтовка глифталевая, ГФ-032</v>
      </c>
      <c r="C135" s="46" t="str">
        <f>Source!H1009</f>
        <v>кг</v>
      </c>
      <c r="D135" s="47">
        <f>Source!I1009</f>
        <v>82.620019999999997</v>
      </c>
      <c r="E135" s="45"/>
    </row>
    <row r="136" spans="1:5" ht="14.25" x14ac:dyDescent="0.2">
      <c r="A136" s="44" t="str">
        <f>Source!E1010</f>
        <v>99</v>
      </c>
      <c r="B136" s="45" t="str">
        <f>Source!G1010</f>
        <v>Окраска огрунтованных металлических поверхностей эмалями ПФ-115</v>
      </c>
      <c r="C136" s="46" t="str">
        <f>Source!H1010</f>
        <v>100 м2</v>
      </c>
      <c r="D136" s="47">
        <f>Source!I1010</f>
        <v>9.1800000000000007E-2</v>
      </c>
      <c r="E136" s="45"/>
    </row>
    <row r="137" spans="1:5" ht="16.5" x14ac:dyDescent="0.25">
      <c r="A137" s="110" t="str">
        <f>CONCATENATE("Раздел: ", Source!G1145)</f>
        <v>Раздел: 41. Установка информационных и дорожных знаков</v>
      </c>
      <c r="B137" s="110"/>
      <c r="C137" s="110"/>
      <c r="D137" s="110"/>
      <c r="E137" s="110"/>
    </row>
    <row r="138" spans="1:5" ht="14.25" x14ac:dyDescent="0.2">
      <c r="A138" s="44" t="str">
        <f>Source!E1149</f>
        <v>100</v>
      </c>
      <c r="B138" s="45" t="str">
        <f>Source!G1149</f>
        <v>Установка дорожных знаков на металлических стойках</v>
      </c>
      <c r="C138" s="46" t="str">
        <f>Source!H1149</f>
        <v>100 знаков</v>
      </c>
      <c r="D138" s="47">
        <f>Source!I1149</f>
        <v>0.2</v>
      </c>
      <c r="E138" s="45"/>
    </row>
    <row r="139" spans="1:5" ht="28.5" x14ac:dyDescent="0.2">
      <c r="A139" s="44" t="str">
        <f>Source!E1150</f>
        <v>100,1</v>
      </c>
      <c r="B139" s="45" t="str">
        <f>Source!G1150</f>
        <v>Знаки из тонколистовой оцинкованной стали со световозвращающей пленкой, круглой формы, диаметр 700 мм</v>
      </c>
      <c r="C139" s="46" t="str">
        <f>Source!H1150</f>
        <v>шт.</v>
      </c>
      <c r="D139" s="47">
        <f>Source!I1150</f>
        <v>20</v>
      </c>
      <c r="E139" s="45"/>
    </row>
    <row r="140" spans="1:5" ht="14.25" x14ac:dyDescent="0.2">
      <c r="A140" s="44" t="str">
        <f>Source!E1151</f>
        <v>100,2</v>
      </c>
      <c r="B140" s="45" t="str">
        <f>Source!G1151</f>
        <v>Стойки из оцинкованной стали, диаметр 76 мм</v>
      </c>
      <c r="C140" s="46" t="str">
        <f>Source!H1151</f>
        <v>м</v>
      </c>
      <c r="D140" s="47">
        <f>Source!I1151</f>
        <v>30</v>
      </c>
      <c r="E140" s="45"/>
    </row>
    <row r="141" spans="1:5" ht="14.25" x14ac:dyDescent="0.2">
      <c r="A141" s="44" t="str">
        <f>Source!E1152</f>
        <v>100,3</v>
      </c>
      <c r="B141" s="45" t="str">
        <f>Source!G1152</f>
        <v>Хомуты из оцинкованной стали, диаметр 76 мм</v>
      </c>
      <c r="C141" s="46" t="str">
        <f>Source!H1152</f>
        <v>шт.</v>
      </c>
      <c r="D141" s="47">
        <f>Source!I1152</f>
        <v>20</v>
      </c>
      <c r="E141" s="45"/>
    </row>
    <row r="142" spans="1:5" ht="14.25" x14ac:dyDescent="0.2">
      <c r="A142" s="44" t="str">
        <f>Source!E1153</f>
        <v>101</v>
      </c>
      <c r="B142" s="45" t="str">
        <f>Source!G1153</f>
        <v>Установка дополнительных щитков</v>
      </c>
      <c r="C142" s="46" t="str">
        <f>Source!H1153</f>
        <v>100 знаков</v>
      </c>
      <c r="D142" s="47">
        <f>Source!I1153</f>
        <v>0.2</v>
      </c>
      <c r="E142" s="45"/>
    </row>
    <row r="143" spans="1:5" ht="28.5" x14ac:dyDescent="0.2">
      <c r="A143" s="44" t="str">
        <f>Source!E1154</f>
        <v>101,1</v>
      </c>
      <c r="B143" s="45" t="str">
        <f>Source!G1154</f>
        <v>Знаки из тонколистовой оцинкованной стали со световозвращающей пленкой, круглой формы, диаметр 700 мм</v>
      </c>
      <c r="C143" s="46" t="str">
        <f>Source!H1154</f>
        <v>шт.</v>
      </c>
      <c r="D143" s="47">
        <f>Source!I1154</f>
        <v>20</v>
      </c>
      <c r="E143" s="45"/>
    </row>
    <row r="144" spans="1:5" ht="14.25" x14ac:dyDescent="0.2">
      <c r="A144" s="44" t="str">
        <f>Source!E1155</f>
        <v>101,2</v>
      </c>
      <c r="B144" s="45" t="str">
        <f>Source!G1155</f>
        <v>Хомуты из оцинкованной стали, диаметр 76 мм</v>
      </c>
      <c r="C144" s="46" t="str">
        <f>Source!H1155</f>
        <v>шт.</v>
      </c>
      <c r="D144" s="47">
        <f>Source!I1155</f>
        <v>20</v>
      </c>
      <c r="E144" s="45"/>
    </row>
    <row r="145" spans="1:31" ht="16.5" x14ac:dyDescent="0.25">
      <c r="A145" s="110" t="str">
        <f>CONCATENATE("Раздел: ", Source!G1188)</f>
        <v>Раздел: 42. Установка ИДН  (3,5м)</v>
      </c>
      <c r="B145" s="110"/>
      <c r="C145" s="110"/>
      <c r="D145" s="110"/>
      <c r="E145" s="110"/>
    </row>
    <row r="146" spans="1:31" ht="71.25" x14ac:dyDescent="0.2">
      <c r="A146" s="44" t="str">
        <f>Source!E1192</f>
        <v>102</v>
      </c>
      <c r="B146" s="45" t="str">
        <f>Source!G1192</f>
        <v>Монтаж искусственной дорожной неровности (ИДН) - элементов средней части</v>
      </c>
      <c r="C146" s="46" t="str">
        <f>Source!H1192</f>
        <v>1 м2 горизонтальной проекции уложенных ИДН</v>
      </c>
      <c r="D146" s="47">
        <f>Source!I1192</f>
        <v>27</v>
      </c>
      <c r="E146" s="45"/>
    </row>
    <row r="147" spans="1:31" ht="28.5" x14ac:dyDescent="0.2">
      <c r="A147" s="44" t="str">
        <f>Source!E1193</f>
        <v>102,1</v>
      </c>
      <c r="B147" s="45" t="str">
        <f>Source!G1193</f>
        <v>Искусственная дорожная неровность из резины, средний элемент, размеры 900х500 мм</v>
      </c>
      <c r="C147" s="46" t="str">
        <f>Source!H1193</f>
        <v>шт.</v>
      </c>
      <c r="D147" s="47">
        <f>Source!I1193</f>
        <v>60</v>
      </c>
      <c r="E147" s="45"/>
    </row>
    <row r="148" spans="1:31" ht="71.25" x14ac:dyDescent="0.2">
      <c r="A148" s="44" t="str">
        <f>Source!E1194</f>
        <v>103</v>
      </c>
      <c r="B148" s="45" t="str">
        <f>Source!G1194</f>
        <v>Монтаж искусственной дорожной неровности (ИДН) - элементов концевой части</v>
      </c>
      <c r="C148" s="46" t="str">
        <f>Source!H1194</f>
        <v>1 м2 горизонтальной проекции уложенных ИДН</v>
      </c>
      <c r="D148" s="47">
        <f>Source!I1194</f>
        <v>4.5</v>
      </c>
      <c r="E148" s="45"/>
    </row>
    <row r="149" spans="1:31" ht="28.5" x14ac:dyDescent="0.2">
      <c r="A149" s="44" t="str">
        <f>Source!E1195</f>
        <v>103,1</v>
      </c>
      <c r="B149" s="45" t="str">
        <f>Source!G1195</f>
        <v>Искусственная дорожная неровность из резины, концевой элемент, размеры 900х250 мм</v>
      </c>
      <c r="C149" s="46" t="str">
        <f>Source!H1195</f>
        <v>шт.</v>
      </c>
      <c r="D149" s="47">
        <f>Source!I1195</f>
        <v>20</v>
      </c>
      <c r="E149" s="45"/>
    </row>
    <row r="150" spans="1:31" ht="33" x14ac:dyDescent="0.25">
      <c r="A150" s="110" t="str">
        <f>CONCATENATE("Раздел: ", Source!G1296)</f>
        <v>Раздел: 47. Устройство покрытия на детской площадке для детей от 5 лет 4 см (3 см - резина, 1 см - EPDM)</v>
      </c>
      <c r="B150" s="110"/>
      <c r="C150" s="110"/>
      <c r="D150" s="110"/>
      <c r="E150" s="110"/>
      <c r="AE150" s="48" t="str">
        <f>CONCATENATE("Раздел: ", Source!G1296)</f>
        <v>Раздел: 47. Устройство покрытия на детской площадке для детей от 5 лет 4 см (3 см - резина, 1 см - EPDM)</v>
      </c>
    </row>
    <row r="151" spans="1:31" ht="28.5" x14ac:dyDescent="0.2">
      <c r="A151" s="44" t="str">
        <f>Source!E1300</f>
        <v>104</v>
      </c>
      <c r="B151" s="45" t="str">
        <f>Source!G1300</f>
        <v>Устройство наливного полиуретанового покрытия спортивных площадок и беговых дорожек толщиной 10 мм</v>
      </c>
      <c r="C151" s="46" t="str">
        <f>Source!H1300</f>
        <v>100 м2</v>
      </c>
      <c r="D151" s="47">
        <f>Source!I1300</f>
        <v>32.43</v>
      </c>
      <c r="E151" s="45"/>
    </row>
    <row r="152" spans="1:31" ht="14.25" x14ac:dyDescent="0.2">
      <c r="A152" s="44" t="str">
        <f>Source!E1301</f>
        <v>104,1</v>
      </c>
      <c r="B152" s="45" t="str">
        <f>Source!G1301</f>
        <v>Крошка резиновая гранулированная, фракция 2-3 мм</v>
      </c>
      <c r="C152" s="46" t="str">
        <f>Source!H1301</f>
        <v>кг</v>
      </c>
      <c r="D152" s="47">
        <f>Source!I1301</f>
        <v>23738.76</v>
      </c>
      <c r="E152" s="45"/>
    </row>
    <row r="153" spans="1:31" ht="28.5" x14ac:dyDescent="0.2">
      <c r="A153" s="44" t="str">
        <f>Source!E1302</f>
        <v>105</v>
      </c>
      <c r="B153" s="45" t="str">
        <f>Source!G1302</f>
        <v>Устройство наливного полиуретанового покрытия спортивных площадок и беговых дорожек, добавляется на 2 мм толщины покрытия</v>
      </c>
      <c r="C153" s="46" t="str">
        <f>Source!H1302</f>
        <v>100 м2</v>
      </c>
      <c r="D153" s="47">
        <f>Source!I1302</f>
        <v>32.43</v>
      </c>
      <c r="E153" s="45"/>
    </row>
    <row r="154" spans="1:31" ht="14.25" x14ac:dyDescent="0.2">
      <c r="A154" s="44" t="str">
        <f>Source!E1303</f>
        <v>105,1</v>
      </c>
      <c r="B154" s="45" t="str">
        <f>Source!G1303</f>
        <v>Крошка резиновая гранулированная, фракция 2-3 мм</v>
      </c>
      <c r="C154" s="46" t="str">
        <f>Source!H1303</f>
        <v>кг</v>
      </c>
      <c r="D154" s="47">
        <f>Source!I1303</f>
        <v>47672.1</v>
      </c>
      <c r="E154" s="45"/>
    </row>
    <row r="155" spans="1:31" ht="28.5" x14ac:dyDescent="0.2">
      <c r="A155" s="44" t="str">
        <f>Source!E1304</f>
        <v>106</v>
      </c>
      <c r="B155" s="45" t="str">
        <f>Source!G1304</f>
        <v>Устройство наливного полиуретанового покрытия спортивных площадок и беговых дорожек толщиной 10 мм</v>
      </c>
      <c r="C155" s="46" t="str">
        <f>Source!H1304</f>
        <v>100 м2</v>
      </c>
      <c r="D155" s="47">
        <f>Source!I1304</f>
        <v>32.43</v>
      </c>
      <c r="E155" s="45"/>
    </row>
    <row r="156" spans="1:31" ht="28.5" x14ac:dyDescent="0.2">
      <c r="A156" s="44" t="str">
        <f>Source!E1305</f>
        <v>106,1</v>
      </c>
      <c r="B156" s="45" t="str">
        <f>Source!G1305</f>
        <v>Крошка каучуковая гранулированная, окрашенная в массе, фракция 2-3 мм</v>
      </c>
      <c r="C156" s="46" t="str">
        <f>Source!H1305</f>
        <v>кг</v>
      </c>
      <c r="D156" s="47">
        <f>Source!I1305</f>
        <v>23836.05</v>
      </c>
      <c r="E156" s="45"/>
    </row>
    <row r="157" spans="1:31" ht="16.5" x14ac:dyDescent="0.25">
      <c r="A157" s="110" t="str">
        <f>CONCATENATE("Раздел: ", Source!G1338)</f>
        <v>Раздел: 54. Облицовка подпорной стенки мраморной штукатуркой</v>
      </c>
      <c r="B157" s="110"/>
      <c r="C157" s="110"/>
      <c r="D157" s="110"/>
      <c r="E157" s="110"/>
    </row>
    <row r="158" spans="1:31" ht="57" x14ac:dyDescent="0.2">
      <c r="A158" s="44" t="str">
        <f>Source!E1342</f>
        <v>107</v>
      </c>
      <c r="B158" s="45" t="str">
        <f>Source!G1342</f>
        <v>Высококачественная штукатурка цементно-известковым раствором по камню стен гладких фасадов</v>
      </c>
      <c r="C158" s="46" t="str">
        <f>Source!H1342</f>
        <v>100 м2 оштукатуриваемой поверхности</v>
      </c>
      <c r="D158" s="47">
        <f>Source!I1342</f>
        <v>0.4</v>
      </c>
      <c r="E158" s="45"/>
    </row>
    <row r="159" spans="1:31" ht="14.25" x14ac:dyDescent="0.2">
      <c r="A159" s="44" t="str">
        <f>Source!E1343</f>
        <v>107,1</v>
      </c>
      <c r="B159" s="45" t="str">
        <f>Source!G1343</f>
        <v>Вода</v>
      </c>
      <c r="C159" s="46" t="str">
        <f>Source!H1343</f>
        <v>м3</v>
      </c>
      <c r="D159" s="47">
        <f>Source!I1343</f>
        <v>5.7119999999999997E-2</v>
      </c>
      <c r="E159" s="45"/>
    </row>
    <row r="160" spans="1:31" ht="42.75" x14ac:dyDescent="0.2">
      <c r="A160" s="44" t="str">
        <f>Source!E1344</f>
        <v>107,2</v>
      </c>
      <c r="B160" s="45" t="str">
        <f>Source!G1344</f>
        <v>Смесь сухая крупнозернистая, цементная, штукатурная, ручного нанесения, для создания паропроницаемой, атмосферостойкой, моющейся декоративной штукатурки с шероховатой структурой</v>
      </c>
      <c r="C160" s="46" t="str">
        <f>Source!H1344</f>
        <v>т</v>
      </c>
      <c r="D160" s="47">
        <f>Source!I1344</f>
        <v>0.32640000000000002</v>
      </c>
      <c r="E160" s="45"/>
    </row>
    <row r="161" spans="1:5" ht="14.25" x14ac:dyDescent="0.2">
      <c r="A161" s="44" t="str">
        <f>Source!E1345</f>
        <v>107,3</v>
      </c>
      <c r="B161" s="45" t="str">
        <f>Source!G1345</f>
        <v>Растворы цементно-известковые, марка 75</v>
      </c>
      <c r="C161" s="46" t="str">
        <f>Source!H1345</f>
        <v>м3</v>
      </c>
      <c r="D161" s="47">
        <f>Source!I1345</f>
        <v>0.81599999999999984</v>
      </c>
      <c r="E161" s="45"/>
    </row>
    <row r="164" spans="1:5" ht="15" x14ac:dyDescent="0.25">
      <c r="A164" s="34" t="s">
        <v>991</v>
      </c>
      <c r="B164" s="34"/>
      <c r="C164" s="34" t="s">
        <v>992</v>
      </c>
      <c r="D164" s="34"/>
      <c r="E164" s="34"/>
    </row>
  </sheetData>
  <mergeCells count="21">
    <mergeCell ref="A3:D3"/>
    <mergeCell ref="A4:D4"/>
    <mergeCell ref="A8:E8"/>
    <mergeCell ref="A9:E9"/>
    <mergeCell ref="A20:E20"/>
    <mergeCell ref="A28:E28"/>
    <mergeCell ref="A32:E32"/>
    <mergeCell ref="A42:E42"/>
    <mergeCell ref="A49:E49"/>
    <mergeCell ref="A62:E62"/>
    <mergeCell ref="A91:E91"/>
    <mergeCell ref="A103:E103"/>
    <mergeCell ref="A111:E111"/>
    <mergeCell ref="A123:E123"/>
    <mergeCell ref="A71:E71"/>
    <mergeCell ref="A80:E80"/>
    <mergeCell ref="A157:E157"/>
    <mergeCell ref="A137:E137"/>
    <mergeCell ref="A145:E145"/>
    <mergeCell ref="A150:E150"/>
    <mergeCell ref="A126:E126"/>
  </mergeCells>
  <pageMargins left="0.4" right="0.2" top="0.2" bottom="0.4" header="0.2" footer="0.2"/>
  <pageSetup paperSize="9" scale="75" fitToHeight="0" orientation="portrait" verticalDpi="0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6"/>
  <sheetViews>
    <sheetView topLeftCell="A163" workbookViewId="0">
      <selection activeCell="A174" sqref="A174:XFD177"/>
    </sheetView>
  </sheetViews>
  <sheetFormatPr defaultRowHeight="12.75" x14ac:dyDescent="0.2"/>
  <cols>
    <col min="1" max="1" width="6.7109375" customWidth="1"/>
    <col min="2" max="2" width="75.7109375" customWidth="1"/>
    <col min="3" max="5" width="15.7109375" customWidth="1"/>
    <col min="30" max="30" width="114.7109375" hidden="1" customWidth="1"/>
    <col min="31" max="31" width="129.7109375" hidden="1" customWidth="1"/>
  </cols>
  <sheetData>
    <row r="1" spans="1:30" x14ac:dyDescent="0.2">
      <c r="A1" s="9" t="str">
        <f>Source!B1</f>
        <v>Smeta.RU  (495) 974-1589</v>
      </c>
    </row>
    <row r="2" spans="1:30" ht="14.25" x14ac:dyDescent="0.2">
      <c r="C2" s="11"/>
      <c r="D2" s="11"/>
    </row>
    <row r="3" spans="1:30" ht="15" x14ac:dyDescent="0.25">
      <c r="C3" s="11"/>
      <c r="D3" s="35" t="s">
        <v>944</v>
      </c>
    </row>
    <row r="4" spans="1:30" ht="15" x14ac:dyDescent="0.25">
      <c r="C4" s="35"/>
      <c r="D4" s="35"/>
    </row>
    <row r="5" spans="1:30" ht="15" x14ac:dyDescent="0.25">
      <c r="C5" s="113" t="s">
        <v>993</v>
      </c>
      <c r="D5" s="113"/>
    </row>
    <row r="6" spans="1:30" ht="15" x14ac:dyDescent="0.25">
      <c r="C6" s="49"/>
      <c r="D6" s="49"/>
    </row>
    <row r="7" spans="1:30" ht="15" x14ac:dyDescent="0.25">
      <c r="C7" s="113" t="s">
        <v>993</v>
      </c>
      <c r="D7" s="113"/>
    </row>
    <row r="8" spans="1:30" ht="15" x14ac:dyDescent="0.25">
      <c r="C8" s="49"/>
      <c r="D8" s="49"/>
    </row>
    <row r="9" spans="1:30" ht="15" x14ac:dyDescent="0.25">
      <c r="C9" s="35" t="s">
        <v>994</v>
      </c>
      <c r="D9" s="11"/>
    </row>
    <row r="10" spans="1:30" ht="14.25" x14ac:dyDescent="0.2">
      <c r="A10" s="11"/>
      <c r="B10" s="11"/>
      <c r="C10" s="11"/>
      <c r="D10" s="11"/>
      <c r="E10" s="11"/>
    </row>
    <row r="11" spans="1:30" ht="15.75" x14ac:dyDescent="0.25">
      <c r="A11" s="111" t="str">
        <f>CONCATENATE("Дефектный акт ", IF(Source!AN15&lt;&gt;"", Source!AN15," "))</f>
        <v xml:space="preserve">Дефектный акт  </v>
      </c>
      <c r="B11" s="111"/>
      <c r="C11" s="111"/>
      <c r="D11" s="111"/>
      <c r="E11" s="11"/>
    </row>
    <row r="12" spans="1:30" ht="15" x14ac:dyDescent="0.25">
      <c r="A12" s="112" t="s">
        <v>1075</v>
      </c>
      <c r="B12" s="112"/>
      <c r="C12" s="112"/>
      <c r="D12" s="112"/>
      <c r="E12" s="11"/>
      <c r="AD12" s="39" t="str">
        <f>CONCATENATE("На капитальный ремонт ", Source!F12, " ", Source!G12)</f>
        <v>На капитальный ремонт Новый объект_(Копия) 5.03.2021_КВАРТАЛ Таганка  без грунта</v>
      </c>
    </row>
    <row r="13" spans="1:30" ht="14.25" x14ac:dyDescent="0.2">
      <c r="A13" s="11"/>
      <c r="B13" s="11"/>
      <c r="C13" s="11"/>
      <c r="D13" s="11"/>
      <c r="E13" s="11"/>
    </row>
    <row r="14" spans="1:30" ht="15" x14ac:dyDescent="0.2">
      <c r="A14" s="11"/>
      <c r="B14" s="50" t="s">
        <v>995</v>
      </c>
      <c r="C14" s="11"/>
      <c r="D14" s="11"/>
      <c r="E14" s="11"/>
    </row>
    <row r="15" spans="1:30" ht="15" x14ac:dyDescent="0.2">
      <c r="A15" s="11"/>
      <c r="B15" s="50" t="s">
        <v>996</v>
      </c>
      <c r="C15" s="11"/>
      <c r="D15" s="11"/>
      <c r="E15" s="11"/>
    </row>
    <row r="16" spans="1:30" ht="15" x14ac:dyDescent="0.2">
      <c r="A16" s="11"/>
      <c r="B16" s="50" t="s">
        <v>997</v>
      </c>
      <c r="C16" s="11"/>
      <c r="D16" s="11"/>
      <c r="E16" s="11"/>
    </row>
    <row r="17" spans="1:5" ht="28.5" x14ac:dyDescent="0.2">
      <c r="A17" s="20" t="s">
        <v>988</v>
      </c>
      <c r="B17" s="20" t="s">
        <v>960</v>
      </c>
      <c r="C17" s="20" t="s">
        <v>961</v>
      </c>
      <c r="D17" s="20" t="s">
        <v>989</v>
      </c>
      <c r="E17" s="21" t="s">
        <v>990</v>
      </c>
    </row>
    <row r="18" spans="1:5" ht="14.25" x14ac:dyDescent="0.2">
      <c r="A18" s="40">
        <v>1</v>
      </c>
      <c r="B18" s="40">
        <v>2</v>
      </c>
      <c r="C18" s="40">
        <v>3</v>
      </c>
      <c r="D18" s="40">
        <v>4</v>
      </c>
      <c r="E18" s="41">
        <v>5</v>
      </c>
    </row>
    <row r="19" spans="1:5" ht="16.5" x14ac:dyDescent="0.25">
      <c r="A19" s="110" t="str">
        <f>CONCATENATE("Локальная смета: ", Source!G20)</f>
        <v>Локальная смета: Новая локальная смета</v>
      </c>
      <c r="B19" s="110"/>
      <c r="C19" s="110"/>
      <c r="D19" s="110"/>
      <c r="E19" s="110"/>
    </row>
    <row r="20" spans="1:5" ht="16.5" x14ac:dyDescent="0.25">
      <c r="A20" s="110" t="str">
        <f>CONCATENATE("Раздел: ", Source!G24)</f>
        <v>Раздел: 1.1. Текущий ремонт мелкозернистого а/б покрытия (фрезеровка) -11416 м2</v>
      </c>
      <c r="B20" s="110"/>
      <c r="C20" s="110"/>
      <c r="D20" s="110"/>
      <c r="E20" s="110"/>
    </row>
    <row r="21" spans="1:5" ht="42.75" x14ac:dyDescent="0.2">
      <c r="A21" s="44" t="str">
        <f>Source!E28</f>
        <v>1</v>
      </c>
      <c r="B21" s="45" t="str">
        <f>Source!G28</f>
        <v>Срезка поверхностного слоя асфальтобетонных покрытий методом холодного фрезерования при ширине барабана фрезы 2000 (2100) мм толщиной 6 см, без препятствий</v>
      </c>
      <c r="C21" s="46" t="str">
        <f>Source!H28</f>
        <v>100 м2</v>
      </c>
      <c r="D21" s="47">
        <f>Source!I28</f>
        <v>106.51128</v>
      </c>
      <c r="E21" s="45"/>
    </row>
    <row r="22" spans="1:5" ht="42.75" x14ac:dyDescent="0.2">
      <c r="A22" s="44" t="str">
        <f>Source!E29</f>
        <v>2</v>
      </c>
      <c r="B22" s="45" t="str">
        <f>Source!G29</f>
        <v>Разборка асфальтобетона вдоль бортового камня при срезке методом холодного фрезерования</v>
      </c>
      <c r="C22" s="46" t="str">
        <f>Source!H29</f>
        <v>100 м бортового камня</v>
      </c>
      <c r="D22" s="47">
        <f>Source!I29</f>
        <v>68.496080000000006</v>
      </c>
      <c r="E22" s="45"/>
    </row>
    <row r="23" spans="1:5" ht="28.5" x14ac:dyDescent="0.2">
      <c r="A23" s="44" t="str">
        <f>Source!E30</f>
        <v>3</v>
      </c>
      <c r="B23" s="45" t="str">
        <f>Source!G30</f>
        <v>Разборка покрытий и оснований асфальтобетонных</v>
      </c>
      <c r="C23" s="46" t="str">
        <f>Source!H30</f>
        <v>100 м3 конструкций</v>
      </c>
      <c r="D23" s="47">
        <f>Source!I30</f>
        <v>2.7398400000000001</v>
      </c>
      <c r="E23" s="45"/>
    </row>
    <row r="24" spans="1:5" ht="28.5" x14ac:dyDescent="0.2">
      <c r="A24" s="44" t="str">
        <f>Source!E31</f>
        <v>4</v>
      </c>
      <c r="B24" s="45" t="str">
        <f>Source!G31</f>
        <v>Погрузка и выгрузка вручную строительного мусора на транспортные средства</v>
      </c>
      <c r="C24" s="46" t="str">
        <f>Source!H31</f>
        <v>1 Т</v>
      </c>
      <c r="D24" s="47">
        <f>Source!I31</f>
        <v>65.756159999999994</v>
      </c>
      <c r="E24" s="45"/>
    </row>
    <row r="25" spans="1:5" ht="42.75" x14ac:dyDescent="0.2">
      <c r="A25" s="44" t="str">
        <f>Source!E34</f>
        <v>7</v>
      </c>
      <c r="B25" s="45" t="str">
        <f>Source!G34</f>
        <v>Исправление профиля щебеночных оснований с добавлением нового материала</v>
      </c>
      <c r="C25" s="46" t="str">
        <f>Source!H34</f>
        <v>1000 м2 площади основания</v>
      </c>
      <c r="D25" s="47">
        <f>Source!I34</f>
        <v>3.4114432799999999</v>
      </c>
      <c r="E25" s="45"/>
    </row>
    <row r="26" spans="1:5" ht="28.5" x14ac:dyDescent="0.2">
      <c r="A26" s="44" t="str">
        <f>Source!E35</f>
        <v>7,1</v>
      </c>
      <c r="B26" s="45" t="str">
        <f>Source!G35</f>
        <v>Щебень из естественного камня для дорожных работ, марка 600 - 400, фракция 20-40 мм</v>
      </c>
      <c r="C26" s="46" t="str">
        <f>Source!H35</f>
        <v>м3</v>
      </c>
      <c r="D26" s="47">
        <f>Source!I35</f>
        <v>429.84185300000001</v>
      </c>
      <c r="E26" s="45"/>
    </row>
    <row r="27" spans="1:5" ht="28.5" x14ac:dyDescent="0.2">
      <c r="A27" s="44" t="str">
        <f>Source!E37</f>
        <v>9</v>
      </c>
      <c r="B27" s="45" t="str">
        <f>Source!G37</f>
        <v>Устройство покрытий из горячих асфальтобетонных смесей толщиной 4 см комплектом машин</v>
      </c>
      <c r="C27" s="46" t="str">
        <f>Source!H37</f>
        <v>100 м2 покрытия</v>
      </c>
      <c r="D27" s="47">
        <f>Source!I37</f>
        <v>113.714776</v>
      </c>
      <c r="E27" s="45"/>
    </row>
    <row r="28" spans="1:5" ht="28.5" x14ac:dyDescent="0.2">
      <c r="A28" s="44" t="str">
        <f>Source!E38</f>
        <v>9,1</v>
      </c>
      <c r="B28" s="45" t="str">
        <f>Source!G38</f>
        <v>Смеси асфальтобетонные дорожные горячие мелкозернистые, марка I, тип Б</v>
      </c>
      <c r="C28" s="46" t="str">
        <f>Source!H38</f>
        <v>т</v>
      </c>
      <c r="D28" s="47">
        <f>Source!I38</f>
        <v>1159.890715</v>
      </c>
      <c r="E28" s="45"/>
    </row>
    <row r="29" spans="1:5" ht="28.5" x14ac:dyDescent="0.2">
      <c r="A29" s="44" t="str">
        <f>Source!E39</f>
        <v>10</v>
      </c>
      <c r="B29" s="45" t="str">
        <f>Source!G39</f>
        <v>Добавляется на каждый 1 см изменения толщины слоя сверх 4 см к позиции 3.27-42-1</v>
      </c>
      <c r="C29" s="46" t="str">
        <f>Source!H39</f>
        <v>100 м2 покрытия</v>
      </c>
      <c r="D29" s="47">
        <f>Source!I39</f>
        <v>113.714776</v>
      </c>
      <c r="E29" s="45"/>
    </row>
    <row r="30" spans="1:5" ht="28.5" x14ac:dyDescent="0.2">
      <c r="A30" s="44" t="str">
        <f>Source!E40</f>
        <v>10,1</v>
      </c>
      <c r="B30" s="45" t="str">
        <f>Source!G40</f>
        <v>Смеси асфальтобетонные дорожные горячие мелкозернистые, марка I, тип Б</v>
      </c>
      <c r="C30" s="46" t="str">
        <f>Source!H40</f>
        <v>т</v>
      </c>
      <c r="D30" s="47">
        <f>Source!I40</f>
        <v>291.109827</v>
      </c>
      <c r="E30" s="45"/>
    </row>
    <row r="31" spans="1:5" ht="16.5" x14ac:dyDescent="0.25">
      <c r="A31" s="110" t="str">
        <f>CONCATENATE("Раздел: ", Source!G73)</f>
        <v>Раздел: 3. А/б покрытие пешеходных тротуаров на существующее основание</v>
      </c>
      <c r="B31" s="110"/>
      <c r="C31" s="110"/>
      <c r="D31" s="110"/>
      <c r="E31" s="110"/>
    </row>
    <row r="32" spans="1:5" ht="28.5" x14ac:dyDescent="0.2">
      <c r="A32" s="44" t="str">
        <f>Source!E77</f>
        <v>11</v>
      </c>
      <c r="B32" s="45" t="str">
        <f>Source!G77</f>
        <v>Разборка покрытий и оснований асфальтобетонных</v>
      </c>
      <c r="C32" s="46" t="str">
        <f>Source!H77</f>
        <v>100 м3 конструкций</v>
      </c>
      <c r="D32" s="47">
        <f>Source!I77</f>
        <v>1.5911</v>
      </c>
      <c r="E32" s="45"/>
    </row>
    <row r="33" spans="1:5" ht="28.5" x14ac:dyDescent="0.2">
      <c r="A33" s="44" t="str">
        <f>Source!E78</f>
        <v>12</v>
      </c>
      <c r="B33" s="45" t="str">
        <f>Source!G78</f>
        <v>Разборка покрытий и оснований щебеночных</v>
      </c>
      <c r="C33" s="46" t="str">
        <f>Source!H78</f>
        <v>100 м3 конструкций</v>
      </c>
      <c r="D33" s="47">
        <f>Source!I78</f>
        <v>1.1365000000000001</v>
      </c>
      <c r="E33" s="45"/>
    </row>
    <row r="34" spans="1:5" ht="28.5" x14ac:dyDescent="0.2">
      <c r="A34" s="44" t="str">
        <f>Source!E80</f>
        <v>14</v>
      </c>
      <c r="B34" s="45" t="str">
        <f>Source!G80</f>
        <v>Погрузка и выгрузка вручную строительного мусора на транспортные средства</v>
      </c>
      <c r="C34" s="46" t="str">
        <f>Source!H80</f>
        <v>1 Т</v>
      </c>
      <c r="D34" s="47">
        <f>Source!I80</f>
        <v>56.370399999999997</v>
      </c>
      <c r="E34" s="45"/>
    </row>
    <row r="35" spans="1:5" ht="42.75" x14ac:dyDescent="0.2">
      <c r="A35" s="44" t="str">
        <f>Source!E84</f>
        <v>18</v>
      </c>
      <c r="B35" s="45" t="str">
        <f>Source!G84</f>
        <v>Исправление профиля щебеночных оснований с добавлением нового материала</v>
      </c>
      <c r="C35" s="46" t="str">
        <f>Source!H84</f>
        <v>1000 м2 площади основания</v>
      </c>
      <c r="D35" s="47">
        <f>Source!I84</f>
        <v>0.68189999999999995</v>
      </c>
      <c r="E35" s="45"/>
    </row>
    <row r="36" spans="1:5" ht="28.5" x14ac:dyDescent="0.2">
      <c r="A36" s="44" t="str">
        <f>Source!E85</f>
        <v>18,1</v>
      </c>
      <c r="B36" s="45" t="str">
        <f>Source!G85</f>
        <v>Щебень из естественного камня для дорожных работ, марка 600 - 400, фракция 20-40 мм</v>
      </c>
      <c r="C36" s="46" t="str">
        <f>Source!H85</f>
        <v>м3</v>
      </c>
      <c r="D36" s="47">
        <f>Source!I85</f>
        <v>85.919399999999996</v>
      </c>
      <c r="E36" s="45"/>
    </row>
    <row r="37" spans="1:5" ht="42.75" x14ac:dyDescent="0.2">
      <c r="A37" s="44" t="str">
        <f>Source!E86</f>
        <v>19</v>
      </c>
      <c r="B37" s="45" t="str">
        <f>Source!G86</f>
        <v>Устройство асфальтобетонных покрытий дорожек и тротуаров двухслойных верхний слой из песчаной асфальтобетонной смеси толщиной 3 см</v>
      </c>
      <c r="C37" s="46" t="str">
        <f>Source!H86</f>
        <v>100 м2 покрытия</v>
      </c>
      <c r="D37" s="47">
        <f>Source!I86</f>
        <v>22.73</v>
      </c>
      <c r="E37" s="45"/>
    </row>
    <row r="38" spans="1:5" ht="14.25" x14ac:dyDescent="0.2">
      <c r="A38" s="44" t="str">
        <f>Source!E87</f>
        <v>19,1</v>
      </c>
      <c r="B38" s="45" t="str">
        <f>Source!G87</f>
        <v>Смеси асфальтобетонные дорожные горячие песчаные, тип Д, марка II</v>
      </c>
      <c r="C38" s="46" t="str">
        <f>Source!H87</f>
        <v>т</v>
      </c>
      <c r="D38" s="47">
        <f>Source!I87</f>
        <v>347.76900000000001</v>
      </c>
      <c r="E38" s="45"/>
    </row>
    <row r="39" spans="1:5" ht="16.5" x14ac:dyDescent="0.25">
      <c r="A39" s="110" t="str">
        <f>CONCATENATE("Раздел: ", Source!G154)</f>
        <v>Раздел: 5.1. Установка дорожного бортового камня БР 100.30.15 с разборкой</v>
      </c>
      <c r="B39" s="110"/>
      <c r="C39" s="110"/>
      <c r="D39" s="110"/>
      <c r="E39" s="110"/>
    </row>
    <row r="40" spans="1:5" ht="14.25" x14ac:dyDescent="0.2">
      <c r="A40" s="44" t="str">
        <f>Source!E158</f>
        <v>20</v>
      </c>
      <c r="B40" s="45" t="str">
        <f>Source!G158</f>
        <v>Разборка бортовых камней на бетонном основании</v>
      </c>
      <c r="C40" s="46" t="str">
        <f>Source!H158</f>
        <v>100 м</v>
      </c>
      <c r="D40" s="47">
        <f>Source!I158</f>
        <v>34.97</v>
      </c>
      <c r="E40" s="45"/>
    </row>
    <row r="41" spans="1:5" ht="28.5" x14ac:dyDescent="0.2">
      <c r="A41" s="44" t="str">
        <f>Source!E159</f>
        <v>21</v>
      </c>
      <c r="B41" s="45" t="str">
        <f>Source!G159</f>
        <v>Погрузка и выгрузка вручную строительного мусора на транспортные средства</v>
      </c>
      <c r="C41" s="46" t="str">
        <f>Source!H159</f>
        <v>1 Т</v>
      </c>
      <c r="D41" s="47">
        <f>Source!I159</f>
        <v>84.76728</v>
      </c>
      <c r="E41" s="45"/>
    </row>
    <row r="42" spans="1:5" ht="42.75" x14ac:dyDescent="0.2">
      <c r="A42" s="44" t="str">
        <f>Source!E165</f>
        <v>26</v>
      </c>
      <c r="B42" s="45" t="str">
        <f>Source!G165</f>
        <v>Установка бортовых камней бетонных при других видах покрытий</v>
      </c>
      <c r="C42" s="46" t="str">
        <f>Source!H165</f>
        <v>100 м бортового камня</v>
      </c>
      <c r="D42" s="47">
        <f>Source!I165</f>
        <v>34.97</v>
      </c>
      <c r="E42" s="45"/>
    </row>
    <row r="43" spans="1:5" ht="16.5" x14ac:dyDescent="0.25">
      <c r="A43" s="110" t="str">
        <f>CONCATENATE("Раздел: ", Source!G198)</f>
        <v>Раздел: 10.1. Устройство новых оснований площадок (детские, спортивные, воркаут)</v>
      </c>
      <c r="B43" s="110"/>
      <c r="C43" s="110"/>
      <c r="D43" s="110"/>
      <c r="E43" s="110"/>
    </row>
    <row r="44" spans="1:5" ht="28.5" x14ac:dyDescent="0.2">
      <c r="A44" s="44" t="str">
        <f>Source!E202</f>
        <v>27</v>
      </c>
      <c r="B44" s="45" t="str">
        <f>Source!G202</f>
        <v>Разработка грунта с погрузкой на автомобили-самосвалы экскаваторами с ковшом вместимостью 0,5 м3 группа грунтов 1-3</v>
      </c>
      <c r="C44" s="46" t="str">
        <f>Source!H202</f>
        <v>100 м3 грунта</v>
      </c>
      <c r="D44" s="47">
        <f>Source!I202</f>
        <v>12.25854</v>
      </c>
      <c r="E44" s="45"/>
    </row>
    <row r="45" spans="1:5" ht="28.5" x14ac:dyDescent="0.2">
      <c r="A45" s="44" t="str">
        <f>Source!E203</f>
        <v>28</v>
      </c>
      <c r="B45" s="45" t="str">
        <f>Source!G203</f>
        <v>Разработка грунта вручную в траншеях глубиной до 2 м без креплений с откосами группа грунтов 1-3</v>
      </c>
      <c r="C45" s="46" t="str">
        <f>Source!H203</f>
        <v>100 м3 грунта</v>
      </c>
      <c r="D45" s="47">
        <f>Source!I203</f>
        <v>1.36206</v>
      </c>
      <c r="E45" s="45"/>
    </row>
    <row r="46" spans="1:5" ht="14.25" x14ac:dyDescent="0.2">
      <c r="A46" s="44" t="str">
        <f>Source!E204</f>
        <v>29</v>
      </c>
      <c r="B46" s="45" t="str">
        <f>Source!G204</f>
        <v>Погрузка грунта вручную в автомобили-самосвалы с выгрузкой</v>
      </c>
      <c r="C46" s="46" t="str">
        <f>Source!H204</f>
        <v>100 м3 грунта</v>
      </c>
      <c r="D46" s="47">
        <f>Source!I204</f>
        <v>1.36206</v>
      </c>
      <c r="E46" s="45"/>
    </row>
    <row r="47" spans="1:5" ht="57" x14ac:dyDescent="0.2">
      <c r="A47" s="44" t="str">
        <f>Source!E207</f>
        <v>32</v>
      </c>
      <c r="B47" s="45" t="str">
        <f>Source!G207</f>
        <v>Устройство подстилающих и выравнивающих слоев оснований из песка</v>
      </c>
      <c r="C47" s="46" t="str">
        <f>Source!H207</f>
        <v>100 м3 материала основания (в плотном теле)</v>
      </c>
      <c r="D47" s="47">
        <f>Source!I207</f>
        <v>6.4859999999999998</v>
      </c>
      <c r="E47" s="45"/>
    </row>
    <row r="48" spans="1:5" ht="14.25" x14ac:dyDescent="0.2">
      <c r="A48" s="44" t="str">
        <f>Source!E208</f>
        <v>32,1</v>
      </c>
      <c r="B48" s="45" t="str">
        <f>Source!G208</f>
        <v>Песок для строительных работ, рядовой</v>
      </c>
      <c r="C48" s="46" t="str">
        <f>Source!H208</f>
        <v>м3</v>
      </c>
      <c r="D48" s="47">
        <f>Source!I208</f>
        <v>713.46</v>
      </c>
      <c r="E48" s="45"/>
    </row>
    <row r="49" spans="1:5" ht="57" x14ac:dyDescent="0.2">
      <c r="A49" s="44" t="str">
        <f>Source!E209</f>
        <v>33</v>
      </c>
      <c r="B49" s="45" t="str">
        <f>Source!G209</f>
        <v>Устройство подстилающих и выравнивающих слоев оснований из щебня</v>
      </c>
      <c r="C49" s="46" t="str">
        <f>Source!H209</f>
        <v>100 м3 материала основания (в плотном теле)</v>
      </c>
      <c r="D49" s="47">
        <f>Source!I209</f>
        <v>4.8644999999999996</v>
      </c>
      <c r="E49" s="45"/>
    </row>
    <row r="50" spans="1:5" ht="28.5" x14ac:dyDescent="0.2">
      <c r="A50" s="44" t="str">
        <f>Source!E210</f>
        <v>33,1</v>
      </c>
      <c r="B50" s="45" t="str">
        <f>Source!G210</f>
        <v>Щебень из естественного камня для дорожных работ, марка 600 - 400, фракция 20-40 мм</v>
      </c>
      <c r="C50" s="46" t="str">
        <f>Source!H210</f>
        <v>м3</v>
      </c>
      <c r="D50" s="47">
        <f>Source!I210</f>
        <v>612.92700000000002</v>
      </c>
      <c r="E50" s="45"/>
    </row>
    <row r="51" spans="1:5" ht="42.75" x14ac:dyDescent="0.2">
      <c r="A51" s="44" t="str">
        <f>Source!E211</f>
        <v>34</v>
      </c>
      <c r="B51" s="45" t="str">
        <f>Source!G211</f>
        <v>Устройство асфальтобетонных покрытий дорожек и тротуаров двухслойных верхний слой из песчаной асфальтобетонной смеси толщиной 3 см</v>
      </c>
      <c r="C51" s="46" t="str">
        <f>Source!H211</f>
        <v>100 м2 покрытия</v>
      </c>
      <c r="D51" s="47">
        <f>Source!I211</f>
        <v>32.43</v>
      </c>
      <c r="E51" s="45"/>
    </row>
    <row r="52" spans="1:5" ht="14.25" x14ac:dyDescent="0.2">
      <c r="A52" s="44" t="str">
        <f>Source!E212</f>
        <v>34,1</v>
      </c>
      <c r="B52" s="45" t="str">
        <f>Source!G212</f>
        <v>Смеси асфальтобетонные дорожные горячие песчаные, тип Д, марка II</v>
      </c>
      <c r="C52" s="46" t="str">
        <f>Source!H212</f>
        <v>т</v>
      </c>
      <c r="D52" s="47">
        <f>Source!I212</f>
        <v>418.18484999999998</v>
      </c>
      <c r="E52" s="45"/>
    </row>
    <row r="53" spans="1:5" ht="16.5" x14ac:dyDescent="0.25">
      <c r="A53" s="110" t="str">
        <f>CONCATENATE("Раздел: ", Source!G245)</f>
        <v>Раздел: 11. Камень бетонный садовый 2093м</v>
      </c>
      <c r="B53" s="110"/>
      <c r="C53" s="110"/>
      <c r="D53" s="110"/>
      <c r="E53" s="110"/>
    </row>
    <row r="54" spans="1:5" ht="14.25" x14ac:dyDescent="0.2">
      <c r="A54" s="44" t="str">
        <f>Source!E249</f>
        <v>35</v>
      </c>
      <c r="B54" s="45" t="str">
        <f>Source!G249</f>
        <v>Разборка бортовых камней на бетонном основании</v>
      </c>
      <c r="C54" s="46" t="str">
        <f>Source!H249</f>
        <v>100 м</v>
      </c>
      <c r="D54" s="47">
        <f>Source!I249</f>
        <v>20.93</v>
      </c>
      <c r="E54" s="45"/>
    </row>
    <row r="55" spans="1:5" ht="28.5" x14ac:dyDescent="0.2">
      <c r="A55" s="44" t="str">
        <f>Source!E250</f>
        <v>36</v>
      </c>
      <c r="B55" s="45" t="str">
        <f>Source!G250</f>
        <v>Погрузка и выгрузка вручную строительного мусора на транспортные средства</v>
      </c>
      <c r="C55" s="46" t="str">
        <f>Source!H250</f>
        <v>1 Т</v>
      </c>
      <c r="D55" s="47">
        <f>Source!I250</f>
        <v>31.344767999999998</v>
      </c>
      <c r="E55" s="45"/>
    </row>
    <row r="56" spans="1:5" ht="57" x14ac:dyDescent="0.2">
      <c r="A56" s="44" t="str">
        <f>Source!E254</f>
        <v>40</v>
      </c>
      <c r="B56" s="45" t="str">
        <f>Source!G254</f>
        <v>Устройство подстилающих и выравнивающих слоев оснований из песка</v>
      </c>
      <c r="C56" s="46" t="str">
        <f>Source!H254</f>
        <v>100 м3 материала основания (в плотном теле)</v>
      </c>
      <c r="D56" s="47">
        <f>Source!I254</f>
        <v>0.41860000000000003</v>
      </c>
      <c r="E56" s="45"/>
    </row>
    <row r="57" spans="1:5" ht="14.25" x14ac:dyDescent="0.2">
      <c r="A57" s="44" t="str">
        <f>Source!E255</f>
        <v>40,1</v>
      </c>
      <c r="B57" s="45" t="str">
        <f>Source!G255</f>
        <v>Песок для строительных работ, рядовой</v>
      </c>
      <c r="C57" s="46" t="str">
        <f>Source!H255</f>
        <v>м3</v>
      </c>
      <c r="D57" s="47">
        <f>Source!I255</f>
        <v>46.045999999999999</v>
      </c>
      <c r="E57" s="45"/>
    </row>
    <row r="58" spans="1:5" ht="42.75" x14ac:dyDescent="0.2">
      <c r="A58" s="44" t="str">
        <f>Source!E256</f>
        <v>41</v>
      </c>
      <c r="B58" s="45" t="str">
        <f>Source!G256</f>
        <v>Установка бортовых камней бетонных газонных и садовых при других видах покрытий</v>
      </c>
      <c r="C58" s="46" t="str">
        <f>Source!H256</f>
        <v>100 м бортового камня</v>
      </c>
      <c r="D58" s="47">
        <f>Source!I256</f>
        <v>20.93</v>
      </c>
      <c r="E58" s="45"/>
    </row>
    <row r="59" spans="1:5" ht="14.25" x14ac:dyDescent="0.2">
      <c r="A59" s="44" t="str">
        <f>Source!E257</f>
        <v>41,1</v>
      </c>
      <c r="B59" s="45" t="str">
        <f>Source!G257</f>
        <v>Камни бетонные бортовые, марка БР 100.20.8</v>
      </c>
      <c r="C59" s="46" t="str">
        <f>Source!H257</f>
        <v>м3</v>
      </c>
      <c r="D59" s="47">
        <f>Source!I257</f>
        <v>29.536415999999999</v>
      </c>
      <c r="E59" s="45"/>
    </row>
    <row r="60" spans="1:5" ht="16.5" x14ac:dyDescent="0.25">
      <c r="A60" s="110" t="str">
        <f>CONCATENATE("Раздел: ", Source!G324)</f>
        <v>Раздел: 20.2. Газон посевной 10см</v>
      </c>
      <c r="B60" s="110"/>
      <c r="C60" s="110"/>
      <c r="D60" s="110"/>
      <c r="E60" s="110"/>
    </row>
    <row r="61" spans="1:5" ht="28.5" x14ac:dyDescent="0.2">
      <c r="A61" s="44" t="str">
        <f>Source!E328</f>
        <v>42</v>
      </c>
      <c r="B61" s="45" t="str">
        <f>Source!G328</f>
        <v>Разработка грунта с погрузкой на автомобили-самосвалы экскаваторами с ковшом вместимостью 0,5 м3 группа грунтов 1-3</v>
      </c>
      <c r="C61" s="46" t="str">
        <f>Source!H328</f>
        <v>100 м3 грунта</v>
      </c>
      <c r="D61" s="47">
        <f>Source!I328</f>
        <v>19.5885</v>
      </c>
      <c r="E61" s="45"/>
    </row>
    <row r="62" spans="1:5" ht="28.5" x14ac:dyDescent="0.2">
      <c r="A62" s="44" t="str">
        <f>Source!E329</f>
        <v>43</v>
      </c>
      <c r="B62" s="45" t="str">
        <f>Source!G329</f>
        <v>Устройство корыта под газоны и цветники с планировкой дна в грунтах 1 и 2 группы</v>
      </c>
      <c r="C62" s="46" t="str">
        <f>Source!H329</f>
        <v>1 м3</v>
      </c>
      <c r="D62" s="47">
        <f>Source!I329</f>
        <v>652.95000000000005</v>
      </c>
      <c r="E62" s="45"/>
    </row>
    <row r="63" spans="1:5" ht="28.5" x14ac:dyDescent="0.2">
      <c r="A63" s="44" t="str">
        <f>Source!E330</f>
        <v>44</v>
      </c>
      <c r="B63" s="45" t="str">
        <f>Source!G330</f>
        <v>Разработка грунта с погрузкой на автомобили-самосвалы экскаваторами с ковшом вместимостью 0,5 м3 группа грунтов 1-3</v>
      </c>
      <c r="C63" s="46" t="str">
        <f>Source!H330</f>
        <v>100 м3 грунта</v>
      </c>
      <c r="D63" s="47">
        <f>Source!I330</f>
        <v>5.8765499999999999</v>
      </c>
      <c r="E63" s="45"/>
    </row>
    <row r="64" spans="1:5" ht="14.25" x14ac:dyDescent="0.2">
      <c r="A64" s="44" t="str">
        <f>Source!E331</f>
        <v>45</v>
      </c>
      <c r="B64" s="45" t="str">
        <f>Source!G331</f>
        <v>Погрузка грунта вручную в автомобили-самосвалы с выгрузкой</v>
      </c>
      <c r="C64" s="46" t="str">
        <f>Source!H331</f>
        <v>100 м3 грунта</v>
      </c>
      <c r="D64" s="47">
        <f>Source!I331</f>
        <v>0.65295000000000003</v>
      </c>
      <c r="E64" s="45"/>
    </row>
    <row r="65" spans="1:5" ht="42.75" x14ac:dyDescent="0.2">
      <c r="A65" s="44" t="str">
        <f>Source!E334</f>
        <v>48</v>
      </c>
      <c r="B65" s="45" t="str">
        <f>Source!G334</f>
        <v>Подготовка почвы для устройства партерного и обыкновенного газонов с внесением растительной земли слоем 15 см механизированным способом</v>
      </c>
      <c r="C65" s="46" t="str">
        <f>Source!H334</f>
        <v>100 м2</v>
      </c>
      <c r="D65" s="47">
        <f>Source!I334</f>
        <v>195.88499999999999</v>
      </c>
      <c r="E65" s="45"/>
    </row>
    <row r="66" spans="1:5" ht="14.25" x14ac:dyDescent="0.2">
      <c r="A66" s="44" t="str">
        <f>Source!E335</f>
        <v>48,1</v>
      </c>
      <c r="B66" s="45" t="str">
        <f>Source!G335</f>
        <v>Земля растительная</v>
      </c>
      <c r="C66" s="46" t="str">
        <f>Source!H335</f>
        <v>м3</v>
      </c>
      <c r="D66" s="47">
        <f>Source!I335</f>
        <v>2938.2750000000001</v>
      </c>
      <c r="E66" s="45"/>
    </row>
    <row r="67" spans="1:5" ht="28.5" x14ac:dyDescent="0.2">
      <c r="A67" s="44" t="str">
        <f>Source!E336</f>
        <v>49</v>
      </c>
      <c r="B67" s="45" t="str">
        <f>Source!G336</f>
        <v>Подготовка почвы для устройства партерного и обыкновенного газонов с внесением растительной земли слоем 15 см вручную</v>
      </c>
      <c r="C67" s="46" t="str">
        <f>Source!H336</f>
        <v>100 м2</v>
      </c>
      <c r="D67" s="47">
        <f>Source!I336</f>
        <v>65.295000000000002</v>
      </c>
      <c r="E67" s="45"/>
    </row>
    <row r="68" spans="1:5" ht="14.25" x14ac:dyDescent="0.2">
      <c r="A68" s="44" t="str">
        <f>Source!E337</f>
        <v>49,1</v>
      </c>
      <c r="B68" s="45" t="str">
        <f>Source!G337</f>
        <v>Земля растительная</v>
      </c>
      <c r="C68" s="46" t="str">
        <f>Source!H337</f>
        <v>м3</v>
      </c>
      <c r="D68" s="47">
        <f>Source!I337</f>
        <v>979.42499999999995</v>
      </c>
      <c r="E68" s="45"/>
    </row>
    <row r="69" spans="1:5" ht="28.5" x14ac:dyDescent="0.2">
      <c r="A69" s="44" t="str">
        <f>Source!E338</f>
        <v>50</v>
      </c>
      <c r="B69" s="45" t="str">
        <f>Source!G338</f>
        <v>Подготовка почвы для устройства партерного и обыкновенного газонов на каждые 5 см изменения толщины слоя добавлять или исключать</v>
      </c>
      <c r="C69" s="46" t="str">
        <f>Source!H338</f>
        <v>100 м2</v>
      </c>
      <c r="D69" s="47">
        <f>Source!I338</f>
        <v>-261.18</v>
      </c>
      <c r="E69" s="45"/>
    </row>
    <row r="70" spans="1:5" ht="14.25" x14ac:dyDescent="0.2">
      <c r="A70" s="44" t="str">
        <f>Source!E339</f>
        <v>50,1</v>
      </c>
      <c r="B70" s="45" t="str">
        <f>Source!G339</f>
        <v>Земля растительная</v>
      </c>
      <c r="C70" s="46" t="str">
        <f>Source!H339</f>
        <v>м3</v>
      </c>
      <c r="D70" s="47">
        <f>Source!I339</f>
        <v>-1305.9000000000001</v>
      </c>
      <c r="E70" s="45"/>
    </row>
    <row r="71" spans="1:5" ht="14.25" x14ac:dyDescent="0.2">
      <c r="A71" s="44" t="str">
        <f>Source!E340</f>
        <v>51</v>
      </c>
      <c r="B71" s="45" t="str">
        <f>Source!G340</f>
        <v>Посев газонов партерных, мавританских, и обыкновенных вручную</v>
      </c>
      <c r="C71" s="46" t="str">
        <f>Source!H340</f>
        <v>100 м2</v>
      </c>
      <c r="D71" s="47">
        <f>Source!I340</f>
        <v>261.18</v>
      </c>
      <c r="E71" s="45"/>
    </row>
    <row r="72" spans="1:5" ht="14.25" x14ac:dyDescent="0.2">
      <c r="A72" s="44" t="str">
        <f>Source!E341</f>
        <v>51,1</v>
      </c>
      <c r="B72" s="45" t="str">
        <f>Source!G341</f>
        <v>Семена (смесь универсальная) газонных трав</v>
      </c>
      <c r="C72" s="46" t="str">
        <f>Source!H341</f>
        <v>кг</v>
      </c>
      <c r="D72" s="47">
        <f>Source!I341</f>
        <v>1044.72</v>
      </c>
      <c r="E72" s="45"/>
    </row>
    <row r="73" spans="1:5" ht="16.5" x14ac:dyDescent="0.25">
      <c r="A73" s="110" t="str">
        <f>CONCATENATE("Раздел: ", Source!G374)</f>
        <v>Раздел: 21.1. Посадка кустарников (h=0,7 м)</v>
      </c>
      <c r="B73" s="110"/>
      <c r="C73" s="110"/>
      <c r="D73" s="110"/>
      <c r="E73" s="110"/>
    </row>
    <row r="74" spans="1:5" ht="28.5" x14ac:dyDescent="0.2">
      <c r="A74" s="44" t="str">
        <f>Source!E378</f>
        <v>52</v>
      </c>
      <c r="B74" s="45" t="str">
        <f>Source!G378</f>
        <v>Разработка грунта с погрузкой на автомобили-самосвалы экскаваторами с ковшом вместимостью 0,5 м3 группа грунтов 1-3</v>
      </c>
      <c r="C74" s="46" t="str">
        <f>Source!H378</f>
        <v>100 м3 грунта</v>
      </c>
      <c r="D74" s="47">
        <f>Source!I378</f>
        <v>6.9678000000000004</v>
      </c>
      <c r="E74" s="45"/>
    </row>
    <row r="75" spans="1:5" ht="14.25" x14ac:dyDescent="0.2">
      <c r="A75" s="44" t="str">
        <f>Source!E379</f>
        <v>53</v>
      </c>
      <c r="B75" s="45" t="str">
        <f>Source!G379</f>
        <v>Погрузка грунта вручную в автомобили-самосвалы с выгрузкой</v>
      </c>
      <c r="C75" s="46" t="str">
        <f>Source!H379</f>
        <v>100 м3 грунта</v>
      </c>
      <c r="D75" s="47">
        <f>Source!I379</f>
        <v>0.7742</v>
      </c>
      <c r="E75" s="45"/>
    </row>
    <row r="76" spans="1:5" ht="42.75" x14ac:dyDescent="0.2">
      <c r="A76" s="44" t="str">
        <f>Source!E382</f>
        <v>56</v>
      </c>
      <c r="B76" s="45" t="str">
        <f>Source!G382</f>
        <v>Подготовка стандартных посадочных мест для деревьев и кустарников механизированным способом, с круглым комом земли размером 0,3х0,3 м с добавлением растительной земли до 100%</v>
      </c>
      <c r="C76" s="46" t="str">
        <f>Source!H382</f>
        <v>10 ям</v>
      </c>
      <c r="D76" s="47">
        <f>Source!I382</f>
        <v>110.6</v>
      </c>
      <c r="E76" s="45"/>
    </row>
    <row r="77" spans="1:5" ht="14.25" x14ac:dyDescent="0.2">
      <c r="A77" s="44" t="str">
        <f>Source!E383</f>
        <v>56,1</v>
      </c>
      <c r="B77" s="45" t="str">
        <f>Source!G383</f>
        <v>Земля растительная</v>
      </c>
      <c r="C77" s="46" t="str">
        <f>Source!H383</f>
        <v>м3</v>
      </c>
      <c r="D77" s="47">
        <f>Source!I383</f>
        <v>221.2</v>
      </c>
      <c r="E77" s="45"/>
    </row>
    <row r="78" spans="1:5" ht="28.5" x14ac:dyDescent="0.2">
      <c r="A78" s="44" t="str">
        <f>Source!E384</f>
        <v>57</v>
      </c>
      <c r="B78" s="45" t="str">
        <f>Source!G384</f>
        <v>Подготовка стандартных посадочных мест вручную, с круглым комом земли размером 0,3х0,3 м с добавлением растительной земли до 100%</v>
      </c>
      <c r="C78" s="46" t="str">
        <f>Source!H384</f>
        <v>10 ям</v>
      </c>
      <c r="D78" s="47">
        <f>Source!I384</f>
        <v>165.9</v>
      </c>
      <c r="E78" s="45"/>
    </row>
    <row r="79" spans="1:5" ht="14.25" x14ac:dyDescent="0.2">
      <c r="A79" s="44" t="str">
        <f>Source!E385</f>
        <v>57,1</v>
      </c>
      <c r="B79" s="45" t="str">
        <f>Source!G385</f>
        <v>Земля растительная</v>
      </c>
      <c r="C79" s="46" t="str">
        <f>Source!H385</f>
        <v>м3</v>
      </c>
      <c r="D79" s="47">
        <f>Source!I385</f>
        <v>331.8</v>
      </c>
      <c r="E79" s="45"/>
    </row>
    <row r="80" spans="1:5" ht="42.75" x14ac:dyDescent="0.2">
      <c r="A80" s="44" t="str">
        <f>Source!E386</f>
        <v>58</v>
      </c>
      <c r="B80" s="45" t="str">
        <f>Source!G386</f>
        <v>Посадка деревьев и кустарников с комом земли, диаметром 0,3 м и высотой 0,3 м</v>
      </c>
      <c r="C80" s="46" t="str">
        <f>Source!H386</f>
        <v>10 деревьев или кустарников</v>
      </c>
      <c r="D80" s="47">
        <f>Source!I386</f>
        <v>276.5</v>
      </c>
      <c r="E80" s="45"/>
    </row>
    <row r="81" spans="1:5" ht="28.5" x14ac:dyDescent="0.2">
      <c r="A81" s="44" t="str">
        <f>Source!E387</f>
        <v>58,1</v>
      </c>
      <c r="B81" s="45" t="str">
        <f>Source!G387</f>
        <v>Кустарники декоративные с комом земли, калина обыкновенная, высота 0,3 м, диаметр 0,3 м</v>
      </c>
      <c r="C81" s="46" t="str">
        <f>Source!H387</f>
        <v>шт.</v>
      </c>
      <c r="D81" s="47">
        <f>Source!I387</f>
        <v>2765</v>
      </c>
      <c r="E81" s="45"/>
    </row>
    <row r="82" spans="1:5" ht="16.5" x14ac:dyDescent="0.25">
      <c r="A82" s="110" t="str">
        <f>CONCATENATE("Раздел: ", Source!G488)</f>
        <v>Раздел: 22.1 Посадка деревьев с комом 0,8х0,6 м, высотой от 3 м</v>
      </c>
      <c r="B82" s="110"/>
      <c r="C82" s="110"/>
      <c r="D82" s="110"/>
      <c r="E82" s="110"/>
    </row>
    <row r="83" spans="1:5" ht="42.75" x14ac:dyDescent="0.2">
      <c r="A83" s="44" t="str">
        <f>Source!E492</f>
        <v>59</v>
      </c>
      <c r="B83" s="45" t="str">
        <f>Source!G492</f>
        <v>Подготовка стандартных посадочных мест для деревьев и кустарников механизированным способом, с круглым комом земли размером 0,8х0,6 м с добавлением растительной земли до 100%</v>
      </c>
      <c r="C83" s="46" t="str">
        <f>Source!H492</f>
        <v>10 ям</v>
      </c>
      <c r="D83" s="47">
        <f>Source!I492</f>
        <v>4.88</v>
      </c>
      <c r="E83" s="45"/>
    </row>
    <row r="84" spans="1:5" ht="14.25" x14ac:dyDescent="0.2">
      <c r="A84" s="44" t="str">
        <f>Source!E493</f>
        <v>59,1</v>
      </c>
      <c r="B84" s="45" t="str">
        <f>Source!G493</f>
        <v>Земля растительная</v>
      </c>
      <c r="C84" s="46" t="str">
        <f>Source!H493</f>
        <v>м3</v>
      </c>
      <c r="D84" s="47">
        <f>Source!I493</f>
        <v>30.256</v>
      </c>
      <c r="E84" s="45"/>
    </row>
    <row r="85" spans="1:5" ht="28.5" x14ac:dyDescent="0.2">
      <c r="A85" s="44" t="str">
        <f>Source!E494</f>
        <v>60</v>
      </c>
      <c r="B85" s="45" t="str">
        <f>Source!G494</f>
        <v>Подготовка стандартных посадочных мест вручную, с круглым комом земли размером 0,8х0,6 м с добавлением растительной земли до 100%</v>
      </c>
      <c r="C85" s="46" t="str">
        <f>Source!H494</f>
        <v>10 ям</v>
      </c>
      <c r="D85" s="47">
        <f>Source!I494</f>
        <v>7.32</v>
      </c>
      <c r="E85" s="45"/>
    </row>
    <row r="86" spans="1:5" ht="14.25" x14ac:dyDescent="0.2">
      <c r="A86" s="44" t="str">
        <f>Source!E495</f>
        <v>60,1</v>
      </c>
      <c r="B86" s="45" t="str">
        <f>Source!G495</f>
        <v>Земля растительная</v>
      </c>
      <c r="C86" s="46" t="str">
        <f>Source!H495</f>
        <v>м3</v>
      </c>
      <c r="D86" s="47">
        <f>Source!I495</f>
        <v>45.384</v>
      </c>
      <c r="E86" s="45"/>
    </row>
    <row r="87" spans="1:5" ht="28.5" x14ac:dyDescent="0.2">
      <c r="A87" s="44" t="str">
        <f>Source!E496</f>
        <v>61</v>
      </c>
      <c r="B87" s="45" t="str">
        <f>Source!G496</f>
        <v>Разработка грунта с погрузкой на автомобили-самосвалы экскаваторами с ковшом вместимостью 0,5 м3 группа грунтов 1-3</v>
      </c>
      <c r="C87" s="46" t="str">
        <f>Source!H496</f>
        <v>100 м3 грунта</v>
      </c>
      <c r="D87" s="47">
        <f>Source!I496</f>
        <v>0.74444399999999999</v>
      </c>
      <c r="E87" s="45"/>
    </row>
    <row r="88" spans="1:5" ht="14.25" x14ac:dyDescent="0.2">
      <c r="A88" s="44" t="str">
        <f>Source!E497</f>
        <v>62</v>
      </c>
      <c r="B88" s="45" t="str">
        <f>Source!G497</f>
        <v>Погрузка грунта вручную в автомобили-самосвалы с выгрузкой</v>
      </c>
      <c r="C88" s="46" t="str">
        <f>Source!H497</f>
        <v>100 м3 грунта</v>
      </c>
      <c r="D88" s="47">
        <f>Source!I497</f>
        <v>8.2715999999999998E-2</v>
      </c>
      <c r="E88" s="45"/>
    </row>
    <row r="89" spans="1:5" ht="42.75" x14ac:dyDescent="0.2">
      <c r="A89" s="44" t="str">
        <f>Source!E500</f>
        <v>65</v>
      </c>
      <c r="B89" s="45" t="str">
        <f>Source!G500</f>
        <v>Посадка деревьев и кустарников с комом земли, диаметром 0,8 м и высотой 0,6 м</v>
      </c>
      <c r="C89" s="46" t="str">
        <f>Source!H500</f>
        <v>10 деревьев или кустарников</v>
      </c>
      <c r="D89" s="47">
        <f>Source!I500</f>
        <v>12.2</v>
      </c>
      <c r="E89" s="45"/>
    </row>
    <row r="90" spans="1:5" ht="42.75" x14ac:dyDescent="0.2">
      <c r="A90" s="44" t="str">
        <f>Source!E501</f>
        <v>65,1</v>
      </c>
      <c r="B90" s="45" t="str">
        <f>Source!G501</f>
        <v>Деревья декоративные лиственных пород с комом земли, порода: бархат амурский, вяз, дуб, каштан, клен, липа, орех, ясень, размер кома: диаметр - 0,8 м, высота - 0,6 м</v>
      </c>
      <c r="C90" s="46" t="str">
        <f>Source!H501</f>
        <v>шт.</v>
      </c>
      <c r="D90" s="47">
        <f>Source!I501</f>
        <v>122</v>
      </c>
      <c r="E90" s="45"/>
    </row>
    <row r="91" spans="1:5" ht="16.5" x14ac:dyDescent="0.25">
      <c r="A91" s="110" t="str">
        <f>CONCATENATE("Раздел: ", Source!G568)</f>
        <v>Раздел: 23.1. Устройство цветников (многолетники)</v>
      </c>
      <c r="B91" s="110"/>
      <c r="C91" s="110"/>
      <c r="D91" s="110"/>
      <c r="E91" s="110"/>
    </row>
    <row r="92" spans="1:5" ht="28.5" x14ac:dyDescent="0.2">
      <c r="A92" s="44" t="str">
        <f>Source!E572</f>
        <v>66</v>
      </c>
      <c r="B92" s="45" t="str">
        <f>Source!G572</f>
        <v>Подготовка почвы под цветники толщиной слоя насыпки 20 см</v>
      </c>
      <c r="C92" s="46" t="str">
        <f>Source!H572</f>
        <v>100 м2 цветников</v>
      </c>
      <c r="D92" s="47">
        <f>Source!I572</f>
        <v>2.82</v>
      </c>
      <c r="E92" s="45"/>
    </row>
    <row r="93" spans="1:5" ht="14.25" x14ac:dyDescent="0.2">
      <c r="A93" s="44" t="str">
        <f>Source!E573</f>
        <v>66,1</v>
      </c>
      <c r="B93" s="45" t="str">
        <f>Source!G573</f>
        <v>Земля растительная</v>
      </c>
      <c r="C93" s="46" t="str">
        <f>Source!H573</f>
        <v>м3</v>
      </c>
      <c r="D93" s="47">
        <f>Source!I573</f>
        <v>56.4</v>
      </c>
      <c r="E93" s="45"/>
    </row>
    <row r="94" spans="1:5" ht="28.5" x14ac:dyDescent="0.2">
      <c r="A94" s="44" t="str">
        <f>Source!E574</f>
        <v>67</v>
      </c>
      <c r="B94" s="45" t="str">
        <f>Source!G574</f>
        <v>Добавлять или исключать на каждые 5 см изменения толщины слоя почвы под цветники к позиции 3.47-29-1</v>
      </c>
      <c r="C94" s="46" t="str">
        <f>Source!H574</f>
        <v>100 м2 цветников</v>
      </c>
      <c r="D94" s="47">
        <f>Source!I574</f>
        <v>2.82</v>
      </c>
      <c r="E94" s="45"/>
    </row>
    <row r="95" spans="1:5" ht="14.25" x14ac:dyDescent="0.2">
      <c r="A95" s="44" t="str">
        <f>Source!E575</f>
        <v>67,1</v>
      </c>
      <c r="B95" s="45" t="str">
        <f>Source!G575</f>
        <v>Земля растительная</v>
      </c>
      <c r="C95" s="46" t="str">
        <f>Source!H575</f>
        <v>м3</v>
      </c>
      <c r="D95" s="47">
        <f>Source!I575</f>
        <v>56.4</v>
      </c>
      <c r="E95" s="45"/>
    </row>
    <row r="96" spans="1:5" ht="28.5" x14ac:dyDescent="0.2">
      <c r="A96" s="44" t="str">
        <f>Source!E576</f>
        <v>68</v>
      </c>
      <c r="B96" s="45" t="str">
        <f>Source!G576</f>
        <v>Посадка многолетних цветников при густоте посадки 1,6 тыс. шт. цветов</v>
      </c>
      <c r="C96" s="46" t="str">
        <f>Source!H576</f>
        <v>100 м2 цветников</v>
      </c>
      <c r="D96" s="47">
        <f>Source!I576</f>
        <v>1.41</v>
      </c>
      <c r="E96" s="45"/>
    </row>
    <row r="97" spans="1:5" ht="14.25" x14ac:dyDescent="0.2">
      <c r="A97" s="44" t="str">
        <f>Source!E577</f>
        <v>68,1</v>
      </c>
      <c r="B97" s="45" t="str">
        <f>Source!G577</f>
        <v>Посадочный материал многолетних цветочных культур, хоста</v>
      </c>
      <c r="C97" s="46" t="str">
        <f>Source!H577</f>
        <v>шт.</v>
      </c>
      <c r="D97" s="47">
        <f>Source!I577</f>
        <v>2256</v>
      </c>
      <c r="E97" s="45"/>
    </row>
    <row r="98" spans="1:5" ht="28.5" x14ac:dyDescent="0.2">
      <c r="A98" s="44" t="str">
        <f>Source!E578</f>
        <v>69</v>
      </c>
      <c r="B98" s="45" t="str">
        <f>Source!G578</f>
        <v>Посадка многолетних цветников при густоте посадки 1,6 тыс. шт. цветов</v>
      </c>
      <c r="C98" s="46" t="str">
        <f>Source!H578</f>
        <v>100 м2 цветников</v>
      </c>
      <c r="D98" s="47">
        <f>Source!I578</f>
        <v>1.41</v>
      </c>
      <c r="E98" s="45"/>
    </row>
    <row r="99" spans="1:5" ht="14.25" x14ac:dyDescent="0.2">
      <c r="A99" s="44" t="str">
        <f>Source!E579</f>
        <v>69,1</v>
      </c>
      <c r="B99" s="45" t="str">
        <f>Source!G579</f>
        <v>Посадочный материал многолетних цветочных культур, астильба</v>
      </c>
      <c r="C99" s="46" t="str">
        <f>Source!H579</f>
        <v>шт.</v>
      </c>
      <c r="D99" s="47">
        <f>Source!I579</f>
        <v>2256</v>
      </c>
      <c r="E99" s="45"/>
    </row>
    <row r="100" spans="1:5" ht="28.5" x14ac:dyDescent="0.2">
      <c r="A100" s="44" t="str">
        <f>Source!E580</f>
        <v>70</v>
      </c>
      <c r="B100" s="45" t="str">
        <f>Source!G580</f>
        <v>Добавлять или исключать на каждые 1000 шт. высаживаемых цветов к позиции 3.47-31-1</v>
      </c>
      <c r="C100" s="46" t="str">
        <f>Source!H580</f>
        <v>100 м2 цветников</v>
      </c>
      <c r="D100" s="47">
        <f>Source!I580</f>
        <v>1.41</v>
      </c>
      <c r="E100" s="45"/>
    </row>
    <row r="101" spans="1:5" ht="14.25" x14ac:dyDescent="0.2">
      <c r="A101" s="44" t="str">
        <f>Source!E581</f>
        <v>70,1</v>
      </c>
      <c r="B101" s="45" t="str">
        <f>Source!G581</f>
        <v>Посадочный материал многолетних цветочных культур, астильба</v>
      </c>
      <c r="C101" s="46" t="str">
        <f>Source!H581</f>
        <v>шт.</v>
      </c>
      <c r="D101" s="47">
        <f>Source!I581</f>
        <v>1720.1999999999998</v>
      </c>
      <c r="E101" s="45"/>
    </row>
    <row r="102" spans="1:5" ht="16.5" x14ac:dyDescent="0.25">
      <c r="A102" s="110" t="str">
        <f>CONCATENATE("Раздел: ", Source!G648)</f>
        <v>Раздел: 27.1. Капитальный ремонт пешеходного покрытия из бетонной плитки 1503 м2</v>
      </c>
      <c r="B102" s="110"/>
      <c r="C102" s="110"/>
      <c r="D102" s="110"/>
      <c r="E102" s="110"/>
    </row>
    <row r="103" spans="1:5" ht="28.5" x14ac:dyDescent="0.2">
      <c r="A103" s="44" t="str">
        <f>Source!E652</f>
        <v>71</v>
      </c>
      <c r="B103" s="45" t="str">
        <f>Source!G652</f>
        <v>Разработка грунта с погрузкой на автомобили-самосвалы экскаваторами с ковшом вместимостью 0,5 м3 группа грунтов 1-3</v>
      </c>
      <c r="C103" s="46" t="str">
        <f>Source!H652</f>
        <v>100 м3 грунта</v>
      </c>
      <c r="D103" s="47">
        <f>Source!I652</f>
        <v>5.8166099999999998</v>
      </c>
      <c r="E103" s="45"/>
    </row>
    <row r="104" spans="1:5" ht="28.5" x14ac:dyDescent="0.2">
      <c r="A104" s="44" t="str">
        <f>Source!E653</f>
        <v>72</v>
      </c>
      <c r="B104" s="45" t="str">
        <f>Source!G653</f>
        <v>Разработка грунта вручную в траншеях глубиной до 2 м без креплений с откосами группа грунтов 1-3</v>
      </c>
      <c r="C104" s="46" t="str">
        <f>Source!H653</f>
        <v>100 м3 грунта</v>
      </c>
      <c r="D104" s="47">
        <f>Source!I653</f>
        <v>0.64629000000000003</v>
      </c>
      <c r="E104" s="45"/>
    </row>
    <row r="105" spans="1:5" ht="14.25" x14ac:dyDescent="0.2">
      <c r="A105" s="44" t="str">
        <f>Source!E654</f>
        <v>73</v>
      </c>
      <c r="B105" s="45" t="str">
        <f>Source!G654</f>
        <v>Погрузка грунта вручную в автомобили-самосвалы с выгрузкой</v>
      </c>
      <c r="C105" s="46" t="str">
        <f>Source!H654</f>
        <v>100 м3 грунта</v>
      </c>
      <c r="D105" s="47">
        <f>Source!I654</f>
        <v>0.64629000000000003</v>
      </c>
      <c r="E105" s="45"/>
    </row>
    <row r="106" spans="1:5" ht="57" x14ac:dyDescent="0.2">
      <c r="A106" s="44" t="str">
        <f>Source!E657</f>
        <v>76</v>
      </c>
      <c r="B106" s="45" t="str">
        <f>Source!G657</f>
        <v>Устройство подстилающих и выравнивающих слоев оснований из песка</v>
      </c>
      <c r="C106" s="46" t="str">
        <f>Source!H657</f>
        <v>100 м3 материала основания (в плотном теле)</v>
      </c>
      <c r="D106" s="47">
        <f>Source!I657</f>
        <v>3.0059999999999998</v>
      </c>
      <c r="E106" s="45"/>
    </row>
    <row r="107" spans="1:5" ht="14.25" x14ac:dyDescent="0.2">
      <c r="A107" s="44" t="str">
        <f>Source!E658</f>
        <v>76,1</v>
      </c>
      <c r="B107" s="45" t="str">
        <f>Source!G658</f>
        <v>Песок для строительных работ, рядовой</v>
      </c>
      <c r="C107" s="46" t="str">
        <f>Source!H658</f>
        <v>м3</v>
      </c>
      <c r="D107" s="47">
        <f>Source!I658</f>
        <v>330.66</v>
      </c>
      <c r="E107" s="45"/>
    </row>
    <row r="108" spans="1:5" ht="57" x14ac:dyDescent="0.2">
      <c r="A108" s="44" t="str">
        <f>Source!E659</f>
        <v>77</v>
      </c>
      <c r="B108" s="45" t="str">
        <f>Source!G659</f>
        <v>Устройство подстилающих и выравнивающих слоев оснований из щебня</v>
      </c>
      <c r="C108" s="46" t="str">
        <f>Source!H659</f>
        <v>100 м3 материала основания (в плотном теле)</v>
      </c>
      <c r="D108" s="47">
        <f>Source!I659</f>
        <v>1.8036000000000001</v>
      </c>
      <c r="E108" s="45"/>
    </row>
    <row r="109" spans="1:5" ht="28.5" x14ac:dyDescent="0.2">
      <c r="A109" s="44" t="str">
        <f>Source!E660</f>
        <v>77,1</v>
      </c>
      <c r="B109" s="45" t="str">
        <f>Source!G660</f>
        <v>Щебень из естественного камня для дорожных работ, марка 600 - 400, фракция 20-40 мм</v>
      </c>
      <c r="C109" s="46" t="str">
        <f>Source!H660</f>
        <v>м3</v>
      </c>
      <c r="D109" s="47">
        <f>Source!I660</f>
        <v>227.25360000000001</v>
      </c>
      <c r="E109" s="45"/>
    </row>
    <row r="110" spans="1:5" ht="28.5" x14ac:dyDescent="0.2">
      <c r="A110" s="44" t="str">
        <f>Source!E661</f>
        <v>78</v>
      </c>
      <c r="B110" s="45" t="str">
        <f>Source!G661</f>
        <v>Устройство покрытий тротуаров из бетонной плитки типа "Брусчатка" рядовым или паркетным мощением</v>
      </c>
      <c r="C110" s="46" t="str">
        <f>Source!H661</f>
        <v>100 м2</v>
      </c>
      <c r="D110" s="47">
        <f>Source!I661</f>
        <v>15.03</v>
      </c>
      <c r="E110" s="45"/>
    </row>
    <row r="111" spans="1:5" ht="28.5" x14ac:dyDescent="0.2">
      <c r="A111" s="44" t="str">
        <f>Source!E662</f>
        <v>78,1</v>
      </c>
      <c r="B111" s="45" t="str">
        <f>Source!G662</f>
        <v>Диск отрезной с алмазным покрытием, диаметр 230 мм, высота сегмента 7 мм</v>
      </c>
      <c r="C111" s="46" t="str">
        <f>Source!H662</f>
        <v>шт.</v>
      </c>
      <c r="D111" s="47">
        <f>Source!I662</f>
        <v>51.101999999999997</v>
      </c>
      <c r="E111" s="45"/>
    </row>
    <row r="112" spans="1:5" ht="14.25" x14ac:dyDescent="0.2">
      <c r="A112" s="44" t="str">
        <f>Source!E663</f>
        <v>78,2</v>
      </c>
      <c r="B112" s="45" t="str">
        <f>Source!G663</f>
        <v>Брусчатка бетонная овальная, марка 4ПБ 15.10.7, цвет светло-серый</v>
      </c>
      <c r="C112" s="46" t="str">
        <f>Source!H663</f>
        <v>м2</v>
      </c>
      <c r="D112" s="47">
        <f>Source!I663</f>
        <v>1503</v>
      </c>
      <c r="E112" s="45"/>
    </row>
    <row r="113" spans="1:5" ht="28.5" x14ac:dyDescent="0.2">
      <c r="A113" s="44" t="str">
        <f>Source!E664</f>
        <v>78,3</v>
      </c>
      <c r="B113" s="45" t="str">
        <f>Source!G664</f>
        <v>Смеси сухие монтажно-кладочные цементно-песчаные, В7,5 (М100), F50, крупность заполнителя не более 3,5 мм</v>
      </c>
      <c r="C113" s="46" t="str">
        <f>Source!H664</f>
        <v>т</v>
      </c>
      <c r="D113" s="47">
        <f>Source!I664</f>
        <v>33.817500000000003</v>
      </c>
      <c r="E113" s="45"/>
    </row>
    <row r="114" spans="1:5" ht="16.5" x14ac:dyDescent="0.25">
      <c r="A114" s="110" t="str">
        <f>CONCATENATE("Раздел: ", Source!G697)</f>
        <v>Раздел: 28. Камень бортовой садовый</v>
      </c>
      <c r="B114" s="110"/>
      <c r="C114" s="110"/>
      <c r="D114" s="110"/>
      <c r="E114" s="110"/>
    </row>
    <row r="115" spans="1:5" ht="14.25" x14ac:dyDescent="0.2">
      <c r="A115" s="44" t="str">
        <f>Source!E701</f>
        <v>79</v>
      </c>
      <c r="B115" s="45" t="str">
        <f>Source!G701</f>
        <v>Разборка бортовых камней на бетонном основании</v>
      </c>
      <c r="C115" s="46" t="str">
        <f>Source!H701</f>
        <v>100 м</v>
      </c>
      <c r="D115" s="47">
        <f>Source!I701</f>
        <v>12.61</v>
      </c>
      <c r="E115" s="45"/>
    </row>
    <row r="116" spans="1:5" ht="14.25" x14ac:dyDescent="0.2">
      <c r="A116" s="44" t="str">
        <f>Source!E702</f>
        <v>80</v>
      </c>
      <c r="B116" s="45" t="str">
        <f>Source!G702</f>
        <v>Погрузка вручную строительного мусора в самосвал</v>
      </c>
      <c r="C116" s="46" t="str">
        <f>Source!H702</f>
        <v>1 Т</v>
      </c>
      <c r="D116" s="47">
        <f>Source!I702</f>
        <v>18.884740000000001</v>
      </c>
      <c r="E116" s="45"/>
    </row>
    <row r="117" spans="1:5" ht="28.5" x14ac:dyDescent="0.2">
      <c r="A117" s="44" t="str">
        <f>Source!E703</f>
        <v>81</v>
      </c>
      <c r="B117" s="45" t="str">
        <f>Source!G703</f>
        <v>Погрузка и выгрузка вручную строительного мусора на транспортные средства</v>
      </c>
      <c r="C117" s="46" t="str">
        <f>Source!H703</f>
        <v>1 Т</v>
      </c>
      <c r="D117" s="47">
        <f>Source!I703</f>
        <v>169.96261999999999</v>
      </c>
      <c r="E117" s="45"/>
    </row>
    <row r="118" spans="1:5" ht="57" x14ac:dyDescent="0.2">
      <c r="A118" s="44" t="str">
        <f>Source!E706</f>
        <v>84</v>
      </c>
      <c r="B118" s="45" t="str">
        <f>Source!G706</f>
        <v>Устройство подстилающих и выравнивающих слоев оснований из песка</v>
      </c>
      <c r="C118" s="46" t="str">
        <f>Source!H706</f>
        <v>100 м3 материала основания (в плотном теле)</v>
      </c>
      <c r="D118" s="47">
        <f>Source!I706</f>
        <v>0.25219999999999998</v>
      </c>
      <c r="E118" s="45"/>
    </row>
    <row r="119" spans="1:5" ht="14.25" x14ac:dyDescent="0.2">
      <c r="A119" s="44" t="str">
        <f>Source!E707</f>
        <v>84,1</v>
      </c>
      <c r="B119" s="45" t="str">
        <f>Source!G707</f>
        <v>Песок для строительных работ, рядовой</v>
      </c>
      <c r="C119" s="46" t="str">
        <f>Source!H707</f>
        <v>м3</v>
      </c>
      <c r="D119" s="47">
        <f>Source!I707</f>
        <v>27.742000000000001</v>
      </c>
      <c r="E119" s="45"/>
    </row>
    <row r="120" spans="1:5" ht="42.75" x14ac:dyDescent="0.2">
      <c r="A120" s="44" t="str">
        <f>Source!E708</f>
        <v>85</v>
      </c>
      <c r="B120" s="45" t="str">
        <f>Source!G708</f>
        <v>Установка бортовых камней бетонных газонных и садовых при других видах покрытий</v>
      </c>
      <c r="C120" s="46" t="str">
        <f>Source!H708</f>
        <v>100 м бортового камня</v>
      </c>
      <c r="D120" s="47">
        <f>Source!I708</f>
        <v>12.61</v>
      </c>
      <c r="E120" s="45"/>
    </row>
    <row r="121" spans="1:5" ht="14.25" x14ac:dyDescent="0.2">
      <c r="A121" s="44" t="str">
        <f>Source!E709</f>
        <v>85,1</v>
      </c>
      <c r="B121" s="45" t="str">
        <f>Source!G709</f>
        <v>Камни бетонные бортовые, марка БР 100.20.8</v>
      </c>
      <c r="C121" s="46" t="str">
        <f>Source!H709</f>
        <v>м3</v>
      </c>
      <c r="D121" s="47">
        <f>Source!I709</f>
        <v>20.175999999999998</v>
      </c>
      <c r="E121" s="45"/>
    </row>
    <row r="122" spans="1:5" ht="16.5" x14ac:dyDescent="0.25">
      <c r="A122" s="110" t="str">
        <f>CONCATENATE("Раздел: ", Source!G776)</f>
        <v>Раздел: 30.2. Окраска подпорной стенки по штукатурке с расчисткой</v>
      </c>
      <c r="B122" s="110"/>
      <c r="C122" s="110"/>
      <c r="D122" s="110"/>
      <c r="E122" s="110"/>
    </row>
    <row r="123" spans="1:5" ht="28.5" x14ac:dyDescent="0.2">
      <c r="A123" s="44" t="str">
        <f>Source!E780</f>
        <v>86</v>
      </c>
      <c r="B123" s="45" t="str">
        <f>Source!G780</f>
        <v>Отбивка штукатурки по кирпичу и бетону стен, потолков площадью до 5 м2</v>
      </c>
      <c r="C123" s="46" t="str">
        <f>Source!H780</f>
        <v>100 м2</v>
      </c>
      <c r="D123" s="47">
        <f>Source!I780</f>
        <v>0.3</v>
      </c>
      <c r="E123" s="45"/>
    </row>
    <row r="124" spans="1:5" ht="28.5" x14ac:dyDescent="0.2">
      <c r="A124" s="44" t="str">
        <f>Source!E781</f>
        <v>87</v>
      </c>
      <c r="B124" s="45" t="str">
        <f>Source!G781</f>
        <v>Погрузка и выгрузка вручную строительного мусора на транспортные средства</v>
      </c>
      <c r="C124" s="46" t="str">
        <f>Source!H781</f>
        <v>1 Т</v>
      </c>
      <c r="D124" s="47">
        <f>Source!I781</f>
        <v>1.38</v>
      </c>
      <c r="E124" s="45"/>
    </row>
    <row r="125" spans="1:5" ht="28.5" x14ac:dyDescent="0.2">
      <c r="A125" s="44" t="str">
        <f>Source!E782</f>
        <v>88</v>
      </c>
      <c r="B125" s="45" t="str">
        <f>Source!G782</f>
        <v>Перевозка строительного мусора на расстояние до 27 км автосамосвалами грузоподъемностью до 20 т</v>
      </c>
      <c r="C125" s="46" t="str">
        <f>Source!H782</f>
        <v>т</v>
      </c>
      <c r="D125" s="47">
        <f>Source!I782</f>
        <v>0</v>
      </c>
      <c r="E125" s="45"/>
    </row>
    <row r="126" spans="1:5" ht="14.25" x14ac:dyDescent="0.2">
      <c r="A126" s="44" t="str">
        <f>Source!E783</f>
        <v>89</v>
      </c>
      <c r="B126" s="45" t="str">
        <f>Source!G783</f>
        <v>Отходы цемента в кусковой форме практически неопасные</v>
      </c>
      <c r="C126" s="46" t="str">
        <f>Source!H783</f>
        <v>1 Т</v>
      </c>
      <c r="D126" s="47">
        <f>Source!I783</f>
        <v>0</v>
      </c>
      <c r="E126" s="45"/>
    </row>
    <row r="127" spans="1:5" ht="28.5" x14ac:dyDescent="0.2">
      <c r="A127" s="44" t="str">
        <f>Source!E784</f>
        <v>90</v>
      </c>
      <c r="B127" s="45" t="str">
        <f>Source!G784</f>
        <v>Расчистка поверхностей от старых покрасок (шпателем, щетками и т.д.)</v>
      </c>
      <c r="C127" s="46" t="str">
        <f>Source!H784</f>
        <v>1 м2 поверхности</v>
      </c>
      <c r="D127" s="47">
        <f>Source!I784</f>
        <v>60</v>
      </c>
      <c r="E127" s="45"/>
    </row>
    <row r="128" spans="1:5" ht="57" x14ac:dyDescent="0.2">
      <c r="A128" s="44" t="str">
        <f>Source!E785</f>
        <v>91</v>
      </c>
      <c r="B128" s="45" t="str">
        <f>Source!G785</f>
        <v>Улучшенная штукатурка цементно-известковым раствором по камню стен</v>
      </c>
      <c r="C128" s="46" t="str">
        <f>Source!H785</f>
        <v>100 м2 оштукатуриваемой поверхности</v>
      </c>
      <c r="D128" s="47">
        <f>Source!I785</f>
        <v>0.3</v>
      </c>
      <c r="E128" s="45"/>
    </row>
    <row r="129" spans="1:5" ht="14.25" x14ac:dyDescent="0.2">
      <c r="A129" s="44" t="str">
        <f>Source!E786</f>
        <v>91,1</v>
      </c>
      <c r="B129" s="45" t="str">
        <f>Source!G786</f>
        <v>Вода</v>
      </c>
      <c r="C129" s="46" t="str">
        <f>Source!H786</f>
        <v>м3</v>
      </c>
      <c r="D129" s="47">
        <f>Source!I786</f>
        <v>3.1752000000000002E-2</v>
      </c>
      <c r="E129" s="45"/>
    </row>
    <row r="130" spans="1:5" ht="42.75" x14ac:dyDescent="0.2">
      <c r="A130" s="44" t="str">
        <f>Source!E787</f>
        <v>91,2</v>
      </c>
      <c r="B130" s="45" t="str">
        <f>Source!G787</f>
        <v>Смеси сухие штукатурные цементно-песчаные для внутренних и наружных работ, бездобавочные, В12,5 (М150), F50, крупность заполнителя не более 0,5 мм</v>
      </c>
      <c r="C130" s="46" t="str">
        <f>Source!H787</f>
        <v>т</v>
      </c>
      <c r="D130" s="47">
        <f>Source!I787</f>
        <v>0.18143999999999999</v>
      </c>
      <c r="E130" s="45"/>
    </row>
    <row r="131" spans="1:5" ht="14.25" x14ac:dyDescent="0.2">
      <c r="A131" s="44" t="str">
        <f>Source!E788</f>
        <v>91,3</v>
      </c>
      <c r="B131" s="45" t="str">
        <f>Source!G788</f>
        <v>Растворы цементно-известковые, марка 75</v>
      </c>
      <c r="C131" s="46" t="str">
        <f>Source!H788</f>
        <v>м3</v>
      </c>
      <c r="D131" s="47">
        <f>Source!I788</f>
        <v>0.4536</v>
      </c>
      <c r="E131" s="45"/>
    </row>
    <row r="132" spans="1:5" ht="42.75" x14ac:dyDescent="0.2">
      <c r="A132" s="44" t="str">
        <f>Source!E789</f>
        <v>92</v>
      </c>
      <c r="B132" s="45" t="str">
        <f>Source!G789</f>
        <v>Перхлорвиниловая окраска фасадов с лесов с подготовкой поверхности по штукатурке или бетону</v>
      </c>
      <c r="C132" s="46" t="str">
        <f>Source!H789</f>
        <v>100 м2 окрашиваемой поверхности</v>
      </c>
      <c r="D132" s="47">
        <f>Source!I789</f>
        <v>2</v>
      </c>
      <c r="E132" s="45"/>
    </row>
    <row r="133" spans="1:5" ht="14.25" x14ac:dyDescent="0.2">
      <c r="A133" s="44" t="str">
        <f>Source!E790</f>
        <v>92,1</v>
      </c>
      <c r="B133" s="45" t="str">
        <f>Source!G790</f>
        <v>Краски фасадные перхлорвиниловые, марка ХВ161 "А" (цветная)</v>
      </c>
      <c r="C133" s="46" t="str">
        <f>Source!H790</f>
        <v>т</v>
      </c>
      <c r="D133" s="47">
        <f>Source!I790</f>
        <v>0.11799999999999999</v>
      </c>
      <c r="E133" s="45"/>
    </row>
    <row r="134" spans="1:5" ht="16.5" x14ac:dyDescent="0.25">
      <c r="A134" s="110" t="str">
        <f>CONCATENATE("Раздел: ", Source!G857)</f>
        <v>Раздел: 31.5. Накрывные элементы на подпорные стены (природный камень)</v>
      </c>
      <c r="B134" s="110"/>
      <c r="C134" s="110"/>
      <c r="D134" s="110"/>
      <c r="E134" s="110"/>
    </row>
    <row r="135" spans="1:5" ht="28.5" x14ac:dyDescent="0.2">
      <c r="A135" s="44" t="str">
        <f>Source!E861</f>
        <v>93</v>
      </c>
      <c r="B135" s="45" t="str">
        <f>Source!G861</f>
        <v>Устройство покрытий на цементном растворе из плиток бетонных, цементных или мозаичных</v>
      </c>
      <c r="C135" s="46" t="str">
        <f>Source!H861</f>
        <v>100 м2 покрытия</v>
      </c>
      <c r="D135" s="47">
        <f>Source!I861</f>
        <v>0.4</v>
      </c>
      <c r="E135" s="45"/>
    </row>
    <row r="136" spans="1:5" ht="28.5" x14ac:dyDescent="0.2">
      <c r="A136" s="44" t="str">
        <f>Source!E862</f>
        <v>93,1</v>
      </c>
      <c r="B136" s="45" t="str">
        <f>Source!G862</f>
        <v>Плиты из известняка полированные, толщина 40 мм, месторождение: Мелехово-Федотовское</v>
      </c>
      <c r="C136" s="46" t="str">
        <f>Source!H862</f>
        <v>м2</v>
      </c>
      <c r="D136" s="47">
        <f>Source!I862</f>
        <v>40</v>
      </c>
      <c r="E136" s="45"/>
    </row>
    <row r="137" spans="1:5" ht="16.5" x14ac:dyDescent="0.25">
      <c r="A137" s="110" t="str">
        <f>CONCATENATE("Раздел: ", Source!G997)</f>
        <v>Раздел: 36. Установка ограждения детской площадки 1,2 м</v>
      </c>
      <c r="B137" s="110"/>
      <c r="C137" s="110"/>
      <c r="D137" s="110"/>
      <c r="E137" s="110"/>
    </row>
    <row r="138" spans="1:5" ht="28.5" x14ac:dyDescent="0.2">
      <c r="A138" s="44" t="str">
        <f>Source!E1001</f>
        <v>94</v>
      </c>
      <c r="B138" s="45" t="str">
        <f>Source!G1001</f>
        <v>Изготовление стоек металлического ограждения газонов из трубы, масса стоек до 5 кг</v>
      </c>
      <c r="C138" s="46" t="str">
        <f>Source!H1001</f>
        <v>10 шт.</v>
      </c>
      <c r="D138" s="47">
        <f>Source!I1001</f>
        <v>35.299999999999997</v>
      </c>
      <c r="E138" s="45"/>
    </row>
    <row r="139" spans="1:5" ht="28.5" x14ac:dyDescent="0.2">
      <c r="A139" s="44" t="str">
        <f>Source!E1002</f>
        <v>94,1</v>
      </c>
      <c r="B139" s="45" t="str">
        <f>Source!G1002</f>
        <v>Профили стальные электросварные прямоугольного сечения трубчатые, размер 40х60 мм, толщина стенки 3,5 мм</v>
      </c>
      <c r="C139" s="46" t="str">
        <f>Source!H1002</f>
        <v>т</v>
      </c>
      <c r="D139" s="47">
        <f>Source!I1002</f>
        <v>3.83711</v>
      </c>
      <c r="E139" s="45"/>
    </row>
    <row r="140" spans="1:5" ht="28.5" x14ac:dyDescent="0.2">
      <c r="A140" s="44" t="str">
        <f>Source!E1003</f>
        <v>95</v>
      </c>
      <c r="B140" s="45" t="str">
        <f>Source!G1003</f>
        <v>Установка стоек металлического ограждения газонов из трубы, масса стоек до 5 кг</v>
      </c>
      <c r="C140" s="46" t="str">
        <f>Source!H1003</f>
        <v>10 шт.</v>
      </c>
      <c r="D140" s="47">
        <f>Source!I1003</f>
        <v>35.299999999999997</v>
      </c>
      <c r="E140" s="45"/>
    </row>
    <row r="141" spans="1:5" ht="28.5" x14ac:dyDescent="0.2">
      <c r="A141" s="44" t="str">
        <f>Source!E1004</f>
        <v>96</v>
      </c>
      <c r="B141" s="45" t="str">
        <f>Source!G1004</f>
        <v>Изготовление секций металлического ограждения газонов из профилированной трубы, масса секции до 10 кг</v>
      </c>
      <c r="C141" s="46" t="str">
        <f>Source!H1004</f>
        <v>1 м2</v>
      </c>
      <c r="D141" s="47">
        <f>Source!I1004</f>
        <v>847.2</v>
      </c>
      <c r="E141" s="45"/>
    </row>
    <row r="142" spans="1:5" ht="28.5" x14ac:dyDescent="0.2">
      <c r="A142" s="44" t="str">
        <f>Source!E1005</f>
        <v>96,1</v>
      </c>
      <c r="B142" s="45" t="str">
        <f>Source!G1005</f>
        <v>Профили стальные электросварные прямоугольного сечения трубчатые, размер 20х40 мм, толщина стенки 2,0 мм</v>
      </c>
      <c r="C142" s="46" t="str">
        <f>Source!H1005</f>
        <v>т</v>
      </c>
      <c r="D142" s="47">
        <f>Source!I1005</f>
        <v>4.3207199999999997</v>
      </c>
      <c r="E142" s="45"/>
    </row>
    <row r="143" spans="1:5" ht="28.5" x14ac:dyDescent="0.2">
      <c r="A143" s="44" t="str">
        <f>Source!E1006</f>
        <v>96,2</v>
      </c>
      <c r="B143" s="45" t="str">
        <f>Source!G1006</f>
        <v>Круг, квадрат горячекатаный из стали углеродистой обыкновенного качества, кипящей, размер 5-12 мм</v>
      </c>
      <c r="C143" s="46" t="str">
        <f>Source!H1006</f>
        <v>т</v>
      </c>
      <c r="D143" s="47">
        <f>Source!I1006</f>
        <v>5.9219280000000003</v>
      </c>
      <c r="E143" s="45"/>
    </row>
    <row r="144" spans="1:5" ht="28.5" x14ac:dyDescent="0.2">
      <c r="A144" s="44" t="str">
        <f>Source!E1007</f>
        <v>97</v>
      </c>
      <c r="B144" s="45" t="str">
        <f>Source!G1007</f>
        <v>Установка секций металлического ограждения газонов из профилированной трубы, масса секции до 10 кг</v>
      </c>
      <c r="C144" s="46" t="str">
        <f>Source!H1007</f>
        <v>1 м2</v>
      </c>
      <c r="D144" s="47">
        <f>Source!I1007</f>
        <v>847.2</v>
      </c>
      <c r="E144" s="45"/>
    </row>
    <row r="145" spans="1:5" ht="14.25" x14ac:dyDescent="0.2">
      <c r="A145" s="44" t="str">
        <f>Source!E1008</f>
        <v>98</v>
      </c>
      <c r="B145" s="45" t="str">
        <f>Source!G1008</f>
        <v>Огрунтовка металлических поверхностей грунтовкой ГФ-021 за один раз</v>
      </c>
      <c r="C145" s="46" t="str">
        <f>Source!H1008</f>
        <v>100 м2</v>
      </c>
      <c r="D145" s="47">
        <f>Source!I1008</f>
        <v>9.1800022160000001</v>
      </c>
      <c r="E145" s="45"/>
    </row>
    <row r="146" spans="1:5" ht="14.25" x14ac:dyDescent="0.2">
      <c r="A146" s="44" t="str">
        <f>Source!E1009</f>
        <v>98,1</v>
      </c>
      <c r="B146" s="45" t="str">
        <f>Source!G1009</f>
        <v>Грунтовка глифталевая, ГФ-032</v>
      </c>
      <c r="C146" s="46" t="str">
        <f>Source!H1009</f>
        <v>кг</v>
      </c>
      <c r="D146" s="47">
        <f>Source!I1009</f>
        <v>82.620019999999997</v>
      </c>
      <c r="E146" s="45"/>
    </row>
    <row r="147" spans="1:5" ht="14.25" x14ac:dyDescent="0.2">
      <c r="A147" s="44" t="str">
        <f>Source!E1010</f>
        <v>99</v>
      </c>
      <c r="B147" s="45" t="str">
        <f>Source!G1010</f>
        <v>Окраска огрунтованных металлических поверхностей эмалями ПФ-115</v>
      </c>
      <c r="C147" s="46" t="str">
        <f>Source!H1010</f>
        <v>100 м2</v>
      </c>
      <c r="D147" s="47">
        <f>Source!I1010</f>
        <v>9.1800000000000007E-2</v>
      </c>
      <c r="E147" s="45"/>
    </row>
    <row r="148" spans="1:5" ht="16.5" x14ac:dyDescent="0.25">
      <c r="A148" s="110" t="str">
        <f>CONCATENATE("Раздел: ", Source!G1145)</f>
        <v>Раздел: 41. Установка информационных и дорожных знаков</v>
      </c>
      <c r="B148" s="110"/>
      <c r="C148" s="110"/>
      <c r="D148" s="110"/>
      <c r="E148" s="110"/>
    </row>
    <row r="149" spans="1:5" ht="14.25" x14ac:dyDescent="0.2">
      <c r="A149" s="44" t="str">
        <f>Source!E1149</f>
        <v>100</v>
      </c>
      <c r="B149" s="45" t="str">
        <f>Source!G1149</f>
        <v>Установка дорожных знаков на металлических стойках</v>
      </c>
      <c r="C149" s="46" t="str">
        <f>Source!H1149</f>
        <v>100 знаков</v>
      </c>
      <c r="D149" s="47">
        <f>Source!I1149</f>
        <v>0.2</v>
      </c>
      <c r="E149" s="45"/>
    </row>
    <row r="150" spans="1:5" ht="28.5" x14ac:dyDescent="0.2">
      <c r="A150" s="44" t="str">
        <f>Source!E1150</f>
        <v>100,1</v>
      </c>
      <c r="B150" s="45" t="str">
        <f>Source!G1150</f>
        <v>Знаки из тонколистовой оцинкованной стали со световозвращающей пленкой, круглой формы, диаметр 700 мм</v>
      </c>
      <c r="C150" s="46" t="str">
        <f>Source!H1150</f>
        <v>шт.</v>
      </c>
      <c r="D150" s="47">
        <f>Source!I1150</f>
        <v>20</v>
      </c>
      <c r="E150" s="45"/>
    </row>
    <row r="151" spans="1:5" ht="14.25" x14ac:dyDescent="0.2">
      <c r="A151" s="44" t="str">
        <f>Source!E1151</f>
        <v>100,2</v>
      </c>
      <c r="B151" s="45" t="str">
        <f>Source!G1151</f>
        <v>Стойки из оцинкованной стали, диаметр 76 мм</v>
      </c>
      <c r="C151" s="46" t="str">
        <f>Source!H1151</f>
        <v>м</v>
      </c>
      <c r="D151" s="47">
        <f>Source!I1151</f>
        <v>30</v>
      </c>
      <c r="E151" s="45"/>
    </row>
    <row r="152" spans="1:5" ht="14.25" x14ac:dyDescent="0.2">
      <c r="A152" s="44" t="str">
        <f>Source!E1152</f>
        <v>100,3</v>
      </c>
      <c r="B152" s="45" t="str">
        <f>Source!G1152</f>
        <v>Хомуты из оцинкованной стали, диаметр 76 мм</v>
      </c>
      <c r="C152" s="46" t="str">
        <f>Source!H1152</f>
        <v>шт.</v>
      </c>
      <c r="D152" s="47">
        <f>Source!I1152</f>
        <v>20</v>
      </c>
      <c r="E152" s="45"/>
    </row>
    <row r="153" spans="1:5" ht="14.25" x14ac:dyDescent="0.2">
      <c r="A153" s="44" t="str">
        <f>Source!E1153</f>
        <v>101</v>
      </c>
      <c r="B153" s="45" t="str">
        <f>Source!G1153</f>
        <v>Установка дополнительных щитков</v>
      </c>
      <c r="C153" s="46" t="str">
        <f>Source!H1153</f>
        <v>100 знаков</v>
      </c>
      <c r="D153" s="47">
        <f>Source!I1153</f>
        <v>0.2</v>
      </c>
      <c r="E153" s="45"/>
    </row>
    <row r="154" spans="1:5" ht="28.5" x14ac:dyDescent="0.2">
      <c r="A154" s="44" t="str">
        <f>Source!E1154</f>
        <v>101,1</v>
      </c>
      <c r="B154" s="45" t="str">
        <f>Source!G1154</f>
        <v>Знаки из тонколистовой оцинкованной стали со световозвращающей пленкой, круглой формы, диаметр 700 мм</v>
      </c>
      <c r="C154" s="46" t="str">
        <f>Source!H1154</f>
        <v>шт.</v>
      </c>
      <c r="D154" s="47">
        <f>Source!I1154</f>
        <v>20</v>
      </c>
      <c r="E154" s="45"/>
    </row>
    <row r="155" spans="1:5" ht="14.25" x14ac:dyDescent="0.2">
      <c r="A155" s="44" t="str">
        <f>Source!E1155</f>
        <v>101,2</v>
      </c>
      <c r="B155" s="45" t="str">
        <f>Source!G1155</f>
        <v>Хомуты из оцинкованной стали, диаметр 76 мм</v>
      </c>
      <c r="C155" s="46" t="str">
        <f>Source!H1155</f>
        <v>шт.</v>
      </c>
      <c r="D155" s="47">
        <f>Source!I1155</f>
        <v>20</v>
      </c>
      <c r="E155" s="45"/>
    </row>
    <row r="156" spans="1:5" ht="16.5" x14ac:dyDescent="0.25">
      <c r="A156" s="110" t="str">
        <f>CONCATENATE("Раздел: ", Source!G1188)</f>
        <v>Раздел: 42. Установка ИДН  (3,5м)</v>
      </c>
      <c r="B156" s="110"/>
      <c r="C156" s="110"/>
      <c r="D156" s="110"/>
      <c r="E156" s="110"/>
    </row>
    <row r="157" spans="1:5" ht="71.25" x14ac:dyDescent="0.2">
      <c r="A157" s="44" t="str">
        <f>Source!E1192</f>
        <v>102</v>
      </c>
      <c r="B157" s="45" t="str">
        <f>Source!G1192</f>
        <v>Монтаж искусственной дорожной неровности (ИДН) - элементов средней части</v>
      </c>
      <c r="C157" s="46" t="str">
        <f>Source!H1192</f>
        <v>1 м2 горизонтальной проекции уложенных ИДН</v>
      </c>
      <c r="D157" s="47">
        <f>Source!I1192</f>
        <v>27</v>
      </c>
      <c r="E157" s="45"/>
    </row>
    <row r="158" spans="1:5" ht="28.5" x14ac:dyDescent="0.2">
      <c r="A158" s="44" t="str">
        <f>Source!E1193</f>
        <v>102,1</v>
      </c>
      <c r="B158" s="45" t="str">
        <f>Source!G1193</f>
        <v>Искусственная дорожная неровность из резины, средний элемент, размеры 900х500 мм</v>
      </c>
      <c r="C158" s="46" t="str">
        <f>Source!H1193</f>
        <v>шт.</v>
      </c>
      <c r="D158" s="47">
        <f>Source!I1193</f>
        <v>60</v>
      </c>
      <c r="E158" s="45"/>
    </row>
    <row r="159" spans="1:5" ht="71.25" x14ac:dyDescent="0.2">
      <c r="A159" s="44" t="str">
        <f>Source!E1194</f>
        <v>103</v>
      </c>
      <c r="B159" s="45" t="str">
        <f>Source!G1194</f>
        <v>Монтаж искусственной дорожной неровности (ИДН) - элементов концевой части</v>
      </c>
      <c r="C159" s="46" t="str">
        <f>Source!H1194</f>
        <v>1 м2 горизонтальной проекции уложенных ИДН</v>
      </c>
      <c r="D159" s="47">
        <f>Source!I1194</f>
        <v>4.5</v>
      </c>
      <c r="E159" s="45"/>
    </row>
    <row r="160" spans="1:5" ht="28.5" x14ac:dyDescent="0.2">
      <c r="A160" s="44" t="str">
        <f>Source!E1195</f>
        <v>103,1</v>
      </c>
      <c r="B160" s="45" t="str">
        <f>Source!G1195</f>
        <v>Искусственная дорожная неровность из резины, концевой элемент, размеры 900х250 мм</v>
      </c>
      <c r="C160" s="46" t="str">
        <f>Source!H1195</f>
        <v>шт.</v>
      </c>
      <c r="D160" s="47">
        <f>Source!I1195</f>
        <v>20</v>
      </c>
      <c r="E160" s="45"/>
    </row>
    <row r="161" spans="1:31" ht="16.5" x14ac:dyDescent="0.25">
      <c r="A161" s="110" t="str">
        <f>CONCATENATE("Раздел: ", Source!G1262)</f>
        <v>Раздел: 44. Разметка парковочного места</v>
      </c>
      <c r="B161" s="110"/>
      <c r="C161" s="110"/>
      <c r="D161" s="110"/>
      <c r="E161" s="110"/>
    </row>
    <row r="162" spans="1:31" ht="33" x14ac:dyDescent="0.25">
      <c r="A162" s="110" t="str">
        <f>CONCATENATE("Раздел: ", Source!G1296)</f>
        <v>Раздел: 47. Устройство покрытия на детской площадке для детей от 5 лет 4 см (3 см - резина, 1 см - EPDM)</v>
      </c>
      <c r="B162" s="110"/>
      <c r="C162" s="110"/>
      <c r="D162" s="110"/>
      <c r="E162" s="110"/>
      <c r="AE162" s="48" t="str">
        <f>CONCATENATE("Раздел: ", Source!G1296)</f>
        <v>Раздел: 47. Устройство покрытия на детской площадке для детей от 5 лет 4 см (3 см - резина, 1 см - EPDM)</v>
      </c>
    </row>
    <row r="163" spans="1:31" ht="28.5" x14ac:dyDescent="0.2">
      <c r="A163" s="44" t="str">
        <f>Source!E1300</f>
        <v>104</v>
      </c>
      <c r="B163" s="45" t="str">
        <f>Source!G1300</f>
        <v>Устройство наливного полиуретанового покрытия спортивных площадок и беговых дорожек толщиной 10 мм</v>
      </c>
      <c r="C163" s="46" t="str">
        <f>Source!H1300</f>
        <v>100 м2</v>
      </c>
      <c r="D163" s="47">
        <f>Source!I1300</f>
        <v>32.43</v>
      </c>
      <c r="E163" s="45"/>
    </row>
    <row r="164" spans="1:31" ht="14.25" x14ac:dyDescent="0.2">
      <c r="A164" s="44" t="str">
        <f>Source!E1301</f>
        <v>104,1</v>
      </c>
      <c r="B164" s="45" t="str">
        <f>Source!G1301</f>
        <v>Крошка резиновая гранулированная, фракция 2-3 мм</v>
      </c>
      <c r="C164" s="46" t="str">
        <f>Source!H1301</f>
        <v>кг</v>
      </c>
      <c r="D164" s="47">
        <f>Source!I1301</f>
        <v>23738.76</v>
      </c>
      <c r="E164" s="45"/>
    </row>
    <row r="165" spans="1:31" ht="28.5" x14ac:dyDescent="0.2">
      <c r="A165" s="44" t="str">
        <f>Source!E1302</f>
        <v>105</v>
      </c>
      <c r="B165" s="45" t="str">
        <f>Source!G1302</f>
        <v>Устройство наливного полиуретанового покрытия спортивных площадок и беговых дорожек, добавляется на 2 мм толщины покрытия</v>
      </c>
      <c r="C165" s="46" t="str">
        <f>Source!H1302</f>
        <v>100 м2</v>
      </c>
      <c r="D165" s="47">
        <f>Source!I1302</f>
        <v>32.43</v>
      </c>
      <c r="E165" s="45"/>
    </row>
    <row r="166" spans="1:31" ht="14.25" x14ac:dyDescent="0.2">
      <c r="A166" s="44" t="str">
        <f>Source!E1303</f>
        <v>105,1</v>
      </c>
      <c r="B166" s="45" t="str">
        <f>Source!G1303</f>
        <v>Крошка резиновая гранулированная, фракция 2-3 мм</v>
      </c>
      <c r="C166" s="46" t="str">
        <f>Source!H1303</f>
        <v>кг</v>
      </c>
      <c r="D166" s="47">
        <f>Source!I1303</f>
        <v>47672.1</v>
      </c>
      <c r="E166" s="45"/>
    </row>
    <row r="167" spans="1:31" ht="28.5" x14ac:dyDescent="0.2">
      <c r="A167" s="44" t="str">
        <f>Source!E1304</f>
        <v>106</v>
      </c>
      <c r="B167" s="45" t="str">
        <f>Source!G1304</f>
        <v>Устройство наливного полиуретанового покрытия спортивных площадок и беговых дорожек толщиной 10 мм</v>
      </c>
      <c r="C167" s="46" t="str">
        <f>Source!H1304</f>
        <v>100 м2</v>
      </c>
      <c r="D167" s="47">
        <f>Source!I1304</f>
        <v>32.43</v>
      </c>
      <c r="E167" s="45"/>
    </row>
    <row r="168" spans="1:31" ht="28.5" x14ac:dyDescent="0.2">
      <c r="A168" s="44" t="str">
        <f>Source!E1305</f>
        <v>106,1</v>
      </c>
      <c r="B168" s="45" t="str">
        <f>Source!G1305</f>
        <v>Крошка каучуковая гранулированная, окрашенная в массе, фракция 2-3 мм</v>
      </c>
      <c r="C168" s="46" t="str">
        <f>Source!H1305</f>
        <v>кг</v>
      </c>
      <c r="D168" s="47">
        <f>Source!I1305</f>
        <v>23836.05</v>
      </c>
      <c r="E168" s="45"/>
    </row>
    <row r="169" spans="1:31" ht="16.5" x14ac:dyDescent="0.25">
      <c r="A169" s="110" t="str">
        <f>CONCATENATE("Раздел: ", Source!G1338)</f>
        <v>Раздел: 54. Облицовка подпорной стенки мраморной штукатуркой</v>
      </c>
      <c r="B169" s="110"/>
      <c r="C169" s="110"/>
      <c r="D169" s="110"/>
      <c r="E169" s="110"/>
    </row>
    <row r="170" spans="1:31" ht="57" x14ac:dyDescent="0.2">
      <c r="A170" s="44" t="str">
        <f>Source!E1342</f>
        <v>107</v>
      </c>
      <c r="B170" s="45" t="str">
        <f>Source!G1342</f>
        <v>Высококачественная штукатурка цементно-известковым раствором по камню стен гладких фасадов</v>
      </c>
      <c r="C170" s="46" t="str">
        <f>Source!H1342</f>
        <v>100 м2 оштукатуриваемой поверхности</v>
      </c>
      <c r="D170" s="47">
        <f>Source!I1342</f>
        <v>0.4</v>
      </c>
      <c r="E170" s="45"/>
    </row>
    <row r="171" spans="1:31" ht="14.25" x14ac:dyDescent="0.2">
      <c r="A171" s="44" t="str">
        <f>Source!E1343</f>
        <v>107,1</v>
      </c>
      <c r="B171" s="45" t="str">
        <f>Source!G1343</f>
        <v>Вода</v>
      </c>
      <c r="C171" s="46" t="str">
        <f>Source!H1343</f>
        <v>м3</v>
      </c>
      <c r="D171" s="47">
        <f>Source!I1343</f>
        <v>5.7119999999999997E-2</v>
      </c>
      <c r="E171" s="45"/>
    </row>
    <row r="172" spans="1:31" ht="42.75" x14ac:dyDescent="0.2">
      <c r="A172" s="44" t="str">
        <f>Source!E1344</f>
        <v>107,2</v>
      </c>
      <c r="B172" s="45" t="str">
        <f>Source!G1344</f>
        <v>Смесь сухая крупнозернистая, цементная, штукатурная, ручного нанесения, для создания паропроницаемой, атмосферостойкой, моющейся декоративной штукатурки с шероховатой структурой</v>
      </c>
      <c r="C172" s="46" t="str">
        <f>Source!H1344</f>
        <v>т</v>
      </c>
      <c r="D172" s="47">
        <f>Source!I1344</f>
        <v>0.32640000000000002</v>
      </c>
      <c r="E172" s="45"/>
    </row>
    <row r="173" spans="1:31" ht="14.25" x14ac:dyDescent="0.2">
      <c r="A173" s="44" t="str">
        <f>Source!E1345</f>
        <v>107,3</v>
      </c>
      <c r="B173" s="45" t="str">
        <f>Source!G1345</f>
        <v>Растворы цементно-известковые, марка 75</v>
      </c>
      <c r="C173" s="46" t="str">
        <f>Source!H1345</f>
        <v>м3</v>
      </c>
      <c r="D173" s="47">
        <f>Source!I1345</f>
        <v>0.81599999999999984</v>
      </c>
      <c r="E173" s="45"/>
    </row>
    <row r="176" spans="1:31" ht="15" x14ac:dyDescent="0.25">
      <c r="A176" s="34" t="s">
        <v>991</v>
      </c>
      <c r="B176" s="34"/>
      <c r="C176" s="34" t="s">
        <v>992</v>
      </c>
      <c r="D176" s="34"/>
      <c r="E176" s="34"/>
    </row>
  </sheetData>
  <mergeCells count="24">
    <mergeCell ref="A20:E20"/>
    <mergeCell ref="C5:D5"/>
    <mergeCell ref="C7:D7"/>
    <mergeCell ref="A11:D11"/>
    <mergeCell ref="A12:D12"/>
    <mergeCell ref="A19:E19"/>
    <mergeCell ref="A60:E60"/>
    <mergeCell ref="A73:E73"/>
    <mergeCell ref="A82:E82"/>
    <mergeCell ref="A31:E31"/>
    <mergeCell ref="A39:E39"/>
    <mergeCell ref="A43:E43"/>
    <mergeCell ref="A53:E53"/>
    <mergeCell ref="A134:E134"/>
    <mergeCell ref="A137:E137"/>
    <mergeCell ref="A91:E91"/>
    <mergeCell ref="A102:E102"/>
    <mergeCell ref="A114:E114"/>
    <mergeCell ref="A122:E122"/>
    <mergeCell ref="A161:E161"/>
    <mergeCell ref="A162:E162"/>
    <mergeCell ref="A169:E169"/>
    <mergeCell ref="A148:E148"/>
    <mergeCell ref="A156:E156"/>
  </mergeCells>
  <pageMargins left="0.4" right="0.2" top="0.2" bottom="0.4" header="0.2" footer="0.2"/>
  <pageSetup paperSize="9" scale="75" fitToHeight="0" orientation="portrait" verticalDpi="0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19" workbookViewId="0">
      <selection activeCell="E18" sqref="E18"/>
    </sheetView>
  </sheetViews>
  <sheetFormatPr defaultRowHeight="12.75" x14ac:dyDescent="0.2"/>
  <cols>
    <col min="1" max="1" width="5.7109375" customWidth="1"/>
    <col min="2" max="2" width="20.7109375" customWidth="1"/>
    <col min="3" max="3" width="40.7109375" customWidth="1"/>
    <col min="4" max="10" width="12.7109375" customWidth="1"/>
    <col min="30" max="33" width="0" hidden="1" customWidth="1"/>
  </cols>
  <sheetData>
    <row r="1" spans="1:10" x14ac:dyDescent="0.2">
      <c r="A1" s="125" t="str">
        <f>SourceObSm!B1</f>
        <v>Smeta.RU  (495) 974-1589</v>
      </c>
      <c r="B1" s="125"/>
      <c r="C1" s="125"/>
      <c r="D1" s="125"/>
    </row>
    <row r="2" spans="1:10" ht="15" x14ac:dyDescent="0.25">
      <c r="A2" s="51"/>
      <c r="B2" s="51"/>
      <c r="C2" s="51"/>
      <c r="D2" s="51"/>
      <c r="E2" s="51"/>
      <c r="F2" s="51"/>
      <c r="G2" s="51"/>
      <c r="H2" s="51"/>
      <c r="I2" s="11"/>
      <c r="J2" s="52" t="s">
        <v>998</v>
      </c>
    </row>
    <row r="3" spans="1:10" ht="14.25" x14ac:dyDescent="0.2">
      <c r="A3" s="53"/>
      <c r="B3" s="11"/>
      <c r="C3" s="11"/>
      <c r="D3" s="11"/>
      <c r="E3" s="11"/>
      <c r="F3" s="11"/>
      <c r="G3" s="11"/>
      <c r="H3" s="11"/>
      <c r="I3" s="11"/>
      <c r="J3" s="11"/>
    </row>
    <row r="4" spans="1:10" ht="15.75" x14ac:dyDescent="0.2">
      <c r="A4" s="54"/>
      <c r="B4" s="126" t="s">
        <v>1076</v>
      </c>
      <c r="C4" s="126"/>
      <c r="D4" s="126"/>
      <c r="E4" s="126"/>
      <c r="F4" s="126"/>
      <c r="G4" s="126"/>
      <c r="H4" s="126"/>
      <c r="I4" s="126"/>
      <c r="J4" s="54"/>
    </row>
    <row r="5" spans="1:10" ht="14.25" x14ac:dyDescent="0.2">
      <c r="A5" s="54"/>
      <c r="B5" s="127" t="s">
        <v>999</v>
      </c>
      <c r="C5" s="127"/>
      <c r="D5" s="127"/>
      <c r="E5" s="127"/>
      <c r="F5" s="127"/>
      <c r="G5" s="127"/>
      <c r="H5" s="127"/>
      <c r="I5" s="127"/>
      <c r="J5" s="54"/>
    </row>
    <row r="6" spans="1:10" ht="14.25" x14ac:dyDescent="0.2">
      <c r="A6" s="53"/>
      <c r="B6" s="11"/>
      <c r="C6" s="11"/>
      <c r="D6" s="11"/>
      <c r="E6" s="11"/>
      <c r="F6" s="11"/>
      <c r="G6" s="11"/>
      <c r="H6" s="11"/>
      <c r="I6" s="11"/>
      <c r="J6" s="11"/>
    </row>
    <row r="7" spans="1:10" ht="15" x14ac:dyDescent="0.2">
      <c r="A7" s="55"/>
      <c r="B7" s="55"/>
      <c r="C7" s="55"/>
      <c r="D7" s="11"/>
      <c r="E7" s="11"/>
      <c r="F7" s="11"/>
      <c r="G7" s="11"/>
      <c r="H7" s="11"/>
      <c r="I7" s="11"/>
      <c r="J7" s="11"/>
    </row>
    <row r="8" spans="1:10" ht="15.75" x14ac:dyDescent="0.2">
      <c r="A8" s="128" t="s">
        <v>1000</v>
      </c>
      <c r="B8" s="128"/>
      <c r="C8" s="128"/>
      <c r="D8" s="129" t="s">
        <v>1075</v>
      </c>
      <c r="E8" s="129"/>
      <c r="F8" s="129"/>
      <c r="G8" s="129"/>
      <c r="H8" s="129"/>
      <c r="I8" s="129"/>
      <c r="J8" s="16"/>
    </row>
    <row r="9" spans="1:10" ht="15" x14ac:dyDescent="0.2">
      <c r="A9" s="55"/>
      <c r="B9" s="55"/>
      <c r="C9" s="56"/>
      <c r="D9" s="89" t="s">
        <v>1001</v>
      </c>
      <c r="E9" s="89"/>
      <c r="F9" s="89"/>
      <c r="G9" s="89"/>
      <c r="H9" s="89"/>
      <c r="I9" s="89"/>
      <c r="J9" s="56"/>
    </row>
    <row r="10" spans="1:10" ht="14.25" x14ac:dyDescent="0.2">
      <c r="A10" s="53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.75" x14ac:dyDescent="0.2">
      <c r="A11" s="122" t="s">
        <v>1002</v>
      </c>
      <c r="B11" s="122"/>
      <c r="C11" s="122"/>
      <c r="D11" s="123" t="s">
        <v>1075</v>
      </c>
      <c r="E11" s="123"/>
      <c r="F11" s="123"/>
      <c r="G11" s="123"/>
      <c r="H11" s="123"/>
      <c r="I11" s="123"/>
      <c r="J11" s="54"/>
    </row>
    <row r="12" spans="1:10" ht="14.25" x14ac:dyDescent="0.2">
      <c r="A12" s="53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4.25" x14ac:dyDescent="0.2">
      <c r="A13" s="122" t="s">
        <v>1012</v>
      </c>
      <c r="B13" s="122"/>
      <c r="C13" s="122"/>
      <c r="D13" s="64">
        <f>(SourceObSm!F48)/1000</f>
        <v>68375.138529999997</v>
      </c>
      <c r="E13" s="57" t="s">
        <v>1003</v>
      </c>
      <c r="F13" s="58"/>
      <c r="G13" s="11"/>
      <c r="H13" s="11"/>
      <c r="I13" s="11"/>
      <c r="J13" s="11"/>
    </row>
    <row r="14" spans="1:10" ht="14.25" x14ac:dyDescent="0.2">
      <c r="A14" s="59"/>
      <c r="B14" s="15"/>
      <c r="C14" s="15"/>
      <c r="D14" s="60"/>
      <c r="E14" s="57"/>
      <c r="F14" s="61"/>
      <c r="G14" s="11"/>
      <c r="H14" s="11"/>
      <c r="I14" s="11"/>
      <c r="J14" s="11"/>
    </row>
    <row r="15" spans="1:10" ht="14.25" x14ac:dyDescent="0.2">
      <c r="A15" s="122" t="s">
        <v>1004</v>
      </c>
      <c r="B15" s="122"/>
      <c r="C15" s="122"/>
      <c r="D15" s="64">
        <f>(SourceObSm!F33)/1000</f>
        <v>9703.3946799999994</v>
      </c>
      <c r="E15" s="57" t="s">
        <v>1003</v>
      </c>
      <c r="F15" s="58"/>
      <c r="G15" s="11"/>
      <c r="H15" s="11"/>
      <c r="I15" s="11"/>
      <c r="J15" s="11"/>
    </row>
    <row r="16" spans="1:10" ht="14.25" x14ac:dyDescent="0.2">
      <c r="A16" s="53"/>
      <c r="B16" s="11"/>
      <c r="C16" s="11"/>
      <c r="D16" s="60"/>
      <c r="E16" s="57"/>
      <c r="F16" s="11"/>
      <c r="G16" s="11"/>
      <c r="H16" s="11"/>
      <c r="I16" s="11"/>
      <c r="J16" s="11"/>
    </row>
    <row r="17" spans="1:10" ht="14.25" x14ac:dyDescent="0.2">
      <c r="A17" s="122" t="s">
        <v>1005</v>
      </c>
      <c r="B17" s="122"/>
      <c r="C17" s="122"/>
      <c r="D17" s="65">
        <f>SourceObSm!I12</f>
        <v>0</v>
      </c>
      <c r="E17" s="62" t="str">
        <f>SourceObSm!H12</f>
        <v/>
      </c>
      <c r="F17" s="63"/>
      <c r="G17" s="11"/>
      <c r="H17" s="11"/>
      <c r="I17" s="11"/>
      <c r="J17" s="11"/>
    </row>
    <row r="18" spans="1:10" ht="14.25" x14ac:dyDescent="0.2">
      <c r="A18" s="53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4.25" x14ac:dyDescent="0.2">
      <c r="A19" s="122" t="s">
        <v>969</v>
      </c>
      <c r="B19" s="122"/>
      <c r="C19" s="122"/>
      <c r="D19" s="122"/>
      <c r="E19" s="122"/>
      <c r="F19" s="122"/>
      <c r="G19" s="122"/>
      <c r="H19" s="122"/>
      <c r="I19" s="122"/>
      <c r="J19" s="122"/>
    </row>
    <row r="20" spans="1:10" ht="14.25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 t="s">
        <v>1003</v>
      </c>
    </row>
    <row r="21" spans="1:10" ht="14.25" x14ac:dyDescent="0.2">
      <c r="A21" s="120" t="s">
        <v>988</v>
      </c>
      <c r="B21" s="120" t="s">
        <v>1006</v>
      </c>
      <c r="C21" s="120" t="s">
        <v>960</v>
      </c>
      <c r="D21" s="124" t="s">
        <v>1012</v>
      </c>
      <c r="E21" s="124"/>
      <c r="F21" s="124"/>
      <c r="G21" s="124"/>
      <c r="H21" s="124"/>
      <c r="I21" s="120" t="s">
        <v>1013</v>
      </c>
      <c r="J21" s="120" t="s">
        <v>1007</v>
      </c>
    </row>
    <row r="22" spans="1:10" ht="57" x14ac:dyDescent="0.2">
      <c r="A22" s="121"/>
      <c r="B22" s="121"/>
      <c r="C22" s="121"/>
      <c r="D22" s="20" t="s">
        <v>1008</v>
      </c>
      <c r="E22" s="20" t="s">
        <v>1009</v>
      </c>
      <c r="F22" s="20" t="s">
        <v>1010</v>
      </c>
      <c r="G22" s="20" t="s">
        <v>1011</v>
      </c>
      <c r="H22" s="20" t="s">
        <v>141</v>
      </c>
      <c r="I22" s="121"/>
      <c r="J22" s="121"/>
    </row>
    <row r="23" spans="1:10" ht="14.25" x14ac:dyDescent="0.2">
      <c r="A23" s="69">
        <v>1</v>
      </c>
      <c r="B23" s="69">
        <v>2</v>
      </c>
      <c r="C23" s="69">
        <v>3</v>
      </c>
      <c r="D23" s="69">
        <v>4</v>
      </c>
      <c r="E23" s="69">
        <v>5</v>
      </c>
      <c r="F23" s="69">
        <v>6</v>
      </c>
      <c r="G23" s="69">
        <v>7</v>
      </c>
      <c r="H23" s="69">
        <v>8</v>
      </c>
      <c r="I23" s="69">
        <v>9</v>
      </c>
      <c r="J23" s="69">
        <v>10</v>
      </c>
    </row>
    <row r="24" spans="1:10" ht="28.5" x14ac:dyDescent="0.2">
      <c r="A24" s="73">
        <v>1</v>
      </c>
      <c r="B24" s="45" t="str">
        <f>SourceObSm!C16</f>
        <v>Новая локальная смета</v>
      </c>
      <c r="C24" s="45" t="str">
        <f>SourceObSm!D16</f>
        <v>Новая локальная смета</v>
      </c>
      <c r="D24" s="74">
        <f>IF(SourceObSm!E16=0, "-", ROUND(SourceObSm!E16,6))</f>
        <v>56978.603320000002</v>
      </c>
      <c r="E24" s="74" t="str">
        <f>IF(SourceObSm!F16=0, "-", ROUND(SourceObSm!F16,6))</f>
        <v>-</v>
      </c>
      <c r="F24" s="74" t="str">
        <f>IF(SourceObSm!G16=0, "-", ROUND(SourceObSm!G16,6))</f>
        <v>-</v>
      </c>
      <c r="G24" s="74" t="str">
        <f>IF(SourceObSm!H16=0, "-", ROUND(SourceObSm!H16,6))</f>
        <v>-</v>
      </c>
      <c r="H24" s="74">
        <f>IF(SourceObSm!I16=0, "-", ROUND(SourceObSm!I16,6))</f>
        <v>56978.603320000002</v>
      </c>
      <c r="I24" s="74">
        <f>IF(SourceObSm!J16=0, "-", ROUND(SourceObSm!J16,6))</f>
        <v>9703.3946799999994</v>
      </c>
      <c r="J24" s="74" t="str">
        <f>IF(H24="-","-",IF(SourceObSm!I12=0,"-",H24/SourceObSm!I12))</f>
        <v>-</v>
      </c>
    </row>
    <row r="25" spans="1:10" ht="15" x14ac:dyDescent="0.25">
      <c r="A25" s="75"/>
      <c r="B25" s="76"/>
      <c r="C25" s="76" t="s">
        <v>1014</v>
      </c>
      <c r="D25" s="77">
        <f t="shared" ref="D25:I25" si="0">IF(SUM(D24:D24)=0, "-", ROUND(SUM(D24:D24),6))</f>
        <v>56978.603320000002</v>
      </c>
      <c r="E25" s="77" t="str">
        <f t="shared" si="0"/>
        <v>-</v>
      </c>
      <c r="F25" s="77" t="str">
        <f t="shared" si="0"/>
        <v>-</v>
      </c>
      <c r="G25" s="77" t="str">
        <f t="shared" si="0"/>
        <v>-</v>
      </c>
      <c r="H25" s="77">
        <f t="shared" si="0"/>
        <v>56978.603320000002</v>
      </c>
      <c r="I25" s="77">
        <f t="shared" si="0"/>
        <v>9703.3946799999994</v>
      </c>
      <c r="J25" s="77"/>
    </row>
    <row r="27" spans="1:10" ht="14.25" x14ac:dyDescent="0.2">
      <c r="A27" s="24"/>
      <c r="B27" s="24"/>
      <c r="C27" s="114" t="str">
        <f>SourceObSm!H47</f>
        <v>НДС 20%</v>
      </c>
      <c r="D27" s="115"/>
      <c r="E27" s="115"/>
      <c r="F27" s="115"/>
      <c r="G27" s="68"/>
      <c r="H27" s="68">
        <f>ROUND(SourceObSm!F47/1000,6)</f>
        <v>11395.85642</v>
      </c>
      <c r="I27" s="78" t="s">
        <v>1003</v>
      </c>
      <c r="J27" s="67"/>
    </row>
    <row r="28" spans="1:10" ht="14.25" x14ac:dyDescent="0.2">
      <c r="A28" s="24"/>
      <c r="B28" s="24"/>
      <c r="C28" s="116" t="str">
        <f>SourceObSm!H48</f>
        <v>Всего</v>
      </c>
      <c r="D28" s="117"/>
      <c r="E28" s="117"/>
      <c r="F28" s="117"/>
      <c r="G28" s="70"/>
      <c r="H28" s="70">
        <f>ROUND(SourceObSm!F48/1000,6)</f>
        <v>68375.138529999997</v>
      </c>
      <c r="I28" s="71" t="s">
        <v>1003</v>
      </c>
      <c r="J28" s="67"/>
    </row>
    <row r="31" spans="1:10" ht="14.25" x14ac:dyDescent="0.2">
      <c r="A31" s="11"/>
      <c r="B31" s="118" t="s">
        <v>1015</v>
      </c>
      <c r="C31" s="118"/>
      <c r="D31" s="79" t="str">
        <f>IF(SourceObSm!X12&lt;&gt;"",SourceObSm!X12,"")</f>
        <v/>
      </c>
      <c r="E31" s="80"/>
      <c r="F31" s="80"/>
      <c r="G31" s="80"/>
      <c r="H31" s="61"/>
      <c r="I31" s="11"/>
      <c r="J31" s="11"/>
    </row>
    <row r="32" spans="1:10" ht="14.25" x14ac:dyDescent="0.2">
      <c r="A32" s="11"/>
      <c r="B32" s="53"/>
      <c r="C32" s="11"/>
      <c r="D32" s="119" t="s">
        <v>1016</v>
      </c>
      <c r="E32" s="119"/>
      <c r="F32" s="119"/>
      <c r="G32" s="119"/>
      <c r="H32" s="56"/>
      <c r="I32" s="11"/>
      <c r="J32" s="11"/>
    </row>
    <row r="33" spans="1:10" ht="14.25" x14ac:dyDescent="0.2">
      <c r="A33" s="11"/>
      <c r="B33" s="53"/>
      <c r="C33" s="66"/>
      <c r="D33" s="11"/>
      <c r="E33" s="56"/>
      <c r="F33" s="56"/>
      <c r="G33" s="56"/>
      <c r="H33" s="56"/>
      <c r="I33" s="11"/>
      <c r="J33" s="11"/>
    </row>
    <row r="34" spans="1:10" ht="14.25" x14ac:dyDescent="0.2">
      <c r="A34" s="11"/>
      <c r="B34" s="81" t="s">
        <v>1017</v>
      </c>
      <c r="C34" s="79" t="str">
        <f>IF(SourceObSm!AA12&lt;&gt;"",SourceObSm!AA12,"")</f>
        <v/>
      </c>
      <c r="D34" s="66" t="s">
        <v>1018</v>
      </c>
      <c r="E34" s="38"/>
      <c r="F34" s="38"/>
      <c r="G34" s="38"/>
      <c r="H34" s="62" t="str">
        <f>IF(SourceObSm!Y12&lt;&gt;"",SourceObSm!Y12,"")</f>
        <v/>
      </c>
      <c r="I34" s="11"/>
      <c r="J34" s="11"/>
    </row>
    <row r="35" spans="1:10" ht="14.25" x14ac:dyDescent="0.2">
      <c r="A35" s="11"/>
      <c r="B35" s="10"/>
      <c r="C35" s="82" t="s">
        <v>1019</v>
      </c>
      <c r="D35" s="13"/>
      <c r="E35" s="89" t="s">
        <v>1016</v>
      </c>
      <c r="F35" s="89"/>
      <c r="G35" s="89"/>
      <c r="H35" s="56"/>
      <c r="I35" s="11"/>
      <c r="J35" s="11"/>
    </row>
    <row r="36" spans="1:10" ht="14.25" x14ac:dyDescent="0.2">
      <c r="A36" s="11"/>
      <c r="B36" s="81"/>
      <c r="C36" s="11"/>
      <c r="D36" s="11"/>
      <c r="E36" s="11"/>
      <c r="F36" s="11"/>
      <c r="G36" s="11"/>
      <c r="H36" s="11"/>
      <c r="I36" s="11"/>
      <c r="J36" s="11"/>
    </row>
    <row r="37" spans="1:10" ht="14.25" x14ac:dyDescent="0.2">
      <c r="A37" s="11"/>
      <c r="B37" s="81" t="s">
        <v>1020</v>
      </c>
      <c r="C37" s="79" t="str">
        <f>IF(SourceObSm!AC12&lt;&gt;"",SourceObSm!AC12,"")</f>
        <v/>
      </c>
      <c r="D37" s="38"/>
      <c r="E37" s="38"/>
      <c r="F37" s="62" t="str">
        <f>IF(SourceObSm!AB12&lt;&gt;"",SourceObSm!AB12,"")</f>
        <v/>
      </c>
      <c r="G37" s="61"/>
      <c r="H37" s="11"/>
      <c r="I37" s="11"/>
      <c r="J37" s="11"/>
    </row>
    <row r="38" spans="1:10" ht="14.25" x14ac:dyDescent="0.2">
      <c r="A38" s="11"/>
      <c r="B38" s="81"/>
      <c r="C38" s="89" t="s">
        <v>986</v>
      </c>
      <c r="D38" s="89"/>
      <c r="E38" s="89"/>
      <c r="F38" s="56"/>
      <c r="G38" s="56"/>
      <c r="H38" s="11"/>
      <c r="I38" s="11"/>
      <c r="J38" s="11"/>
    </row>
    <row r="39" spans="1:10" ht="14.25" x14ac:dyDescent="0.2">
      <c r="A39" s="11"/>
      <c r="B39" s="81"/>
      <c r="C39" s="83"/>
      <c r="D39" s="83"/>
      <c r="E39" s="83"/>
      <c r="F39" s="56"/>
      <c r="G39" s="56"/>
      <c r="H39" s="11"/>
      <c r="I39" s="11"/>
      <c r="J39" s="11"/>
    </row>
    <row r="40" spans="1:10" ht="14.25" x14ac:dyDescent="0.2">
      <c r="A40" s="11"/>
      <c r="B40" s="81" t="s">
        <v>1021</v>
      </c>
      <c r="C40" s="79" t="str">
        <f>IF(SourceObSm!AE12&lt;&gt;"",SourceObSm!AE12,"")</f>
        <v/>
      </c>
      <c r="D40" s="38"/>
      <c r="E40" s="38"/>
      <c r="F40" s="62" t="str">
        <f>IF(SourceObSm!AD12&lt;&gt;"",SourceObSm!AD12,"")</f>
        <v/>
      </c>
      <c r="G40" s="61"/>
      <c r="H40" s="11"/>
      <c r="I40" s="11"/>
      <c r="J40" s="11"/>
    </row>
    <row r="41" spans="1:10" ht="14.25" x14ac:dyDescent="0.2">
      <c r="A41" s="11"/>
      <c r="B41" s="53"/>
      <c r="C41" s="89" t="s">
        <v>986</v>
      </c>
      <c r="D41" s="89"/>
      <c r="E41" s="89"/>
      <c r="F41" s="56"/>
      <c r="G41" s="56"/>
      <c r="H41" s="11"/>
      <c r="I41" s="11"/>
      <c r="J41" s="11"/>
    </row>
  </sheetData>
  <mergeCells count="25">
    <mergeCell ref="D9:I9"/>
    <mergeCell ref="A1:D1"/>
    <mergeCell ref="B4:I4"/>
    <mergeCell ref="B5:I5"/>
    <mergeCell ref="A8:C8"/>
    <mergeCell ref="D8:I8"/>
    <mergeCell ref="J21:J22"/>
    <mergeCell ref="A11:C11"/>
    <mergeCell ref="D11:I11"/>
    <mergeCell ref="A13:C13"/>
    <mergeCell ref="A15:C15"/>
    <mergeCell ref="A17:C17"/>
    <mergeCell ref="A19:J19"/>
    <mergeCell ref="A21:A22"/>
    <mergeCell ref="B21:B22"/>
    <mergeCell ref="C21:C22"/>
    <mergeCell ref="D21:H21"/>
    <mergeCell ref="I21:I22"/>
    <mergeCell ref="C41:E41"/>
    <mergeCell ref="C27:F27"/>
    <mergeCell ref="C28:F28"/>
    <mergeCell ref="B31:C31"/>
    <mergeCell ref="D32:G32"/>
    <mergeCell ref="E35:G35"/>
    <mergeCell ref="C38:E38"/>
  </mergeCells>
  <pageMargins left="0.4" right="0.2" top="0.2" bottom="0.4" header="0.2" footer="0.2"/>
  <pageSetup paperSize="9" fitToHeight="0" orientation="portrait" verticalDpi="0" r:id="rId1"/>
  <headerFooter>
    <oddHeader>&amp;L&amp;8&amp;C&amp;P страница из &amp;N</oddHeader>
  </headerFooter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4"/>
  <sheetViews>
    <sheetView workbookViewId="0"/>
  </sheetViews>
  <sheetFormatPr defaultRowHeight="12.75" x14ac:dyDescent="0.2"/>
  <sheetData>
    <row r="1" spans="1:23" x14ac:dyDescent="0.2">
      <c r="A1" t="s">
        <v>1045</v>
      </c>
      <c r="B1" t="s">
        <v>1046</v>
      </c>
      <c r="C1" t="s">
        <v>1047</v>
      </c>
      <c r="D1" t="s">
        <v>1048</v>
      </c>
      <c r="E1" t="s">
        <v>1049</v>
      </c>
      <c r="F1" t="s">
        <v>1050</v>
      </c>
      <c r="G1" t="s">
        <v>1051</v>
      </c>
      <c r="H1" t="s">
        <v>1052</v>
      </c>
      <c r="I1" t="s">
        <v>1053</v>
      </c>
      <c r="J1" t="s">
        <v>1054</v>
      </c>
      <c r="K1" t="s">
        <v>1055</v>
      </c>
    </row>
    <row r="2" spans="1:23" x14ac:dyDescent="0.2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0</v>
      </c>
      <c r="I2">
        <v>0</v>
      </c>
      <c r="J2">
        <v>0</v>
      </c>
      <c r="K2">
        <v>0</v>
      </c>
    </row>
    <row r="4" spans="1:23" x14ac:dyDescent="0.2">
      <c r="A4" t="s">
        <v>1022</v>
      </c>
      <c r="B4" t="s">
        <v>1023</v>
      </c>
      <c r="C4" t="s">
        <v>1024</v>
      </c>
      <c r="D4" t="s">
        <v>1025</v>
      </c>
      <c r="E4" t="s">
        <v>1026</v>
      </c>
      <c r="F4" t="s">
        <v>1027</v>
      </c>
      <c r="G4" t="s">
        <v>1028</v>
      </c>
      <c r="H4" t="s">
        <v>1029</v>
      </c>
      <c r="I4" t="s">
        <v>1030</v>
      </c>
      <c r="J4" t="s">
        <v>1031</v>
      </c>
      <c r="K4" t="s">
        <v>1032</v>
      </c>
      <c r="L4" t="s">
        <v>1033</v>
      </c>
      <c r="M4" t="s">
        <v>1034</v>
      </c>
      <c r="N4" t="s">
        <v>1035</v>
      </c>
      <c r="O4" t="s">
        <v>1036</v>
      </c>
      <c r="P4" t="s">
        <v>1037</v>
      </c>
      <c r="Q4" t="s">
        <v>1038</v>
      </c>
      <c r="R4" t="s">
        <v>1039</v>
      </c>
      <c r="S4" t="s">
        <v>1040</v>
      </c>
      <c r="T4" t="s">
        <v>1041</v>
      </c>
      <c r="U4" t="s">
        <v>1042</v>
      </c>
      <c r="V4" t="s">
        <v>1043</v>
      </c>
      <c r="W4" t="s">
        <v>1044</v>
      </c>
    </row>
    <row r="6" spans="1:23" x14ac:dyDescent="0.2">
      <c r="A6">
        <f>Source!A20</f>
        <v>3</v>
      </c>
      <c r="B6">
        <v>20</v>
      </c>
      <c r="G6" t="str">
        <f>Source!G20</f>
        <v>Новая локальная смета</v>
      </c>
    </row>
    <row r="7" spans="1:23" x14ac:dyDescent="0.2">
      <c r="A7">
        <f>Source!A24</f>
        <v>4</v>
      </c>
      <c r="B7">
        <v>24</v>
      </c>
      <c r="G7" t="str">
        <f>Source!G24</f>
        <v>1.1. Текущий ремонт мелкозернистого а/б покрытия (фрезеровка) -11416 м2</v>
      </c>
    </row>
    <row r="8" spans="1:23" x14ac:dyDescent="0.2">
      <c r="A8">
        <f>Source!A28</f>
        <v>17</v>
      </c>
      <c r="C8">
        <v>3</v>
      </c>
      <c r="D8">
        <v>0</v>
      </c>
      <c r="E8">
        <f>SmtRes!AV8</f>
        <v>0</v>
      </c>
      <c r="F8" t="str">
        <f>SmtRes!I8</f>
        <v>1.1-1-3790</v>
      </c>
      <c r="G8" t="str">
        <f>SmtRes!K8</f>
        <v>Резцы для дорожной фрезы W 2100 типа "Виртген"</v>
      </c>
      <c r="H8" t="str">
        <f>SmtRes!O8</f>
        <v>шт.</v>
      </c>
      <c r="I8">
        <f>SmtRes!Y8*Source!I28</f>
        <v>266.27819999999997</v>
      </c>
      <c r="J8">
        <f>SmtRes!AO8</f>
        <v>1</v>
      </c>
      <c r="K8">
        <f>SmtRes!AE8</f>
        <v>54.93</v>
      </c>
      <c r="L8">
        <f>SmtRes!DB8</f>
        <v>137.33000000000001</v>
      </c>
      <c r="M8">
        <f>ROUND(ROUND(L8*Source!I28, 6)*1, 2)</f>
        <v>14627.19</v>
      </c>
      <c r="N8">
        <f>SmtRes!AA8</f>
        <v>207.64</v>
      </c>
      <c r="O8">
        <f>ROUND(ROUND(L8*Source!I28, 6)*SmtRes!DA8, 2)</f>
        <v>55290.79</v>
      </c>
      <c r="P8">
        <f>SmtRes!AG8</f>
        <v>0</v>
      </c>
      <c r="Q8">
        <f>SmtRes!DC8</f>
        <v>0</v>
      </c>
      <c r="R8">
        <f>ROUND(ROUND(Q8*Source!I28, 6)*1, 2)</f>
        <v>0</v>
      </c>
      <c r="S8">
        <f>SmtRes!AC8</f>
        <v>0</v>
      </c>
      <c r="T8">
        <f>ROUND(ROUND(Q8*Source!I28, 6)*SmtRes!AK8, 2)</f>
        <v>0</v>
      </c>
      <c r="U8">
        <f>SmtRes!X8</f>
        <v>1996532024</v>
      </c>
      <c r="V8">
        <v>-721335285</v>
      </c>
      <c r="W8">
        <v>1823871172</v>
      </c>
    </row>
    <row r="9" spans="1:23" x14ac:dyDescent="0.2">
      <c r="A9">
        <f>Source!A28</f>
        <v>17</v>
      </c>
      <c r="C9">
        <v>3</v>
      </c>
      <c r="D9">
        <v>0</v>
      </c>
      <c r="E9">
        <f>SmtRes!AV7</f>
        <v>0</v>
      </c>
      <c r="F9" t="str">
        <f>SmtRes!I7</f>
        <v>1.1-1-118</v>
      </c>
      <c r="G9" t="str">
        <f>SmtRes!K7</f>
        <v>Вода</v>
      </c>
      <c r="H9" t="str">
        <f>SmtRes!O7</f>
        <v>м3</v>
      </c>
      <c r="I9">
        <f>SmtRes!Y7*Source!I28</f>
        <v>28.438511760000001</v>
      </c>
      <c r="J9">
        <f>SmtRes!AO7</f>
        <v>1</v>
      </c>
      <c r="K9">
        <f>SmtRes!AE7</f>
        <v>7.07</v>
      </c>
      <c r="L9">
        <f>SmtRes!DB7</f>
        <v>1.89</v>
      </c>
      <c r="M9">
        <f>ROUND(ROUND(L9*Source!I28, 6)*1, 2)</f>
        <v>201.31</v>
      </c>
      <c r="N9">
        <f>SmtRes!AA7</f>
        <v>35.28</v>
      </c>
      <c r="O9">
        <f>ROUND(ROUND(L9*Source!I28, 6)*SmtRes!DA7, 2)</f>
        <v>1004.52</v>
      </c>
      <c r="P9">
        <f>SmtRes!AG7</f>
        <v>0</v>
      </c>
      <c r="Q9">
        <f>SmtRes!DC7</f>
        <v>0</v>
      </c>
      <c r="R9">
        <f>ROUND(ROUND(Q9*Source!I28, 6)*1, 2)</f>
        <v>0</v>
      </c>
      <c r="S9">
        <f>SmtRes!AC7</f>
        <v>0</v>
      </c>
      <c r="T9">
        <f>ROUND(ROUND(Q9*Source!I28, 6)*SmtRes!AK7, 2)</f>
        <v>0</v>
      </c>
      <c r="U9">
        <f>SmtRes!X7</f>
        <v>-862991314</v>
      </c>
      <c r="V9">
        <v>209219300</v>
      </c>
      <c r="W9">
        <v>-307160680</v>
      </c>
    </row>
    <row r="10" spans="1:23" x14ac:dyDescent="0.2">
      <c r="A10">
        <f>Source!A28</f>
        <v>17</v>
      </c>
      <c r="C10">
        <v>2</v>
      </c>
      <c r="D10">
        <v>0</v>
      </c>
      <c r="E10">
        <f>SmtRes!AV6</f>
        <v>0</v>
      </c>
      <c r="F10" t="str">
        <f>SmtRes!I6</f>
        <v>2.1-5-97</v>
      </c>
      <c r="G10" t="str">
        <f>SmtRes!K6</f>
        <v>Машины дорожные для заправки спецтехники водой, емкость до 8 м3</v>
      </c>
      <c r="H10" t="str">
        <f>SmtRes!O6</f>
        <v>маш.-ч.</v>
      </c>
      <c r="I10">
        <f>SmtRes!Y6*Source!I28</f>
        <v>26.62782</v>
      </c>
      <c r="J10">
        <f>SmtRes!AO6</f>
        <v>1</v>
      </c>
      <c r="K10">
        <f>SmtRes!AF6</f>
        <v>189.23</v>
      </c>
      <c r="L10">
        <f>SmtRes!DB6</f>
        <v>47.31</v>
      </c>
      <c r="M10">
        <f>ROUND(ROUND(L10*Source!I28, 6)*1, 2)</f>
        <v>5039.05</v>
      </c>
      <c r="N10">
        <f>SmtRes!AB6</f>
        <v>1426.79</v>
      </c>
      <c r="O10">
        <f>ROUND(ROUND(L10*Source!I28, 6)*SmtRes!DA6, 2)</f>
        <v>37994.43</v>
      </c>
      <c r="P10">
        <f>SmtRes!AG6</f>
        <v>20.57</v>
      </c>
      <c r="Q10">
        <f>SmtRes!DC6</f>
        <v>5.14</v>
      </c>
      <c r="R10">
        <f>ROUND(ROUND(Q10*Source!I28, 6)*1, 2)</f>
        <v>547.47</v>
      </c>
      <c r="S10">
        <f>SmtRes!AC6</f>
        <v>504.58</v>
      </c>
      <c r="T10">
        <f>ROUND(ROUND(Q10*Source!I28, 6)*SmtRes!AK6, 2)</f>
        <v>13429.39</v>
      </c>
      <c r="U10">
        <f>SmtRes!X6</f>
        <v>-866724918</v>
      </c>
      <c r="V10">
        <v>937706659</v>
      </c>
      <c r="W10">
        <v>-1886552964</v>
      </c>
    </row>
    <row r="11" spans="1:23" x14ac:dyDescent="0.2">
      <c r="A11">
        <f>Source!A28</f>
        <v>17</v>
      </c>
      <c r="C11">
        <v>2</v>
      </c>
      <c r="D11">
        <v>0</v>
      </c>
      <c r="E11">
        <f>SmtRes!AV5</f>
        <v>0</v>
      </c>
      <c r="F11" t="str">
        <f>SmtRes!I5</f>
        <v>2.1-5-103</v>
      </c>
      <c r="G11" t="str">
        <f>SmtRes!K5</f>
        <v>Фрезы дорожные самоходные, ширина фрезерования 2200 мм, глубина фрезерования до 320 мм</v>
      </c>
      <c r="H11" t="str">
        <f>SmtRes!O5</f>
        <v>маш.-ч.</v>
      </c>
      <c r="I11">
        <f>SmtRes!Y5*Source!I28</f>
        <v>26.62782</v>
      </c>
      <c r="J11">
        <f>SmtRes!AO5</f>
        <v>1</v>
      </c>
      <c r="K11">
        <f>SmtRes!AF5</f>
        <v>1455.76</v>
      </c>
      <c r="L11">
        <f>SmtRes!DB5</f>
        <v>363.94</v>
      </c>
      <c r="M11">
        <f>ROUND(ROUND(L11*Source!I28, 6)*1, 2)</f>
        <v>38763.72</v>
      </c>
      <c r="N11">
        <f>SmtRes!AB5</f>
        <v>7831.99</v>
      </c>
      <c r="O11">
        <f>ROUND(ROUND(L11*Source!I28, 6)*SmtRes!DA5, 2)</f>
        <v>208548.79</v>
      </c>
      <c r="P11">
        <f>SmtRes!AG5</f>
        <v>40.840000000000003</v>
      </c>
      <c r="Q11">
        <f>SmtRes!DC5</f>
        <v>10.210000000000001</v>
      </c>
      <c r="R11">
        <f>ROUND(ROUND(Q11*Source!I28, 6)*1, 2)</f>
        <v>1087.48</v>
      </c>
      <c r="S11">
        <f>SmtRes!AC5</f>
        <v>1001.81</v>
      </c>
      <c r="T11">
        <f>ROUND(ROUND(Q11*Source!I28, 6)*SmtRes!AK5, 2)</f>
        <v>26675.89</v>
      </c>
      <c r="U11">
        <f>SmtRes!X5</f>
        <v>-300543005</v>
      </c>
      <c r="V11">
        <v>351972230</v>
      </c>
      <c r="W11">
        <v>251005999</v>
      </c>
    </row>
    <row r="12" spans="1:23" x14ac:dyDescent="0.2">
      <c r="A12">
        <f>Source!A28</f>
        <v>17</v>
      </c>
      <c r="C12">
        <v>2</v>
      </c>
      <c r="D12">
        <v>0</v>
      </c>
      <c r="E12">
        <f>SmtRes!AV4</f>
        <v>0</v>
      </c>
      <c r="F12" t="str">
        <f>SmtRes!I4</f>
        <v>2.1-30-54</v>
      </c>
      <c r="G12" t="str">
        <f>SmtRes!K4</f>
        <v>Молотки отбойные</v>
      </c>
      <c r="H12" t="str">
        <f>SmtRes!O4</f>
        <v>маш.-ч.</v>
      </c>
      <c r="I12">
        <f>SmtRes!Y4*Source!I28</f>
        <v>27.692932800000001</v>
      </c>
      <c r="J12">
        <f>SmtRes!AO4</f>
        <v>1</v>
      </c>
      <c r="K12">
        <f>SmtRes!AF4</f>
        <v>3.16</v>
      </c>
      <c r="L12">
        <f>SmtRes!DB4</f>
        <v>0.82</v>
      </c>
      <c r="M12">
        <f>ROUND(ROUND(L12*Source!I28, 6)*1, 2)</f>
        <v>87.34</v>
      </c>
      <c r="N12">
        <f>SmtRes!AB4</f>
        <v>6.16</v>
      </c>
      <c r="O12">
        <f>ROUND(ROUND(L12*Source!I28, 6)*SmtRes!DA4, 2)</f>
        <v>170.31</v>
      </c>
      <c r="P12">
        <f>SmtRes!AG4</f>
        <v>0.04</v>
      </c>
      <c r="Q12">
        <f>SmtRes!DC4</f>
        <v>0.01</v>
      </c>
      <c r="R12">
        <f>ROUND(ROUND(Q12*Source!I28, 6)*1, 2)</f>
        <v>1.07</v>
      </c>
      <c r="S12">
        <f>SmtRes!AC4</f>
        <v>0.98</v>
      </c>
      <c r="T12">
        <f>ROUND(ROUND(Q12*Source!I28, 6)*SmtRes!AK4, 2)</f>
        <v>26.13</v>
      </c>
      <c r="U12">
        <f>SmtRes!X4</f>
        <v>-48163219</v>
      </c>
      <c r="V12">
        <v>1035079556</v>
      </c>
      <c r="W12">
        <v>174915510</v>
      </c>
    </row>
    <row r="13" spans="1:23" x14ac:dyDescent="0.2">
      <c r="A13">
        <f>Source!A28</f>
        <v>17</v>
      </c>
      <c r="C13">
        <v>2</v>
      </c>
      <c r="D13">
        <v>0</v>
      </c>
      <c r="E13">
        <f>SmtRes!AV3</f>
        <v>0</v>
      </c>
      <c r="F13" t="str">
        <f>SmtRes!I3</f>
        <v>2.1-1-74</v>
      </c>
      <c r="G13" t="str">
        <f>SmtRes!K3</f>
        <v>Экскаваторы-погрузчики на пневмоколесном ходу гидравлические (при проведении ремонтных работ), грузоподъемность до 1,5 т, объем ковша 0,8-1,2 м3</v>
      </c>
      <c r="H13" t="str">
        <f>SmtRes!O3</f>
        <v>маш.-ч.</v>
      </c>
      <c r="I13">
        <f>SmtRes!Y3*Source!I28</f>
        <v>13.846466400000001</v>
      </c>
      <c r="J13">
        <f>SmtRes!AO3</f>
        <v>1</v>
      </c>
      <c r="K13">
        <f>SmtRes!AF3</f>
        <v>132.18</v>
      </c>
      <c r="L13">
        <f>SmtRes!DB3</f>
        <v>17.18</v>
      </c>
      <c r="M13">
        <f>ROUND(ROUND(L13*Source!I28, 6)*1, 2)</f>
        <v>1829.86</v>
      </c>
      <c r="N13">
        <f>SmtRes!AB3</f>
        <v>983.42</v>
      </c>
      <c r="O13">
        <f>ROUND(ROUND(L13*Source!I28, 6)*SmtRes!DA3, 2)</f>
        <v>13614.19</v>
      </c>
      <c r="P13">
        <f>SmtRes!AG3</f>
        <v>17.170000000000002</v>
      </c>
      <c r="Q13">
        <f>SmtRes!DC3</f>
        <v>2.23</v>
      </c>
      <c r="R13">
        <f>ROUND(ROUND(Q13*Source!I28, 6)*1, 2)</f>
        <v>237.52</v>
      </c>
      <c r="S13">
        <f>SmtRes!AC3</f>
        <v>421.18</v>
      </c>
      <c r="T13">
        <f>ROUND(ROUND(Q13*Source!I28, 6)*SmtRes!AK3, 2)</f>
        <v>5826.37</v>
      </c>
      <c r="U13">
        <f>SmtRes!X3</f>
        <v>-951779845</v>
      </c>
      <c r="V13">
        <v>-643775986</v>
      </c>
      <c r="W13">
        <v>1732053836</v>
      </c>
    </row>
    <row r="14" spans="1:23" x14ac:dyDescent="0.2">
      <c r="A14">
        <f>Source!A28</f>
        <v>17</v>
      </c>
      <c r="C14">
        <v>2</v>
      </c>
      <c r="D14">
        <v>0</v>
      </c>
      <c r="E14">
        <f>SmtRes!AV2</f>
        <v>0</v>
      </c>
      <c r="F14" t="str">
        <f>SmtRes!I2</f>
        <v>2.1-10-2</v>
      </c>
      <c r="G14" t="str">
        <f>SmtRes!K2</f>
        <v>Компрессоры автомобильные, производительность более 5 м3/мин</v>
      </c>
      <c r="H14" t="str">
        <f>SmtRes!O2</f>
        <v>маш.-ч.</v>
      </c>
      <c r="I14">
        <f>SmtRes!Y2*Source!I28</f>
        <v>13.846466400000001</v>
      </c>
      <c r="J14">
        <f>SmtRes!AO2</f>
        <v>1</v>
      </c>
      <c r="K14">
        <f>SmtRes!AF2</f>
        <v>115.43</v>
      </c>
      <c r="L14">
        <f>SmtRes!DB2</f>
        <v>15.01</v>
      </c>
      <c r="M14">
        <f>ROUND(ROUND(L14*Source!I28, 6)*1, 2)</f>
        <v>1598.73</v>
      </c>
      <c r="N14">
        <f>SmtRes!AB2</f>
        <v>1176.23</v>
      </c>
      <c r="O14">
        <f>ROUND(ROUND(L14*Source!I28, 6)*SmtRes!DA2, 2)</f>
        <v>16291.1</v>
      </c>
      <c r="P14">
        <f>SmtRes!AG2</f>
        <v>22.64</v>
      </c>
      <c r="Q14">
        <f>SmtRes!DC2</f>
        <v>2.94</v>
      </c>
      <c r="R14">
        <f>ROUND(ROUND(Q14*Source!I28, 6)*1, 2)</f>
        <v>313.14</v>
      </c>
      <c r="S14">
        <f>SmtRes!AC2</f>
        <v>555.36</v>
      </c>
      <c r="T14">
        <f>ROUND(ROUND(Q14*Source!I28, 6)*SmtRes!AK2, 2)</f>
        <v>7681.4</v>
      </c>
      <c r="U14">
        <f>SmtRes!X2</f>
        <v>295152307</v>
      </c>
      <c r="V14">
        <v>-460086538</v>
      </c>
      <c r="W14">
        <v>2007133442</v>
      </c>
    </row>
    <row r="15" spans="1:23" x14ac:dyDescent="0.2">
      <c r="A15">
        <f>Source!A29</f>
        <v>17</v>
      </c>
      <c r="C15">
        <v>2</v>
      </c>
      <c r="D15">
        <v>0</v>
      </c>
      <c r="E15">
        <f>SmtRes!AV12</f>
        <v>0</v>
      </c>
      <c r="F15" t="str">
        <f>SmtRes!I12</f>
        <v>2.1-30-54</v>
      </c>
      <c r="G15" t="str">
        <f>SmtRes!K12</f>
        <v>Молотки отбойные</v>
      </c>
      <c r="H15" t="str">
        <f>SmtRes!O12</f>
        <v>маш.-ч.</v>
      </c>
      <c r="I15">
        <f>SmtRes!Y12*Source!I29</f>
        <v>356.17961600000007</v>
      </c>
      <c r="J15">
        <f>SmtRes!AO12</f>
        <v>1</v>
      </c>
      <c r="K15">
        <f>SmtRes!AF12</f>
        <v>3.16</v>
      </c>
      <c r="L15">
        <f>SmtRes!DB12</f>
        <v>16.43</v>
      </c>
      <c r="M15">
        <f>ROUND(ROUND(L15*Source!I29, 6)*1, 2)</f>
        <v>1125.3900000000001</v>
      </c>
      <c r="N15">
        <f>SmtRes!AB12</f>
        <v>6.16</v>
      </c>
      <c r="O15">
        <f>ROUND(ROUND(L15*Source!I29, 6)*SmtRes!DA12, 2)</f>
        <v>2194.5100000000002</v>
      </c>
      <c r="P15">
        <f>SmtRes!AG12</f>
        <v>0.04</v>
      </c>
      <c r="Q15">
        <f>SmtRes!DC12</f>
        <v>0.21</v>
      </c>
      <c r="R15">
        <f>ROUND(ROUND(Q15*Source!I29, 6)*1, 2)</f>
        <v>14.38</v>
      </c>
      <c r="S15">
        <f>SmtRes!AC12</f>
        <v>0.98</v>
      </c>
      <c r="T15">
        <f>ROUND(ROUND(Q15*Source!I29, 6)*SmtRes!AK12, 2)</f>
        <v>352.84</v>
      </c>
      <c r="U15">
        <f>SmtRes!X12</f>
        <v>-48163219</v>
      </c>
      <c r="V15">
        <v>1035079556</v>
      </c>
      <c r="W15">
        <v>174915510</v>
      </c>
    </row>
    <row r="16" spans="1:23" x14ac:dyDescent="0.2">
      <c r="A16">
        <f>Source!A29</f>
        <v>17</v>
      </c>
      <c r="C16">
        <v>2</v>
      </c>
      <c r="D16">
        <v>0</v>
      </c>
      <c r="E16">
        <f>SmtRes!AV11</f>
        <v>0</v>
      </c>
      <c r="F16" t="str">
        <f>SmtRes!I11</f>
        <v>2.1-1-74</v>
      </c>
      <c r="G16" t="str">
        <f>SmtRes!K11</f>
        <v>Экскаваторы-погрузчики на пневмоколесном ходу гидравлические (при проведении ремонтных работ), грузоподъемность до 1,5 т, объем ковша 0,8-1,2 м3</v>
      </c>
      <c r="H16" t="str">
        <f>SmtRes!O11</f>
        <v>маш.-ч.</v>
      </c>
      <c r="I16">
        <f>SmtRes!Y11*Source!I29</f>
        <v>178.08980800000003</v>
      </c>
      <c r="J16">
        <f>SmtRes!AO11</f>
        <v>1</v>
      </c>
      <c r="K16">
        <f>SmtRes!AF11</f>
        <v>132.18</v>
      </c>
      <c r="L16">
        <f>SmtRes!DB11</f>
        <v>343.67</v>
      </c>
      <c r="M16">
        <f>ROUND(ROUND(L16*Source!I29, 6)*1, 2)</f>
        <v>23540.05</v>
      </c>
      <c r="N16">
        <f>SmtRes!AB11</f>
        <v>983.42</v>
      </c>
      <c r="O16">
        <f>ROUND(ROUND(L16*Source!I29, 6)*SmtRes!DA11, 2)</f>
        <v>175137.96</v>
      </c>
      <c r="P16">
        <f>SmtRes!AG11</f>
        <v>17.170000000000002</v>
      </c>
      <c r="Q16">
        <f>SmtRes!DC11</f>
        <v>44.64</v>
      </c>
      <c r="R16">
        <f>ROUND(ROUND(Q16*Source!I29, 6)*1, 2)</f>
        <v>3057.67</v>
      </c>
      <c r="S16">
        <f>SmtRes!AC11</f>
        <v>421.18</v>
      </c>
      <c r="T16">
        <f>ROUND(ROUND(Q16*Source!I29, 6)*SmtRes!AK11, 2)</f>
        <v>75004.52</v>
      </c>
      <c r="U16">
        <f>SmtRes!X11</f>
        <v>-951779845</v>
      </c>
      <c r="V16">
        <v>-643775986</v>
      </c>
      <c r="W16">
        <v>1732053836</v>
      </c>
    </row>
    <row r="17" spans="1:23" x14ac:dyDescent="0.2">
      <c r="A17">
        <f>Source!A29</f>
        <v>17</v>
      </c>
      <c r="C17">
        <v>2</v>
      </c>
      <c r="D17">
        <v>0</v>
      </c>
      <c r="E17">
        <f>SmtRes!AV10</f>
        <v>0</v>
      </c>
      <c r="F17" t="str">
        <f>SmtRes!I10</f>
        <v>2.1-10-2</v>
      </c>
      <c r="G17" t="str">
        <f>SmtRes!K10</f>
        <v>Компрессоры автомобильные, производительность более 5 м3/мин</v>
      </c>
      <c r="H17" t="str">
        <f>SmtRes!O10</f>
        <v>маш.-ч.</v>
      </c>
      <c r="I17">
        <f>SmtRes!Y10*Source!I29</f>
        <v>178.08980800000003</v>
      </c>
      <c r="J17">
        <f>SmtRes!AO10</f>
        <v>1</v>
      </c>
      <c r="K17">
        <f>SmtRes!AF10</f>
        <v>115.43</v>
      </c>
      <c r="L17">
        <f>SmtRes!DB10</f>
        <v>300.12</v>
      </c>
      <c r="M17">
        <f>ROUND(ROUND(L17*Source!I29, 6)*1, 2)</f>
        <v>20557.04</v>
      </c>
      <c r="N17">
        <f>SmtRes!AB10</f>
        <v>1176.23</v>
      </c>
      <c r="O17">
        <f>ROUND(ROUND(L17*Source!I29, 6)*SmtRes!DA10, 2)</f>
        <v>209476.27</v>
      </c>
      <c r="P17">
        <f>SmtRes!AG10</f>
        <v>22.64</v>
      </c>
      <c r="Q17">
        <f>SmtRes!DC10</f>
        <v>58.86</v>
      </c>
      <c r="R17">
        <f>ROUND(ROUND(Q17*Source!I29, 6)*1, 2)</f>
        <v>4031.68</v>
      </c>
      <c r="S17">
        <f>SmtRes!AC10</f>
        <v>555.36</v>
      </c>
      <c r="T17">
        <f>ROUND(ROUND(Q17*Source!I29, 6)*SmtRes!AK10, 2)</f>
        <v>98897.09</v>
      </c>
      <c r="U17">
        <f>SmtRes!X10</f>
        <v>295152307</v>
      </c>
      <c r="V17">
        <v>-460086538</v>
      </c>
      <c r="W17">
        <v>2007133442</v>
      </c>
    </row>
    <row r="18" spans="1:23" x14ac:dyDescent="0.2">
      <c r="A18">
        <f>Source!A30</f>
        <v>17</v>
      </c>
      <c r="C18">
        <v>2</v>
      </c>
      <c r="D18">
        <v>0</v>
      </c>
      <c r="E18">
        <f>SmtRes!AV17</f>
        <v>0</v>
      </c>
      <c r="F18" t="str">
        <f>SmtRes!I17</f>
        <v>9999990007</v>
      </c>
      <c r="G18" t="str">
        <f>SmtRes!K17</f>
        <v>Стоимость прочих машин (ЭСН)</v>
      </c>
      <c r="H18" t="str">
        <f>SmtRes!O17</f>
        <v>руб.</v>
      </c>
      <c r="I18">
        <f>SmtRes!Y17*Source!I30</f>
        <v>10.192204800000001</v>
      </c>
      <c r="J18">
        <f>SmtRes!AO17</f>
        <v>1</v>
      </c>
      <c r="K18">
        <f>SmtRes!AF17</f>
        <v>1</v>
      </c>
      <c r="L18">
        <f>SmtRes!DB17</f>
        <v>3.72</v>
      </c>
      <c r="M18">
        <f>ROUND(ROUND(L18*Source!I30, 6)*1, 2)</f>
        <v>10.19</v>
      </c>
      <c r="N18">
        <f>SmtRes!AB17</f>
        <v>1.05</v>
      </c>
      <c r="O18">
        <f>ROUND(ROUND(L18*Source!I30, 6)*SmtRes!DA17, 2)</f>
        <v>10.19</v>
      </c>
      <c r="P18">
        <f>SmtRes!AG17</f>
        <v>0</v>
      </c>
      <c r="Q18">
        <f>SmtRes!DC17</f>
        <v>0</v>
      </c>
      <c r="R18">
        <f>ROUND(ROUND(Q18*Source!I30, 6)*1, 2)</f>
        <v>0</v>
      </c>
      <c r="S18">
        <f>SmtRes!AC17</f>
        <v>0</v>
      </c>
      <c r="T18">
        <f>ROUND(ROUND(Q18*Source!I30, 6)*SmtRes!AK17, 2)</f>
        <v>0</v>
      </c>
      <c r="U18">
        <f>SmtRes!X17</f>
        <v>-1180195794</v>
      </c>
      <c r="V18">
        <v>54769220</v>
      </c>
      <c r="W18">
        <v>1832560717</v>
      </c>
    </row>
    <row r="19" spans="1:23" x14ac:dyDescent="0.2">
      <c r="A19">
        <f>Source!A30</f>
        <v>17</v>
      </c>
      <c r="C19">
        <v>2</v>
      </c>
      <c r="D19">
        <v>0</v>
      </c>
      <c r="E19">
        <f>SmtRes!AV16</f>
        <v>0</v>
      </c>
      <c r="F19" t="str">
        <f>SmtRes!I16</f>
        <v>2.1-5-48</v>
      </c>
      <c r="G19" t="str">
        <f>SmtRes!K16</f>
        <v>Автогрейдеры, мощность 99-147 кВт (130-200 л.с.)</v>
      </c>
      <c r="H19" t="str">
        <f>SmtRes!O16</f>
        <v>маш.-ч.</v>
      </c>
      <c r="I19">
        <f>SmtRes!Y16*Source!I30</f>
        <v>4.2467519999999999</v>
      </c>
      <c r="J19">
        <f>SmtRes!AO16</f>
        <v>1</v>
      </c>
      <c r="K19">
        <f>SmtRes!AF16</f>
        <v>125.13</v>
      </c>
      <c r="L19">
        <f>SmtRes!DB16</f>
        <v>193.95</v>
      </c>
      <c r="M19">
        <f>ROUND(ROUND(L19*Source!I30, 6)*1, 2)</f>
        <v>531.39</v>
      </c>
      <c r="N19">
        <f>SmtRes!AB16</f>
        <v>1539.38</v>
      </c>
      <c r="O19">
        <f>ROUND(ROUND(L19*Source!I30, 6)*SmtRes!DA16, 2)</f>
        <v>6243.86</v>
      </c>
      <c r="P19">
        <f>SmtRes!AG16</f>
        <v>24.74</v>
      </c>
      <c r="Q19">
        <f>SmtRes!DC16</f>
        <v>38.35</v>
      </c>
      <c r="R19">
        <f>ROUND(ROUND(Q19*Source!I30, 6)*1, 2)</f>
        <v>105.07</v>
      </c>
      <c r="S19">
        <f>SmtRes!AC16</f>
        <v>635.4</v>
      </c>
      <c r="T19">
        <f>ROUND(ROUND(Q19*Source!I30, 6)*SmtRes!AK16, 2)</f>
        <v>2577.44</v>
      </c>
      <c r="U19">
        <f>SmtRes!X16</f>
        <v>856318566</v>
      </c>
      <c r="V19">
        <v>-1785549983</v>
      </c>
      <c r="W19">
        <v>559728352</v>
      </c>
    </row>
    <row r="20" spans="1:23" x14ac:dyDescent="0.2">
      <c r="A20">
        <f>Source!A30</f>
        <v>17</v>
      </c>
      <c r="C20">
        <v>2</v>
      </c>
      <c r="D20">
        <v>0</v>
      </c>
      <c r="E20">
        <f>SmtRes!AV15</f>
        <v>0</v>
      </c>
      <c r="F20" t="str">
        <f>SmtRes!I15</f>
        <v>2.1-30-54</v>
      </c>
      <c r="G20" t="str">
        <f>SmtRes!K15</f>
        <v>Молотки отбойные</v>
      </c>
      <c r="H20" t="str">
        <f>SmtRes!O15</f>
        <v>маш.-ч.</v>
      </c>
      <c r="I20">
        <f>SmtRes!Y15*Source!I30</f>
        <v>205.488</v>
      </c>
      <c r="J20">
        <f>SmtRes!AO15</f>
        <v>1</v>
      </c>
      <c r="K20">
        <f>SmtRes!AF15</f>
        <v>3.16</v>
      </c>
      <c r="L20">
        <f>SmtRes!DB15</f>
        <v>237</v>
      </c>
      <c r="M20">
        <f>ROUND(ROUND(L20*Source!I30, 6)*1, 2)</f>
        <v>649.34</v>
      </c>
      <c r="N20">
        <f>SmtRes!AB15</f>
        <v>6.45</v>
      </c>
      <c r="O20">
        <f>ROUND(ROUND(L20*Source!I30, 6)*SmtRes!DA15, 2)</f>
        <v>1266.22</v>
      </c>
      <c r="P20">
        <f>SmtRes!AG15</f>
        <v>0.04</v>
      </c>
      <c r="Q20">
        <f>SmtRes!DC15</f>
        <v>3</v>
      </c>
      <c r="R20">
        <f>ROUND(ROUND(Q20*Source!I30, 6)*1, 2)</f>
        <v>8.2200000000000006</v>
      </c>
      <c r="S20">
        <f>SmtRes!AC15</f>
        <v>1.03</v>
      </c>
      <c r="T20">
        <f>ROUND(ROUND(Q20*Source!I30, 6)*SmtRes!AK15, 2)</f>
        <v>201.62</v>
      </c>
      <c r="U20">
        <f>SmtRes!X15</f>
        <v>-48163219</v>
      </c>
      <c r="V20">
        <v>1035079556</v>
      </c>
      <c r="W20">
        <v>-300787127</v>
      </c>
    </row>
    <row r="21" spans="1:23" x14ac:dyDescent="0.2">
      <c r="A21">
        <f>Source!A30</f>
        <v>17</v>
      </c>
      <c r="C21">
        <v>2</v>
      </c>
      <c r="D21">
        <v>0</v>
      </c>
      <c r="E21">
        <f>SmtRes!AV14</f>
        <v>0</v>
      </c>
      <c r="F21" t="str">
        <f>SmtRes!I14</f>
        <v>2.1-10-5</v>
      </c>
      <c r="G21" t="str">
        <f>SmtRes!K14</f>
        <v>Компрессоры прицепные с двигателем внутреннего сгорания, производительность до 5 м3/мин, мощность двигателя до 29 кВт (39,4 л.с.)</v>
      </c>
      <c r="H21" t="str">
        <f>SmtRes!O14</f>
        <v>маш.-ч.</v>
      </c>
      <c r="I21">
        <f>SmtRes!Y14*Source!I30</f>
        <v>102.744</v>
      </c>
      <c r="J21">
        <f>SmtRes!AO14</f>
        <v>1</v>
      </c>
      <c r="K21">
        <f>SmtRes!AF14</f>
        <v>60.77</v>
      </c>
      <c r="L21">
        <f>SmtRes!DB14</f>
        <v>2278.88</v>
      </c>
      <c r="M21">
        <f>ROUND(ROUND(L21*Source!I30, 6)*1, 2)</f>
        <v>6243.77</v>
      </c>
      <c r="N21">
        <f>SmtRes!AB14</f>
        <v>772.42</v>
      </c>
      <c r="O21">
        <f>ROUND(ROUND(L21*Source!I30, 6)*SmtRes!DA14, 2)</f>
        <v>75799.33</v>
      </c>
      <c r="P21">
        <f>SmtRes!AG14</f>
        <v>18.48</v>
      </c>
      <c r="Q21">
        <f>SmtRes!DC14</f>
        <v>693</v>
      </c>
      <c r="R21">
        <f>ROUND(ROUND(Q21*Source!I30, 6)*1, 2)</f>
        <v>1898.71</v>
      </c>
      <c r="S21">
        <f>SmtRes!AC14</f>
        <v>474.62</v>
      </c>
      <c r="T21">
        <f>ROUND(ROUND(Q21*Source!I30, 6)*SmtRes!AK14, 2)</f>
        <v>46575.33</v>
      </c>
      <c r="U21">
        <f>SmtRes!X14</f>
        <v>-1426791</v>
      </c>
      <c r="V21">
        <v>1224649770</v>
      </c>
      <c r="W21">
        <v>868399420</v>
      </c>
    </row>
    <row r="22" spans="1:23" x14ac:dyDescent="0.2">
      <c r="A22">
        <f>Source!A34</f>
        <v>17</v>
      </c>
      <c r="C22">
        <v>3</v>
      </c>
      <c r="D22">
        <v>0</v>
      </c>
      <c r="E22">
        <f>SmtRes!AV30</f>
        <v>0</v>
      </c>
      <c r="F22" t="str">
        <f>SmtRes!I30</f>
        <v>1.1-1-1554</v>
      </c>
      <c r="G22" t="str">
        <f>SmtRes!K30</f>
        <v>Щебень из естественного камня для дорожных работ, марка 1200 - 800, фракция 10 - 20 мм</v>
      </c>
      <c r="H22" t="str">
        <f>SmtRes!O30</f>
        <v>м3</v>
      </c>
      <c r="I22">
        <f>SmtRes!Y30*Source!I34</f>
        <v>39.231597719999996</v>
      </c>
      <c r="J22">
        <f>SmtRes!AO30</f>
        <v>1</v>
      </c>
      <c r="K22">
        <f>SmtRes!AE30</f>
        <v>165.8</v>
      </c>
      <c r="L22">
        <f>SmtRes!DB30</f>
        <v>1906.7</v>
      </c>
      <c r="M22">
        <f>ROUND(ROUND(L22*Source!I34, 6)*1, 2)</f>
        <v>6504.6</v>
      </c>
      <c r="N22">
        <f>SmtRes!AA30</f>
        <v>1979.65</v>
      </c>
      <c r="O22">
        <f>ROUND(ROUND(L22*Source!I34, 6)*SmtRes!DA30, 2)</f>
        <v>77664.91</v>
      </c>
      <c r="P22">
        <f>SmtRes!AG30</f>
        <v>0</v>
      </c>
      <c r="Q22">
        <f>SmtRes!DC30</f>
        <v>0</v>
      </c>
      <c r="R22">
        <f>ROUND(ROUND(Q22*Source!I34, 6)*1, 2)</f>
        <v>0</v>
      </c>
      <c r="S22">
        <f>SmtRes!AC30</f>
        <v>0</v>
      </c>
      <c r="T22">
        <f>ROUND(ROUND(Q22*Source!I34, 6)*SmtRes!AK30, 2)</f>
        <v>0</v>
      </c>
      <c r="U22">
        <f>SmtRes!X30</f>
        <v>489817369</v>
      </c>
      <c r="V22">
        <v>-1003746317</v>
      </c>
      <c r="W22">
        <v>-1052006969</v>
      </c>
    </row>
    <row r="23" spans="1:23" x14ac:dyDescent="0.2">
      <c r="A23">
        <f>Source!A34</f>
        <v>17</v>
      </c>
      <c r="C23">
        <v>3</v>
      </c>
      <c r="D23">
        <v>0</v>
      </c>
      <c r="E23">
        <f>SmtRes!AV28</f>
        <v>0</v>
      </c>
      <c r="F23" t="str">
        <f>SmtRes!I28</f>
        <v>1.1-1-118</v>
      </c>
      <c r="G23" t="str">
        <f>SmtRes!K28</f>
        <v>Вода</v>
      </c>
      <c r="H23" t="str">
        <f>SmtRes!O28</f>
        <v>м3</v>
      </c>
      <c r="I23">
        <f>SmtRes!Y28*Source!I34</f>
        <v>85.286081999999993</v>
      </c>
      <c r="J23">
        <f>SmtRes!AO28</f>
        <v>1</v>
      </c>
      <c r="K23">
        <f>SmtRes!AE28</f>
        <v>7.07</v>
      </c>
      <c r="L23">
        <f>SmtRes!DB28</f>
        <v>176.75</v>
      </c>
      <c r="M23">
        <f>ROUND(ROUND(L23*Source!I34, 6)*1, 2)</f>
        <v>602.97</v>
      </c>
      <c r="N23">
        <f>SmtRes!AA28</f>
        <v>35.28</v>
      </c>
      <c r="O23">
        <f>ROUND(ROUND(L23*Source!I34, 6)*SmtRes!DA28, 2)</f>
        <v>3008.83</v>
      </c>
      <c r="P23">
        <f>SmtRes!AG28</f>
        <v>0</v>
      </c>
      <c r="Q23">
        <f>SmtRes!DC28</f>
        <v>0</v>
      </c>
      <c r="R23">
        <f>ROUND(ROUND(Q23*Source!I34, 6)*1, 2)</f>
        <v>0</v>
      </c>
      <c r="S23">
        <f>SmtRes!AC28</f>
        <v>0</v>
      </c>
      <c r="T23">
        <f>ROUND(ROUND(Q23*Source!I34, 6)*SmtRes!AK28, 2)</f>
        <v>0</v>
      </c>
      <c r="U23">
        <f>SmtRes!X28</f>
        <v>-862991314</v>
      </c>
      <c r="V23">
        <v>209219300</v>
      </c>
      <c r="W23">
        <v>-307160680</v>
      </c>
    </row>
    <row r="24" spans="1:23" x14ac:dyDescent="0.2">
      <c r="A24">
        <f>Source!A34</f>
        <v>17</v>
      </c>
      <c r="C24">
        <v>2</v>
      </c>
      <c r="D24">
        <v>0</v>
      </c>
      <c r="E24">
        <f>SmtRes!AV27</f>
        <v>0</v>
      </c>
      <c r="F24" t="str">
        <f>SmtRes!I27</f>
        <v>2.1-5-47</v>
      </c>
      <c r="G24" t="str">
        <f>SmtRes!K27</f>
        <v>Автогрейдеры, мощность 66-88 кВт (90-120 л.с.)</v>
      </c>
      <c r="H24" t="str">
        <f>SmtRes!O27</f>
        <v>маш.-ч.</v>
      </c>
      <c r="I24">
        <f>SmtRes!Y27*Source!I34</f>
        <v>19.820485456799997</v>
      </c>
      <c r="J24">
        <f>SmtRes!AO27</f>
        <v>1</v>
      </c>
      <c r="K24">
        <f>SmtRes!AF27</f>
        <v>120.77</v>
      </c>
      <c r="L24">
        <f>SmtRes!DB27</f>
        <v>701.67</v>
      </c>
      <c r="M24">
        <f>ROUND(ROUND(L24*Source!I34, 6)*1, 2)</f>
        <v>2393.71</v>
      </c>
      <c r="N24">
        <f>SmtRes!AB27</f>
        <v>1637.48</v>
      </c>
      <c r="O24">
        <f>ROUND(ROUND(L24*Source!I34, 6)*SmtRes!DA27, 2)</f>
        <v>30998.51</v>
      </c>
      <c r="P24">
        <f>SmtRes!AG27</f>
        <v>23.93</v>
      </c>
      <c r="Q24">
        <f>SmtRes!DC27</f>
        <v>139.03</v>
      </c>
      <c r="R24">
        <f>ROUND(ROUND(Q24*Source!I34, 6)*1, 2)</f>
        <v>474.29</v>
      </c>
      <c r="S24">
        <f>SmtRes!AC27</f>
        <v>614.59</v>
      </c>
      <c r="T24">
        <f>ROUND(ROUND(Q24*Source!I34, 6)*SmtRes!AK27, 2)</f>
        <v>11634.41</v>
      </c>
      <c r="U24">
        <f>SmtRes!X27</f>
        <v>-975894347</v>
      </c>
      <c r="V24">
        <v>-11158387</v>
      </c>
      <c r="W24">
        <v>159451704</v>
      </c>
    </row>
    <row r="25" spans="1:23" x14ac:dyDescent="0.2">
      <c r="A25">
        <f>Source!A34</f>
        <v>17</v>
      </c>
      <c r="C25">
        <v>2</v>
      </c>
      <c r="D25">
        <v>0</v>
      </c>
      <c r="E25">
        <f>SmtRes!AV26</f>
        <v>0</v>
      </c>
      <c r="F25" t="str">
        <f>SmtRes!I26</f>
        <v>2.1-5-3</v>
      </c>
      <c r="G25" t="str">
        <f>SmtRes!K26</f>
        <v>Катки самоходные вибрационные, масса до 14 т</v>
      </c>
      <c r="H25" t="str">
        <f>SmtRes!O26</f>
        <v>маш.-ч.</v>
      </c>
      <c r="I25">
        <f>SmtRes!Y26*Source!I34</f>
        <v>109.81435918319998</v>
      </c>
      <c r="J25">
        <f>SmtRes!AO26</f>
        <v>1</v>
      </c>
      <c r="K25">
        <f>SmtRes!AF26</f>
        <v>219.5</v>
      </c>
      <c r="L25">
        <f>SmtRes!DB26</f>
        <v>7065.71</v>
      </c>
      <c r="M25">
        <f>ROUND(ROUND(L25*Source!I34, 6)*1, 2)</f>
        <v>24104.27</v>
      </c>
      <c r="N25">
        <f>SmtRes!AB26</f>
        <v>1900.58</v>
      </c>
      <c r="O25">
        <f>ROUND(ROUND(L25*Source!I34, 6)*SmtRes!DA26, 2)</f>
        <v>199342.3</v>
      </c>
      <c r="P25">
        <f>SmtRes!AG26</f>
        <v>17.510000000000002</v>
      </c>
      <c r="Q25">
        <f>SmtRes!DC26</f>
        <v>563.65</v>
      </c>
      <c r="R25">
        <f>ROUND(ROUND(Q25*Source!I34, 6)*1, 2)</f>
        <v>1922.86</v>
      </c>
      <c r="S25">
        <f>SmtRes!AC26</f>
        <v>449.71</v>
      </c>
      <c r="T25">
        <f>ROUND(ROUND(Q25*Source!I34, 6)*SmtRes!AK26, 2)</f>
        <v>47167.76</v>
      </c>
      <c r="U25">
        <f>SmtRes!X26</f>
        <v>-1920329426</v>
      </c>
      <c r="V25">
        <v>-480999002</v>
      </c>
      <c r="W25">
        <v>2118132017</v>
      </c>
    </row>
    <row r="26" spans="1:23" x14ac:dyDescent="0.2">
      <c r="A26">
        <f>Source!A34</f>
        <v>17</v>
      </c>
      <c r="C26">
        <v>2</v>
      </c>
      <c r="D26">
        <v>0</v>
      </c>
      <c r="E26">
        <f>SmtRes!AV25</f>
        <v>0</v>
      </c>
      <c r="F26" t="str">
        <f>SmtRes!I25</f>
        <v>2.1-5-2</v>
      </c>
      <c r="G26" t="str">
        <f>SmtRes!K25</f>
        <v>Катки самоходные вибрационные, масса до 8 т</v>
      </c>
      <c r="H26" t="str">
        <f>SmtRes!O25</f>
        <v>маш.-ч.</v>
      </c>
      <c r="I26">
        <f>SmtRes!Y25*Source!I34</f>
        <v>38.412851332799995</v>
      </c>
      <c r="J26">
        <f>SmtRes!AO25</f>
        <v>1</v>
      </c>
      <c r="K26">
        <f>SmtRes!AF25</f>
        <v>169.44</v>
      </c>
      <c r="L26">
        <f>SmtRes!DB25</f>
        <v>1907.89</v>
      </c>
      <c r="M26">
        <f>ROUND(ROUND(L26*Source!I34, 6)*1, 2)</f>
        <v>6508.66</v>
      </c>
      <c r="N26">
        <f>SmtRes!AB25</f>
        <v>1458.26</v>
      </c>
      <c r="O26">
        <f>ROUND(ROUND(L26*Source!I34, 6)*SmtRes!DA25, 2)</f>
        <v>53501.17</v>
      </c>
      <c r="P26">
        <f>SmtRes!AG25</f>
        <v>15.02</v>
      </c>
      <c r="Q26">
        <f>SmtRes!DC25</f>
        <v>169.13</v>
      </c>
      <c r="R26">
        <f>ROUND(ROUND(Q26*Source!I34, 6)*1, 2)</f>
        <v>576.98</v>
      </c>
      <c r="S26">
        <f>SmtRes!AC25</f>
        <v>385.76</v>
      </c>
      <c r="T26">
        <f>ROUND(ROUND(Q26*Source!I34, 6)*SmtRes!AK25, 2)</f>
        <v>14153.26</v>
      </c>
      <c r="U26">
        <f>SmtRes!X25</f>
        <v>-1882480599</v>
      </c>
      <c r="V26">
        <v>1529645944</v>
      </c>
      <c r="W26">
        <v>1343321629</v>
      </c>
    </row>
    <row r="27" spans="1:23" x14ac:dyDescent="0.2">
      <c r="A27">
        <f>Source!A34</f>
        <v>17</v>
      </c>
      <c r="C27">
        <v>2</v>
      </c>
      <c r="D27">
        <v>0</v>
      </c>
      <c r="E27">
        <f>SmtRes!AV24</f>
        <v>0</v>
      </c>
      <c r="F27" t="str">
        <f>SmtRes!I24</f>
        <v>2.1-5-18</v>
      </c>
      <c r="G27" t="str">
        <f>SmtRes!K24</f>
        <v>Машины поливомоечные, емкость цистерны до 8 м3</v>
      </c>
      <c r="H27" t="str">
        <f>SmtRes!O24</f>
        <v>маш.-ч.</v>
      </c>
      <c r="I27">
        <f>SmtRes!Y24*Source!I34</f>
        <v>17.568932891999999</v>
      </c>
      <c r="J27">
        <f>SmtRes!AO24</f>
        <v>1</v>
      </c>
      <c r="K27">
        <f>SmtRes!AF24</f>
        <v>246.68</v>
      </c>
      <c r="L27">
        <f>SmtRes!DB24</f>
        <v>1270.4000000000001</v>
      </c>
      <c r="M27">
        <f>ROUND(ROUND(L27*Source!I34, 6)*1, 2)</f>
        <v>4333.8999999999996</v>
      </c>
      <c r="N27">
        <f>SmtRes!AB24</f>
        <v>2040.36</v>
      </c>
      <c r="O27">
        <f>ROUND(ROUND(L27*Source!I34, 6)*SmtRes!DA24, 2)</f>
        <v>34237.79</v>
      </c>
      <c r="P27">
        <f>SmtRes!AG24</f>
        <v>13.37</v>
      </c>
      <c r="Q27">
        <f>SmtRes!DC24</f>
        <v>68.86</v>
      </c>
      <c r="R27">
        <f>ROUND(ROUND(Q27*Source!I34, 6)*1, 2)</f>
        <v>234.91</v>
      </c>
      <c r="S27">
        <f>SmtRes!AC24</f>
        <v>343.38</v>
      </c>
      <c r="T27">
        <f>ROUND(ROUND(Q27*Source!I34, 6)*SmtRes!AK24, 2)</f>
        <v>5762.39</v>
      </c>
      <c r="U27">
        <f>SmtRes!X24</f>
        <v>366114799</v>
      </c>
      <c r="V27">
        <v>-762158326</v>
      </c>
      <c r="W27">
        <v>-194771115</v>
      </c>
    </row>
    <row r="28" spans="1:23" x14ac:dyDescent="0.2">
      <c r="A28">
        <f>Source!A34</f>
        <v>17</v>
      </c>
      <c r="C28">
        <v>2</v>
      </c>
      <c r="D28">
        <v>0</v>
      </c>
      <c r="E28">
        <f>SmtRes!AV23</f>
        <v>0</v>
      </c>
      <c r="F28" t="str">
        <f>SmtRes!I23</f>
        <v>2.1-2-1</v>
      </c>
      <c r="G28" t="str">
        <f>SmtRes!K23</f>
        <v>Тракторы на гусеничном ходу, мощность до 60 кВт (81 л.с.)</v>
      </c>
      <c r="H28" t="str">
        <f>SmtRes!O23</f>
        <v>маш.-ч.</v>
      </c>
      <c r="I28">
        <f>SmtRes!Y23*Source!I34</f>
        <v>5.4241948151999999</v>
      </c>
      <c r="J28">
        <f>SmtRes!AO23</f>
        <v>1</v>
      </c>
      <c r="K28">
        <f>SmtRes!AF23</f>
        <v>116.89</v>
      </c>
      <c r="L28">
        <f>SmtRes!DB23</f>
        <v>185.86</v>
      </c>
      <c r="M28">
        <f>ROUND(ROUND(L28*Source!I34, 6)*1, 2)</f>
        <v>634.04999999999995</v>
      </c>
      <c r="N28">
        <f>SmtRes!AB23</f>
        <v>1261.78</v>
      </c>
      <c r="O28">
        <f>ROUND(ROUND(L28*Source!I34, 6)*SmtRes!DA23, 2)</f>
        <v>6537.06</v>
      </c>
      <c r="P28">
        <f>SmtRes!AG23</f>
        <v>23.41</v>
      </c>
      <c r="Q28">
        <f>SmtRes!DC23</f>
        <v>37.22</v>
      </c>
      <c r="R28">
        <f>ROUND(ROUND(Q28*Source!I34, 6)*1, 2)</f>
        <v>126.97</v>
      </c>
      <c r="S28">
        <f>SmtRes!AC23</f>
        <v>601.24</v>
      </c>
      <c r="T28">
        <f>ROUND(ROUND(Q28*Source!I34, 6)*SmtRes!AK23, 2)</f>
        <v>3114.67</v>
      </c>
      <c r="U28">
        <f>SmtRes!X23</f>
        <v>1928543733</v>
      </c>
      <c r="V28">
        <v>482636110</v>
      </c>
      <c r="W28">
        <v>-902618053</v>
      </c>
    </row>
    <row r="29" spans="1:23" x14ac:dyDescent="0.2">
      <c r="A29">
        <f>Source!A34</f>
        <v>17</v>
      </c>
      <c r="C29">
        <v>2</v>
      </c>
      <c r="D29">
        <v>0</v>
      </c>
      <c r="E29">
        <f>SmtRes!AV22</f>
        <v>0</v>
      </c>
      <c r="F29" t="str">
        <f>SmtRes!I22</f>
        <v>2.1-18-7</v>
      </c>
      <c r="G29" t="str">
        <f>SmtRes!K22</f>
        <v>Автомобили грузовые бортовые, грузоподъемность до 5 т</v>
      </c>
      <c r="H29" t="str">
        <f>SmtRes!O22</f>
        <v>маш.-ч.</v>
      </c>
      <c r="I29">
        <f>SmtRes!Y22*Source!I34</f>
        <v>3.0361845191999999</v>
      </c>
      <c r="J29">
        <f>SmtRes!AO22</f>
        <v>1</v>
      </c>
      <c r="K29">
        <f>SmtRes!AF22</f>
        <v>76.81</v>
      </c>
      <c r="L29">
        <f>SmtRes!DB22</f>
        <v>68.36</v>
      </c>
      <c r="M29">
        <f>ROUND(ROUND(L29*Source!I34, 6)*1, 2)</f>
        <v>233.21</v>
      </c>
      <c r="N29">
        <f>SmtRes!AB22</f>
        <v>755.14</v>
      </c>
      <c r="O29">
        <f>ROUND(ROUND(L29*Source!I34, 6)*SmtRes!DA22, 2)</f>
        <v>2189.81</v>
      </c>
      <c r="P29">
        <f>SmtRes!AG22</f>
        <v>14.36</v>
      </c>
      <c r="Q29">
        <f>SmtRes!DC22</f>
        <v>12.78</v>
      </c>
      <c r="R29">
        <f>ROUND(ROUND(Q29*Source!I34, 6)*1, 2)</f>
        <v>43.6</v>
      </c>
      <c r="S29">
        <f>SmtRes!AC22</f>
        <v>368.81</v>
      </c>
      <c r="T29">
        <f>ROUND(ROUND(Q29*Source!I34, 6)*SmtRes!AK22, 2)</f>
        <v>1069.46</v>
      </c>
      <c r="U29">
        <f>SmtRes!X22</f>
        <v>-628430174</v>
      </c>
      <c r="V29">
        <v>-1989157500</v>
      </c>
      <c r="W29">
        <v>1752455861</v>
      </c>
    </row>
    <row r="30" spans="1:23" x14ac:dyDescent="0.2">
      <c r="A30">
        <f>Source!A35</f>
        <v>18</v>
      </c>
      <c r="B30">
        <v>35</v>
      </c>
      <c r="C30">
        <v>3</v>
      </c>
      <c r="D30">
        <f>Source!BI35</f>
        <v>1</v>
      </c>
      <c r="E30">
        <f>Source!FS35</f>
        <v>0</v>
      </c>
      <c r="F30" t="str">
        <f>Source!F35</f>
        <v>1.1-1-1550</v>
      </c>
      <c r="G30" t="str">
        <f>Source!G35</f>
        <v>Щебень из естественного камня для дорожных работ, марка 600 - 400, фракция 20-40 мм</v>
      </c>
      <c r="H30" t="str">
        <f>Source!H35</f>
        <v>м3</v>
      </c>
      <c r="I30">
        <f>Source!I35</f>
        <v>429.84185300000001</v>
      </c>
      <c r="J30">
        <v>1</v>
      </c>
      <c r="K30">
        <f>Source!AC35</f>
        <v>173.37</v>
      </c>
      <c r="M30">
        <f>ROUND(K30*I30, 2)</f>
        <v>74521.679999999993</v>
      </c>
      <c r="N30">
        <f>Source!AC35*IF(Source!BC35&lt;&gt; 0, Source!BC35, 1)</f>
        <v>1868.9286</v>
      </c>
      <c r="O30">
        <f>ROUND(N30*I30, 2)</f>
        <v>803343.73</v>
      </c>
      <c r="P30">
        <f>Source!AE35</f>
        <v>0</v>
      </c>
      <c r="R30">
        <f>ROUND(P30*I30, 2)</f>
        <v>0</v>
      </c>
      <c r="S30">
        <f>Source!AE35*IF(Source!BS35&lt;&gt; 0, Source!BS35, 1)</f>
        <v>0</v>
      </c>
      <c r="T30">
        <f>ROUND(S30*I30, 2)</f>
        <v>0</v>
      </c>
      <c r="U30">
        <f>Source!GF35</f>
        <v>-820942871</v>
      </c>
      <c r="V30">
        <v>1968999642</v>
      </c>
      <c r="W30">
        <v>1682878819</v>
      </c>
    </row>
    <row r="31" spans="1:23" x14ac:dyDescent="0.2">
      <c r="A31">
        <f>Source!A37</f>
        <v>17</v>
      </c>
      <c r="C31">
        <v>3</v>
      </c>
      <c r="D31">
        <v>0</v>
      </c>
      <c r="E31">
        <f>SmtRes!AV41</f>
        <v>0</v>
      </c>
      <c r="F31" t="str">
        <f>SmtRes!I41</f>
        <v>1.3-3-19</v>
      </c>
      <c r="G31" t="str">
        <f>SmtRes!K41</f>
        <v>Эмульсии дорожные, битумные</v>
      </c>
      <c r="H31" t="str">
        <f>SmtRes!O41</f>
        <v>т</v>
      </c>
      <c r="I31">
        <f>SmtRes!Y41*Source!I37</f>
        <v>4.5485910399999998</v>
      </c>
      <c r="J31">
        <f>SmtRes!AO41</f>
        <v>1</v>
      </c>
      <c r="K31">
        <f>SmtRes!AE41</f>
        <v>1445.87</v>
      </c>
      <c r="L31">
        <f>SmtRes!DB41</f>
        <v>57.83</v>
      </c>
      <c r="M31">
        <f>ROUND(ROUND(L31*Source!I37, 6)*1, 2)</f>
        <v>6576.13</v>
      </c>
      <c r="N31">
        <f>SmtRes!AA41</f>
        <v>13171.88</v>
      </c>
      <c r="O31">
        <f>ROUND(ROUND(L31*Source!I37, 6)*SmtRes!DA41, 2)</f>
        <v>59908.5</v>
      </c>
      <c r="P31">
        <f>SmtRes!AG41</f>
        <v>0</v>
      </c>
      <c r="Q31">
        <f>SmtRes!DC41</f>
        <v>0</v>
      </c>
      <c r="R31">
        <f>ROUND(ROUND(Q31*Source!I37, 6)*1, 2)</f>
        <v>0</v>
      </c>
      <c r="S31">
        <f>SmtRes!AC41</f>
        <v>0</v>
      </c>
      <c r="T31">
        <f>ROUND(ROUND(Q31*Source!I37, 6)*SmtRes!AK41, 2)</f>
        <v>0</v>
      </c>
      <c r="U31">
        <f>SmtRes!X41</f>
        <v>253159774</v>
      </c>
      <c r="V31">
        <v>-1685791731</v>
      </c>
      <c r="W31">
        <v>1430571790</v>
      </c>
    </row>
    <row r="32" spans="1:23" x14ac:dyDescent="0.2">
      <c r="A32">
        <f>Source!A37</f>
        <v>17</v>
      </c>
      <c r="C32">
        <v>2</v>
      </c>
      <c r="D32">
        <v>0</v>
      </c>
      <c r="E32">
        <f>SmtRes!AV40</f>
        <v>0</v>
      </c>
      <c r="F32" t="str">
        <f>SmtRes!I40</f>
        <v>2.1-5-7</v>
      </c>
      <c r="G32" t="str">
        <f>SmtRes!K40</f>
        <v>Катки дорожные самоходные на пневмоколесном ходу, масса до 16 т</v>
      </c>
      <c r="H32" t="str">
        <f>SmtRes!O40</f>
        <v>маш.-ч.</v>
      </c>
      <c r="I32">
        <f>SmtRes!Y40*Source!I37</f>
        <v>102.34329840000001</v>
      </c>
      <c r="J32">
        <f>SmtRes!AO40</f>
        <v>1</v>
      </c>
      <c r="K32">
        <f>SmtRes!AF40</f>
        <v>177.54</v>
      </c>
      <c r="L32">
        <f>SmtRes!DB40</f>
        <v>159.79</v>
      </c>
      <c r="M32">
        <f>ROUND(ROUND(L32*Source!I37, 6)*1, 2)</f>
        <v>18170.48</v>
      </c>
      <c r="N32">
        <f>SmtRes!AB40</f>
        <v>1589.31</v>
      </c>
      <c r="O32">
        <f>ROUND(ROUND(L32*Source!I37, 6)*SmtRes!DA40, 2)</f>
        <v>155357.64000000001</v>
      </c>
      <c r="P32">
        <f>SmtRes!AG40</f>
        <v>17.420000000000002</v>
      </c>
      <c r="Q32">
        <f>SmtRes!DC40</f>
        <v>15.68</v>
      </c>
      <c r="R32">
        <f>ROUND(ROUND(Q32*Source!I37, 6)*1, 2)</f>
        <v>1783.05</v>
      </c>
      <c r="S32">
        <f>SmtRes!AC40</f>
        <v>447.4</v>
      </c>
      <c r="T32">
        <f>ROUND(ROUND(Q32*Source!I37, 6)*SmtRes!AK40, 2)</f>
        <v>43738.16</v>
      </c>
      <c r="U32">
        <f>SmtRes!X40</f>
        <v>-646811103</v>
      </c>
      <c r="V32">
        <v>-2047788024</v>
      </c>
      <c r="W32">
        <v>2037058038</v>
      </c>
    </row>
    <row r="33" spans="1:23" x14ac:dyDescent="0.2">
      <c r="A33">
        <f>Source!A37</f>
        <v>17</v>
      </c>
      <c r="C33">
        <v>2</v>
      </c>
      <c r="D33">
        <v>0</v>
      </c>
      <c r="E33">
        <f>SmtRes!AV39</f>
        <v>0</v>
      </c>
      <c r="F33" t="str">
        <f>SmtRes!I39</f>
        <v>2.1-5-6</v>
      </c>
      <c r="G33" t="str">
        <f>SmtRes!K39</f>
        <v>Катки дорожные самоходные статические, масса до 13 т</v>
      </c>
      <c r="H33" t="str">
        <f>SmtRes!O39</f>
        <v>маш.-ч.</v>
      </c>
      <c r="I33">
        <f>SmtRes!Y39*Source!I37</f>
        <v>34.114432799999996</v>
      </c>
      <c r="J33">
        <f>SmtRes!AO39</f>
        <v>1</v>
      </c>
      <c r="K33">
        <f>SmtRes!AF39</f>
        <v>171.61</v>
      </c>
      <c r="L33">
        <f>SmtRes!DB39</f>
        <v>51.48</v>
      </c>
      <c r="M33">
        <f>ROUND(ROUND(L33*Source!I37, 6)*1, 2)</f>
        <v>5854.04</v>
      </c>
      <c r="N33">
        <f>SmtRes!AB39</f>
        <v>1541.62</v>
      </c>
      <c r="O33">
        <f>ROUND(ROUND(L33*Source!I37, 6)*SmtRes!DA39, 2)</f>
        <v>50227.63</v>
      </c>
      <c r="P33">
        <f>SmtRes!AG39</f>
        <v>17.43</v>
      </c>
      <c r="Q33">
        <f>SmtRes!DC39</f>
        <v>5.23</v>
      </c>
      <c r="R33">
        <f>ROUND(ROUND(Q33*Source!I37, 6)*1, 2)</f>
        <v>594.73</v>
      </c>
      <c r="S33">
        <f>SmtRes!AC39</f>
        <v>447.65</v>
      </c>
      <c r="T33">
        <f>ROUND(ROUND(Q33*Source!I37, 6)*SmtRes!AK39, 2)</f>
        <v>14588.68</v>
      </c>
      <c r="U33">
        <f>SmtRes!X39</f>
        <v>1344915937</v>
      </c>
      <c r="V33">
        <v>-849150427</v>
      </c>
      <c r="W33">
        <v>683088364</v>
      </c>
    </row>
    <row r="34" spans="1:23" x14ac:dyDescent="0.2">
      <c r="A34">
        <f>Source!A37</f>
        <v>17</v>
      </c>
      <c r="C34">
        <v>2</v>
      </c>
      <c r="D34">
        <v>0</v>
      </c>
      <c r="E34">
        <f>SmtRes!AV38</f>
        <v>0</v>
      </c>
      <c r="F34" t="str">
        <f>SmtRes!I38</f>
        <v>2.1-5-35</v>
      </c>
      <c r="G34" t="str">
        <f>SmtRes!K38</f>
        <v>Автогудронаторы битумные, емкость до 3500 л</v>
      </c>
      <c r="H34" t="str">
        <f>SmtRes!O38</f>
        <v>маш.-ч.</v>
      </c>
      <c r="I34">
        <f>SmtRes!Y38*Source!I37</f>
        <v>34.114432799999996</v>
      </c>
      <c r="J34">
        <f>SmtRes!AO38</f>
        <v>1</v>
      </c>
      <c r="K34">
        <f>SmtRes!AF38</f>
        <v>124.6</v>
      </c>
      <c r="L34">
        <f>SmtRes!DB38</f>
        <v>37.380000000000003</v>
      </c>
      <c r="M34">
        <f>ROUND(ROUND(L34*Source!I37, 6)*1, 2)</f>
        <v>4250.66</v>
      </c>
      <c r="N34">
        <f>SmtRes!AB38</f>
        <v>1270.6400000000001</v>
      </c>
      <c r="O34">
        <f>ROUND(ROUND(L34*Source!I37, 6)*SmtRes!DA38, 2)</f>
        <v>41401.410000000003</v>
      </c>
      <c r="P34">
        <f>SmtRes!AG38</f>
        <v>28.4</v>
      </c>
      <c r="Q34">
        <f>SmtRes!DC38</f>
        <v>8.52</v>
      </c>
      <c r="R34">
        <f>ROUND(ROUND(Q34*Source!I37, 6)*1, 2)</f>
        <v>968.85</v>
      </c>
      <c r="S34">
        <f>SmtRes!AC38</f>
        <v>729.39</v>
      </c>
      <c r="T34">
        <f>ROUND(ROUND(Q34*Source!I37, 6)*SmtRes!AK38, 2)</f>
        <v>23765.89</v>
      </c>
      <c r="U34">
        <f>SmtRes!X38</f>
        <v>-1272456651</v>
      </c>
      <c r="V34">
        <v>-1312775344</v>
      </c>
      <c r="W34">
        <v>1355537832</v>
      </c>
    </row>
    <row r="35" spans="1:23" x14ac:dyDescent="0.2">
      <c r="A35">
        <f>Source!A37</f>
        <v>17</v>
      </c>
      <c r="C35">
        <v>2</v>
      </c>
      <c r="D35">
        <v>0</v>
      </c>
      <c r="E35">
        <f>SmtRes!AV37</f>
        <v>0</v>
      </c>
      <c r="F35" t="str">
        <f>SmtRes!I37</f>
        <v>2.1-5-2</v>
      </c>
      <c r="G35" t="str">
        <f>SmtRes!K37</f>
        <v>Катки самоходные вибрационные, масса до 8 т</v>
      </c>
      <c r="H35" t="str">
        <f>SmtRes!O37</f>
        <v>маш.-ч.</v>
      </c>
      <c r="I35">
        <f>SmtRes!Y37*Source!I37</f>
        <v>34.114432799999996</v>
      </c>
      <c r="J35">
        <f>SmtRes!AO37</f>
        <v>1</v>
      </c>
      <c r="K35">
        <f>SmtRes!AF37</f>
        <v>169.44</v>
      </c>
      <c r="L35">
        <f>SmtRes!DB37</f>
        <v>50.83</v>
      </c>
      <c r="M35">
        <f>ROUND(ROUND(L35*Source!I37, 6)*1, 2)</f>
        <v>5780.12</v>
      </c>
      <c r="N35">
        <f>SmtRes!AB37</f>
        <v>1458.26</v>
      </c>
      <c r="O35">
        <f>ROUND(ROUND(L35*Source!I37, 6)*SmtRes!DA37, 2)</f>
        <v>47512.6</v>
      </c>
      <c r="P35">
        <f>SmtRes!AG37</f>
        <v>15.02</v>
      </c>
      <c r="Q35">
        <f>SmtRes!DC37</f>
        <v>4.51</v>
      </c>
      <c r="R35">
        <f>ROUND(ROUND(Q35*Source!I37, 6)*1, 2)</f>
        <v>512.85</v>
      </c>
      <c r="S35">
        <f>SmtRes!AC37</f>
        <v>385.76</v>
      </c>
      <c r="T35">
        <f>ROUND(ROUND(Q35*Source!I37, 6)*SmtRes!AK37, 2)</f>
        <v>12580.3</v>
      </c>
      <c r="U35">
        <f>SmtRes!X37</f>
        <v>-1882480599</v>
      </c>
      <c r="V35">
        <v>1529645944</v>
      </c>
      <c r="W35">
        <v>1343321629</v>
      </c>
    </row>
    <row r="36" spans="1:23" x14ac:dyDescent="0.2">
      <c r="A36">
        <f>Source!A37</f>
        <v>17</v>
      </c>
      <c r="C36">
        <v>2</v>
      </c>
      <c r="D36">
        <v>0</v>
      </c>
      <c r="E36">
        <f>SmtRes!AV36</f>
        <v>0</v>
      </c>
      <c r="F36" t="str">
        <f>SmtRes!I36</f>
        <v>2.1-5-19</v>
      </c>
      <c r="G36" t="str">
        <f>SmtRes!K36</f>
        <v>Асфальтоукладчики, производительность до 350 т/ч</v>
      </c>
      <c r="H36" t="str">
        <f>SmtRes!O36</f>
        <v>маш.-ч.</v>
      </c>
      <c r="I36">
        <f>SmtRes!Y36*Source!I37</f>
        <v>34.114432799999996</v>
      </c>
      <c r="J36">
        <f>SmtRes!AO36</f>
        <v>1</v>
      </c>
      <c r="K36">
        <f>SmtRes!AF36</f>
        <v>249.15</v>
      </c>
      <c r="L36">
        <f>SmtRes!DB36</f>
        <v>74.75</v>
      </c>
      <c r="M36">
        <f>ROUND(ROUND(L36*Source!I37, 6)*1, 2)</f>
        <v>8500.18</v>
      </c>
      <c r="N36">
        <f>SmtRes!AB36</f>
        <v>3453.79</v>
      </c>
      <c r="O36">
        <f>ROUND(ROUND(L36*Source!I37, 6)*SmtRes!DA36, 2)</f>
        <v>112542.38</v>
      </c>
      <c r="P36">
        <f>SmtRes!AG36</f>
        <v>42.85</v>
      </c>
      <c r="Q36">
        <f>SmtRes!DC36</f>
        <v>12.86</v>
      </c>
      <c r="R36">
        <f>ROUND(ROUND(Q36*Source!I37, 6)*1, 2)</f>
        <v>1462.37</v>
      </c>
      <c r="S36">
        <f>SmtRes!AC36</f>
        <v>1100.51</v>
      </c>
      <c r="T36">
        <f>ROUND(ROUND(Q36*Source!I37, 6)*SmtRes!AK36, 2)</f>
        <v>35871.99</v>
      </c>
      <c r="U36">
        <f>SmtRes!X36</f>
        <v>1341797380</v>
      </c>
      <c r="V36">
        <v>-1596265185</v>
      </c>
      <c r="W36">
        <v>1301955392</v>
      </c>
    </row>
    <row r="37" spans="1:23" x14ac:dyDescent="0.2">
      <c r="A37">
        <f>Source!A37</f>
        <v>17</v>
      </c>
      <c r="C37">
        <v>2</v>
      </c>
      <c r="D37">
        <v>0</v>
      </c>
      <c r="E37">
        <f>SmtRes!AV35</f>
        <v>0</v>
      </c>
      <c r="F37" t="str">
        <f>SmtRes!I35</f>
        <v>2.1-5-18</v>
      </c>
      <c r="G37" t="str">
        <f>SmtRes!K35</f>
        <v>Машины поливомоечные, емкость цистерны до 8 м3</v>
      </c>
      <c r="H37" t="str">
        <f>SmtRes!O35</f>
        <v>маш.-ч.</v>
      </c>
      <c r="I37">
        <f>SmtRes!Y35*Source!I37</f>
        <v>34.114432799999996</v>
      </c>
      <c r="J37">
        <f>SmtRes!AO35</f>
        <v>1</v>
      </c>
      <c r="K37">
        <f>SmtRes!AF35</f>
        <v>246.68</v>
      </c>
      <c r="L37">
        <f>SmtRes!DB35</f>
        <v>74</v>
      </c>
      <c r="M37">
        <f>ROUND(ROUND(L37*Source!I37, 6)*1, 2)</f>
        <v>8414.89</v>
      </c>
      <c r="N37">
        <f>SmtRes!AB35</f>
        <v>2040.36</v>
      </c>
      <c r="O37">
        <f>ROUND(ROUND(L37*Source!I37, 6)*SmtRes!DA35, 2)</f>
        <v>66477.66</v>
      </c>
      <c r="P37">
        <f>SmtRes!AG35</f>
        <v>13.37</v>
      </c>
      <c r="Q37">
        <f>SmtRes!DC35</f>
        <v>4.01</v>
      </c>
      <c r="R37">
        <f>ROUND(ROUND(Q37*Source!I37, 6)*1, 2)</f>
        <v>456</v>
      </c>
      <c r="S37">
        <f>SmtRes!AC35</f>
        <v>343.38</v>
      </c>
      <c r="T37">
        <f>ROUND(ROUND(Q37*Source!I37, 6)*SmtRes!AK35, 2)</f>
        <v>11185.59</v>
      </c>
      <c r="U37">
        <f>SmtRes!X35</f>
        <v>366114799</v>
      </c>
      <c r="V37">
        <v>-762158326</v>
      </c>
      <c r="W37">
        <v>-194771115</v>
      </c>
    </row>
    <row r="38" spans="1:23" x14ac:dyDescent="0.2">
      <c r="A38">
        <f>Source!A37</f>
        <v>17</v>
      </c>
      <c r="C38">
        <v>2</v>
      </c>
      <c r="D38">
        <v>0</v>
      </c>
      <c r="E38">
        <f>SmtRes!AV34</f>
        <v>0</v>
      </c>
      <c r="F38" t="str">
        <f>SmtRes!I34</f>
        <v>2.1-4-3</v>
      </c>
      <c r="G38" t="str">
        <f>SmtRes!K34</f>
        <v>Погрузчики универсальные на пневмоколесном ходу, грузоподъемность до 3 т</v>
      </c>
      <c r="H38" t="str">
        <f>SmtRes!O34</f>
        <v>маш.-ч.</v>
      </c>
      <c r="I38">
        <f>SmtRes!Y34*Source!I37</f>
        <v>34.114432799999996</v>
      </c>
      <c r="J38">
        <f>SmtRes!AO34</f>
        <v>1</v>
      </c>
      <c r="K38">
        <f>SmtRes!AF34</f>
        <v>106.74</v>
      </c>
      <c r="L38">
        <f>SmtRes!DB34</f>
        <v>32.020000000000003</v>
      </c>
      <c r="M38">
        <f>ROUND(ROUND(L38*Source!I37, 6)*1, 2)</f>
        <v>3641.15</v>
      </c>
      <c r="N38">
        <f>SmtRes!AB34</f>
        <v>1246.0899999999999</v>
      </c>
      <c r="O38">
        <f>ROUND(ROUND(L38*Source!I37, 6)*SmtRes!DA34, 2)</f>
        <v>40598.79</v>
      </c>
      <c r="P38">
        <f>SmtRes!AG34</f>
        <v>19.2</v>
      </c>
      <c r="Q38">
        <f>SmtRes!DC34</f>
        <v>5.76</v>
      </c>
      <c r="R38">
        <f>ROUND(ROUND(Q38*Source!I37, 6)*1, 2)</f>
        <v>655</v>
      </c>
      <c r="S38">
        <f>SmtRes!AC34</f>
        <v>493.11</v>
      </c>
      <c r="T38">
        <f>ROUND(ROUND(Q38*Source!I37, 6)*SmtRes!AK34, 2)</f>
        <v>16067.08</v>
      </c>
      <c r="U38">
        <f>SmtRes!X34</f>
        <v>1022351366</v>
      </c>
      <c r="V38">
        <v>589696136</v>
      </c>
      <c r="W38">
        <v>318015134</v>
      </c>
    </row>
    <row r="39" spans="1:23" x14ac:dyDescent="0.2">
      <c r="A39">
        <f>Source!A37</f>
        <v>17</v>
      </c>
      <c r="C39">
        <v>2</v>
      </c>
      <c r="D39">
        <v>0</v>
      </c>
      <c r="E39">
        <f>SmtRes!AV33</f>
        <v>0</v>
      </c>
      <c r="F39" t="str">
        <f>SmtRes!I33</f>
        <v>2.1-10-5</v>
      </c>
      <c r="G39" t="str">
        <f>SmtRes!K33</f>
        <v>Компрессоры прицепные с двигателем внутреннего сгорания, производительность до 5 м3/мин, мощность двигателя до 29 кВт (39,4 л.с.)</v>
      </c>
      <c r="H39" t="str">
        <f>SmtRes!O33</f>
        <v>маш.-ч.</v>
      </c>
      <c r="I39">
        <f>SmtRes!Y33*Source!I37</f>
        <v>34.114432799999996</v>
      </c>
      <c r="J39">
        <f>SmtRes!AO33</f>
        <v>1</v>
      </c>
      <c r="K39">
        <f>SmtRes!AF33</f>
        <v>60.77</v>
      </c>
      <c r="L39">
        <f>SmtRes!DB33</f>
        <v>18.23</v>
      </c>
      <c r="M39">
        <f>ROUND(ROUND(L39*Source!I37, 6)*1, 2)</f>
        <v>2073.02</v>
      </c>
      <c r="N39">
        <f>SmtRes!AB33</f>
        <v>772.42</v>
      </c>
      <c r="O39">
        <f>ROUND(ROUND(L39*Source!I37, 6)*SmtRes!DA33, 2)</f>
        <v>25166.47</v>
      </c>
      <c r="P39">
        <f>SmtRes!AG33</f>
        <v>18.48</v>
      </c>
      <c r="Q39">
        <f>SmtRes!DC33</f>
        <v>5.54</v>
      </c>
      <c r="R39">
        <f>ROUND(ROUND(Q39*Source!I37, 6)*1, 2)</f>
        <v>629.98</v>
      </c>
      <c r="S39">
        <f>SmtRes!AC33</f>
        <v>474.62</v>
      </c>
      <c r="T39">
        <f>ROUND(ROUND(Q39*Source!I37, 6)*SmtRes!AK33, 2)</f>
        <v>15453.41</v>
      </c>
      <c r="U39">
        <f>SmtRes!X33</f>
        <v>-1426791</v>
      </c>
      <c r="V39">
        <v>1224649770</v>
      </c>
      <c r="W39">
        <v>868399420</v>
      </c>
    </row>
    <row r="40" spans="1:23" x14ac:dyDescent="0.2">
      <c r="A40">
        <f>Source!A38</f>
        <v>18</v>
      </c>
      <c r="B40">
        <v>38</v>
      </c>
      <c r="C40">
        <v>3</v>
      </c>
      <c r="D40">
        <f>Source!BI38</f>
        <v>1</v>
      </c>
      <c r="E40">
        <f>Source!FS38</f>
        <v>0</v>
      </c>
      <c r="F40" t="str">
        <f>Source!F38</f>
        <v>1.3-3-8</v>
      </c>
      <c r="G40" t="str">
        <f>Source!G38</f>
        <v>Смеси асфальтобетонные дорожные горячие мелкозернистые, марка I, тип Б</v>
      </c>
      <c r="H40" t="str">
        <f>Source!H38</f>
        <v>т</v>
      </c>
      <c r="I40">
        <f>Source!I38</f>
        <v>1159.890715</v>
      </c>
      <c r="J40">
        <v>1</v>
      </c>
      <c r="K40">
        <f>Source!AC38</f>
        <v>307.88</v>
      </c>
      <c r="M40">
        <f>ROUND(K40*I40, 2)</f>
        <v>357107.15</v>
      </c>
      <c r="N40">
        <f>Source!AC38*IF(Source!BC38&lt;&gt; 0, Source!BC38, 1)</f>
        <v>2623.1376</v>
      </c>
      <c r="O40">
        <f>ROUND(N40*I40, 2)</f>
        <v>3042552.95</v>
      </c>
      <c r="P40">
        <f>Source!AE38</f>
        <v>0</v>
      </c>
      <c r="R40">
        <f>ROUND(P40*I40, 2)</f>
        <v>0</v>
      </c>
      <c r="S40">
        <f>Source!AE38*IF(Source!BS38&lt;&gt; 0, Source!BS38, 1)</f>
        <v>0</v>
      </c>
      <c r="T40">
        <f>ROUND(S40*I40, 2)</f>
        <v>0</v>
      </c>
      <c r="U40">
        <f>Source!GF38</f>
        <v>305310980</v>
      </c>
      <c r="V40">
        <v>247748025</v>
      </c>
      <c r="W40">
        <v>-1906368070</v>
      </c>
    </row>
    <row r="41" spans="1:23" x14ac:dyDescent="0.2">
      <c r="A41">
        <f>Source!A39</f>
        <v>17</v>
      </c>
      <c r="C41">
        <v>2</v>
      </c>
      <c r="D41">
        <v>0</v>
      </c>
      <c r="E41">
        <f>SmtRes!AV45</f>
        <v>0</v>
      </c>
      <c r="F41" t="str">
        <f>SmtRes!I45</f>
        <v>2.1-5-35</v>
      </c>
      <c r="G41" t="str">
        <f>SmtRes!K45</f>
        <v>Автогудронаторы битумные, емкость до 3500 л</v>
      </c>
      <c r="H41" t="str">
        <f>SmtRes!O45</f>
        <v>маш.-ч.</v>
      </c>
      <c r="I41">
        <f>SmtRes!Y45*Source!I39</f>
        <v>8.528608199999999</v>
      </c>
      <c r="J41">
        <f>SmtRes!AO45</f>
        <v>1</v>
      </c>
      <c r="K41">
        <f>SmtRes!AF45</f>
        <v>124.6</v>
      </c>
      <c r="L41">
        <f>SmtRes!DB45</f>
        <v>9.35</v>
      </c>
      <c r="M41">
        <f>ROUND(ROUND(L41*Source!I39, 6)*1, 2)</f>
        <v>1063.23</v>
      </c>
      <c r="N41">
        <f>SmtRes!AB45</f>
        <v>1270.6400000000001</v>
      </c>
      <c r="O41">
        <f>ROUND(ROUND(L41*Source!I39, 6)*SmtRes!DA45, 2)</f>
        <v>10355.89</v>
      </c>
      <c r="P41">
        <f>SmtRes!AG45</f>
        <v>28.4</v>
      </c>
      <c r="Q41">
        <f>SmtRes!DC45</f>
        <v>2.13</v>
      </c>
      <c r="R41">
        <f>ROUND(ROUND(Q41*Source!I39, 6)*1, 2)</f>
        <v>242.21</v>
      </c>
      <c r="S41">
        <f>SmtRes!AC45</f>
        <v>729.39</v>
      </c>
      <c r="T41">
        <f>ROUND(ROUND(Q41*Source!I39, 6)*SmtRes!AK45, 2)</f>
        <v>5941.47</v>
      </c>
      <c r="U41">
        <f>SmtRes!X45</f>
        <v>-1272456651</v>
      </c>
      <c r="V41">
        <v>-1312775344</v>
      </c>
      <c r="W41">
        <v>1355537832</v>
      </c>
    </row>
    <row r="42" spans="1:23" x14ac:dyDescent="0.2">
      <c r="A42">
        <f>Source!A39</f>
        <v>17</v>
      </c>
      <c r="C42">
        <v>2</v>
      </c>
      <c r="D42">
        <v>0</v>
      </c>
      <c r="E42">
        <f>SmtRes!AV44</f>
        <v>0</v>
      </c>
      <c r="F42" t="str">
        <f>SmtRes!I44</f>
        <v>2.1-4-3</v>
      </c>
      <c r="G42" t="str">
        <f>SmtRes!K44</f>
        <v>Погрузчики универсальные на пневмоколесном ходу, грузоподъемность до 3 т</v>
      </c>
      <c r="H42" t="str">
        <f>SmtRes!O44</f>
        <v>маш.-ч.</v>
      </c>
      <c r="I42">
        <f>SmtRes!Y44*Source!I39</f>
        <v>8.528608199999999</v>
      </c>
      <c r="J42">
        <f>SmtRes!AO44</f>
        <v>1</v>
      </c>
      <c r="K42">
        <f>SmtRes!AF44</f>
        <v>106.74</v>
      </c>
      <c r="L42">
        <f>SmtRes!DB44</f>
        <v>8.01</v>
      </c>
      <c r="M42">
        <f>ROUND(ROUND(L42*Source!I39, 6)*1, 2)</f>
        <v>910.86</v>
      </c>
      <c r="N42">
        <f>SmtRes!AB44</f>
        <v>1246.0899999999999</v>
      </c>
      <c r="O42">
        <f>ROUND(ROUND(L42*Source!I39, 6)*SmtRes!DA44, 2)</f>
        <v>10156.040000000001</v>
      </c>
      <c r="P42">
        <f>SmtRes!AG44</f>
        <v>19.2</v>
      </c>
      <c r="Q42">
        <f>SmtRes!DC44</f>
        <v>1.44</v>
      </c>
      <c r="R42">
        <f>ROUND(ROUND(Q42*Source!I39, 6)*1, 2)</f>
        <v>163.75</v>
      </c>
      <c r="S42">
        <f>SmtRes!AC44</f>
        <v>493.11</v>
      </c>
      <c r="T42">
        <f>ROUND(ROUND(Q42*Source!I39, 6)*SmtRes!AK44, 2)</f>
        <v>4016.77</v>
      </c>
      <c r="U42">
        <f>SmtRes!X44</f>
        <v>1022351366</v>
      </c>
      <c r="V42">
        <v>589696136</v>
      </c>
      <c r="W42">
        <v>318015134</v>
      </c>
    </row>
    <row r="43" spans="1:23" x14ac:dyDescent="0.2">
      <c r="A43">
        <f>Source!A40</f>
        <v>18</v>
      </c>
      <c r="B43">
        <v>40</v>
      </c>
      <c r="C43">
        <v>3</v>
      </c>
      <c r="D43">
        <f>Source!BI40</f>
        <v>1</v>
      </c>
      <c r="E43">
        <f>Source!FS40</f>
        <v>0</v>
      </c>
      <c r="F43" t="str">
        <f>Source!F40</f>
        <v>1.3-3-8</v>
      </c>
      <c r="G43" t="str">
        <f>Source!G40</f>
        <v>Смеси асфальтобетонные дорожные горячие мелкозернистые, марка I, тип Б</v>
      </c>
      <c r="H43" t="str">
        <f>Source!H40</f>
        <v>т</v>
      </c>
      <c r="I43">
        <f>Source!I40</f>
        <v>291.109827</v>
      </c>
      <c r="J43">
        <v>1</v>
      </c>
      <c r="K43">
        <f>Source!AC40</f>
        <v>307.88</v>
      </c>
      <c r="M43">
        <f>ROUND(K43*I43, 2)</f>
        <v>89626.89</v>
      </c>
      <c r="N43">
        <f>Source!AC40*IF(Source!BC40&lt;&gt; 0, Source!BC40, 1)</f>
        <v>2623.1376</v>
      </c>
      <c r="O43">
        <f>ROUND(N43*I43, 2)</f>
        <v>763621.13</v>
      </c>
      <c r="P43">
        <f>Source!AE40</f>
        <v>0</v>
      </c>
      <c r="R43">
        <f>ROUND(P43*I43, 2)</f>
        <v>0</v>
      </c>
      <c r="S43">
        <f>Source!AE40*IF(Source!BS40&lt;&gt; 0, Source!BS40, 1)</f>
        <v>0</v>
      </c>
      <c r="T43">
        <f>ROUND(S43*I43, 2)</f>
        <v>0</v>
      </c>
      <c r="U43">
        <f>Source!GF40</f>
        <v>305310980</v>
      </c>
      <c r="V43">
        <v>247748025</v>
      </c>
      <c r="W43">
        <v>-1906368070</v>
      </c>
    </row>
    <row r="44" spans="1:23" x14ac:dyDescent="0.2">
      <c r="A44">
        <f>Source!A73</f>
        <v>4</v>
      </c>
      <c r="B44">
        <v>73</v>
      </c>
      <c r="G44" t="str">
        <f>Source!G73</f>
        <v>3. А/б покрытие пешеходных тротуаров на существующее основание</v>
      </c>
    </row>
    <row r="45" spans="1:23" x14ac:dyDescent="0.2">
      <c r="A45">
        <f>Source!A77</f>
        <v>17</v>
      </c>
      <c r="C45">
        <v>2</v>
      </c>
      <c r="D45">
        <v>0</v>
      </c>
      <c r="E45">
        <f>SmtRes!AV51</f>
        <v>0</v>
      </c>
      <c r="F45" t="str">
        <f>SmtRes!I51</f>
        <v>9999990007</v>
      </c>
      <c r="G45" t="str">
        <f>SmtRes!K51</f>
        <v>Стоимость прочих машин (ЭСН)</v>
      </c>
      <c r="H45" t="str">
        <f>SmtRes!O51</f>
        <v>руб.</v>
      </c>
      <c r="I45">
        <f>SmtRes!Y51*Source!I77</f>
        <v>5.9188920000000005</v>
      </c>
      <c r="J45">
        <f>SmtRes!AO51</f>
        <v>1</v>
      </c>
      <c r="K45">
        <f>SmtRes!AF51</f>
        <v>1</v>
      </c>
      <c r="L45">
        <f>SmtRes!DB51</f>
        <v>3.72</v>
      </c>
      <c r="M45">
        <f>ROUND(ROUND(L45*Source!I77, 6)*1, 2)</f>
        <v>5.92</v>
      </c>
      <c r="N45">
        <f>SmtRes!AB51</f>
        <v>1.05</v>
      </c>
      <c r="O45">
        <f>ROUND(ROUND(L45*Source!I77, 6)*SmtRes!DA51, 2)</f>
        <v>5.92</v>
      </c>
      <c r="P45">
        <f>SmtRes!AG51</f>
        <v>0</v>
      </c>
      <c r="Q45">
        <f>SmtRes!DC51</f>
        <v>0</v>
      </c>
      <c r="R45">
        <f>ROUND(ROUND(Q45*Source!I77, 6)*1, 2)</f>
        <v>0</v>
      </c>
      <c r="S45">
        <f>SmtRes!AC51</f>
        <v>0</v>
      </c>
      <c r="T45">
        <f>ROUND(ROUND(Q45*Source!I77, 6)*SmtRes!AK51, 2)</f>
        <v>0</v>
      </c>
      <c r="U45">
        <f>SmtRes!X51</f>
        <v>-1180195794</v>
      </c>
      <c r="V45">
        <v>54769220</v>
      </c>
      <c r="W45">
        <v>1832560717</v>
      </c>
    </row>
    <row r="46" spans="1:23" x14ac:dyDescent="0.2">
      <c r="A46">
        <f>Source!A77</f>
        <v>17</v>
      </c>
      <c r="C46">
        <v>2</v>
      </c>
      <c r="D46">
        <v>0</v>
      </c>
      <c r="E46">
        <f>SmtRes!AV50</f>
        <v>0</v>
      </c>
      <c r="F46" t="str">
        <f>SmtRes!I50</f>
        <v>2.1-5-48</v>
      </c>
      <c r="G46" t="str">
        <f>SmtRes!K50</f>
        <v>Автогрейдеры, мощность 99-147 кВт (130-200 л.с.)</v>
      </c>
      <c r="H46" t="str">
        <f>SmtRes!O50</f>
        <v>маш.-ч.</v>
      </c>
      <c r="I46">
        <f>SmtRes!Y50*Source!I77</f>
        <v>2.466205</v>
      </c>
      <c r="J46">
        <f>SmtRes!AO50</f>
        <v>1</v>
      </c>
      <c r="K46">
        <f>SmtRes!AF50</f>
        <v>125.13</v>
      </c>
      <c r="L46">
        <f>SmtRes!DB50</f>
        <v>193.95</v>
      </c>
      <c r="M46">
        <f>ROUND(ROUND(L46*Source!I77, 6)*1, 2)</f>
        <v>308.58999999999997</v>
      </c>
      <c r="N46">
        <f>SmtRes!AB50</f>
        <v>1539.38</v>
      </c>
      <c r="O46">
        <f>ROUND(ROUND(L46*Source!I77, 6)*SmtRes!DA50, 2)</f>
        <v>3625.98</v>
      </c>
      <c r="P46">
        <f>SmtRes!AG50</f>
        <v>24.74</v>
      </c>
      <c r="Q46">
        <f>SmtRes!DC50</f>
        <v>38.35</v>
      </c>
      <c r="R46">
        <f>ROUND(ROUND(Q46*Source!I77, 6)*1, 2)</f>
        <v>61.02</v>
      </c>
      <c r="S46">
        <f>SmtRes!AC50</f>
        <v>635.4</v>
      </c>
      <c r="T46">
        <f>ROUND(ROUND(Q46*Source!I77, 6)*SmtRes!AK50, 2)</f>
        <v>1496.79</v>
      </c>
      <c r="U46">
        <f>SmtRes!X50</f>
        <v>856318566</v>
      </c>
      <c r="V46">
        <v>-1785549983</v>
      </c>
      <c r="W46">
        <v>559728352</v>
      </c>
    </row>
    <row r="47" spans="1:23" x14ac:dyDescent="0.2">
      <c r="A47">
        <f>Source!A77</f>
        <v>17</v>
      </c>
      <c r="C47">
        <v>2</v>
      </c>
      <c r="D47">
        <v>0</v>
      </c>
      <c r="E47">
        <f>SmtRes!AV49</f>
        <v>0</v>
      </c>
      <c r="F47" t="str">
        <f>SmtRes!I49</f>
        <v>2.1-30-54</v>
      </c>
      <c r="G47" t="str">
        <f>SmtRes!K49</f>
        <v>Молотки отбойные</v>
      </c>
      <c r="H47" t="str">
        <f>SmtRes!O49</f>
        <v>маш.-ч.</v>
      </c>
      <c r="I47">
        <f>SmtRes!Y49*Source!I77</f>
        <v>119.3325</v>
      </c>
      <c r="J47">
        <f>SmtRes!AO49</f>
        <v>1</v>
      </c>
      <c r="K47">
        <f>SmtRes!AF49</f>
        <v>3.16</v>
      </c>
      <c r="L47">
        <f>SmtRes!DB49</f>
        <v>237</v>
      </c>
      <c r="M47">
        <f>ROUND(ROUND(L47*Source!I77, 6)*1, 2)</f>
        <v>377.09</v>
      </c>
      <c r="N47">
        <f>SmtRes!AB49</f>
        <v>6.45</v>
      </c>
      <c r="O47">
        <f>ROUND(ROUND(L47*Source!I77, 6)*SmtRes!DA49, 2)</f>
        <v>735.33</v>
      </c>
      <c r="P47">
        <f>SmtRes!AG49</f>
        <v>0.04</v>
      </c>
      <c r="Q47">
        <f>SmtRes!DC49</f>
        <v>3</v>
      </c>
      <c r="R47">
        <f>ROUND(ROUND(Q47*Source!I77, 6)*1, 2)</f>
        <v>4.7699999999999996</v>
      </c>
      <c r="S47">
        <f>SmtRes!AC49</f>
        <v>1.03</v>
      </c>
      <c r="T47">
        <f>ROUND(ROUND(Q47*Source!I77, 6)*SmtRes!AK49, 2)</f>
        <v>117.09</v>
      </c>
      <c r="U47">
        <f>SmtRes!X49</f>
        <v>-48163219</v>
      </c>
      <c r="V47">
        <v>1035079556</v>
      </c>
      <c r="W47">
        <v>-300787127</v>
      </c>
    </row>
    <row r="48" spans="1:23" x14ac:dyDescent="0.2">
      <c r="A48">
        <f>Source!A77</f>
        <v>17</v>
      </c>
      <c r="C48">
        <v>2</v>
      </c>
      <c r="D48">
        <v>0</v>
      </c>
      <c r="E48">
        <f>SmtRes!AV48</f>
        <v>0</v>
      </c>
      <c r="F48" t="str">
        <f>SmtRes!I48</f>
        <v>2.1-10-5</v>
      </c>
      <c r="G48" t="str">
        <f>SmtRes!K48</f>
        <v>Компрессоры прицепные с двигателем внутреннего сгорания, производительность до 5 м3/мин, мощность двигателя до 29 кВт (39,4 л.с.)</v>
      </c>
      <c r="H48" t="str">
        <f>SmtRes!O48</f>
        <v>маш.-ч.</v>
      </c>
      <c r="I48">
        <f>SmtRes!Y48*Source!I77</f>
        <v>59.666249999999998</v>
      </c>
      <c r="J48">
        <f>SmtRes!AO48</f>
        <v>1</v>
      </c>
      <c r="K48">
        <f>SmtRes!AF48</f>
        <v>60.77</v>
      </c>
      <c r="L48">
        <f>SmtRes!DB48</f>
        <v>2278.88</v>
      </c>
      <c r="M48">
        <f>ROUND(ROUND(L48*Source!I77, 6)*1, 2)</f>
        <v>3625.93</v>
      </c>
      <c r="N48">
        <f>SmtRes!AB48</f>
        <v>772.42</v>
      </c>
      <c r="O48">
        <f>ROUND(ROUND(L48*Source!I77, 6)*SmtRes!DA48, 2)</f>
        <v>44018.74</v>
      </c>
      <c r="P48">
        <f>SmtRes!AG48</f>
        <v>18.48</v>
      </c>
      <c r="Q48">
        <f>SmtRes!DC48</f>
        <v>693</v>
      </c>
      <c r="R48">
        <f>ROUND(ROUND(Q48*Source!I77, 6)*1, 2)</f>
        <v>1102.6300000000001</v>
      </c>
      <c r="S48">
        <f>SmtRes!AC48</f>
        <v>474.62</v>
      </c>
      <c r="T48">
        <f>ROUND(ROUND(Q48*Source!I77, 6)*SmtRes!AK48, 2)</f>
        <v>27047.57</v>
      </c>
      <c r="U48">
        <f>SmtRes!X48</f>
        <v>-1426791</v>
      </c>
      <c r="V48">
        <v>1224649770</v>
      </c>
      <c r="W48">
        <v>868399420</v>
      </c>
    </row>
    <row r="49" spans="1:23" x14ac:dyDescent="0.2">
      <c r="A49">
        <f>Source!A78</f>
        <v>17</v>
      </c>
      <c r="C49">
        <v>2</v>
      </c>
      <c r="D49">
        <v>0</v>
      </c>
      <c r="E49">
        <f>SmtRes!AV55</f>
        <v>0</v>
      </c>
      <c r="F49" t="str">
        <f>SmtRes!I55</f>
        <v>9999990007</v>
      </c>
      <c r="G49" t="str">
        <f>SmtRes!K55</f>
        <v>Стоимость прочих машин (ЭСН)</v>
      </c>
      <c r="H49" t="str">
        <f>SmtRes!O55</f>
        <v>руб.</v>
      </c>
      <c r="I49">
        <f>SmtRes!Y55*Source!I78</f>
        <v>48.221695000000004</v>
      </c>
      <c r="J49">
        <f>SmtRes!AO55</f>
        <v>1</v>
      </c>
      <c r="K49">
        <f>SmtRes!AF55</f>
        <v>1</v>
      </c>
      <c r="L49">
        <f>SmtRes!DB55</f>
        <v>42.43</v>
      </c>
      <c r="M49">
        <f>ROUND(ROUND(L49*Source!I78, 6)*1, 2)</f>
        <v>48.22</v>
      </c>
      <c r="N49">
        <f>SmtRes!AB55</f>
        <v>1.05</v>
      </c>
      <c r="O49">
        <f>ROUND(ROUND(L49*Source!I78, 6)*SmtRes!DA55, 2)</f>
        <v>48.22</v>
      </c>
      <c r="P49">
        <f>SmtRes!AG55</f>
        <v>0</v>
      </c>
      <c r="Q49">
        <f>SmtRes!DC55</f>
        <v>0</v>
      </c>
      <c r="R49">
        <f>ROUND(ROUND(Q49*Source!I78, 6)*1, 2)</f>
        <v>0</v>
      </c>
      <c r="S49">
        <f>SmtRes!AC55</f>
        <v>0</v>
      </c>
      <c r="T49">
        <f>ROUND(ROUND(Q49*Source!I78, 6)*SmtRes!AK55, 2)</f>
        <v>0</v>
      </c>
      <c r="U49">
        <f>SmtRes!X55</f>
        <v>-1180195794</v>
      </c>
      <c r="V49">
        <v>54769220</v>
      </c>
      <c r="W49">
        <v>1832560717</v>
      </c>
    </row>
    <row r="50" spans="1:23" x14ac:dyDescent="0.2">
      <c r="A50">
        <f>Source!A78</f>
        <v>17</v>
      </c>
      <c r="C50">
        <v>2</v>
      </c>
      <c r="D50">
        <v>0</v>
      </c>
      <c r="E50">
        <f>SmtRes!AV54</f>
        <v>0</v>
      </c>
      <c r="F50" t="str">
        <f>SmtRes!I54</f>
        <v>2.1-5-48</v>
      </c>
      <c r="G50" t="str">
        <f>SmtRes!K54</f>
        <v>Автогрейдеры, мощность 99-147 кВт (130-200 л.с.)</v>
      </c>
      <c r="H50" t="str">
        <f>SmtRes!O54</f>
        <v>маш.-ч.</v>
      </c>
      <c r="I50">
        <f>SmtRes!Y54*Source!I78</f>
        <v>1.93205</v>
      </c>
      <c r="J50">
        <f>SmtRes!AO54</f>
        <v>1</v>
      </c>
      <c r="K50">
        <f>SmtRes!AF54</f>
        <v>125.13</v>
      </c>
      <c r="L50">
        <f>SmtRes!DB54</f>
        <v>212.72</v>
      </c>
      <c r="M50">
        <f>ROUND(ROUND(L50*Source!I78, 6)*1, 2)</f>
        <v>241.76</v>
      </c>
      <c r="N50">
        <f>SmtRes!AB54</f>
        <v>1539.38</v>
      </c>
      <c r="O50">
        <f>ROUND(ROUND(L50*Source!I78, 6)*SmtRes!DA54, 2)</f>
        <v>2840.64</v>
      </c>
      <c r="P50">
        <f>SmtRes!AG54</f>
        <v>24.74</v>
      </c>
      <c r="Q50">
        <f>SmtRes!DC54</f>
        <v>42.06</v>
      </c>
      <c r="R50">
        <f>ROUND(ROUND(Q50*Source!I78, 6)*1, 2)</f>
        <v>47.8</v>
      </c>
      <c r="S50">
        <f>SmtRes!AC54</f>
        <v>635.4</v>
      </c>
      <c r="T50">
        <f>ROUND(ROUND(Q50*Source!I78, 6)*SmtRes!AK54, 2)</f>
        <v>1172.56</v>
      </c>
      <c r="U50">
        <f>SmtRes!X54</f>
        <v>856318566</v>
      </c>
      <c r="V50">
        <v>-1785549983</v>
      </c>
      <c r="W50">
        <v>559728352</v>
      </c>
    </row>
    <row r="51" spans="1:23" x14ac:dyDescent="0.2">
      <c r="A51">
        <f>Source!A78</f>
        <v>17</v>
      </c>
      <c r="C51">
        <v>2</v>
      </c>
      <c r="D51">
        <v>0</v>
      </c>
      <c r="E51">
        <f>SmtRes!AV53</f>
        <v>0</v>
      </c>
      <c r="F51" t="str">
        <f>SmtRes!I53</f>
        <v>2.1-2-1</v>
      </c>
      <c r="G51" t="str">
        <f>SmtRes!K53</f>
        <v>Тракторы на гусеничном ходу, мощность до 60 кВт (81 л.с.)</v>
      </c>
      <c r="H51" t="str">
        <f>SmtRes!O53</f>
        <v>маш.-ч.</v>
      </c>
      <c r="I51">
        <f>SmtRes!Y53*Source!I78</f>
        <v>1.4319900000000001</v>
      </c>
      <c r="J51">
        <f>SmtRes!AO53</f>
        <v>1</v>
      </c>
      <c r="K51">
        <f>SmtRes!AF53</f>
        <v>116.89</v>
      </c>
      <c r="L51">
        <f>SmtRes!DB53</f>
        <v>147.28</v>
      </c>
      <c r="M51">
        <f>ROUND(ROUND(L51*Source!I78, 6)*1, 2)</f>
        <v>167.38</v>
      </c>
      <c r="N51">
        <f>SmtRes!AB53</f>
        <v>1261.78</v>
      </c>
      <c r="O51">
        <f>ROUND(ROUND(L51*Source!I78, 6)*SmtRes!DA53, 2)</f>
        <v>1725.73</v>
      </c>
      <c r="P51">
        <f>SmtRes!AG53</f>
        <v>23.41</v>
      </c>
      <c r="Q51">
        <f>SmtRes!DC53</f>
        <v>29.5</v>
      </c>
      <c r="R51">
        <f>ROUND(ROUND(Q51*Source!I78, 6)*1, 2)</f>
        <v>33.53</v>
      </c>
      <c r="S51">
        <f>SmtRes!AC53</f>
        <v>601.24</v>
      </c>
      <c r="T51">
        <f>ROUND(ROUND(Q51*Source!I78, 6)*SmtRes!AK53, 2)</f>
        <v>822.41</v>
      </c>
      <c r="U51">
        <f>SmtRes!X53</f>
        <v>1928543733</v>
      </c>
      <c r="V51">
        <v>482636110</v>
      </c>
      <c r="W51">
        <v>-902618053</v>
      </c>
    </row>
    <row r="52" spans="1:23" x14ac:dyDescent="0.2">
      <c r="A52">
        <f>Source!A84</f>
        <v>17</v>
      </c>
      <c r="C52">
        <v>3</v>
      </c>
      <c r="D52">
        <v>0</v>
      </c>
      <c r="E52">
        <f>SmtRes!AV70</f>
        <v>0</v>
      </c>
      <c r="F52" t="str">
        <f>SmtRes!I70</f>
        <v>1.1-1-1554</v>
      </c>
      <c r="G52" t="str">
        <f>SmtRes!K70</f>
        <v>Щебень из естественного камня для дорожных работ, марка 1200 - 800, фракция 10 - 20 мм</v>
      </c>
      <c r="H52" t="str">
        <f>SmtRes!O70</f>
        <v>м3</v>
      </c>
      <c r="I52">
        <f>SmtRes!Y70*Source!I84</f>
        <v>7.8418499999999991</v>
      </c>
      <c r="J52">
        <f>SmtRes!AO70</f>
        <v>1</v>
      </c>
      <c r="K52">
        <f>SmtRes!AE70</f>
        <v>165.8</v>
      </c>
      <c r="L52">
        <f>SmtRes!DB70</f>
        <v>1906.7</v>
      </c>
      <c r="M52">
        <f>ROUND(ROUND(L52*Source!I84, 6)*1, 2)</f>
        <v>1300.18</v>
      </c>
      <c r="N52">
        <f>SmtRes!AA70</f>
        <v>1979.65</v>
      </c>
      <c r="O52">
        <f>ROUND(ROUND(L52*Source!I84, 6)*SmtRes!DA70, 2)</f>
        <v>15524.13</v>
      </c>
      <c r="P52">
        <f>SmtRes!AG70</f>
        <v>0</v>
      </c>
      <c r="Q52">
        <f>SmtRes!DC70</f>
        <v>0</v>
      </c>
      <c r="R52">
        <f>ROUND(ROUND(Q52*Source!I84, 6)*1, 2)</f>
        <v>0</v>
      </c>
      <c r="S52">
        <f>SmtRes!AC70</f>
        <v>0</v>
      </c>
      <c r="T52">
        <f>ROUND(ROUND(Q52*Source!I84, 6)*SmtRes!AK70, 2)</f>
        <v>0</v>
      </c>
      <c r="U52">
        <f>SmtRes!X70</f>
        <v>489817369</v>
      </c>
      <c r="V52">
        <v>-1003746317</v>
      </c>
      <c r="W52">
        <v>-1052006969</v>
      </c>
    </row>
    <row r="53" spans="1:23" x14ac:dyDescent="0.2">
      <c r="A53">
        <f>Source!A84</f>
        <v>17</v>
      </c>
      <c r="C53">
        <v>3</v>
      </c>
      <c r="D53">
        <v>0</v>
      </c>
      <c r="E53">
        <f>SmtRes!AV68</f>
        <v>0</v>
      </c>
      <c r="F53" t="str">
        <f>SmtRes!I68</f>
        <v>1.1-1-118</v>
      </c>
      <c r="G53" t="str">
        <f>SmtRes!K68</f>
        <v>Вода</v>
      </c>
      <c r="H53" t="str">
        <f>SmtRes!O68</f>
        <v>м3</v>
      </c>
      <c r="I53">
        <f>SmtRes!Y68*Source!I84</f>
        <v>17.047499999999999</v>
      </c>
      <c r="J53">
        <f>SmtRes!AO68</f>
        <v>1</v>
      </c>
      <c r="K53">
        <f>SmtRes!AE68</f>
        <v>7.07</v>
      </c>
      <c r="L53">
        <f>SmtRes!DB68</f>
        <v>176.75</v>
      </c>
      <c r="M53">
        <f>ROUND(ROUND(L53*Source!I84, 6)*1, 2)</f>
        <v>120.53</v>
      </c>
      <c r="N53">
        <f>SmtRes!AA68</f>
        <v>35.28</v>
      </c>
      <c r="O53">
        <f>ROUND(ROUND(L53*Source!I84, 6)*SmtRes!DA68, 2)</f>
        <v>601.41999999999996</v>
      </c>
      <c r="P53">
        <f>SmtRes!AG68</f>
        <v>0</v>
      </c>
      <c r="Q53">
        <f>SmtRes!DC68</f>
        <v>0</v>
      </c>
      <c r="R53">
        <f>ROUND(ROUND(Q53*Source!I84, 6)*1, 2)</f>
        <v>0</v>
      </c>
      <c r="S53">
        <f>SmtRes!AC68</f>
        <v>0</v>
      </c>
      <c r="T53">
        <f>ROUND(ROUND(Q53*Source!I84, 6)*SmtRes!AK68, 2)</f>
        <v>0</v>
      </c>
      <c r="U53">
        <f>SmtRes!X68</f>
        <v>-862991314</v>
      </c>
      <c r="V53">
        <v>209219300</v>
      </c>
      <c r="W53">
        <v>-307160680</v>
      </c>
    </row>
    <row r="54" spans="1:23" x14ac:dyDescent="0.2">
      <c r="A54">
        <f>Source!A84</f>
        <v>17</v>
      </c>
      <c r="C54">
        <v>2</v>
      </c>
      <c r="D54">
        <v>0</v>
      </c>
      <c r="E54">
        <f>SmtRes!AV67</f>
        <v>0</v>
      </c>
      <c r="F54" t="str">
        <f>SmtRes!I67</f>
        <v>2.1-5-47</v>
      </c>
      <c r="G54" t="str">
        <f>SmtRes!K67</f>
        <v>Автогрейдеры, мощность 66-88 кВт (90-120 л.с.)</v>
      </c>
      <c r="H54" t="str">
        <f>SmtRes!O67</f>
        <v>маш.-ч.</v>
      </c>
      <c r="I54">
        <f>SmtRes!Y67*Source!I84</f>
        <v>3.9618389999999994</v>
      </c>
      <c r="J54">
        <f>SmtRes!AO67</f>
        <v>1</v>
      </c>
      <c r="K54">
        <f>SmtRes!AF67</f>
        <v>120.77</v>
      </c>
      <c r="L54">
        <f>SmtRes!DB67</f>
        <v>701.67</v>
      </c>
      <c r="M54">
        <f>ROUND(ROUND(L54*Source!I84, 6)*1, 2)</f>
        <v>478.47</v>
      </c>
      <c r="N54">
        <f>SmtRes!AB67</f>
        <v>1637.48</v>
      </c>
      <c r="O54">
        <f>ROUND(ROUND(L54*Source!I84, 6)*SmtRes!DA67, 2)</f>
        <v>6196.17</v>
      </c>
      <c r="P54">
        <f>SmtRes!AG67</f>
        <v>23.93</v>
      </c>
      <c r="Q54">
        <f>SmtRes!DC67</f>
        <v>139.03</v>
      </c>
      <c r="R54">
        <f>ROUND(ROUND(Q54*Source!I84, 6)*1, 2)</f>
        <v>94.8</v>
      </c>
      <c r="S54">
        <f>SmtRes!AC67</f>
        <v>614.59</v>
      </c>
      <c r="T54">
        <f>ROUND(ROUND(Q54*Source!I84, 6)*SmtRes!AK67, 2)</f>
        <v>2325.56</v>
      </c>
      <c r="U54">
        <f>SmtRes!X67</f>
        <v>-975894347</v>
      </c>
      <c r="V54">
        <v>-11158387</v>
      </c>
      <c r="W54">
        <v>159451704</v>
      </c>
    </row>
    <row r="55" spans="1:23" x14ac:dyDescent="0.2">
      <c r="A55">
        <f>Source!A84</f>
        <v>17</v>
      </c>
      <c r="C55">
        <v>2</v>
      </c>
      <c r="D55">
        <v>0</v>
      </c>
      <c r="E55">
        <f>SmtRes!AV66</f>
        <v>0</v>
      </c>
      <c r="F55" t="str">
        <f>SmtRes!I66</f>
        <v>2.1-5-3</v>
      </c>
      <c r="G55" t="str">
        <f>SmtRes!K66</f>
        <v>Катки самоходные вибрационные, масса до 14 т</v>
      </c>
      <c r="H55" t="str">
        <f>SmtRes!O66</f>
        <v>маш.-ч.</v>
      </c>
      <c r="I55">
        <f>SmtRes!Y66*Source!I84</f>
        <v>21.950360999999997</v>
      </c>
      <c r="J55">
        <f>SmtRes!AO66</f>
        <v>1</v>
      </c>
      <c r="K55">
        <f>SmtRes!AF66</f>
        <v>219.5</v>
      </c>
      <c r="L55">
        <f>SmtRes!DB66</f>
        <v>7065.71</v>
      </c>
      <c r="M55">
        <f>ROUND(ROUND(L55*Source!I84, 6)*1, 2)</f>
        <v>4818.1099999999997</v>
      </c>
      <c r="N55">
        <f>SmtRes!AB66</f>
        <v>1900.58</v>
      </c>
      <c r="O55">
        <f>ROUND(ROUND(L55*Source!I84, 6)*SmtRes!DA66, 2)</f>
        <v>39845.75</v>
      </c>
      <c r="P55">
        <f>SmtRes!AG66</f>
        <v>17.510000000000002</v>
      </c>
      <c r="Q55">
        <f>SmtRes!DC66</f>
        <v>563.65</v>
      </c>
      <c r="R55">
        <f>ROUND(ROUND(Q55*Source!I84, 6)*1, 2)</f>
        <v>384.35</v>
      </c>
      <c r="S55">
        <f>SmtRes!AC66</f>
        <v>449.71</v>
      </c>
      <c r="T55">
        <f>ROUND(ROUND(Q55*Source!I84, 6)*SmtRes!AK66, 2)</f>
        <v>9428.18</v>
      </c>
      <c r="U55">
        <f>SmtRes!X66</f>
        <v>-1920329426</v>
      </c>
      <c r="V55">
        <v>-480999002</v>
      </c>
      <c r="W55">
        <v>2118132017</v>
      </c>
    </row>
    <row r="56" spans="1:23" x14ac:dyDescent="0.2">
      <c r="A56">
        <f>Source!A84</f>
        <v>17</v>
      </c>
      <c r="C56">
        <v>2</v>
      </c>
      <c r="D56">
        <v>0</v>
      </c>
      <c r="E56">
        <f>SmtRes!AV65</f>
        <v>0</v>
      </c>
      <c r="F56" t="str">
        <f>SmtRes!I65</f>
        <v>2.1-5-2</v>
      </c>
      <c r="G56" t="str">
        <f>SmtRes!K65</f>
        <v>Катки самоходные вибрационные, масса до 8 т</v>
      </c>
      <c r="H56" t="str">
        <f>SmtRes!O65</f>
        <v>маш.-ч.</v>
      </c>
      <c r="I56">
        <f>SmtRes!Y65*Source!I84</f>
        <v>7.6781939999999995</v>
      </c>
      <c r="J56">
        <f>SmtRes!AO65</f>
        <v>1</v>
      </c>
      <c r="K56">
        <f>SmtRes!AF65</f>
        <v>169.44</v>
      </c>
      <c r="L56">
        <f>SmtRes!DB65</f>
        <v>1907.89</v>
      </c>
      <c r="M56">
        <f>ROUND(ROUND(L56*Source!I84, 6)*1, 2)</f>
        <v>1300.99</v>
      </c>
      <c r="N56">
        <f>SmtRes!AB65</f>
        <v>1458.26</v>
      </c>
      <c r="O56">
        <f>ROUND(ROUND(L56*Source!I84, 6)*SmtRes!DA65, 2)</f>
        <v>10694.14</v>
      </c>
      <c r="P56">
        <f>SmtRes!AG65</f>
        <v>15.02</v>
      </c>
      <c r="Q56">
        <f>SmtRes!DC65</f>
        <v>169.13</v>
      </c>
      <c r="R56">
        <f>ROUND(ROUND(Q56*Source!I84, 6)*1, 2)</f>
        <v>115.33</v>
      </c>
      <c r="S56">
        <f>SmtRes!AC65</f>
        <v>385.76</v>
      </c>
      <c r="T56">
        <f>ROUND(ROUND(Q56*Source!I84, 6)*SmtRes!AK65, 2)</f>
        <v>2829.04</v>
      </c>
      <c r="U56">
        <f>SmtRes!X65</f>
        <v>-1882480599</v>
      </c>
      <c r="V56">
        <v>1529645944</v>
      </c>
      <c r="W56">
        <v>1343321629</v>
      </c>
    </row>
    <row r="57" spans="1:23" x14ac:dyDescent="0.2">
      <c r="A57">
        <f>Source!A84</f>
        <v>17</v>
      </c>
      <c r="C57">
        <v>2</v>
      </c>
      <c r="D57">
        <v>0</v>
      </c>
      <c r="E57">
        <f>SmtRes!AV64</f>
        <v>0</v>
      </c>
      <c r="F57" t="str">
        <f>SmtRes!I64</f>
        <v>2.1-5-18</v>
      </c>
      <c r="G57" t="str">
        <f>SmtRes!K64</f>
        <v>Машины поливомоечные, емкость цистерны до 8 м3</v>
      </c>
      <c r="H57" t="str">
        <f>SmtRes!O64</f>
        <v>маш.-ч.</v>
      </c>
      <c r="I57">
        <f>SmtRes!Y64*Source!I84</f>
        <v>3.5117850000000002</v>
      </c>
      <c r="J57">
        <f>SmtRes!AO64</f>
        <v>1</v>
      </c>
      <c r="K57">
        <f>SmtRes!AF64</f>
        <v>246.68</v>
      </c>
      <c r="L57">
        <f>SmtRes!DB64</f>
        <v>1270.4000000000001</v>
      </c>
      <c r="M57">
        <f>ROUND(ROUND(L57*Source!I84, 6)*1, 2)</f>
        <v>866.29</v>
      </c>
      <c r="N57">
        <f>SmtRes!AB64</f>
        <v>2040.36</v>
      </c>
      <c r="O57">
        <f>ROUND(ROUND(L57*Source!I84, 6)*SmtRes!DA64, 2)</f>
        <v>6843.66</v>
      </c>
      <c r="P57">
        <f>SmtRes!AG64</f>
        <v>13.37</v>
      </c>
      <c r="Q57">
        <f>SmtRes!DC64</f>
        <v>68.86</v>
      </c>
      <c r="R57">
        <f>ROUND(ROUND(Q57*Source!I84, 6)*1, 2)</f>
        <v>46.96</v>
      </c>
      <c r="S57">
        <f>SmtRes!AC64</f>
        <v>343.38</v>
      </c>
      <c r="T57">
        <f>ROUND(ROUND(Q57*Source!I84, 6)*SmtRes!AK64, 2)</f>
        <v>1151.82</v>
      </c>
      <c r="U57">
        <f>SmtRes!X64</f>
        <v>366114799</v>
      </c>
      <c r="V57">
        <v>-762158326</v>
      </c>
      <c r="W57">
        <v>-194771115</v>
      </c>
    </row>
    <row r="58" spans="1:23" x14ac:dyDescent="0.2">
      <c r="A58">
        <f>Source!A84</f>
        <v>17</v>
      </c>
      <c r="C58">
        <v>2</v>
      </c>
      <c r="D58">
        <v>0</v>
      </c>
      <c r="E58">
        <f>SmtRes!AV63</f>
        <v>0</v>
      </c>
      <c r="F58" t="str">
        <f>SmtRes!I63</f>
        <v>2.1-2-1</v>
      </c>
      <c r="G58" t="str">
        <f>SmtRes!K63</f>
        <v>Тракторы на гусеничном ходу, мощность до 60 кВт (81 л.с.)</v>
      </c>
      <c r="H58" t="str">
        <f>SmtRes!O63</f>
        <v>маш.-ч.</v>
      </c>
      <c r="I58">
        <f>SmtRes!Y63*Source!I84</f>
        <v>1.0842209999999999</v>
      </c>
      <c r="J58">
        <f>SmtRes!AO63</f>
        <v>1</v>
      </c>
      <c r="K58">
        <f>SmtRes!AF63</f>
        <v>116.89</v>
      </c>
      <c r="L58">
        <f>SmtRes!DB63</f>
        <v>185.86</v>
      </c>
      <c r="M58">
        <f>ROUND(ROUND(L58*Source!I84, 6)*1, 2)</f>
        <v>126.74</v>
      </c>
      <c r="N58">
        <f>SmtRes!AB63</f>
        <v>1261.78</v>
      </c>
      <c r="O58">
        <f>ROUND(ROUND(L58*Source!I84, 6)*SmtRes!DA63, 2)</f>
        <v>1306.67</v>
      </c>
      <c r="P58">
        <f>SmtRes!AG63</f>
        <v>23.41</v>
      </c>
      <c r="Q58">
        <f>SmtRes!DC63</f>
        <v>37.22</v>
      </c>
      <c r="R58">
        <f>ROUND(ROUND(Q58*Source!I84, 6)*1, 2)</f>
        <v>25.38</v>
      </c>
      <c r="S58">
        <f>SmtRes!AC63</f>
        <v>601.24</v>
      </c>
      <c r="T58">
        <f>ROUND(ROUND(Q58*Source!I84, 6)*SmtRes!AK63, 2)</f>
        <v>622.58000000000004</v>
      </c>
      <c r="U58">
        <f>SmtRes!X63</f>
        <v>1928543733</v>
      </c>
      <c r="V58">
        <v>482636110</v>
      </c>
      <c r="W58">
        <v>-902618053</v>
      </c>
    </row>
    <row r="59" spans="1:23" x14ac:dyDescent="0.2">
      <c r="A59">
        <f>Source!A84</f>
        <v>17</v>
      </c>
      <c r="C59">
        <v>2</v>
      </c>
      <c r="D59">
        <v>0</v>
      </c>
      <c r="E59">
        <f>SmtRes!AV62</f>
        <v>0</v>
      </c>
      <c r="F59" t="str">
        <f>SmtRes!I62</f>
        <v>2.1-18-7</v>
      </c>
      <c r="G59" t="str">
        <f>SmtRes!K62</f>
        <v>Автомобили грузовые бортовые, грузоподъемность до 5 т</v>
      </c>
      <c r="H59" t="str">
        <f>SmtRes!O62</f>
        <v>маш.-ч.</v>
      </c>
      <c r="I59">
        <f>SmtRes!Y62*Source!I84</f>
        <v>0.60689099999999996</v>
      </c>
      <c r="J59">
        <f>SmtRes!AO62</f>
        <v>1</v>
      </c>
      <c r="K59">
        <f>SmtRes!AF62</f>
        <v>76.81</v>
      </c>
      <c r="L59">
        <f>SmtRes!DB62</f>
        <v>68.36</v>
      </c>
      <c r="M59">
        <f>ROUND(ROUND(L59*Source!I84, 6)*1, 2)</f>
        <v>46.61</v>
      </c>
      <c r="N59">
        <f>SmtRes!AB62</f>
        <v>755.14</v>
      </c>
      <c r="O59">
        <f>ROUND(ROUND(L59*Source!I84, 6)*SmtRes!DA62, 2)</f>
        <v>437.71</v>
      </c>
      <c r="P59">
        <f>SmtRes!AG62</f>
        <v>14.36</v>
      </c>
      <c r="Q59">
        <f>SmtRes!DC62</f>
        <v>12.78</v>
      </c>
      <c r="R59">
        <f>ROUND(ROUND(Q59*Source!I84, 6)*1, 2)</f>
        <v>8.7100000000000009</v>
      </c>
      <c r="S59">
        <f>SmtRes!AC62</f>
        <v>368.81</v>
      </c>
      <c r="T59">
        <f>ROUND(ROUND(Q59*Source!I84, 6)*SmtRes!AK62, 2)</f>
        <v>213.77</v>
      </c>
      <c r="U59">
        <f>SmtRes!X62</f>
        <v>-628430174</v>
      </c>
      <c r="V59">
        <v>-1989157500</v>
      </c>
      <c r="W59">
        <v>1752455861</v>
      </c>
    </row>
    <row r="60" spans="1:23" x14ac:dyDescent="0.2">
      <c r="A60">
        <f>Source!A85</f>
        <v>18</v>
      </c>
      <c r="B60">
        <v>85</v>
      </c>
      <c r="C60">
        <v>3</v>
      </c>
      <c r="D60">
        <f>Source!BI85</f>
        <v>1</v>
      </c>
      <c r="E60">
        <f>Source!FS85</f>
        <v>0</v>
      </c>
      <c r="F60" t="str">
        <f>Source!F85</f>
        <v>1.1-1-1550</v>
      </c>
      <c r="G60" t="str">
        <f>Source!G85</f>
        <v>Щебень из естественного камня для дорожных работ, марка 600 - 400, фракция 20-40 мм</v>
      </c>
      <c r="H60" t="str">
        <f>Source!H85</f>
        <v>м3</v>
      </c>
      <c r="I60">
        <f>Source!I85</f>
        <v>85.919399999999996</v>
      </c>
      <c r="J60">
        <v>1</v>
      </c>
      <c r="K60">
        <f>Source!AC85</f>
        <v>173.37</v>
      </c>
      <c r="M60">
        <f>ROUND(K60*I60, 2)</f>
        <v>14895.85</v>
      </c>
      <c r="N60">
        <f>Source!AC85*IF(Source!BC85&lt;&gt; 0, Source!BC85, 1)</f>
        <v>1868.9286</v>
      </c>
      <c r="O60">
        <f>ROUND(N60*I60, 2)</f>
        <v>160577.22</v>
      </c>
      <c r="P60">
        <f>Source!AE85</f>
        <v>0</v>
      </c>
      <c r="R60">
        <f>ROUND(P60*I60, 2)</f>
        <v>0</v>
      </c>
      <c r="S60">
        <f>Source!AE85*IF(Source!BS85&lt;&gt; 0, Source!BS85, 1)</f>
        <v>0</v>
      </c>
      <c r="T60">
        <f>ROUND(S60*I60, 2)</f>
        <v>0</v>
      </c>
      <c r="U60">
        <f>Source!GF85</f>
        <v>-820942871</v>
      </c>
      <c r="V60">
        <v>1968999642</v>
      </c>
      <c r="W60">
        <v>1682878819</v>
      </c>
    </row>
    <row r="61" spans="1:23" x14ac:dyDescent="0.2">
      <c r="A61">
        <f>Source!A86</f>
        <v>17</v>
      </c>
      <c r="C61">
        <v>3</v>
      </c>
      <c r="D61">
        <v>0</v>
      </c>
      <c r="E61">
        <f>SmtRes!AV73</f>
        <v>0</v>
      </c>
      <c r="F61" t="str">
        <f>SmtRes!I73</f>
        <v>1.1-1-46</v>
      </c>
      <c r="G61" t="str">
        <f>SmtRes!K73</f>
        <v>Битумы нефтяные, дорожные жидкие, марка МГ, СГ</v>
      </c>
      <c r="H61" t="str">
        <f>SmtRes!O73</f>
        <v>т</v>
      </c>
      <c r="I61">
        <f>SmtRes!Y73*Source!I86</f>
        <v>1.3637999999999999</v>
      </c>
      <c r="J61">
        <f>SmtRes!AO73</f>
        <v>1</v>
      </c>
      <c r="K61">
        <f>SmtRes!AE73</f>
        <v>3501.78</v>
      </c>
      <c r="L61">
        <f>SmtRes!DB73</f>
        <v>210.11</v>
      </c>
      <c r="M61">
        <f>ROUND(ROUND(L61*Source!I86, 6)*1, 2)</f>
        <v>4775.8</v>
      </c>
      <c r="N61">
        <f>SmtRes!AA73</f>
        <v>21711.040000000001</v>
      </c>
      <c r="O61">
        <f>ROUND(ROUND(L61*Source!I86, 6)*SmtRes!DA73, 2)</f>
        <v>29609.96</v>
      </c>
      <c r="P61">
        <f>SmtRes!AG73</f>
        <v>0</v>
      </c>
      <c r="Q61">
        <f>SmtRes!DC73</f>
        <v>0</v>
      </c>
      <c r="R61">
        <f>ROUND(ROUND(Q61*Source!I86, 6)*1, 2)</f>
        <v>0</v>
      </c>
      <c r="S61">
        <f>SmtRes!AC73</f>
        <v>0</v>
      </c>
      <c r="T61">
        <f>ROUND(ROUND(Q61*Source!I86, 6)*SmtRes!AK73, 2)</f>
        <v>0</v>
      </c>
      <c r="U61">
        <f>SmtRes!X73</f>
        <v>435343267</v>
      </c>
      <c r="V61">
        <v>977557618</v>
      </c>
      <c r="W61">
        <v>314446494</v>
      </c>
    </row>
    <row r="62" spans="1:23" x14ac:dyDescent="0.2">
      <c r="A62">
        <f>Source!A86</f>
        <v>17</v>
      </c>
      <c r="C62">
        <v>2</v>
      </c>
      <c r="D62">
        <v>0</v>
      </c>
      <c r="E62">
        <f>SmtRes!AV72</f>
        <v>0</v>
      </c>
      <c r="F62" t="str">
        <f>SmtRes!I72</f>
        <v>2.1-5-2</v>
      </c>
      <c r="G62" t="str">
        <f>SmtRes!K72</f>
        <v>Катки самоходные вибрационные, масса до 8 т</v>
      </c>
      <c r="H62" t="str">
        <f>SmtRes!O72</f>
        <v>маш.-ч.</v>
      </c>
      <c r="I62">
        <f>SmtRes!Y72*Source!I86</f>
        <v>16.138300000000001</v>
      </c>
      <c r="J62">
        <f>SmtRes!AO72</f>
        <v>1</v>
      </c>
      <c r="K62">
        <f>SmtRes!AF72</f>
        <v>84.82</v>
      </c>
      <c r="L62">
        <f>SmtRes!DB72</f>
        <v>60.22</v>
      </c>
      <c r="M62">
        <f>ROUND(ROUND(L62*Source!I86, 6)*1, 2)</f>
        <v>1368.8</v>
      </c>
      <c r="N62">
        <f>SmtRes!AB72</f>
        <v>729.99</v>
      </c>
      <c r="O62">
        <f>ROUND(ROUND(L62*Source!I86, 6)*SmtRes!DA72, 2)</f>
        <v>11251.54</v>
      </c>
      <c r="P62">
        <f>SmtRes!AG72</f>
        <v>22.85</v>
      </c>
      <c r="Q62">
        <f>SmtRes!DC72</f>
        <v>16.22</v>
      </c>
      <c r="R62">
        <f>ROUND(ROUND(Q62*Source!I86, 6)*1, 2)</f>
        <v>368.68</v>
      </c>
      <c r="S62">
        <f>SmtRes!AC72</f>
        <v>586.85</v>
      </c>
      <c r="T62">
        <f>ROUND(ROUND(Q62*Source!I86, 6)*SmtRes!AK72, 2)</f>
        <v>9043.74</v>
      </c>
      <c r="U62">
        <f>SmtRes!X72</f>
        <v>-251987950</v>
      </c>
      <c r="V62">
        <v>1495438336</v>
      </c>
      <c r="W62">
        <v>1817474990</v>
      </c>
    </row>
    <row r="63" spans="1:23" x14ac:dyDescent="0.2">
      <c r="A63">
        <f>Source!A87</f>
        <v>18</v>
      </c>
      <c r="B63">
        <v>87</v>
      </c>
      <c r="C63">
        <v>3</v>
      </c>
      <c r="D63">
        <f>Source!BI87</f>
        <v>1</v>
      </c>
      <c r="E63">
        <f>Source!FS87</f>
        <v>0</v>
      </c>
      <c r="F63" t="str">
        <f>Source!F87</f>
        <v>1.3-3-51</v>
      </c>
      <c r="G63" t="str">
        <f>Source!G87</f>
        <v>Смеси асфальтобетонные дорожные горячие песчаные, тип Д, марка II</v>
      </c>
      <c r="H63" t="str">
        <f>Source!H87</f>
        <v>т</v>
      </c>
      <c r="I63">
        <f>Source!I87</f>
        <v>347.76900000000001</v>
      </c>
      <c r="J63">
        <v>1</v>
      </c>
      <c r="K63">
        <f>Source!AC87</f>
        <v>317.95999999999998</v>
      </c>
      <c r="M63">
        <f>ROUND(K63*I63, 2)</f>
        <v>110576.63</v>
      </c>
      <c r="N63">
        <f>Source!AC87*IF(Source!BC87&lt;&gt; 0, Source!BC87, 1)</f>
        <v>2619.9903999999997</v>
      </c>
      <c r="O63">
        <f>ROUND(N63*I63, 2)</f>
        <v>911151.44</v>
      </c>
      <c r="P63">
        <f>Source!AE87</f>
        <v>0</v>
      </c>
      <c r="R63">
        <f>ROUND(P63*I63, 2)</f>
        <v>0</v>
      </c>
      <c r="S63">
        <f>Source!AE87*IF(Source!BS87&lt;&gt; 0, Source!BS87, 1)</f>
        <v>0</v>
      </c>
      <c r="T63">
        <f>ROUND(S63*I63, 2)</f>
        <v>0</v>
      </c>
      <c r="U63">
        <f>Source!GF87</f>
        <v>-956564323</v>
      </c>
      <c r="V63">
        <v>61099551</v>
      </c>
      <c r="W63">
        <v>1596233619</v>
      </c>
    </row>
    <row r="64" spans="1:23" x14ac:dyDescent="0.2">
      <c r="A64">
        <f>Source!A120</f>
        <v>4</v>
      </c>
      <c r="B64">
        <v>120</v>
      </c>
      <c r="G64" t="str">
        <f>Source!G120</f>
        <v>4. А/б покрытие пешеходных тротуаров на новое основание (АТ-1)</v>
      </c>
    </row>
    <row r="65" spans="1:23" x14ac:dyDescent="0.2">
      <c r="A65">
        <f>Source!A154</f>
        <v>4</v>
      </c>
      <c r="B65">
        <v>154</v>
      </c>
      <c r="G65" t="str">
        <f>Source!G154</f>
        <v>5.1. Установка дорожного бортового камня БР 100.30.15 с разборкой</v>
      </c>
    </row>
    <row r="66" spans="1:23" x14ac:dyDescent="0.2">
      <c r="A66">
        <f>Source!A165</f>
        <v>17</v>
      </c>
      <c r="C66">
        <v>3</v>
      </c>
      <c r="D66">
        <v>0</v>
      </c>
      <c r="E66">
        <f>SmtRes!AV92</f>
        <v>0</v>
      </c>
      <c r="F66" t="str">
        <f>SmtRes!I92</f>
        <v>9999990006</v>
      </c>
      <c r="G66" t="str">
        <f>SmtRes!K92</f>
        <v>Стоимость прочих материалов (ЭСН)</v>
      </c>
      <c r="H66" t="str">
        <f>SmtRes!O92</f>
        <v>руб.</v>
      </c>
      <c r="I66">
        <f>SmtRes!Y92*Source!I165</f>
        <v>4068.4097999999999</v>
      </c>
      <c r="J66">
        <f>SmtRes!AO92</f>
        <v>1</v>
      </c>
      <c r="K66">
        <f>SmtRes!AE92</f>
        <v>1</v>
      </c>
      <c r="L66">
        <f>SmtRes!DB92</f>
        <v>116.34</v>
      </c>
      <c r="M66">
        <f>ROUND(ROUND(L66*Source!I165, 6)*1, 2)</f>
        <v>4068.41</v>
      </c>
      <c r="N66">
        <f>SmtRes!AA92</f>
        <v>1.01</v>
      </c>
      <c r="O66">
        <f>ROUND(ROUND(L66*Source!I165, 6)*SmtRes!DA92, 2)</f>
        <v>4068.41</v>
      </c>
      <c r="P66">
        <f>SmtRes!AG92</f>
        <v>0</v>
      </c>
      <c r="Q66">
        <f>SmtRes!DC92</f>
        <v>0</v>
      </c>
      <c r="R66">
        <f>ROUND(ROUND(Q66*Source!I165, 6)*1, 2)</f>
        <v>0</v>
      </c>
      <c r="S66">
        <f>SmtRes!AC92</f>
        <v>0</v>
      </c>
      <c r="T66">
        <f>ROUND(ROUND(Q66*Source!I165, 6)*SmtRes!AK92, 2)</f>
        <v>0</v>
      </c>
      <c r="U66">
        <f>SmtRes!X92</f>
        <v>-94250534</v>
      </c>
      <c r="V66">
        <v>-1341645062</v>
      </c>
      <c r="W66">
        <v>575082756</v>
      </c>
    </row>
    <row r="67" spans="1:23" x14ac:dyDescent="0.2">
      <c r="A67">
        <f>Source!A165</f>
        <v>17</v>
      </c>
      <c r="C67">
        <v>3</v>
      </c>
      <c r="D67">
        <v>0</v>
      </c>
      <c r="E67">
        <f>SmtRes!AV91</f>
        <v>0</v>
      </c>
      <c r="F67" t="str">
        <f>SmtRes!I91</f>
        <v>1.3-2-5</v>
      </c>
      <c r="G67" t="str">
        <f>SmtRes!K91</f>
        <v>Растворы цементные, марка 100</v>
      </c>
      <c r="H67" t="str">
        <f>SmtRes!O91</f>
        <v>м3</v>
      </c>
      <c r="I67">
        <f>SmtRes!Y91*Source!I165</f>
        <v>2.0981999999999998</v>
      </c>
      <c r="J67">
        <f>SmtRes!AO91</f>
        <v>1</v>
      </c>
      <c r="K67">
        <f>SmtRes!AE91</f>
        <v>451.14</v>
      </c>
      <c r="L67">
        <f>SmtRes!DB91</f>
        <v>27.07</v>
      </c>
      <c r="M67">
        <f>ROUND(ROUND(L67*Source!I165, 6)*1, 2)</f>
        <v>946.64</v>
      </c>
      <c r="N67">
        <f>SmtRes!AA91</f>
        <v>3326.7</v>
      </c>
      <c r="O67">
        <f>ROUND(ROUND(L67*Source!I165, 6)*SmtRes!DA91, 2)</f>
        <v>6938.86</v>
      </c>
      <c r="P67">
        <f>SmtRes!AG91</f>
        <v>0</v>
      </c>
      <c r="Q67">
        <f>SmtRes!DC91</f>
        <v>0</v>
      </c>
      <c r="R67">
        <f>ROUND(ROUND(Q67*Source!I165, 6)*1, 2)</f>
        <v>0</v>
      </c>
      <c r="S67">
        <f>SmtRes!AC91</f>
        <v>0</v>
      </c>
      <c r="T67">
        <f>ROUND(ROUND(Q67*Source!I165, 6)*SmtRes!AK91, 2)</f>
        <v>0</v>
      </c>
      <c r="U67">
        <f>SmtRes!X91</f>
        <v>-718781615</v>
      </c>
      <c r="V67">
        <v>-1804029654</v>
      </c>
      <c r="W67">
        <v>1667023068</v>
      </c>
    </row>
    <row r="68" spans="1:23" x14ac:dyDescent="0.2">
      <c r="A68">
        <f>Source!A165</f>
        <v>17</v>
      </c>
      <c r="C68">
        <v>3</v>
      </c>
      <c r="D68">
        <v>0</v>
      </c>
      <c r="E68">
        <f>SmtRes!AV90</f>
        <v>0</v>
      </c>
      <c r="F68" t="str">
        <f>SmtRes!I90</f>
        <v>1.3-1-38</v>
      </c>
      <c r="G68" t="str">
        <f>SmtRes!K90</f>
        <v>Смеси бетонные, БСГ, тяжелого бетона на гранитном щебне, класс прочности В15 (М200); П3, фракция 5-20, F50-100, W0-2</v>
      </c>
      <c r="H68" t="str">
        <f>SmtRes!O90</f>
        <v>м3</v>
      </c>
      <c r="I68">
        <f>SmtRes!Y90*Source!I165</f>
        <v>206.32300000000001</v>
      </c>
      <c r="J68">
        <f>SmtRes!AO90</f>
        <v>1</v>
      </c>
      <c r="K68">
        <f>SmtRes!AE90</f>
        <v>704.89</v>
      </c>
      <c r="L68">
        <f>SmtRes!DB90</f>
        <v>4158.8500000000004</v>
      </c>
      <c r="M68">
        <f>ROUND(ROUND(L68*Source!I165, 6)*1, 2)</f>
        <v>145434.98000000001</v>
      </c>
      <c r="N68">
        <f>SmtRes!AA90</f>
        <v>4233.4399999999996</v>
      </c>
      <c r="O68">
        <f>ROUND(ROUND(L68*Source!I165, 6)*SmtRes!DA90, 2)</f>
        <v>868246.86</v>
      </c>
      <c r="P68">
        <f>SmtRes!AG90</f>
        <v>0</v>
      </c>
      <c r="Q68">
        <f>SmtRes!DC90</f>
        <v>0</v>
      </c>
      <c r="R68">
        <f>ROUND(ROUND(Q68*Source!I165, 6)*1, 2)</f>
        <v>0</v>
      </c>
      <c r="S68">
        <f>SmtRes!AC90</f>
        <v>0</v>
      </c>
      <c r="T68">
        <f>ROUND(ROUND(Q68*Source!I165, 6)*SmtRes!AK90, 2)</f>
        <v>0</v>
      </c>
      <c r="U68">
        <f>SmtRes!X90</f>
        <v>-758282629</v>
      </c>
      <c r="V68">
        <v>786719351</v>
      </c>
      <c r="W68">
        <v>1426214507</v>
      </c>
    </row>
    <row r="69" spans="1:23" x14ac:dyDescent="0.2">
      <c r="A69">
        <f>Source!A165</f>
        <v>17</v>
      </c>
      <c r="C69">
        <v>2</v>
      </c>
      <c r="D69">
        <v>0</v>
      </c>
      <c r="E69">
        <f>SmtRes!AV89</f>
        <v>0</v>
      </c>
      <c r="F69" t="str">
        <f>SmtRes!I89</f>
        <v>2.1-3-38</v>
      </c>
      <c r="G69" t="str">
        <f>SmtRes!K89</f>
        <v>Краны на автомобильном ходу, грузоподъемность до 16 т</v>
      </c>
      <c r="H69" t="str">
        <f>SmtRes!O89</f>
        <v>маш.-ч.</v>
      </c>
      <c r="I69">
        <f>SmtRes!Y89*Source!I165</f>
        <v>21.331699999999998</v>
      </c>
      <c r="J69">
        <f>SmtRes!AO89</f>
        <v>1</v>
      </c>
      <c r="K69">
        <f>SmtRes!AF89</f>
        <v>190.93</v>
      </c>
      <c r="L69">
        <f>SmtRes!DB89</f>
        <v>116.47</v>
      </c>
      <c r="M69">
        <f>ROUND(ROUND(L69*Source!I165, 6)*1, 2)</f>
        <v>4072.96</v>
      </c>
      <c r="N69">
        <f>SmtRes!AB89</f>
        <v>1655.2</v>
      </c>
      <c r="O69">
        <f>ROUND(ROUND(L69*Source!I165, 6)*SmtRes!DA89, 2)</f>
        <v>33724.07</v>
      </c>
      <c r="P69">
        <f>SmtRes!AG89</f>
        <v>18.149999999999999</v>
      </c>
      <c r="Q69">
        <f>SmtRes!DC89</f>
        <v>11.07</v>
      </c>
      <c r="R69">
        <f>ROUND(ROUND(Q69*Source!I165, 6)*1, 2)</f>
        <v>387.12</v>
      </c>
      <c r="S69">
        <f>SmtRes!AC89</f>
        <v>466.14</v>
      </c>
      <c r="T69">
        <f>ROUND(ROUND(Q69*Source!I165, 6)*SmtRes!AK89, 2)</f>
        <v>9496</v>
      </c>
      <c r="U69">
        <f>SmtRes!X89</f>
        <v>-266174272</v>
      </c>
      <c r="V69">
        <v>360917738</v>
      </c>
      <c r="W69">
        <v>-213384332</v>
      </c>
    </row>
    <row r="70" spans="1:23" x14ac:dyDescent="0.2">
      <c r="A70">
        <f>Source!A198</f>
        <v>4</v>
      </c>
      <c r="B70">
        <v>198</v>
      </c>
      <c r="G70" t="str">
        <f>Source!G198</f>
        <v>10.1. Устройство новых оснований площадок (детские, спортивные, воркаут)</v>
      </c>
    </row>
    <row r="71" spans="1:23" x14ac:dyDescent="0.2">
      <c r="A71">
        <f>Source!A202</f>
        <v>17</v>
      </c>
      <c r="C71">
        <v>2</v>
      </c>
      <c r="D71">
        <v>0</v>
      </c>
      <c r="E71">
        <f>SmtRes!AV95</f>
        <v>0</v>
      </c>
      <c r="F71" t="str">
        <f>SmtRes!I95</f>
        <v>2.1-1-44</v>
      </c>
      <c r="G71" t="str">
        <f>SmtRes!K95</f>
        <v>Бульдозеры гусеничные, мощность до 79 кВт (108 л.с.)</v>
      </c>
      <c r="H71" t="str">
        <f>SmtRes!O95</f>
        <v>маш.-ч.</v>
      </c>
      <c r="I71">
        <f>SmtRes!Y95*Source!I202</f>
        <v>12.22176438</v>
      </c>
      <c r="J71">
        <f>SmtRes!AO95</f>
        <v>1</v>
      </c>
      <c r="K71">
        <f>SmtRes!AF95</f>
        <v>110.31</v>
      </c>
      <c r="L71">
        <f>SmtRes!DB95</f>
        <v>109.98</v>
      </c>
      <c r="M71">
        <f>ROUND(ROUND(L71*Source!I202, 6)*1, 2)</f>
        <v>1348.19</v>
      </c>
      <c r="N71">
        <f>SmtRes!AB95</f>
        <v>1232.06</v>
      </c>
      <c r="O71">
        <f>ROUND(ROUND(L71*Source!I202, 6)*SmtRes!DA95, 2)</f>
        <v>12632.58</v>
      </c>
      <c r="P71">
        <f>SmtRes!AG95</f>
        <v>26.52</v>
      </c>
      <c r="Q71">
        <f>SmtRes!DC95</f>
        <v>26.44</v>
      </c>
      <c r="R71">
        <f>ROUND(ROUND(Q71*Source!I202, 6)*1, 2)</f>
        <v>324.12</v>
      </c>
      <c r="S71">
        <f>SmtRes!AC95</f>
        <v>775.44</v>
      </c>
      <c r="T71">
        <f>ROUND(ROUND(Q71*Source!I202, 6)*SmtRes!AK95, 2)</f>
        <v>7950.56</v>
      </c>
      <c r="U71">
        <f>SmtRes!X95</f>
        <v>695902881</v>
      </c>
      <c r="V71">
        <v>-190654433</v>
      </c>
      <c r="W71">
        <v>-271111961</v>
      </c>
    </row>
    <row r="72" spans="1:23" x14ac:dyDescent="0.2">
      <c r="A72">
        <f>Source!A202</f>
        <v>17</v>
      </c>
      <c r="C72">
        <v>2</v>
      </c>
      <c r="D72">
        <v>0</v>
      </c>
      <c r="E72">
        <f>SmtRes!AV94</f>
        <v>0</v>
      </c>
      <c r="F72" t="str">
        <f>SmtRes!I94</f>
        <v>2.1-1-4</v>
      </c>
      <c r="G72" t="str">
        <f>SmtRes!K94</f>
        <v>Экскаваторы на гусеничном ходу гидравлические, объем ковша до 0,5 м3</v>
      </c>
      <c r="H72" t="str">
        <f>SmtRes!O94</f>
        <v>маш.-ч.</v>
      </c>
      <c r="I72">
        <f>SmtRes!Y94*Source!I202</f>
        <v>48.880928249999997</v>
      </c>
      <c r="J72">
        <f>SmtRes!AO94</f>
        <v>1</v>
      </c>
      <c r="K72">
        <f>SmtRes!AF94</f>
        <v>162.4</v>
      </c>
      <c r="L72">
        <f>SmtRes!DB94</f>
        <v>647.57000000000005</v>
      </c>
      <c r="M72">
        <f>ROUND(ROUND(L72*Source!I202, 6)*1, 2)</f>
        <v>7938.26</v>
      </c>
      <c r="N72">
        <f>SmtRes!AB94</f>
        <v>1916.45</v>
      </c>
      <c r="O72">
        <f>ROUND(ROUND(L72*Source!I202, 6)*SmtRes!DA94, 2)</f>
        <v>78588.800000000003</v>
      </c>
      <c r="P72">
        <f>SmtRes!AG94</f>
        <v>28.6</v>
      </c>
      <c r="Q72">
        <f>SmtRes!DC94</f>
        <v>114.04</v>
      </c>
      <c r="R72">
        <f>ROUND(ROUND(Q72*Source!I202, 6)*1, 2)</f>
        <v>1397.96</v>
      </c>
      <c r="S72">
        <f>SmtRes!AC94</f>
        <v>836.26</v>
      </c>
      <c r="T72">
        <f>ROUND(ROUND(Q72*Source!I202, 6)*SmtRes!AK94, 2)</f>
        <v>34292.050000000003</v>
      </c>
      <c r="U72">
        <f>SmtRes!X94</f>
        <v>781556702</v>
      </c>
      <c r="V72">
        <v>-1266550935</v>
      </c>
      <c r="W72">
        <v>-1597920307</v>
      </c>
    </row>
    <row r="73" spans="1:23" x14ac:dyDescent="0.2">
      <c r="A73">
        <f>Source!A207</f>
        <v>17</v>
      </c>
      <c r="C73">
        <v>3</v>
      </c>
      <c r="D73">
        <v>0</v>
      </c>
      <c r="E73">
        <f>SmtRes!AV106</f>
        <v>0</v>
      </c>
      <c r="F73" t="str">
        <f>SmtRes!I106</f>
        <v>1.1-1-118</v>
      </c>
      <c r="G73" t="str">
        <f>SmtRes!K106</f>
        <v>Вода</v>
      </c>
      <c r="H73" t="str">
        <f>SmtRes!O106</f>
        <v>м3</v>
      </c>
      <c r="I73">
        <f>SmtRes!Y106*Source!I207</f>
        <v>32.43</v>
      </c>
      <c r="J73">
        <f>SmtRes!AO106</f>
        <v>1</v>
      </c>
      <c r="K73">
        <f>SmtRes!AE106</f>
        <v>7.07</v>
      </c>
      <c r="L73">
        <f>SmtRes!DB106</f>
        <v>35.35</v>
      </c>
      <c r="M73">
        <f>ROUND(ROUND(L73*Source!I207, 6)*1, 2)</f>
        <v>229.28</v>
      </c>
      <c r="N73">
        <f>SmtRes!AA106</f>
        <v>35.35</v>
      </c>
      <c r="O73">
        <f>ROUND(ROUND(L73*Source!I207, 6)*SmtRes!DA106, 2)</f>
        <v>1144.1099999999999</v>
      </c>
      <c r="P73">
        <f>SmtRes!AG106</f>
        <v>0</v>
      </c>
      <c r="Q73">
        <f>SmtRes!DC106</f>
        <v>0</v>
      </c>
      <c r="R73">
        <f>ROUND(ROUND(Q73*Source!I207, 6)*1, 2)</f>
        <v>0</v>
      </c>
      <c r="S73">
        <f>SmtRes!AC106</f>
        <v>0</v>
      </c>
      <c r="T73">
        <f>ROUND(ROUND(Q73*Source!I207, 6)*SmtRes!AK106, 2)</f>
        <v>0</v>
      </c>
      <c r="U73">
        <f>SmtRes!X106</f>
        <v>-862991314</v>
      </c>
      <c r="V73">
        <v>209219300</v>
      </c>
      <c r="W73">
        <v>-1977920412</v>
      </c>
    </row>
    <row r="74" spans="1:23" x14ac:dyDescent="0.2">
      <c r="A74">
        <f>Source!A207</f>
        <v>17</v>
      </c>
      <c r="C74">
        <v>2</v>
      </c>
      <c r="D74">
        <v>0</v>
      </c>
      <c r="E74">
        <f>SmtRes!AV105</f>
        <v>0</v>
      </c>
      <c r="F74" t="str">
        <f>SmtRes!I105</f>
        <v>2.1-5-7</v>
      </c>
      <c r="G74" t="str">
        <f>SmtRes!K105</f>
        <v>Катки дорожные самоходные на пневмоколесном ходу, масса до 16 т</v>
      </c>
      <c r="H74" t="str">
        <f>SmtRes!O105</f>
        <v>маш.-ч.</v>
      </c>
      <c r="I74">
        <f>SmtRes!Y105*Source!I207</f>
        <v>3.3727200000000002</v>
      </c>
      <c r="J74">
        <f>SmtRes!AO105</f>
        <v>1</v>
      </c>
      <c r="K74">
        <f>SmtRes!AF105</f>
        <v>178.02</v>
      </c>
      <c r="L74">
        <f>SmtRes!DB105</f>
        <v>92.57</v>
      </c>
      <c r="M74">
        <f>ROUND(ROUND(L74*Source!I207, 6)*1, 2)</f>
        <v>600.41</v>
      </c>
      <c r="N74">
        <f>SmtRes!AB105</f>
        <v>1593.61</v>
      </c>
      <c r="O74">
        <f>ROUND(ROUND(L74*Source!I207, 6)*SmtRes!DA105, 2)</f>
        <v>5133.5</v>
      </c>
      <c r="P74">
        <f>SmtRes!AG105</f>
        <v>23.5</v>
      </c>
      <c r="Q74">
        <f>SmtRes!DC105</f>
        <v>12.22</v>
      </c>
      <c r="R74">
        <f>ROUND(ROUND(Q74*Source!I207, 6)*1, 2)</f>
        <v>79.260000000000005</v>
      </c>
      <c r="S74">
        <f>SmtRes!AC105</f>
        <v>603.54999999999995</v>
      </c>
      <c r="T74">
        <f>ROUND(ROUND(Q74*Source!I207, 6)*SmtRes!AK105, 2)</f>
        <v>1944.22</v>
      </c>
      <c r="U74">
        <f>SmtRes!X105</f>
        <v>2023875219</v>
      </c>
      <c r="V74">
        <v>1989037200</v>
      </c>
      <c r="W74">
        <v>2049417949</v>
      </c>
    </row>
    <row r="75" spans="1:23" x14ac:dyDescent="0.2">
      <c r="A75">
        <f>Source!A207</f>
        <v>17</v>
      </c>
      <c r="C75">
        <v>2</v>
      </c>
      <c r="D75">
        <v>0</v>
      </c>
      <c r="E75">
        <f>SmtRes!AV104</f>
        <v>0</v>
      </c>
      <c r="F75" t="str">
        <f>SmtRes!I104</f>
        <v>2.1-5-48</v>
      </c>
      <c r="G75" t="str">
        <f>SmtRes!K104</f>
        <v>Автогрейдеры, мощность 99-147 кВт (130-200 л.с.)</v>
      </c>
      <c r="H75" t="str">
        <f>SmtRes!O104</f>
        <v>маш.-ч.</v>
      </c>
      <c r="I75">
        <f>SmtRes!Y104*Source!I207</f>
        <v>10.0533</v>
      </c>
      <c r="J75">
        <f>SmtRes!AO104</f>
        <v>1</v>
      </c>
      <c r="K75">
        <f>SmtRes!AF104</f>
        <v>125.13</v>
      </c>
      <c r="L75">
        <f>SmtRes!DB104</f>
        <v>193.95</v>
      </c>
      <c r="M75">
        <f>ROUND(ROUND(L75*Source!I207, 6)*1, 2)</f>
        <v>1257.96</v>
      </c>
      <c r="N75">
        <f>SmtRes!AB104</f>
        <v>1539.38</v>
      </c>
      <c r="O75">
        <f>ROUND(ROUND(L75*Source!I207, 6)*SmtRes!DA104, 2)</f>
        <v>14781.03</v>
      </c>
      <c r="P75">
        <f>SmtRes!AG104</f>
        <v>24.74</v>
      </c>
      <c r="Q75">
        <f>SmtRes!DC104</f>
        <v>38.35</v>
      </c>
      <c r="R75">
        <f>ROUND(ROUND(Q75*Source!I207, 6)*1, 2)</f>
        <v>248.74</v>
      </c>
      <c r="S75">
        <f>SmtRes!AC104</f>
        <v>635.4</v>
      </c>
      <c r="T75">
        <f>ROUND(ROUND(Q75*Source!I207, 6)*SmtRes!AK104, 2)</f>
        <v>6101.55</v>
      </c>
      <c r="U75">
        <f>SmtRes!X104</f>
        <v>856318566</v>
      </c>
      <c r="V75">
        <v>-1785549983</v>
      </c>
      <c r="W75">
        <v>559728352</v>
      </c>
    </row>
    <row r="76" spans="1:23" x14ac:dyDescent="0.2">
      <c r="A76">
        <f>Source!A207</f>
        <v>17</v>
      </c>
      <c r="C76">
        <v>2</v>
      </c>
      <c r="D76">
        <v>0</v>
      </c>
      <c r="E76">
        <f>SmtRes!AV103</f>
        <v>0</v>
      </c>
      <c r="F76" t="str">
        <f>SmtRes!I103</f>
        <v>2.1-5-18</v>
      </c>
      <c r="G76" t="str">
        <f>SmtRes!K103</f>
        <v>Поливомоечные машины, емкость цистерны более 5000 л</v>
      </c>
      <c r="H76" t="str">
        <f>SmtRes!O103</f>
        <v>маш.-ч.</v>
      </c>
      <c r="I76">
        <f>SmtRes!Y103*Source!I207</f>
        <v>4.2159000000000004</v>
      </c>
      <c r="J76">
        <f>SmtRes!AO103</f>
        <v>1</v>
      </c>
      <c r="K76">
        <f>SmtRes!AF103</f>
        <v>140.58000000000001</v>
      </c>
      <c r="L76">
        <f>SmtRes!DB103</f>
        <v>91.38</v>
      </c>
      <c r="M76">
        <f>ROUND(ROUND(L76*Source!I207, 6)*1, 2)</f>
        <v>592.69000000000005</v>
      </c>
      <c r="N76">
        <f>SmtRes!AB103</f>
        <v>1162.78</v>
      </c>
      <c r="O76">
        <f>ROUND(ROUND(L76*Source!I207, 6)*SmtRes!DA103, 2)</f>
        <v>4682.26</v>
      </c>
      <c r="P76">
        <f>SmtRes!AG103</f>
        <v>28.61</v>
      </c>
      <c r="Q76">
        <f>SmtRes!DC103</f>
        <v>18.600000000000001</v>
      </c>
      <c r="R76">
        <f>ROUND(ROUND(Q76*Source!I207, 6)*1, 2)</f>
        <v>120.64</v>
      </c>
      <c r="S76">
        <f>SmtRes!AC103</f>
        <v>734.79</v>
      </c>
      <c r="T76">
        <f>ROUND(ROUND(Q76*Source!I207, 6)*SmtRes!AK103, 2)</f>
        <v>2959.29</v>
      </c>
      <c r="U76">
        <f>SmtRes!X103</f>
        <v>378346098</v>
      </c>
      <c r="V76">
        <v>-656460772</v>
      </c>
      <c r="W76">
        <v>368907495</v>
      </c>
    </row>
    <row r="77" spans="1:23" x14ac:dyDescent="0.2">
      <c r="A77">
        <f>Source!A207</f>
        <v>17</v>
      </c>
      <c r="C77">
        <v>2</v>
      </c>
      <c r="D77">
        <v>0</v>
      </c>
      <c r="E77">
        <f>SmtRes!AV102</f>
        <v>0</v>
      </c>
      <c r="F77" t="str">
        <f>SmtRes!I102</f>
        <v>2.1-5-15</v>
      </c>
      <c r="G77" t="str">
        <f>SmtRes!K102</f>
        <v>Катки прицепные пневмоколесные, масса до 50 т</v>
      </c>
      <c r="H77" t="str">
        <f>SmtRes!O102</f>
        <v>маш.-ч.</v>
      </c>
      <c r="I77">
        <f>SmtRes!Y102*Source!I207</f>
        <v>10.76676</v>
      </c>
      <c r="J77">
        <f>SmtRes!AO102</f>
        <v>1</v>
      </c>
      <c r="K77">
        <f>SmtRes!AF102</f>
        <v>62.97</v>
      </c>
      <c r="L77">
        <f>SmtRes!DB102</f>
        <v>104.53</v>
      </c>
      <c r="M77">
        <f>ROUND(ROUND(L77*Source!I207, 6)*1, 2)</f>
        <v>677.98</v>
      </c>
      <c r="N77">
        <f>SmtRes!AB102</f>
        <v>445.02</v>
      </c>
      <c r="O77">
        <f>ROUND(ROUND(L77*Source!I207, 6)*SmtRes!DA102, 2)</f>
        <v>4576.38</v>
      </c>
      <c r="P77">
        <f>SmtRes!AG102</f>
        <v>6.64</v>
      </c>
      <c r="Q77">
        <f>SmtRes!DC102</f>
        <v>11.02</v>
      </c>
      <c r="R77">
        <f>ROUND(ROUND(Q77*Source!I207, 6)*1, 2)</f>
        <v>71.48</v>
      </c>
      <c r="S77">
        <f>SmtRes!AC102</f>
        <v>170.53</v>
      </c>
      <c r="T77">
        <f>ROUND(ROUND(Q77*Source!I207, 6)*SmtRes!AK102, 2)</f>
        <v>1753.3</v>
      </c>
      <c r="U77">
        <f>SmtRes!X102</f>
        <v>142191915</v>
      </c>
      <c r="V77">
        <v>100101108</v>
      </c>
      <c r="W77">
        <v>439731329</v>
      </c>
    </row>
    <row r="78" spans="1:23" x14ac:dyDescent="0.2">
      <c r="A78">
        <f>Source!A207</f>
        <v>17</v>
      </c>
      <c r="C78">
        <v>2</v>
      </c>
      <c r="D78">
        <v>0</v>
      </c>
      <c r="E78">
        <f>SmtRes!AV101</f>
        <v>0</v>
      </c>
      <c r="F78" t="str">
        <f>SmtRes!I101</f>
        <v>2.1-2-1</v>
      </c>
      <c r="G78" t="str">
        <f>SmtRes!K101</f>
        <v>Тракторы на гусеничном ходу, мощность до 60 кВт (81 л.с.)</v>
      </c>
      <c r="H78" t="str">
        <f>SmtRes!O101</f>
        <v>маш.-ч.</v>
      </c>
      <c r="I78">
        <f>SmtRes!Y101*Source!I207</f>
        <v>10.76676</v>
      </c>
      <c r="J78">
        <f>SmtRes!AO101</f>
        <v>1</v>
      </c>
      <c r="K78">
        <f>SmtRes!AF101</f>
        <v>116.89</v>
      </c>
      <c r="L78">
        <f>SmtRes!DB101</f>
        <v>194.04</v>
      </c>
      <c r="M78">
        <f>ROUND(ROUND(L78*Source!I207, 6)*1, 2)</f>
        <v>1258.54</v>
      </c>
      <c r="N78">
        <f>SmtRes!AB101</f>
        <v>1261.78</v>
      </c>
      <c r="O78">
        <f>ROUND(ROUND(L78*Source!I207, 6)*SmtRes!DA101, 2)</f>
        <v>12975.58</v>
      </c>
      <c r="P78">
        <f>SmtRes!AG101</f>
        <v>23.41</v>
      </c>
      <c r="Q78">
        <f>SmtRes!DC101</f>
        <v>38.86</v>
      </c>
      <c r="R78">
        <f>ROUND(ROUND(Q78*Source!I207, 6)*1, 2)</f>
        <v>252.05</v>
      </c>
      <c r="S78">
        <f>SmtRes!AC101</f>
        <v>601.24</v>
      </c>
      <c r="T78">
        <f>ROUND(ROUND(Q78*Source!I207, 6)*SmtRes!AK101, 2)</f>
        <v>6182.69</v>
      </c>
      <c r="U78">
        <f>SmtRes!X101</f>
        <v>1928543733</v>
      </c>
      <c r="V78">
        <v>482636110</v>
      </c>
      <c r="W78">
        <v>-902618053</v>
      </c>
    </row>
    <row r="79" spans="1:23" x14ac:dyDescent="0.2">
      <c r="A79">
        <f>Source!A208</f>
        <v>18</v>
      </c>
      <c r="B79">
        <v>208</v>
      </c>
      <c r="C79">
        <v>3</v>
      </c>
      <c r="D79">
        <f>Source!BI208</f>
        <v>1</v>
      </c>
      <c r="E79">
        <f>Source!FS208</f>
        <v>0</v>
      </c>
      <c r="F79" t="str">
        <f>Source!F208</f>
        <v>1.1-1-766</v>
      </c>
      <c r="G79" t="str">
        <f>Source!G208</f>
        <v>Песок для строительных работ, рядовой</v>
      </c>
      <c r="H79" t="str">
        <f>Source!H208</f>
        <v>м3</v>
      </c>
      <c r="I79">
        <f>Source!I208</f>
        <v>713.46</v>
      </c>
      <c r="J79">
        <v>1</v>
      </c>
      <c r="K79">
        <f>Source!AC208</f>
        <v>104.99</v>
      </c>
      <c r="M79">
        <f>ROUND(K79*I79, 2)</f>
        <v>74906.17</v>
      </c>
      <c r="N79">
        <f>Source!AC208*IF(Source!BC208&lt;&gt; 0, Source!BC208, 1)</f>
        <v>552.24739999999997</v>
      </c>
      <c r="O79">
        <f>ROUND(N79*I79, 2)</f>
        <v>394006.43</v>
      </c>
      <c r="P79">
        <f>Source!AE208</f>
        <v>0</v>
      </c>
      <c r="R79">
        <f>ROUND(P79*I79, 2)</f>
        <v>0</v>
      </c>
      <c r="S79">
        <f>Source!AE208*IF(Source!BS208&lt;&gt; 0, Source!BS208, 1)</f>
        <v>0</v>
      </c>
      <c r="T79">
        <f>ROUND(S79*I79, 2)</f>
        <v>0</v>
      </c>
      <c r="U79">
        <f>Source!GF208</f>
        <v>2069056849</v>
      </c>
      <c r="V79">
        <v>464578271</v>
      </c>
      <c r="W79">
        <v>1615926593</v>
      </c>
    </row>
    <row r="80" spans="1:23" x14ac:dyDescent="0.2">
      <c r="A80">
        <f>Source!A209</f>
        <v>17</v>
      </c>
      <c r="C80">
        <v>3</v>
      </c>
      <c r="D80">
        <v>0</v>
      </c>
      <c r="E80">
        <f>SmtRes!AV115</f>
        <v>0</v>
      </c>
      <c r="F80" t="str">
        <f>SmtRes!I115</f>
        <v>1.1-1-118</v>
      </c>
      <c r="G80" t="str">
        <f>SmtRes!K115</f>
        <v>Вода</v>
      </c>
      <c r="H80" t="str">
        <f>SmtRes!O115</f>
        <v>м3</v>
      </c>
      <c r="I80">
        <f>SmtRes!Y115*Source!I209</f>
        <v>34.051499999999997</v>
      </c>
      <c r="J80">
        <f>SmtRes!AO115</f>
        <v>1</v>
      </c>
      <c r="K80">
        <f>SmtRes!AE115</f>
        <v>7.07</v>
      </c>
      <c r="L80">
        <f>SmtRes!DB115</f>
        <v>49.49</v>
      </c>
      <c r="M80">
        <f>ROUND(ROUND(L80*Source!I209, 6)*1, 2)</f>
        <v>240.74</v>
      </c>
      <c r="N80">
        <f>SmtRes!AA115</f>
        <v>35.35</v>
      </c>
      <c r="O80">
        <f>ROUND(ROUND(L80*Source!I209, 6)*SmtRes!DA115, 2)</f>
        <v>1201.31</v>
      </c>
      <c r="P80">
        <f>SmtRes!AG115</f>
        <v>0</v>
      </c>
      <c r="Q80">
        <f>SmtRes!DC115</f>
        <v>0</v>
      </c>
      <c r="R80">
        <f>ROUND(ROUND(Q80*Source!I209, 6)*1, 2)</f>
        <v>0</v>
      </c>
      <c r="S80">
        <f>SmtRes!AC115</f>
        <v>0</v>
      </c>
      <c r="T80">
        <f>ROUND(ROUND(Q80*Source!I209, 6)*SmtRes!AK115, 2)</f>
        <v>0</v>
      </c>
      <c r="U80">
        <f>SmtRes!X115</f>
        <v>-862991314</v>
      </c>
      <c r="V80">
        <v>209219300</v>
      </c>
      <c r="W80">
        <v>-1977920412</v>
      </c>
    </row>
    <row r="81" spans="1:23" x14ac:dyDescent="0.2">
      <c r="A81">
        <f>Source!A209</f>
        <v>17</v>
      </c>
      <c r="C81">
        <v>2</v>
      </c>
      <c r="D81">
        <v>0</v>
      </c>
      <c r="E81">
        <f>SmtRes!AV114</f>
        <v>0</v>
      </c>
      <c r="F81" t="str">
        <f>SmtRes!I114</f>
        <v>2.1-5-7</v>
      </c>
      <c r="G81" t="str">
        <f>SmtRes!K114</f>
        <v>Катки дорожные самоходные на пневмоколесном ходу, масса до 16 т</v>
      </c>
      <c r="H81" t="str">
        <f>SmtRes!O114</f>
        <v>маш.-ч.</v>
      </c>
      <c r="I81">
        <f>SmtRes!Y114*Source!I209</f>
        <v>2.5295399999999999</v>
      </c>
      <c r="J81">
        <f>SmtRes!AO114</f>
        <v>1</v>
      </c>
      <c r="K81">
        <f>SmtRes!AF114</f>
        <v>178.02</v>
      </c>
      <c r="L81">
        <f>SmtRes!DB114</f>
        <v>92.57</v>
      </c>
      <c r="M81">
        <f>ROUND(ROUND(L81*Source!I209, 6)*1, 2)</f>
        <v>450.31</v>
      </c>
      <c r="N81">
        <f>SmtRes!AB114</f>
        <v>1593.61</v>
      </c>
      <c r="O81">
        <f>ROUND(ROUND(L81*Source!I209, 6)*SmtRes!DA114, 2)</f>
        <v>3850.12</v>
      </c>
      <c r="P81">
        <f>SmtRes!AG114</f>
        <v>23.5</v>
      </c>
      <c r="Q81">
        <f>SmtRes!DC114</f>
        <v>12.22</v>
      </c>
      <c r="R81">
        <f>ROUND(ROUND(Q81*Source!I209, 6)*1, 2)</f>
        <v>59.44</v>
      </c>
      <c r="S81">
        <f>SmtRes!AC114</f>
        <v>603.54999999999995</v>
      </c>
      <c r="T81">
        <f>ROUND(ROUND(Q81*Source!I209, 6)*SmtRes!AK114, 2)</f>
        <v>1458.17</v>
      </c>
      <c r="U81">
        <f>SmtRes!X114</f>
        <v>2023875219</v>
      </c>
      <c r="V81">
        <v>1989037200</v>
      </c>
      <c r="W81">
        <v>2049417949</v>
      </c>
    </row>
    <row r="82" spans="1:23" x14ac:dyDescent="0.2">
      <c r="A82">
        <f>Source!A209</f>
        <v>17</v>
      </c>
      <c r="C82">
        <v>2</v>
      </c>
      <c r="D82">
        <v>0</v>
      </c>
      <c r="E82">
        <f>SmtRes!AV113</f>
        <v>0</v>
      </c>
      <c r="F82" t="str">
        <f>SmtRes!I113</f>
        <v>2.1-5-48</v>
      </c>
      <c r="G82" t="str">
        <f>SmtRes!K113</f>
        <v>Автогрейдеры, мощность 99-147 кВт (130-200 л.с.)</v>
      </c>
      <c r="H82" t="str">
        <f>SmtRes!O113</f>
        <v>маш.-ч.</v>
      </c>
      <c r="I82">
        <f>SmtRes!Y113*Source!I209</f>
        <v>8.7074549999999995</v>
      </c>
      <c r="J82">
        <f>SmtRes!AO113</f>
        <v>1</v>
      </c>
      <c r="K82">
        <f>SmtRes!AF113</f>
        <v>125.13</v>
      </c>
      <c r="L82">
        <f>SmtRes!DB113</f>
        <v>223.98</v>
      </c>
      <c r="M82">
        <f>ROUND(ROUND(L82*Source!I209, 6)*1, 2)</f>
        <v>1089.55</v>
      </c>
      <c r="N82">
        <f>SmtRes!AB113</f>
        <v>1539.38</v>
      </c>
      <c r="O82">
        <f>ROUND(ROUND(L82*Source!I209, 6)*SmtRes!DA113, 2)</f>
        <v>12802.22</v>
      </c>
      <c r="P82">
        <f>SmtRes!AG113</f>
        <v>24.74</v>
      </c>
      <c r="Q82">
        <f>SmtRes!DC113</f>
        <v>44.28</v>
      </c>
      <c r="R82">
        <f>ROUND(ROUND(Q82*Source!I209, 6)*1, 2)</f>
        <v>215.4</v>
      </c>
      <c r="S82">
        <f>SmtRes!AC113</f>
        <v>635.4</v>
      </c>
      <c r="T82">
        <f>ROUND(ROUND(Q82*Source!I209, 6)*SmtRes!AK113, 2)</f>
        <v>5283.76</v>
      </c>
      <c r="U82">
        <f>SmtRes!X113</f>
        <v>856318566</v>
      </c>
      <c r="V82">
        <v>-1785549983</v>
      </c>
      <c r="W82">
        <v>559728352</v>
      </c>
    </row>
    <row r="83" spans="1:23" x14ac:dyDescent="0.2">
      <c r="A83">
        <f>Source!A209</f>
        <v>17</v>
      </c>
      <c r="C83">
        <v>2</v>
      </c>
      <c r="D83">
        <v>0</v>
      </c>
      <c r="E83">
        <f>SmtRes!AV112</f>
        <v>0</v>
      </c>
      <c r="F83" t="str">
        <f>SmtRes!I112</f>
        <v>2.1-5-3</v>
      </c>
      <c r="G83" t="str">
        <f>SmtRes!K112</f>
        <v>Катки самоходные вибрационные, масса более 8 т</v>
      </c>
      <c r="H83" t="str">
        <f>SmtRes!O112</f>
        <v>маш.-ч.</v>
      </c>
      <c r="I83">
        <f>SmtRes!Y112*Source!I209</f>
        <v>71.021699999999996</v>
      </c>
      <c r="J83">
        <f>SmtRes!AO112</f>
        <v>1</v>
      </c>
      <c r="K83">
        <f>SmtRes!AF112</f>
        <v>119.77</v>
      </c>
      <c r="L83">
        <f>SmtRes!DB112</f>
        <v>1748.64</v>
      </c>
      <c r="M83">
        <f>ROUND(ROUND(L83*Source!I209, 6)*1, 2)</f>
        <v>8506.26</v>
      </c>
      <c r="N83">
        <f>SmtRes!AB112</f>
        <v>1037.05</v>
      </c>
      <c r="O83">
        <f>ROUND(ROUND(L83*Source!I209, 6)*SmtRes!DA112, 2)</f>
        <v>70346.759999999995</v>
      </c>
      <c r="P83">
        <f>SmtRes!AG112</f>
        <v>22.85</v>
      </c>
      <c r="Q83">
        <f>SmtRes!DC112</f>
        <v>333.61</v>
      </c>
      <c r="R83">
        <f>ROUND(ROUND(Q83*Source!I209, 6)*1, 2)</f>
        <v>1622.85</v>
      </c>
      <c r="S83">
        <f>SmtRes!AC112</f>
        <v>586.85</v>
      </c>
      <c r="T83">
        <f>ROUND(ROUND(Q83*Source!I209, 6)*SmtRes!AK112, 2)</f>
        <v>39808.410000000003</v>
      </c>
      <c r="U83">
        <f>SmtRes!X112</f>
        <v>205895447</v>
      </c>
      <c r="V83">
        <v>-1925184864</v>
      </c>
      <c r="W83">
        <v>187435400</v>
      </c>
    </row>
    <row r="84" spans="1:23" x14ac:dyDescent="0.2">
      <c r="A84">
        <f>Source!A209</f>
        <v>17</v>
      </c>
      <c r="C84">
        <v>2</v>
      </c>
      <c r="D84">
        <v>0</v>
      </c>
      <c r="E84">
        <f>SmtRes!AV111</f>
        <v>0</v>
      </c>
      <c r="F84" t="str">
        <f>SmtRes!I111</f>
        <v>2.1-5-2</v>
      </c>
      <c r="G84" t="str">
        <f>SmtRes!K111</f>
        <v>Катки самоходные вибрационные, масса до 8 т</v>
      </c>
      <c r="H84" t="str">
        <f>SmtRes!O111</f>
        <v>маш.-ч.</v>
      </c>
      <c r="I84">
        <f>SmtRes!Y111*Source!I209</f>
        <v>34.878464999999998</v>
      </c>
      <c r="J84">
        <f>SmtRes!AO111</f>
        <v>1</v>
      </c>
      <c r="K84">
        <f>SmtRes!AF111</f>
        <v>84.82</v>
      </c>
      <c r="L84">
        <f>SmtRes!DB111</f>
        <v>608.16</v>
      </c>
      <c r="M84">
        <f>ROUND(ROUND(L84*Source!I209, 6)*1, 2)</f>
        <v>2958.39</v>
      </c>
      <c r="N84">
        <f>SmtRes!AB111</f>
        <v>729.99</v>
      </c>
      <c r="O84">
        <f>ROUND(ROUND(L84*Source!I209, 6)*SmtRes!DA111, 2)</f>
        <v>24318</v>
      </c>
      <c r="P84">
        <f>SmtRes!AG111</f>
        <v>22.85</v>
      </c>
      <c r="Q84">
        <f>SmtRes!DC111</f>
        <v>163.83000000000001</v>
      </c>
      <c r="R84">
        <f>ROUND(ROUND(Q84*Source!I209, 6)*1, 2)</f>
        <v>796.95</v>
      </c>
      <c r="S84">
        <f>SmtRes!AC111</f>
        <v>586.85</v>
      </c>
      <c r="T84">
        <f>ROUND(ROUND(Q84*Source!I209, 6)*SmtRes!AK111, 2)</f>
        <v>19549.21</v>
      </c>
      <c r="U84">
        <f>SmtRes!X111</f>
        <v>-251987950</v>
      </c>
      <c r="V84">
        <v>1495438336</v>
      </c>
      <c r="W84">
        <v>1817474990</v>
      </c>
    </row>
    <row r="85" spans="1:23" x14ac:dyDescent="0.2">
      <c r="A85">
        <f>Source!A209</f>
        <v>17</v>
      </c>
      <c r="C85">
        <v>2</v>
      </c>
      <c r="D85">
        <v>0</v>
      </c>
      <c r="E85">
        <f>SmtRes!AV110</f>
        <v>0</v>
      </c>
      <c r="F85" t="str">
        <f>SmtRes!I110</f>
        <v>2.1-5-18</v>
      </c>
      <c r="G85" t="str">
        <f>SmtRes!K110</f>
        <v>Поливомоечные машины, емкость цистерны более 5000 л</v>
      </c>
      <c r="H85" t="str">
        <f>SmtRes!O110</f>
        <v>маш.-ч.</v>
      </c>
      <c r="I85">
        <f>SmtRes!Y110*Source!I209</f>
        <v>4.4266949999999996</v>
      </c>
      <c r="J85">
        <f>SmtRes!AO110</f>
        <v>1</v>
      </c>
      <c r="K85">
        <f>SmtRes!AF110</f>
        <v>140.58000000000001</v>
      </c>
      <c r="L85">
        <f>SmtRes!DB110</f>
        <v>127.93</v>
      </c>
      <c r="M85">
        <f>ROUND(ROUND(L85*Source!I209, 6)*1, 2)</f>
        <v>622.32000000000005</v>
      </c>
      <c r="N85">
        <f>SmtRes!AB110</f>
        <v>1162.78</v>
      </c>
      <c r="O85">
        <f>ROUND(ROUND(L85*Source!I209, 6)*SmtRes!DA110, 2)</f>
        <v>4916.29</v>
      </c>
      <c r="P85">
        <f>SmtRes!AG110</f>
        <v>28.61</v>
      </c>
      <c r="Q85">
        <f>SmtRes!DC110</f>
        <v>26.04</v>
      </c>
      <c r="R85">
        <f>ROUND(ROUND(Q85*Source!I209, 6)*1, 2)</f>
        <v>126.67</v>
      </c>
      <c r="S85">
        <f>SmtRes!AC110</f>
        <v>734.79</v>
      </c>
      <c r="T85">
        <f>ROUND(ROUND(Q85*Source!I209, 6)*SmtRes!AK110, 2)</f>
        <v>3107.25</v>
      </c>
      <c r="U85">
        <f>SmtRes!X110</f>
        <v>378346098</v>
      </c>
      <c r="V85">
        <v>-656460772</v>
      </c>
      <c r="W85">
        <v>368907495</v>
      </c>
    </row>
    <row r="86" spans="1:23" x14ac:dyDescent="0.2">
      <c r="A86">
        <f>Source!A209</f>
        <v>17</v>
      </c>
      <c r="C86">
        <v>2</v>
      </c>
      <c r="D86">
        <v>0</v>
      </c>
      <c r="E86">
        <f>SmtRes!AV109</f>
        <v>0</v>
      </c>
      <c r="F86" t="str">
        <f>SmtRes!I109</f>
        <v>2.1-1-43</v>
      </c>
      <c r="G86" t="str">
        <f>SmtRes!K109</f>
        <v>Бульдозеры гусеничные, мощность до 59 кВт (80 л.с.)</v>
      </c>
      <c r="H86" t="str">
        <f>SmtRes!O109</f>
        <v>маш.-ч.</v>
      </c>
      <c r="I86">
        <f>SmtRes!Y109*Source!I209</f>
        <v>11.431574999999999</v>
      </c>
      <c r="J86">
        <f>SmtRes!AO109</f>
        <v>1</v>
      </c>
      <c r="K86">
        <f>SmtRes!AF109</f>
        <v>95.06</v>
      </c>
      <c r="L86">
        <f>SmtRes!DB109</f>
        <v>223.39</v>
      </c>
      <c r="M86">
        <f>ROUND(ROUND(L86*Source!I209, 6)*1, 2)</f>
        <v>1086.68</v>
      </c>
      <c r="N86">
        <f>SmtRes!AB109</f>
        <v>989.31</v>
      </c>
      <c r="O86">
        <f>ROUND(ROUND(L86*Source!I209, 6)*SmtRes!DA109, 2)</f>
        <v>10801.61</v>
      </c>
      <c r="P86">
        <f>SmtRes!AG109</f>
        <v>22.22</v>
      </c>
      <c r="Q86">
        <f>SmtRes!DC109</f>
        <v>52.22</v>
      </c>
      <c r="R86">
        <f>ROUND(ROUND(Q86*Source!I209, 6)*1, 2)</f>
        <v>254.02</v>
      </c>
      <c r="S86">
        <f>SmtRes!AC109</f>
        <v>570.66999999999996</v>
      </c>
      <c r="T86">
        <f>ROUND(ROUND(Q86*Source!I209, 6)*SmtRes!AK109, 2)</f>
        <v>6231.21</v>
      </c>
      <c r="U86">
        <f>SmtRes!X109</f>
        <v>1109083233</v>
      </c>
      <c r="V86">
        <v>1544475478</v>
      </c>
      <c r="W86">
        <v>-158017304</v>
      </c>
    </row>
    <row r="87" spans="1:23" x14ac:dyDescent="0.2">
      <c r="A87">
        <f>Source!A210</f>
        <v>18</v>
      </c>
      <c r="B87">
        <v>210</v>
      </c>
      <c r="C87">
        <v>3</v>
      </c>
      <c r="D87">
        <f>Source!BI210</f>
        <v>1</v>
      </c>
      <c r="E87">
        <f>Source!FS210</f>
        <v>0</v>
      </c>
      <c r="F87" t="str">
        <f>Source!F210</f>
        <v>1.1-1-1550</v>
      </c>
      <c r="G87" t="str">
        <f>Source!G210</f>
        <v>Щебень из естественного камня для дорожных работ, марка 600 - 400, фракция 20-40 мм</v>
      </c>
      <c r="H87" t="str">
        <f>Source!H210</f>
        <v>м3</v>
      </c>
      <c r="I87">
        <f>Source!I210</f>
        <v>612.92700000000002</v>
      </c>
      <c r="J87">
        <v>1</v>
      </c>
      <c r="K87">
        <f>Source!AC210</f>
        <v>173.37</v>
      </c>
      <c r="M87">
        <f>ROUND(K87*I87, 2)</f>
        <v>106263.15</v>
      </c>
      <c r="N87">
        <f>Source!AC210*IF(Source!BC210&lt;&gt; 0, Source!BC210, 1)</f>
        <v>1868.9286</v>
      </c>
      <c r="O87">
        <f>ROUND(N87*I87, 2)</f>
        <v>1145516.8</v>
      </c>
      <c r="P87">
        <f>Source!AE210</f>
        <v>0</v>
      </c>
      <c r="R87">
        <f>ROUND(P87*I87, 2)</f>
        <v>0</v>
      </c>
      <c r="S87">
        <f>Source!AE210*IF(Source!BS210&lt;&gt; 0, Source!BS210, 1)</f>
        <v>0</v>
      </c>
      <c r="T87">
        <f>ROUND(S87*I87, 2)</f>
        <v>0</v>
      </c>
      <c r="U87">
        <f>Source!GF210</f>
        <v>-820942871</v>
      </c>
      <c r="V87">
        <v>1968999642</v>
      </c>
      <c r="W87">
        <v>1682878819</v>
      </c>
    </row>
    <row r="88" spans="1:23" x14ac:dyDescent="0.2">
      <c r="A88">
        <f>Source!A211</f>
        <v>17</v>
      </c>
      <c r="C88">
        <v>3</v>
      </c>
      <c r="D88">
        <v>0</v>
      </c>
      <c r="E88">
        <f>SmtRes!AV119</f>
        <v>0</v>
      </c>
      <c r="F88" t="str">
        <f>SmtRes!I119</f>
        <v>1.1-1-46</v>
      </c>
      <c r="G88" t="str">
        <f>SmtRes!K119</f>
        <v>Битумы нефтяные, дорожные жидкие, марка МГ, СГ</v>
      </c>
      <c r="H88" t="str">
        <f>SmtRes!O119</f>
        <v>т</v>
      </c>
      <c r="I88">
        <f>SmtRes!Y119*Source!I211</f>
        <v>1.9458</v>
      </c>
      <c r="J88">
        <f>SmtRes!AO119</f>
        <v>1</v>
      </c>
      <c r="K88">
        <f>SmtRes!AE119</f>
        <v>3501.78</v>
      </c>
      <c r="L88">
        <f>SmtRes!DB119</f>
        <v>210.11</v>
      </c>
      <c r="M88">
        <f>ROUND(ROUND(L88*Source!I211, 6)*1, 2)</f>
        <v>6813.87</v>
      </c>
      <c r="N88">
        <f>SmtRes!AA119</f>
        <v>21711.040000000001</v>
      </c>
      <c r="O88">
        <f>ROUND(ROUND(L88*Source!I211, 6)*SmtRes!DA119, 2)</f>
        <v>42245.98</v>
      </c>
      <c r="P88">
        <f>SmtRes!AG119</f>
        <v>0</v>
      </c>
      <c r="Q88">
        <f>SmtRes!DC119</f>
        <v>0</v>
      </c>
      <c r="R88">
        <f>ROUND(ROUND(Q88*Source!I211, 6)*1, 2)</f>
        <v>0</v>
      </c>
      <c r="S88">
        <f>SmtRes!AC119</f>
        <v>0</v>
      </c>
      <c r="T88">
        <f>ROUND(ROUND(Q88*Source!I211, 6)*SmtRes!AK119, 2)</f>
        <v>0</v>
      </c>
      <c r="U88">
        <f>SmtRes!X119</f>
        <v>435343267</v>
      </c>
      <c r="V88">
        <v>977557618</v>
      </c>
      <c r="W88">
        <v>314446494</v>
      </c>
    </row>
    <row r="89" spans="1:23" x14ac:dyDescent="0.2">
      <c r="A89">
        <f>Source!A211</f>
        <v>17</v>
      </c>
      <c r="C89">
        <v>2</v>
      </c>
      <c r="D89">
        <v>0</v>
      </c>
      <c r="E89">
        <f>SmtRes!AV118</f>
        <v>0</v>
      </c>
      <c r="F89" t="str">
        <f>SmtRes!I118</f>
        <v>2.1-5-2</v>
      </c>
      <c r="G89" t="str">
        <f>SmtRes!K118</f>
        <v>Катки самоходные вибрационные, масса до 8 т</v>
      </c>
      <c r="H89" t="str">
        <f>SmtRes!O118</f>
        <v>маш.-ч.</v>
      </c>
      <c r="I89">
        <f>SmtRes!Y118*Source!I211</f>
        <v>23.025299999999998</v>
      </c>
      <c r="J89">
        <f>SmtRes!AO118</f>
        <v>1</v>
      </c>
      <c r="K89">
        <f>SmtRes!AF118</f>
        <v>84.82</v>
      </c>
      <c r="L89">
        <f>SmtRes!DB118</f>
        <v>60.22</v>
      </c>
      <c r="M89">
        <f>ROUND(ROUND(L89*Source!I211, 6)*1, 2)</f>
        <v>1952.93</v>
      </c>
      <c r="N89">
        <f>SmtRes!AB118</f>
        <v>729.99</v>
      </c>
      <c r="O89">
        <f>ROUND(ROUND(L89*Source!I211, 6)*SmtRes!DA118, 2)</f>
        <v>16053.12</v>
      </c>
      <c r="P89">
        <f>SmtRes!AG118</f>
        <v>22.85</v>
      </c>
      <c r="Q89">
        <f>SmtRes!DC118</f>
        <v>16.22</v>
      </c>
      <c r="R89">
        <f>ROUND(ROUND(Q89*Source!I211, 6)*1, 2)</f>
        <v>526.01</v>
      </c>
      <c r="S89">
        <f>SmtRes!AC118</f>
        <v>586.85</v>
      </c>
      <c r="T89">
        <f>ROUND(ROUND(Q89*Source!I211, 6)*SmtRes!AK118, 2)</f>
        <v>12903.14</v>
      </c>
      <c r="U89">
        <f>SmtRes!X118</f>
        <v>-251987950</v>
      </c>
      <c r="V89">
        <v>1495438336</v>
      </c>
      <c r="W89">
        <v>1817474990</v>
      </c>
    </row>
    <row r="90" spans="1:23" x14ac:dyDescent="0.2">
      <c r="A90">
        <f>Source!A212</f>
        <v>18</v>
      </c>
      <c r="B90">
        <v>212</v>
      </c>
      <c r="C90">
        <v>3</v>
      </c>
      <c r="D90">
        <f>Source!BI212</f>
        <v>1</v>
      </c>
      <c r="E90">
        <f>Source!FS212</f>
        <v>0</v>
      </c>
      <c r="F90" t="str">
        <f>Source!F212</f>
        <v>1.3-3-51</v>
      </c>
      <c r="G90" t="str">
        <f>Source!G212</f>
        <v>Смеси асфальтобетонные дорожные горячие песчаные, тип Д, марка II</v>
      </c>
      <c r="H90" t="str">
        <f>Source!H212</f>
        <v>т</v>
      </c>
      <c r="I90">
        <f>Source!I212</f>
        <v>418.18484999999998</v>
      </c>
      <c r="J90">
        <v>1</v>
      </c>
      <c r="K90">
        <f>Source!AC212</f>
        <v>317.95999999999998</v>
      </c>
      <c r="M90">
        <f>ROUND(K90*I90, 2)</f>
        <v>132966.04999999999</v>
      </c>
      <c r="N90">
        <f>Source!AC212*IF(Source!BC212&lt;&gt; 0, Source!BC212, 1)</f>
        <v>2619.9903999999997</v>
      </c>
      <c r="O90">
        <f>ROUND(N90*I90, 2)</f>
        <v>1095640.29</v>
      </c>
      <c r="P90">
        <f>Source!AE212</f>
        <v>0</v>
      </c>
      <c r="R90">
        <f>ROUND(P90*I90, 2)</f>
        <v>0</v>
      </c>
      <c r="S90">
        <f>Source!AE212*IF(Source!BS212&lt;&gt; 0, Source!BS212, 1)</f>
        <v>0</v>
      </c>
      <c r="T90">
        <f>ROUND(S90*I90, 2)</f>
        <v>0</v>
      </c>
      <c r="U90">
        <f>Source!GF212</f>
        <v>-956564323</v>
      </c>
      <c r="V90">
        <v>61099551</v>
      </c>
      <c r="W90">
        <v>1596233619</v>
      </c>
    </row>
    <row r="91" spans="1:23" x14ac:dyDescent="0.2">
      <c r="A91">
        <f>Source!A245</f>
        <v>4</v>
      </c>
      <c r="B91">
        <v>245</v>
      </c>
      <c r="G91" t="str">
        <f>Source!G245</f>
        <v>11. Камень бетонный садовый 2093м</v>
      </c>
    </row>
    <row r="92" spans="1:23" x14ac:dyDescent="0.2">
      <c r="A92">
        <f>Source!A254</f>
        <v>17</v>
      </c>
      <c r="C92">
        <v>3</v>
      </c>
      <c r="D92">
        <v>0</v>
      </c>
      <c r="E92">
        <f>SmtRes!AV132</f>
        <v>0</v>
      </c>
      <c r="F92" t="str">
        <f>SmtRes!I132</f>
        <v>1.1-1-118</v>
      </c>
      <c r="G92" t="str">
        <f>SmtRes!K132</f>
        <v>Вода</v>
      </c>
      <c r="H92" t="str">
        <f>SmtRes!O132</f>
        <v>м3</v>
      </c>
      <c r="I92">
        <f>SmtRes!Y132*Source!I254</f>
        <v>2.093</v>
      </c>
      <c r="J92">
        <f>SmtRes!AO132</f>
        <v>1</v>
      </c>
      <c r="K92">
        <f>SmtRes!AE132</f>
        <v>7.07</v>
      </c>
      <c r="L92">
        <f>SmtRes!DB132</f>
        <v>35.35</v>
      </c>
      <c r="M92">
        <f>ROUND(ROUND(L92*Source!I254, 6)*1, 2)</f>
        <v>14.8</v>
      </c>
      <c r="N92">
        <f>SmtRes!AA132</f>
        <v>35.35</v>
      </c>
      <c r="O92">
        <f>ROUND(ROUND(L92*Source!I254, 6)*SmtRes!DA132, 2)</f>
        <v>73.84</v>
      </c>
      <c r="P92">
        <f>SmtRes!AG132</f>
        <v>0</v>
      </c>
      <c r="Q92">
        <f>SmtRes!DC132</f>
        <v>0</v>
      </c>
      <c r="R92">
        <f>ROUND(ROUND(Q92*Source!I254, 6)*1, 2)</f>
        <v>0</v>
      </c>
      <c r="S92">
        <f>SmtRes!AC132</f>
        <v>0</v>
      </c>
      <c r="T92">
        <f>ROUND(ROUND(Q92*Source!I254, 6)*SmtRes!AK132, 2)</f>
        <v>0</v>
      </c>
      <c r="U92">
        <f>SmtRes!X132</f>
        <v>-862991314</v>
      </c>
      <c r="V92">
        <v>209219300</v>
      </c>
      <c r="W92">
        <v>-1977920412</v>
      </c>
    </row>
    <row r="93" spans="1:23" x14ac:dyDescent="0.2">
      <c r="A93">
        <f>Source!A254</f>
        <v>17</v>
      </c>
      <c r="C93">
        <v>2</v>
      </c>
      <c r="D93">
        <v>0</v>
      </c>
      <c r="E93">
        <f>SmtRes!AV131</f>
        <v>0</v>
      </c>
      <c r="F93" t="str">
        <f>SmtRes!I131</f>
        <v>2.1-5-7</v>
      </c>
      <c r="G93" t="str">
        <f>SmtRes!K131</f>
        <v>Катки дорожные самоходные на пневмоколесном ходу, масса до 16 т</v>
      </c>
      <c r="H93" t="str">
        <f>SmtRes!O131</f>
        <v>маш.-ч.</v>
      </c>
      <c r="I93">
        <f>SmtRes!Y131*Source!I254</f>
        <v>0.21767200000000003</v>
      </c>
      <c r="J93">
        <f>SmtRes!AO131</f>
        <v>1</v>
      </c>
      <c r="K93">
        <f>SmtRes!AF131</f>
        <v>178.02</v>
      </c>
      <c r="L93">
        <f>SmtRes!DB131</f>
        <v>92.57</v>
      </c>
      <c r="M93">
        <f>ROUND(ROUND(L93*Source!I254, 6)*1, 2)</f>
        <v>38.75</v>
      </c>
      <c r="N93">
        <f>SmtRes!AB131</f>
        <v>1593.61</v>
      </c>
      <c r="O93">
        <f>ROUND(ROUND(L93*Source!I254, 6)*SmtRes!DA131, 2)</f>
        <v>331.31</v>
      </c>
      <c r="P93">
        <f>SmtRes!AG131</f>
        <v>23.5</v>
      </c>
      <c r="Q93">
        <f>SmtRes!DC131</f>
        <v>12.22</v>
      </c>
      <c r="R93">
        <f>ROUND(ROUND(Q93*Source!I254, 6)*1, 2)</f>
        <v>5.12</v>
      </c>
      <c r="S93">
        <f>SmtRes!AC131</f>
        <v>603.54999999999995</v>
      </c>
      <c r="T93">
        <f>ROUND(ROUND(Q93*Source!I254, 6)*SmtRes!AK131, 2)</f>
        <v>125.48</v>
      </c>
      <c r="U93">
        <f>SmtRes!X131</f>
        <v>2023875219</v>
      </c>
      <c r="V93">
        <v>1989037200</v>
      </c>
      <c r="W93">
        <v>2049417949</v>
      </c>
    </row>
    <row r="94" spans="1:23" x14ac:dyDescent="0.2">
      <c r="A94">
        <f>Source!A254</f>
        <v>17</v>
      </c>
      <c r="C94">
        <v>2</v>
      </c>
      <c r="D94">
        <v>0</v>
      </c>
      <c r="E94">
        <f>SmtRes!AV130</f>
        <v>0</v>
      </c>
      <c r="F94" t="str">
        <f>SmtRes!I130</f>
        <v>2.1-5-48</v>
      </c>
      <c r="G94" t="str">
        <f>SmtRes!K130</f>
        <v>Автогрейдеры, мощность 99-147 кВт (130-200 л.с.)</v>
      </c>
      <c r="H94" t="str">
        <f>SmtRes!O130</f>
        <v>маш.-ч.</v>
      </c>
      <c r="I94">
        <f>SmtRes!Y130*Source!I254</f>
        <v>0.64883000000000002</v>
      </c>
      <c r="J94">
        <f>SmtRes!AO130</f>
        <v>1</v>
      </c>
      <c r="K94">
        <f>SmtRes!AF130</f>
        <v>125.13</v>
      </c>
      <c r="L94">
        <f>SmtRes!DB130</f>
        <v>193.95</v>
      </c>
      <c r="M94">
        <f>ROUND(ROUND(L94*Source!I254, 6)*1, 2)</f>
        <v>81.19</v>
      </c>
      <c r="N94">
        <f>SmtRes!AB130</f>
        <v>1539.38</v>
      </c>
      <c r="O94">
        <f>ROUND(ROUND(L94*Source!I254, 6)*SmtRes!DA130, 2)</f>
        <v>953.95</v>
      </c>
      <c r="P94">
        <f>SmtRes!AG130</f>
        <v>24.74</v>
      </c>
      <c r="Q94">
        <f>SmtRes!DC130</f>
        <v>38.35</v>
      </c>
      <c r="R94">
        <f>ROUND(ROUND(Q94*Source!I254, 6)*1, 2)</f>
        <v>16.05</v>
      </c>
      <c r="S94">
        <f>SmtRes!AC130</f>
        <v>635.4</v>
      </c>
      <c r="T94">
        <f>ROUND(ROUND(Q94*Source!I254, 6)*SmtRes!AK130, 2)</f>
        <v>393.79</v>
      </c>
      <c r="U94">
        <f>SmtRes!X130</f>
        <v>856318566</v>
      </c>
      <c r="V94">
        <v>-1785549983</v>
      </c>
      <c r="W94">
        <v>559728352</v>
      </c>
    </row>
    <row r="95" spans="1:23" x14ac:dyDescent="0.2">
      <c r="A95">
        <f>Source!A254</f>
        <v>17</v>
      </c>
      <c r="C95">
        <v>2</v>
      </c>
      <c r="D95">
        <v>0</v>
      </c>
      <c r="E95">
        <f>SmtRes!AV129</f>
        <v>0</v>
      </c>
      <c r="F95" t="str">
        <f>SmtRes!I129</f>
        <v>2.1-5-18</v>
      </c>
      <c r="G95" t="str">
        <f>SmtRes!K129</f>
        <v>Поливомоечные машины, емкость цистерны более 5000 л</v>
      </c>
      <c r="H95" t="str">
        <f>SmtRes!O129</f>
        <v>маш.-ч.</v>
      </c>
      <c r="I95">
        <f>SmtRes!Y129*Source!I254</f>
        <v>0.27209000000000005</v>
      </c>
      <c r="J95">
        <f>SmtRes!AO129</f>
        <v>1</v>
      </c>
      <c r="K95">
        <f>SmtRes!AF129</f>
        <v>140.58000000000001</v>
      </c>
      <c r="L95">
        <f>SmtRes!DB129</f>
        <v>91.38</v>
      </c>
      <c r="M95">
        <f>ROUND(ROUND(L95*Source!I254, 6)*1, 2)</f>
        <v>38.25</v>
      </c>
      <c r="N95">
        <f>SmtRes!AB129</f>
        <v>1162.78</v>
      </c>
      <c r="O95">
        <f>ROUND(ROUND(L95*Source!I254, 6)*SmtRes!DA129, 2)</f>
        <v>302.19</v>
      </c>
      <c r="P95">
        <f>SmtRes!AG129</f>
        <v>28.61</v>
      </c>
      <c r="Q95">
        <f>SmtRes!DC129</f>
        <v>18.600000000000001</v>
      </c>
      <c r="R95">
        <f>ROUND(ROUND(Q95*Source!I254, 6)*1, 2)</f>
        <v>7.79</v>
      </c>
      <c r="S95">
        <f>SmtRes!AC129</f>
        <v>734.79</v>
      </c>
      <c r="T95">
        <f>ROUND(ROUND(Q95*Source!I254, 6)*SmtRes!AK129, 2)</f>
        <v>190.99</v>
      </c>
      <c r="U95">
        <f>SmtRes!X129</f>
        <v>378346098</v>
      </c>
      <c r="V95">
        <v>-656460772</v>
      </c>
      <c r="W95">
        <v>368907495</v>
      </c>
    </row>
    <row r="96" spans="1:23" x14ac:dyDescent="0.2">
      <c r="A96">
        <f>Source!A254</f>
        <v>17</v>
      </c>
      <c r="C96">
        <v>2</v>
      </c>
      <c r="D96">
        <v>0</v>
      </c>
      <c r="E96">
        <f>SmtRes!AV128</f>
        <v>0</v>
      </c>
      <c r="F96" t="str">
        <f>SmtRes!I128</f>
        <v>2.1-5-15</v>
      </c>
      <c r="G96" t="str">
        <f>SmtRes!K128</f>
        <v>Катки прицепные пневмоколесные, масса до 50 т</v>
      </c>
      <c r="H96" t="str">
        <f>SmtRes!O128</f>
        <v>маш.-ч.</v>
      </c>
      <c r="I96">
        <f>SmtRes!Y128*Source!I254</f>
        <v>0.69487600000000005</v>
      </c>
      <c r="J96">
        <f>SmtRes!AO128</f>
        <v>1</v>
      </c>
      <c r="K96">
        <f>SmtRes!AF128</f>
        <v>62.97</v>
      </c>
      <c r="L96">
        <f>SmtRes!DB128</f>
        <v>104.53</v>
      </c>
      <c r="M96">
        <f>ROUND(ROUND(L96*Source!I254, 6)*1, 2)</f>
        <v>43.76</v>
      </c>
      <c r="N96">
        <f>SmtRes!AB128</f>
        <v>445.02</v>
      </c>
      <c r="O96">
        <f>ROUND(ROUND(L96*Source!I254, 6)*SmtRes!DA128, 2)</f>
        <v>295.35000000000002</v>
      </c>
      <c r="P96">
        <f>SmtRes!AG128</f>
        <v>6.64</v>
      </c>
      <c r="Q96">
        <f>SmtRes!DC128</f>
        <v>11.02</v>
      </c>
      <c r="R96">
        <f>ROUND(ROUND(Q96*Source!I254, 6)*1, 2)</f>
        <v>4.6100000000000003</v>
      </c>
      <c r="S96">
        <f>SmtRes!AC128</f>
        <v>170.53</v>
      </c>
      <c r="T96">
        <f>ROUND(ROUND(Q96*Source!I254, 6)*SmtRes!AK128, 2)</f>
        <v>113.16</v>
      </c>
      <c r="U96">
        <f>SmtRes!X128</f>
        <v>142191915</v>
      </c>
      <c r="V96">
        <v>100101108</v>
      </c>
      <c r="W96">
        <v>439731329</v>
      </c>
    </row>
    <row r="97" spans="1:23" x14ac:dyDescent="0.2">
      <c r="A97">
        <f>Source!A254</f>
        <v>17</v>
      </c>
      <c r="C97">
        <v>2</v>
      </c>
      <c r="D97">
        <v>0</v>
      </c>
      <c r="E97">
        <f>SmtRes!AV127</f>
        <v>0</v>
      </c>
      <c r="F97" t="str">
        <f>SmtRes!I127</f>
        <v>2.1-2-1</v>
      </c>
      <c r="G97" t="str">
        <f>SmtRes!K127</f>
        <v>Тракторы на гусеничном ходу, мощность до 60 кВт (81 л.с.)</v>
      </c>
      <c r="H97" t="str">
        <f>SmtRes!O127</f>
        <v>маш.-ч.</v>
      </c>
      <c r="I97">
        <f>SmtRes!Y127*Source!I254</f>
        <v>0.69487600000000005</v>
      </c>
      <c r="J97">
        <f>SmtRes!AO127</f>
        <v>1</v>
      </c>
      <c r="K97">
        <f>SmtRes!AF127</f>
        <v>116.89</v>
      </c>
      <c r="L97">
        <f>SmtRes!DB127</f>
        <v>194.04</v>
      </c>
      <c r="M97">
        <f>ROUND(ROUND(L97*Source!I254, 6)*1, 2)</f>
        <v>81.23</v>
      </c>
      <c r="N97">
        <f>SmtRes!AB127</f>
        <v>1261.78</v>
      </c>
      <c r="O97">
        <f>ROUND(ROUND(L97*Source!I254, 6)*SmtRes!DA127, 2)</f>
        <v>837.43</v>
      </c>
      <c r="P97">
        <f>SmtRes!AG127</f>
        <v>23.41</v>
      </c>
      <c r="Q97">
        <f>SmtRes!DC127</f>
        <v>38.86</v>
      </c>
      <c r="R97">
        <f>ROUND(ROUND(Q97*Source!I254, 6)*1, 2)</f>
        <v>16.27</v>
      </c>
      <c r="S97">
        <f>SmtRes!AC127</f>
        <v>601.24</v>
      </c>
      <c r="T97">
        <f>ROUND(ROUND(Q97*Source!I254, 6)*SmtRes!AK127, 2)</f>
        <v>399.02</v>
      </c>
      <c r="U97">
        <f>SmtRes!X127</f>
        <v>1928543733</v>
      </c>
      <c r="V97">
        <v>482636110</v>
      </c>
      <c r="W97">
        <v>-902618053</v>
      </c>
    </row>
    <row r="98" spans="1:23" x14ac:dyDescent="0.2">
      <c r="A98">
        <f>Source!A255</f>
        <v>18</v>
      </c>
      <c r="B98">
        <v>255</v>
      </c>
      <c r="C98">
        <v>3</v>
      </c>
      <c r="D98">
        <f>Source!BI255</f>
        <v>1</v>
      </c>
      <c r="E98">
        <f>Source!FS255</f>
        <v>0</v>
      </c>
      <c r="F98" t="str">
        <f>Source!F255</f>
        <v>1.1-1-766</v>
      </c>
      <c r="G98" t="str">
        <f>Source!G255</f>
        <v>Песок для строительных работ, рядовой</v>
      </c>
      <c r="H98" t="str">
        <f>Source!H255</f>
        <v>м3</v>
      </c>
      <c r="I98">
        <f>Source!I255</f>
        <v>46.045999999999999</v>
      </c>
      <c r="J98">
        <v>1</v>
      </c>
      <c r="K98">
        <f>Source!AC255</f>
        <v>104.99</v>
      </c>
      <c r="M98">
        <f>ROUND(K98*I98, 2)</f>
        <v>4834.37</v>
      </c>
      <c r="N98">
        <f>Source!AC255*IF(Source!BC255&lt;&gt; 0, Source!BC255, 1)</f>
        <v>552.24739999999997</v>
      </c>
      <c r="O98">
        <f>ROUND(N98*I98, 2)</f>
        <v>25428.78</v>
      </c>
      <c r="P98">
        <f>Source!AE255</f>
        <v>0</v>
      </c>
      <c r="R98">
        <f>ROUND(P98*I98, 2)</f>
        <v>0</v>
      </c>
      <c r="S98">
        <f>Source!AE255*IF(Source!BS255&lt;&gt; 0, Source!BS255, 1)</f>
        <v>0</v>
      </c>
      <c r="T98">
        <f>ROUND(S98*I98, 2)</f>
        <v>0</v>
      </c>
      <c r="U98">
        <f>Source!GF255</f>
        <v>2069056849</v>
      </c>
      <c r="V98">
        <v>464578271</v>
      </c>
      <c r="W98">
        <v>1615926593</v>
      </c>
    </row>
    <row r="99" spans="1:23" x14ac:dyDescent="0.2">
      <c r="A99">
        <f>Source!A256</f>
        <v>17</v>
      </c>
      <c r="C99">
        <v>3</v>
      </c>
      <c r="D99">
        <v>0</v>
      </c>
      <c r="E99">
        <f>SmtRes!AV141</f>
        <v>0</v>
      </c>
      <c r="F99" t="str">
        <f>SmtRes!I141</f>
        <v>1.3-2-5</v>
      </c>
      <c r="G99" t="str">
        <f>SmtRes!K141</f>
        <v>Растворы цементные, марка 100</v>
      </c>
      <c r="H99" t="str">
        <f>SmtRes!O141</f>
        <v>м3</v>
      </c>
      <c r="I99">
        <f>SmtRes!Y141*Source!I256</f>
        <v>0.41860000000000003</v>
      </c>
      <c r="J99">
        <f>SmtRes!AO141</f>
        <v>1</v>
      </c>
      <c r="K99">
        <f>SmtRes!AE141</f>
        <v>451.14</v>
      </c>
      <c r="L99">
        <f>SmtRes!DB141</f>
        <v>9.02</v>
      </c>
      <c r="M99">
        <f>ROUND(ROUND(L99*Source!I256, 6)*1, 2)</f>
        <v>188.79</v>
      </c>
      <c r="N99">
        <f>SmtRes!AA141</f>
        <v>3406.06</v>
      </c>
      <c r="O99">
        <f>ROUND(ROUND(L99*Source!I256, 6)*SmtRes!DA141, 2)</f>
        <v>1383.82</v>
      </c>
      <c r="P99">
        <f>SmtRes!AG141</f>
        <v>0</v>
      </c>
      <c r="Q99">
        <f>SmtRes!DC141</f>
        <v>0</v>
      </c>
      <c r="R99">
        <f>ROUND(ROUND(Q99*Source!I256, 6)*1, 2)</f>
        <v>0</v>
      </c>
      <c r="S99">
        <f>SmtRes!AC141</f>
        <v>0</v>
      </c>
      <c r="T99">
        <f>ROUND(ROUND(Q99*Source!I256, 6)*SmtRes!AK141, 2)</f>
        <v>0</v>
      </c>
      <c r="U99">
        <f>SmtRes!X141</f>
        <v>-718781615</v>
      </c>
      <c r="V99">
        <v>-1804029654</v>
      </c>
      <c r="W99">
        <v>-1170584268</v>
      </c>
    </row>
    <row r="100" spans="1:23" x14ac:dyDescent="0.2">
      <c r="A100">
        <f>Source!A256</f>
        <v>17</v>
      </c>
      <c r="C100">
        <v>3</v>
      </c>
      <c r="D100">
        <v>0</v>
      </c>
      <c r="E100">
        <f>SmtRes!AV140</f>
        <v>0</v>
      </c>
      <c r="F100" t="str">
        <f>SmtRes!I140</f>
        <v>1.3-1-38</v>
      </c>
      <c r="G100" t="str">
        <f>SmtRes!K140</f>
        <v>Смеси бетонные, БСГ, тяжелого бетона на гранитном щебне, класс прочности В15 (М200); П3, фракция 5-20, F50-100, W0-2</v>
      </c>
      <c r="H100" t="str">
        <f>SmtRes!O140</f>
        <v>м3</v>
      </c>
      <c r="I100">
        <f>SmtRes!Y140*Source!I256</f>
        <v>100.464</v>
      </c>
      <c r="J100">
        <f>SmtRes!AO140</f>
        <v>1</v>
      </c>
      <c r="K100">
        <f>SmtRes!AE140</f>
        <v>704.89</v>
      </c>
      <c r="L100">
        <f>SmtRes!DB140</f>
        <v>3383.47</v>
      </c>
      <c r="M100">
        <f>ROUND(ROUND(L100*Source!I256, 6)*1, 2)</f>
        <v>70816.03</v>
      </c>
      <c r="N100">
        <f>SmtRes!AA140</f>
        <v>4334.4399999999996</v>
      </c>
      <c r="O100">
        <f>ROUND(ROUND(L100*Source!I256, 6)*SmtRes!DA140, 2)</f>
        <v>422771.68</v>
      </c>
      <c r="P100">
        <f>SmtRes!AG140</f>
        <v>0</v>
      </c>
      <c r="Q100">
        <f>SmtRes!DC140</f>
        <v>0</v>
      </c>
      <c r="R100">
        <f>ROUND(ROUND(Q100*Source!I256, 6)*1, 2)</f>
        <v>0</v>
      </c>
      <c r="S100">
        <f>SmtRes!AC140</f>
        <v>0</v>
      </c>
      <c r="T100">
        <f>ROUND(ROUND(Q100*Source!I256, 6)*SmtRes!AK140, 2)</f>
        <v>0</v>
      </c>
      <c r="U100">
        <f>SmtRes!X140</f>
        <v>-758282629</v>
      </c>
      <c r="V100">
        <v>786719351</v>
      </c>
      <c r="W100">
        <v>59352439</v>
      </c>
    </row>
    <row r="101" spans="1:23" x14ac:dyDescent="0.2">
      <c r="A101">
        <f>Source!A256</f>
        <v>17</v>
      </c>
      <c r="C101">
        <v>3</v>
      </c>
      <c r="D101">
        <v>0</v>
      </c>
      <c r="E101">
        <f>SmtRes!AV139</f>
        <v>0</v>
      </c>
      <c r="F101" t="str">
        <f>SmtRes!I139</f>
        <v>1.1-1-230</v>
      </c>
      <c r="G101" t="str">
        <f>SmtRes!K139</f>
        <v>Доски хвойных пород, обрезные, длина 2-6,5 м, сорт IV, толщина 19-22 мм</v>
      </c>
      <c r="H101" t="str">
        <f>SmtRes!O139</f>
        <v>м3</v>
      </c>
      <c r="I101">
        <f>SmtRes!Y139*Source!I256</f>
        <v>3.5581</v>
      </c>
      <c r="J101">
        <f>SmtRes!AO139</f>
        <v>1</v>
      </c>
      <c r="K101">
        <f>SmtRes!AE139</f>
        <v>1828.56</v>
      </c>
      <c r="L101">
        <f>SmtRes!DB139</f>
        <v>310.86</v>
      </c>
      <c r="M101">
        <f>ROUND(ROUND(L101*Source!I256, 6)*1, 2)</f>
        <v>6506.3</v>
      </c>
      <c r="N101">
        <f>SmtRes!AA139</f>
        <v>3126.47</v>
      </c>
      <c r="O101">
        <f>ROUND(ROUND(L101*Source!I256, 6)*SmtRes!DA139, 2)</f>
        <v>10800.46</v>
      </c>
      <c r="P101">
        <f>SmtRes!AG139</f>
        <v>0</v>
      </c>
      <c r="Q101">
        <f>SmtRes!DC139</f>
        <v>0</v>
      </c>
      <c r="R101">
        <f>ROUND(ROUND(Q101*Source!I256, 6)*1, 2)</f>
        <v>0</v>
      </c>
      <c r="S101">
        <f>SmtRes!AC139</f>
        <v>0</v>
      </c>
      <c r="T101">
        <f>ROUND(ROUND(Q101*Source!I256, 6)*SmtRes!AK139, 2)</f>
        <v>0</v>
      </c>
      <c r="U101">
        <f>SmtRes!X139</f>
        <v>-164923881</v>
      </c>
      <c r="V101">
        <v>1113885926</v>
      </c>
      <c r="W101">
        <v>2084027107</v>
      </c>
    </row>
    <row r="102" spans="1:23" x14ac:dyDescent="0.2">
      <c r="A102">
        <f>Source!A256</f>
        <v>17</v>
      </c>
      <c r="C102">
        <v>3</v>
      </c>
      <c r="D102">
        <v>0</v>
      </c>
      <c r="E102">
        <f>SmtRes!AV138</f>
        <v>0</v>
      </c>
      <c r="F102" t="str">
        <f>SmtRes!I138</f>
        <v>1.1-1-132</v>
      </c>
      <c r="G102" t="str">
        <f>SmtRes!K138</f>
        <v>Гвозди строительные</v>
      </c>
      <c r="H102" t="str">
        <f>SmtRes!O138</f>
        <v>т</v>
      </c>
      <c r="I102">
        <f>SmtRes!Y138*Source!I256</f>
        <v>2.0930000000000001E-2</v>
      </c>
      <c r="J102">
        <f>SmtRes!AO138</f>
        <v>1</v>
      </c>
      <c r="K102">
        <f>SmtRes!AE138</f>
        <v>6521.42</v>
      </c>
      <c r="L102">
        <f>SmtRes!DB138</f>
        <v>6.52</v>
      </c>
      <c r="M102">
        <f>ROUND(ROUND(L102*Source!I256, 6)*1, 2)</f>
        <v>136.46</v>
      </c>
      <c r="N102">
        <f>SmtRes!AA138</f>
        <v>52258.75</v>
      </c>
      <c r="O102">
        <f>ROUND(ROUND(L102*Source!I256, 6)*SmtRes!DA138, 2)</f>
        <v>1061.69</v>
      </c>
      <c r="P102">
        <f>SmtRes!AG138</f>
        <v>0</v>
      </c>
      <c r="Q102">
        <f>SmtRes!DC138</f>
        <v>0</v>
      </c>
      <c r="R102">
        <f>ROUND(ROUND(Q102*Source!I256, 6)*1, 2)</f>
        <v>0</v>
      </c>
      <c r="S102">
        <f>SmtRes!AC138</f>
        <v>0</v>
      </c>
      <c r="T102">
        <f>ROUND(ROUND(Q102*Source!I256, 6)*SmtRes!AK138, 2)</f>
        <v>0</v>
      </c>
      <c r="U102">
        <f>SmtRes!X138</f>
        <v>563176784</v>
      </c>
      <c r="V102">
        <v>-676994890</v>
      </c>
      <c r="W102">
        <v>-1460289249</v>
      </c>
    </row>
    <row r="103" spans="1:23" x14ac:dyDescent="0.2">
      <c r="A103">
        <f>Source!A256</f>
        <v>17</v>
      </c>
      <c r="C103">
        <v>2</v>
      </c>
      <c r="D103">
        <v>0</v>
      </c>
      <c r="E103">
        <f>SmtRes!AV137</f>
        <v>0</v>
      </c>
      <c r="F103" t="str">
        <f>SmtRes!I137</f>
        <v>2.1-4-12</v>
      </c>
      <c r="G103" t="str">
        <f>SmtRes!K137</f>
        <v>Погрузчики на автомобильном ходу, грузоподъемность до 5 т</v>
      </c>
      <c r="H103" t="str">
        <f>SmtRes!O137</f>
        <v>маш.-ч.</v>
      </c>
      <c r="I103">
        <f>SmtRes!Y137*Source!I256</f>
        <v>4.6045999999999996</v>
      </c>
      <c r="J103">
        <f>SmtRes!AO137</f>
        <v>1</v>
      </c>
      <c r="K103">
        <f>SmtRes!AF137</f>
        <v>73</v>
      </c>
      <c r="L103">
        <f>SmtRes!DB137</f>
        <v>16.059999999999999</v>
      </c>
      <c r="M103">
        <f>ROUND(ROUND(L103*Source!I256, 6)*1, 2)</f>
        <v>336.14</v>
      </c>
      <c r="N103">
        <f>SmtRes!AB137</f>
        <v>742.91</v>
      </c>
      <c r="O103">
        <f>ROUND(ROUND(L103*Source!I256, 6)*SmtRes!DA137, 2)</f>
        <v>3267.24</v>
      </c>
      <c r="P103">
        <f>SmtRes!AG137</f>
        <v>16.899999999999999</v>
      </c>
      <c r="Q103">
        <f>SmtRes!DC137</f>
        <v>3.72</v>
      </c>
      <c r="R103">
        <f>ROUND(ROUND(Q103*Source!I256, 6)*1, 2)</f>
        <v>77.86</v>
      </c>
      <c r="S103">
        <f>SmtRes!AC137</f>
        <v>434.04</v>
      </c>
      <c r="T103">
        <f>ROUND(ROUND(Q103*Source!I256, 6)*SmtRes!AK137, 2)</f>
        <v>1909.9</v>
      </c>
      <c r="U103">
        <f>SmtRes!X137</f>
        <v>482200787</v>
      </c>
      <c r="V103">
        <v>-708758393</v>
      </c>
      <c r="W103">
        <v>-788593992</v>
      </c>
    </row>
    <row r="104" spans="1:23" x14ac:dyDescent="0.2">
      <c r="A104">
        <f>Source!A256</f>
        <v>17</v>
      </c>
      <c r="C104">
        <v>2</v>
      </c>
      <c r="D104">
        <v>0</v>
      </c>
      <c r="E104">
        <f>SmtRes!AV136</f>
        <v>0</v>
      </c>
      <c r="F104" t="str">
        <f>SmtRes!I136</f>
        <v>2.1-3-38</v>
      </c>
      <c r="G104" t="str">
        <f>SmtRes!K136</f>
        <v>Краны на автомобильном ходу, грузоподъемность до 16 т</v>
      </c>
      <c r="H104" t="str">
        <f>SmtRes!O136</f>
        <v>маш.-ч.</v>
      </c>
      <c r="I104">
        <f>SmtRes!Y136*Source!I256</f>
        <v>2.9302000000000001</v>
      </c>
      <c r="J104">
        <f>SmtRes!AO136</f>
        <v>1</v>
      </c>
      <c r="K104">
        <f>SmtRes!AF136</f>
        <v>190.93</v>
      </c>
      <c r="L104">
        <f>SmtRes!DB136</f>
        <v>26.73</v>
      </c>
      <c r="M104">
        <f>ROUND(ROUND(L104*Source!I256, 6)*1, 2)</f>
        <v>559.46</v>
      </c>
      <c r="N104">
        <f>SmtRes!AB136</f>
        <v>1655.2</v>
      </c>
      <c r="O104">
        <f>ROUND(ROUND(L104*Source!I256, 6)*SmtRes!DA136, 2)</f>
        <v>4632.32</v>
      </c>
      <c r="P104">
        <f>SmtRes!AG136</f>
        <v>18.149999999999999</v>
      </c>
      <c r="Q104">
        <f>SmtRes!DC136</f>
        <v>2.54</v>
      </c>
      <c r="R104">
        <f>ROUND(ROUND(Q104*Source!I256, 6)*1, 2)</f>
        <v>53.16</v>
      </c>
      <c r="S104">
        <f>SmtRes!AC136</f>
        <v>466.14</v>
      </c>
      <c r="T104">
        <f>ROUND(ROUND(Q104*Source!I256, 6)*SmtRes!AK136, 2)</f>
        <v>1304.07</v>
      </c>
      <c r="U104">
        <f>SmtRes!X136</f>
        <v>-266174272</v>
      </c>
      <c r="V104">
        <v>360917738</v>
      </c>
      <c r="W104">
        <v>-213384332</v>
      </c>
    </row>
    <row r="105" spans="1:23" x14ac:dyDescent="0.2">
      <c r="A105">
        <f>Source!A256</f>
        <v>17</v>
      </c>
      <c r="C105">
        <v>2</v>
      </c>
      <c r="D105">
        <v>0</v>
      </c>
      <c r="E105">
        <f>SmtRes!AV135</f>
        <v>0</v>
      </c>
      <c r="F105" t="str">
        <f>SmtRes!I135</f>
        <v>2.1-18-7</v>
      </c>
      <c r="G105" t="str">
        <f>SmtRes!K135</f>
        <v>Автомобили грузовые бортовые, грузоподъемность до 5 т</v>
      </c>
      <c r="H105" t="str">
        <f>SmtRes!O135</f>
        <v>маш.-ч.</v>
      </c>
      <c r="I105">
        <f>SmtRes!Y135*Source!I256</f>
        <v>2.9302000000000001</v>
      </c>
      <c r="J105">
        <f>SmtRes!AO135</f>
        <v>1</v>
      </c>
      <c r="K105">
        <f>SmtRes!AF135</f>
        <v>76.81</v>
      </c>
      <c r="L105">
        <f>SmtRes!DB135</f>
        <v>10.75</v>
      </c>
      <c r="M105">
        <f>ROUND(ROUND(L105*Source!I256, 6)*1, 2)</f>
        <v>225</v>
      </c>
      <c r="N105">
        <f>SmtRes!AB135</f>
        <v>755.14</v>
      </c>
      <c r="O105">
        <f>ROUND(ROUND(L105*Source!I256, 6)*SmtRes!DA135, 2)</f>
        <v>2112.73</v>
      </c>
      <c r="P105">
        <f>SmtRes!AG135</f>
        <v>14.36</v>
      </c>
      <c r="Q105">
        <f>SmtRes!DC135</f>
        <v>2.0099999999999998</v>
      </c>
      <c r="R105">
        <f>ROUND(ROUND(Q105*Source!I256, 6)*1, 2)</f>
        <v>42.07</v>
      </c>
      <c r="S105">
        <f>SmtRes!AC135</f>
        <v>368.81</v>
      </c>
      <c r="T105">
        <f>ROUND(ROUND(Q105*Source!I256, 6)*SmtRes!AK135, 2)</f>
        <v>1031.96</v>
      </c>
      <c r="U105">
        <f>SmtRes!X135</f>
        <v>-628430174</v>
      </c>
      <c r="V105">
        <v>-1989157500</v>
      </c>
      <c r="W105">
        <v>1752455861</v>
      </c>
    </row>
    <row r="106" spans="1:23" x14ac:dyDescent="0.2">
      <c r="A106">
        <f>Source!A257</f>
        <v>18</v>
      </c>
      <c r="B106">
        <v>257</v>
      </c>
      <c r="C106">
        <v>3</v>
      </c>
      <c r="D106">
        <f>Source!BI257</f>
        <v>1</v>
      </c>
      <c r="E106">
        <f>Source!FS257</f>
        <v>0</v>
      </c>
      <c r="F106" t="str">
        <f>Source!F257</f>
        <v>1.5-3-499</v>
      </c>
      <c r="G106" t="str">
        <f>Source!G257</f>
        <v>Камни бетонные бортовые, марка БР 100.20.8</v>
      </c>
      <c r="H106" t="str">
        <f>Source!H257</f>
        <v>м3</v>
      </c>
      <c r="I106">
        <f>Source!I257</f>
        <v>29.536415999999999</v>
      </c>
      <c r="J106">
        <v>1</v>
      </c>
      <c r="K106">
        <f>Source!AC257</f>
        <v>2385.71</v>
      </c>
      <c r="M106">
        <f>ROUND(K106*I106, 2)</f>
        <v>70465.320000000007</v>
      </c>
      <c r="N106">
        <f>Source!AC257*IF(Source!BC257&lt;&gt; 0, Source!BC257, 1)</f>
        <v>8516.9846999999991</v>
      </c>
      <c r="O106">
        <f>ROUND(N106*I106, 2)</f>
        <v>251561.2</v>
      </c>
      <c r="P106">
        <f>Source!AE257</f>
        <v>0</v>
      </c>
      <c r="R106">
        <f>ROUND(P106*I106, 2)</f>
        <v>0</v>
      </c>
      <c r="S106">
        <f>Source!AE257*IF(Source!BS257&lt;&gt; 0, Source!BS257, 1)</f>
        <v>0</v>
      </c>
      <c r="T106">
        <f>ROUND(S106*I106, 2)</f>
        <v>0</v>
      </c>
      <c r="U106">
        <f>Source!GF257</f>
        <v>889553512</v>
      </c>
      <c r="V106">
        <v>-611199556</v>
      </c>
      <c r="W106">
        <v>1405395105</v>
      </c>
    </row>
    <row r="107" spans="1:23" x14ac:dyDescent="0.2">
      <c r="A107">
        <f>Source!A290</f>
        <v>4</v>
      </c>
      <c r="B107">
        <v>290</v>
      </c>
      <c r="G107" t="str">
        <f>Source!G290</f>
        <v>20.1. Газон посевной 15см</v>
      </c>
    </row>
    <row r="108" spans="1:23" x14ac:dyDescent="0.2">
      <c r="A108">
        <f>Source!A324</f>
        <v>4</v>
      </c>
      <c r="B108">
        <v>324</v>
      </c>
      <c r="G108" t="str">
        <f>Source!G324</f>
        <v>20.2. Газон посевной 10см</v>
      </c>
    </row>
    <row r="109" spans="1:23" x14ac:dyDescent="0.2">
      <c r="A109">
        <f>Source!A328</f>
        <v>17</v>
      </c>
      <c r="C109">
        <v>2</v>
      </c>
      <c r="D109">
        <v>0</v>
      </c>
      <c r="E109">
        <f>SmtRes!AV145</f>
        <v>0</v>
      </c>
      <c r="F109" t="str">
        <f>SmtRes!I145</f>
        <v>2.1-1-44</v>
      </c>
      <c r="G109" t="str">
        <f>SmtRes!K145</f>
        <v>Бульдозеры гусеничные, мощность до 79 кВт (108 л.с.)</v>
      </c>
      <c r="H109" t="str">
        <f>SmtRes!O145</f>
        <v>маш.-ч.</v>
      </c>
      <c r="I109">
        <f>SmtRes!Y145*Source!I328</f>
        <v>19.5297345</v>
      </c>
      <c r="J109">
        <f>SmtRes!AO145</f>
        <v>1</v>
      </c>
      <c r="K109">
        <f>SmtRes!AF145</f>
        <v>110.31</v>
      </c>
      <c r="L109">
        <f>SmtRes!DB145</f>
        <v>109.98</v>
      </c>
      <c r="M109">
        <f>ROUND(ROUND(L109*Source!I328, 6)*1, 2)</f>
        <v>2154.34</v>
      </c>
      <c r="N109">
        <f>SmtRes!AB145</f>
        <v>1232.06</v>
      </c>
      <c r="O109">
        <f>ROUND(ROUND(L109*Source!I328, 6)*SmtRes!DA145, 2)</f>
        <v>20186.2</v>
      </c>
      <c r="P109">
        <f>SmtRes!AG145</f>
        <v>26.52</v>
      </c>
      <c r="Q109">
        <f>SmtRes!DC145</f>
        <v>26.44</v>
      </c>
      <c r="R109">
        <f>ROUND(ROUND(Q109*Source!I328, 6)*1, 2)</f>
        <v>517.91999999999996</v>
      </c>
      <c r="S109">
        <f>SmtRes!AC145</f>
        <v>775.44</v>
      </c>
      <c r="T109">
        <f>ROUND(ROUND(Q109*Source!I328, 6)*SmtRes!AK145, 2)</f>
        <v>12704.58</v>
      </c>
      <c r="U109">
        <f>SmtRes!X145</f>
        <v>695902881</v>
      </c>
      <c r="V109">
        <v>-190654433</v>
      </c>
      <c r="W109">
        <v>-271111961</v>
      </c>
    </row>
    <row r="110" spans="1:23" x14ac:dyDescent="0.2">
      <c r="A110">
        <f>Source!A328</f>
        <v>17</v>
      </c>
      <c r="C110">
        <v>2</v>
      </c>
      <c r="D110">
        <v>0</v>
      </c>
      <c r="E110">
        <f>SmtRes!AV144</f>
        <v>0</v>
      </c>
      <c r="F110" t="str">
        <f>SmtRes!I144</f>
        <v>2.1-1-4</v>
      </c>
      <c r="G110" t="str">
        <f>SmtRes!K144</f>
        <v>Экскаваторы на гусеничном ходу гидравлические, объем ковша до 0,5 м3</v>
      </c>
      <c r="H110" t="str">
        <f>SmtRes!O144</f>
        <v>маш.-ч.</v>
      </c>
      <c r="I110">
        <f>SmtRes!Y144*Source!I328</f>
        <v>78.109143750000001</v>
      </c>
      <c r="J110">
        <f>SmtRes!AO144</f>
        <v>1</v>
      </c>
      <c r="K110">
        <f>SmtRes!AF144</f>
        <v>162.4</v>
      </c>
      <c r="L110">
        <f>SmtRes!DB144</f>
        <v>647.57000000000005</v>
      </c>
      <c r="M110">
        <f>ROUND(ROUND(L110*Source!I328, 6)*1, 2)</f>
        <v>12684.92</v>
      </c>
      <c r="N110">
        <f>SmtRes!AB144</f>
        <v>1916.45</v>
      </c>
      <c r="O110">
        <f>ROUND(ROUND(L110*Source!I328, 6)*SmtRes!DA144, 2)</f>
        <v>125580.76</v>
      </c>
      <c r="P110">
        <f>SmtRes!AG144</f>
        <v>28.6</v>
      </c>
      <c r="Q110">
        <f>SmtRes!DC144</f>
        <v>114.04</v>
      </c>
      <c r="R110">
        <f>ROUND(ROUND(Q110*Source!I328, 6)*1, 2)</f>
        <v>2233.87</v>
      </c>
      <c r="S110">
        <f>SmtRes!AC144</f>
        <v>836.26</v>
      </c>
      <c r="T110">
        <f>ROUND(ROUND(Q110*Source!I328, 6)*SmtRes!AK144, 2)</f>
        <v>54796.89</v>
      </c>
      <c r="U110">
        <f>SmtRes!X144</f>
        <v>781556702</v>
      </c>
      <c r="V110">
        <v>-1266550935</v>
      </c>
      <c r="W110">
        <v>-1597920307</v>
      </c>
    </row>
    <row r="111" spans="1:23" x14ac:dyDescent="0.2">
      <c r="A111">
        <f>Source!A330</f>
        <v>17</v>
      </c>
      <c r="C111">
        <v>2</v>
      </c>
      <c r="D111">
        <v>0</v>
      </c>
      <c r="E111">
        <f>SmtRes!AV149</f>
        <v>0</v>
      </c>
      <c r="F111" t="str">
        <f>SmtRes!I149</f>
        <v>2.1-1-44</v>
      </c>
      <c r="G111" t="str">
        <f>SmtRes!K149</f>
        <v>Бульдозеры гусеничные, мощность до 79 кВт (108 л.с.)</v>
      </c>
      <c r="H111" t="str">
        <f>SmtRes!O149</f>
        <v>маш.-ч.</v>
      </c>
      <c r="I111">
        <f>SmtRes!Y149*Source!I330</f>
        <v>5.85892035</v>
      </c>
      <c r="J111">
        <f>SmtRes!AO149</f>
        <v>1</v>
      </c>
      <c r="K111">
        <f>SmtRes!AF149</f>
        <v>110.31</v>
      </c>
      <c r="L111">
        <f>SmtRes!DB149</f>
        <v>109.98</v>
      </c>
      <c r="M111">
        <f>ROUND(ROUND(L111*Source!I330, 6)*1, 2)</f>
        <v>646.29999999999995</v>
      </c>
      <c r="N111">
        <f>SmtRes!AB149</f>
        <v>1232.06</v>
      </c>
      <c r="O111">
        <f>ROUND(ROUND(L111*Source!I330, 6)*SmtRes!DA149, 2)</f>
        <v>6055.86</v>
      </c>
      <c r="P111">
        <f>SmtRes!AG149</f>
        <v>26.52</v>
      </c>
      <c r="Q111">
        <f>SmtRes!DC149</f>
        <v>26.44</v>
      </c>
      <c r="R111">
        <f>ROUND(ROUND(Q111*Source!I330, 6)*1, 2)</f>
        <v>155.38</v>
      </c>
      <c r="S111">
        <f>SmtRes!AC149</f>
        <v>775.44</v>
      </c>
      <c r="T111">
        <f>ROUND(ROUND(Q111*Source!I330, 6)*SmtRes!AK149, 2)</f>
        <v>3811.37</v>
      </c>
      <c r="U111">
        <f>SmtRes!X149</f>
        <v>695902881</v>
      </c>
      <c r="V111">
        <v>-190654433</v>
      </c>
      <c r="W111">
        <v>-271111961</v>
      </c>
    </row>
    <row r="112" spans="1:23" x14ac:dyDescent="0.2">
      <c r="A112">
        <f>Source!A330</f>
        <v>17</v>
      </c>
      <c r="C112">
        <v>2</v>
      </c>
      <c r="D112">
        <v>0</v>
      </c>
      <c r="E112">
        <f>SmtRes!AV148</f>
        <v>0</v>
      </c>
      <c r="F112" t="str">
        <f>SmtRes!I148</f>
        <v>2.1-1-4</v>
      </c>
      <c r="G112" t="str">
        <f>SmtRes!K148</f>
        <v>Экскаваторы на гусеничном ходу гидравлические, объем ковша до 0,5 м3</v>
      </c>
      <c r="H112" t="str">
        <f>SmtRes!O148</f>
        <v>маш.-ч.</v>
      </c>
      <c r="I112">
        <f>SmtRes!Y148*Source!I330</f>
        <v>23.432743124999998</v>
      </c>
      <c r="J112">
        <f>SmtRes!AO148</f>
        <v>1</v>
      </c>
      <c r="K112">
        <f>SmtRes!AF148</f>
        <v>162.4</v>
      </c>
      <c r="L112">
        <f>SmtRes!DB148</f>
        <v>647.57000000000005</v>
      </c>
      <c r="M112">
        <f>ROUND(ROUND(L112*Source!I330, 6)*1, 2)</f>
        <v>3805.48</v>
      </c>
      <c r="N112">
        <f>SmtRes!AB148</f>
        <v>1916.45</v>
      </c>
      <c r="O112">
        <f>ROUND(ROUND(L112*Source!I330, 6)*SmtRes!DA148, 2)</f>
        <v>37674.230000000003</v>
      </c>
      <c r="P112">
        <f>SmtRes!AG148</f>
        <v>28.6</v>
      </c>
      <c r="Q112">
        <f>SmtRes!DC148</f>
        <v>114.04</v>
      </c>
      <c r="R112">
        <f>ROUND(ROUND(Q112*Source!I330, 6)*1, 2)</f>
        <v>670.16</v>
      </c>
      <c r="S112">
        <f>SmtRes!AC148</f>
        <v>836.26</v>
      </c>
      <c r="T112">
        <f>ROUND(ROUND(Q112*Source!I330, 6)*SmtRes!AK148, 2)</f>
        <v>16439.07</v>
      </c>
      <c r="U112">
        <f>SmtRes!X148</f>
        <v>781556702</v>
      </c>
      <c r="V112">
        <v>-1266550935</v>
      </c>
      <c r="W112">
        <v>-1597920307</v>
      </c>
    </row>
    <row r="113" spans="1:23" x14ac:dyDescent="0.2">
      <c r="A113">
        <f>Source!A334</f>
        <v>17</v>
      </c>
      <c r="C113">
        <v>2</v>
      </c>
      <c r="D113">
        <v>0</v>
      </c>
      <c r="E113">
        <f>SmtRes!AV155</f>
        <v>0</v>
      </c>
      <c r="F113" t="str">
        <f>SmtRes!I155</f>
        <v>9999990007</v>
      </c>
      <c r="G113" t="str">
        <f>SmtRes!K155</f>
        <v>Стоимость прочих машин (ЭСН)</v>
      </c>
      <c r="H113" t="str">
        <f>SmtRes!O155</f>
        <v>руб.</v>
      </c>
      <c r="I113">
        <f>SmtRes!Y155*Source!I334</f>
        <v>23.5062</v>
      </c>
      <c r="J113">
        <f>SmtRes!AO155</f>
        <v>1</v>
      </c>
      <c r="K113">
        <f>SmtRes!AF155</f>
        <v>1</v>
      </c>
      <c r="L113">
        <f>SmtRes!DB155</f>
        <v>0.12</v>
      </c>
      <c r="M113">
        <f>ROUND(ROUND(L113*Source!I334, 6)*1, 2)</f>
        <v>23.51</v>
      </c>
      <c r="N113">
        <f>SmtRes!AB155</f>
        <v>1</v>
      </c>
      <c r="O113">
        <f>ROUND(ROUND(L113*Source!I334, 6)*SmtRes!DA155, 2)</f>
        <v>23.51</v>
      </c>
      <c r="P113">
        <f>SmtRes!AG155</f>
        <v>0</v>
      </c>
      <c r="Q113">
        <f>SmtRes!DC155</f>
        <v>0</v>
      </c>
      <c r="R113">
        <f>ROUND(ROUND(Q113*Source!I334, 6)*1, 2)</f>
        <v>0</v>
      </c>
      <c r="S113">
        <f>SmtRes!AC155</f>
        <v>0</v>
      </c>
      <c r="T113">
        <f>ROUND(ROUND(Q113*Source!I334, 6)*SmtRes!AK155, 2)</f>
        <v>0</v>
      </c>
      <c r="U113">
        <f>SmtRes!X155</f>
        <v>-1180195794</v>
      </c>
      <c r="V113">
        <v>54769220</v>
      </c>
      <c r="W113">
        <v>54769220</v>
      </c>
    </row>
    <row r="114" spans="1:23" x14ac:dyDescent="0.2">
      <c r="A114">
        <f>Source!A334</f>
        <v>17</v>
      </c>
      <c r="C114">
        <v>2</v>
      </c>
      <c r="D114">
        <v>0</v>
      </c>
      <c r="E114">
        <f>SmtRes!AV154</f>
        <v>0</v>
      </c>
      <c r="F114" t="str">
        <f>SmtRes!I154</f>
        <v>2.1-2-7</v>
      </c>
      <c r="G114" t="str">
        <f>SmtRes!K154</f>
        <v>Тракторы на пневмоколесном ходу, мощность до 60 кВт (81 л.с.)</v>
      </c>
      <c r="H114" t="str">
        <f>SmtRes!O154</f>
        <v>маш.-ч.</v>
      </c>
      <c r="I114">
        <f>SmtRes!Y154*Source!I334</f>
        <v>9.7942499999999999</v>
      </c>
      <c r="J114">
        <f>SmtRes!AO154</f>
        <v>1</v>
      </c>
      <c r="K114">
        <f>SmtRes!AF154</f>
        <v>97.54</v>
      </c>
      <c r="L114">
        <f>SmtRes!DB154</f>
        <v>4.88</v>
      </c>
      <c r="M114">
        <f>ROUND(ROUND(L114*Source!I334, 6)*1, 2)</f>
        <v>955.92</v>
      </c>
      <c r="N114">
        <f>SmtRes!AB154</f>
        <v>922.73</v>
      </c>
      <c r="O114">
        <f>ROUND(ROUND(L114*Source!I334, 6)*SmtRes!DA154, 2)</f>
        <v>9042.99</v>
      </c>
      <c r="P114">
        <f>SmtRes!AG154</f>
        <v>20.82</v>
      </c>
      <c r="Q114">
        <f>SmtRes!DC154</f>
        <v>1.04</v>
      </c>
      <c r="R114">
        <f>ROUND(ROUND(Q114*Source!I334, 6)*1, 2)</f>
        <v>203.72</v>
      </c>
      <c r="S114">
        <f>SmtRes!AC154</f>
        <v>510.71</v>
      </c>
      <c r="T114">
        <f>ROUND(ROUND(Q114*Source!I334, 6)*SmtRes!AK154, 2)</f>
        <v>4997.26</v>
      </c>
      <c r="U114">
        <f>SmtRes!X154</f>
        <v>-1758701186</v>
      </c>
      <c r="V114">
        <v>-119266319</v>
      </c>
      <c r="W114">
        <v>-412300078</v>
      </c>
    </row>
    <row r="115" spans="1:23" x14ac:dyDescent="0.2">
      <c r="A115">
        <f>Source!A335</f>
        <v>18</v>
      </c>
      <c r="B115">
        <v>335</v>
      </c>
      <c r="C115">
        <v>3</v>
      </c>
      <c r="D115">
        <f>Source!BI335</f>
        <v>1</v>
      </c>
      <c r="E115">
        <f>Source!FS335</f>
        <v>0</v>
      </c>
      <c r="F115" t="str">
        <f>Source!F335</f>
        <v>1.4-6-1</v>
      </c>
      <c r="G115" t="str">
        <f>Source!G335</f>
        <v>Земля растительная</v>
      </c>
      <c r="H115" t="str">
        <f>Source!H335</f>
        <v>м3</v>
      </c>
      <c r="I115">
        <f>Source!I335</f>
        <v>2938.2750000000001</v>
      </c>
      <c r="J115">
        <v>1</v>
      </c>
      <c r="K115">
        <f>Source!AC335</f>
        <v>146.84</v>
      </c>
      <c r="M115">
        <f>ROUND(K115*I115, 2)</f>
        <v>431456.3</v>
      </c>
      <c r="N115">
        <f>Source!AC335*IF(Source!BC335&lt;&gt; 0, Source!BC335, 1)</f>
        <v>977.95440000000008</v>
      </c>
      <c r="O115">
        <f>ROUND(N115*I115, 2)</f>
        <v>2873498.96</v>
      </c>
      <c r="P115">
        <f>Source!AE335</f>
        <v>0</v>
      </c>
      <c r="R115">
        <f>ROUND(P115*I115, 2)</f>
        <v>0</v>
      </c>
      <c r="S115">
        <f>Source!AE335*IF(Source!BS335&lt;&gt; 0, Source!BS335, 1)</f>
        <v>0</v>
      </c>
      <c r="T115">
        <f>ROUND(S115*I115, 2)</f>
        <v>0</v>
      </c>
      <c r="U115">
        <f>Source!GF335</f>
        <v>92320855</v>
      </c>
      <c r="V115">
        <v>-326285843</v>
      </c>
      <c r="W115">
        <v>-1509024175</v>
      </c>
    </row>
    <row r="116" spans="1:23" x14ac:dyDescent="0.2">
      <c r="A116">
        <f>Source!A337</f>
        <v>18</v>
      </c>
      <c r="B116">
        <v>337</v>
      </c>
      <c r="C116">
        <v>3</v>
      </c>
      <c r="D116">
        <f>Source!BI337</f>
        <v>1</v>
      </c>
      <c r="E116">
        <f>Source!FS337</f>
        <v>0</v>
      </c>
      <c r="F116" t="str">
        <f>Source!F337</f>
        <v>1.4-6-1</v>
      </c>
      <c r="G116" t="str">
        <f>Source!G337</f>
        <v>Земля растительная</v>
      </c>
      <c r="H116" t="str">
        <f>Source!H337</f>
        <v>м3</v>
      </c>
      <c r="I116">
        <f>Source!I337</f>
        <v>979.42499999999995</v>
      </c>
      <c r="J116">
        <v>1</v>
      </c>
      <c r="K116">
        <f>Source!AC337</f>
        <v>146.84</v>
      </c>
      <c r="M116">
        <f>ROUND(K116*I116, 2)</f>
        <v>143818.76999999999</v>
      </c>
      <c r="N116">
        <f>Source!AC337*IF(Source!BC337&lt;&gt; 0, Source!BC337, 1)</f>
        <v>977.95440000000008</v>
      </c>
      <c r="O116">
        <f>ROUND(N116*I116, 2)</f>
        <v>957832.99</v>
      </c>
      <c r="P116">
        <f>Source!AE337</f>
        <v>0</v>
      </c>
      <c r="R116">
        <f>ROUND(P116*I116, 2)</f>
        <v>0</v>
      </c>
      <c r="S116">
        <f>Source!AE337*IF(Source!BS337&lt;&gt; 0, Source!BS337, 1)</f>
        <v>0</v>
      </c>
      <c r="T116">
        <f>ROUND(S116*I116, 2)</f>
        <v>0</v>
      </c>
      <c r="U116">
        <f>Source!GF337</f>
        <v>92320855</v>
      </c>
      <c r="V116">
        <v>-326285843</v>
      </c>
      <c r="W116">
        <v>-1509024175</v>
      </c>
    </row>
    <row r="117" spans="1:23" x14ac:dyDescent="0.2">
      <c r="A117">
        <f>Source!A340</f>
        <v>17</v>
      </c>
      <c r="C117">
        <v>3</v>
      </c>
      <c r="D117">
        <v>0</v>
      </c>
      <c r="E117">
        <f>SmtRes!AV162</f>
        <v>0</v>
      </c>
      <c r="F117" t="str">
        <f>SmtRes!I162</f>
        <v>1.1-1-118</v>
      </c>
      <c r="G117" t="str">
        <f>SmtRes!K162</f>
        <v>Вода</v>
      </c>
      <c r="H117" t="str">
        <f>SmtRes!O162</f>
        <v>м3</v>
      </c>
      <c r="I117">
        <f>SmtRes!Y162*Source!I340</f>
        <v>2611.8000000000002</v>
      </c>
      <c r="J117">
        <f>SmtRes!AO162</f>
        <v>1</v>
      </c>
      <c r="K117">
        <f>SmtRes!AE162</f>
        <v>7.07</v>
      </c>
      <c r="L117">
        <f>SmtRes!DB162</f>
        <v>70.7</v>
      </c>
      <c r="M117">
        <f>ROUND(ROUND(L117*Source!I340, 6)*1, 2)</f>
        <v>18465.43</v>
      </c>
      <c r="N117">
        <f>SmtRes!AA162</f>
        <v>35.28</v>
      </c>
      <c r="O117">
        <f>ROUND(ROUND(L117*Source!I340, 6)*SmtRes!DA162, 2)</f>
        <v>92142.48</v>
      </c>
      <c r="P117">
        <f>SmtRes!AG162</f>
        <v>0</v>
      </c>
      <c r="Q117">
        <f>SmtRes!DC162</f>
        <v>0</v>
      </c>
      <c r="R117">
        <f>ROUND(ROUND(Q117*Source!I340, 6)*1, 2)</f>
        <v>0</v>
      </c>
      <c r="S117">
        <f>SmtRes!AC162</f>
        <v>0</v>
      </c>
      <c r="T117">
        <f>ROUND(ROUND(Q117*Source!I340, 6)*SmtRes!AK162, 2)</f>
        <v>0</v>
      </c>
      <c r="U117">
        <f>SmtRes!X162</f>
        <v>-862991314</v>
      </c>
      <c r="V117">
        <v>209219300</v>
      </c>
      <c r="W117">
        <v>-307160680</v>
      </c>
    </row>
    <row r="118" spans="1:23" x14ac:dyDescent="0.2">
      <c r="A118">
        <f>Source!A341</f>
        <v>18</v>
      </c>
      <c r="B118">
        <v>341</v>
      </c>
      <c r="C118">
        <v>3</v>
      </c>
      <c r="D118">
        <f>Source!BI341</f>
        <v>1</v>
      </c>
      <c r="E118">
        <f>Source!FS341</f>
        <v>0</v>
      </c>
      <c r="F118" t="str">
        <f>Source!F341</f>
        <v>1.4-6-6</v>
      </c>
      <c r="G118" t="str">
        <f>Source!G341</f>
        <v>Семена (смесь универсальная) газонных трав</v>
      </c>
      <c r="H118" t="str">
        <f>Source!H341</f>
        <v>кг</v>
      </c>
      <c r="I118">
        <f>Source!I341</f>
        <v>1044.72</v>
      </c>
      <c r="J118">
        <v>1</v>
      </c>
      <c r="K118">
        <f>Source!AC341</f>
        <v>57.93</v>
      </c>
      <c r="M118">
        <f>ROUND(K118*I118, 2)</f>
        <v>60520.63</v>
      </c>
      <c r="N118">
        <f>Source!AC341*IF(Source!BC341&lt;&gt; 0, Source!BC341, 1)</f>
        <v>106.5912</v>
      </c>
      <c r="O118">
        <f>ROUND(N118*I118, 2)</f>
        <v>111357.96</v>
      </c>
      <c r="P118">
        <f>Source!AE341</f>
        <v>0</v>
      </c>
      <c r="R118">
        <f>ROUND(P118*I118, 2)</f>
        <v>0</v>
      </c>
      <c r="S118">
        <f>Source!AE341*IF(Source!BS341&lt;&gt; 0, Source!BS341, 1)</f>
        <v>0</v>
      </c>
      <c r="T118">
        <f>ROUND(S118*I118, 2)</f>
        <v>0</v>
      </c>
      <c r="U118">
        <f>Source!GF341</f>
        <v>735025367</v>
      </c>
      <c r="V118">
        <v>797975201</v>
      </c>
      <c r="W118">
        <v>1002300804</v>
      </c>
    </row>
    <row r="119" spans="1:23" x14ac:dyDescent="0.2">
      <c r="A119">
        <f>Source!A374</f>
        <v>4</v>
      </c>
      <c r="B119">
        <v>374</v>
      </c>
      <c r="G119" t="str">
        <f>Source!G374</f>
        <v>21.1. Посадка кустарников (h=0,7 м)</v>
      </c>
    </row>
    <row r="120" spans="1:23" x14ac:dyDescent="0.2">
      <c r="A120">
        <f>Source!A378</f>
        <v>17</v>
      </c>
      <c r="C120">
        <v>2</v>
      </c>
      <c r="D120">
        <v>0</v>
      </c>
      <c r="E120">
        <f>SmtRes!AV166</f>
        <v>0</v>
      </c>
      <c r="F120" t="str">
        <f>SmtRes!I166</f>
        <v>2.1-1-44</v>
      </c>
      <c r="G120" t="str">
        <f>SmtRes!K166</f>
        <v>Бульдозеры гусеничные, мощность до 79 кВт (108 л.с.)</v>
      </c>
      <c r="H120" t="str">
        <f>SmtRes!O166</f>
        <v>маш.-ч.</v>
      </c>
      <c r="I120">
        <f>SmtRes!Y166*Source!I378</f>
        <v>6.9468966000000005</v>
      </c>
      <c r="J120">
        <f>SmtRes!AO166</f>
        <v>1</v>
      </c>
      <c r="K120">
        <f>SmtRes!AF166</f>
        <v>110.31</v>
      </c>
      <c r="L120">
        <f>SmtRes!DB166</f>
        <v>109.98</v>
      </c>
      <c r="M120">
        <f>ROUND(ROUND(L120*Source!I378, 6)*1, 2)</f>
        <v>766.32</v>
      </c>
      <c r="N120">
        <f>SmtRes!AB166</f>
        <v>1232.06</v>
      </c>
      <c r="O120">
        <f>ROUND(ROUND(L120*Source!I378, 6)*SmtRes!DA166, 2)</f>
        <v>7180.41</v>
      </c>
      <c r="P120">
        <f>SmtRes!AG166</f>
        <v>26.52</v>
      </c>
      <c r="Q120">
        <f>SmtRes!DC166</f>
        <v>26.44</v>
      </c>
      <c r="R120">
        <f>ROUND(ROUND(Q120*Source!I378, 6)*1, 2)</f>
        <v>184.23</v>
      </c>
      <c r="S120">
        <f>SmtRes!AC166</f>
        <v>775.44</v>
      </c>
      <c r="T120">
        <f>ROUND(ROUND(Q120*Source!I378, 6)*SmtRes!AK166, 2)</f>
        <v>4519.13</v>
      </c>
      <c r="U120">
        <f>SmtRes!X166</f>
        <v>695902881</v>
      </c>
      <c r="V120">
        <v>-190654433</v>
      </c>
      <c r="W120">
        <v>-271111961</v>
      </c>
    </row>
    <row r="121" spans="1:23" x14ac:dyDescent="0.2">
      <c r="A121">
        <f>Source!A378</f>
        <v>17</v>
      </c>
      <c r="C121">
        <v>2</v>
      </c>
      <c r="D121">
        <v>0</v>
      </c>
      <c r="E121">
        <f>SmtRes!AV165</f>
        <v>0</v>
      </c>
      <c r="F121" t="str">
        <f>SmtRes!I165</f>
        <v>2.1-1-4</v>
      </c>
      <c r="G121" t="str">
        <f>SmtRes!K165</f>
        <v>Экскаваторы на гусеничном ходу гидравлические, объем ковша до 0,5 м3</v>
      </c>
      <c r="H121" t="str">
        <f>SmtRes!O165</f>
        <v>маш.-ч.</v>
      </c>
      <c r="I121">
        <f>SmtRes!Y165*Source!I378</f>
        <v>27.784102499999999</v>
      </c>
      <c r="J121">
        <f>SmtRes!AO165</f>
        <v>1</v>
      </c>
      <c r="K121">
        <f>SmtRes!AF165</f>
        <v>162.4</v>
      </c>
      <c r="L121">
        <f>SmtRes!DB165</f>
        <v>647.57000000000005</v>
      </c>
      <c r="M121">
        <f>ROUND(ROUND(L121*Source!I378, 6)*1, 2)</f>
        <v>4512.1400000000003</v>
      </c>
      <c r="N121">
        <f>SmtRes!AB165</f>
        <v>1916.45</v>
      </c>
      <c r="O121">
        <f>ROUND(ROUND(L121*Source!I378, 6)*SmtRes!DA165, 2)</f>
        <v>44670.17</v>
      </c>
      <c r="P121">
        <f>SmtRes!AG165</f>
        <v>28.6</v>
      </c>
      <c r="Q121">
        <f>SmtRes!DC165</f>
        <v>114.04</v>
      </c>
      <c r="R121">
        <f>ROUND(ROUND(Q121*Source!I378, 6)*1, 2)</f>
        <v>794.61</v>
      </c>
      <c r="S121">
        <f>SmtRes!AC165</f>
        <v>836.26</v>
      </c>
      <c r="T121">
        <f>ROUND(ROUND(Q121*Source!I378, 6)*SmtRes!AK165, 2)</f>
        <v>19491.73</v>
      </c>
      <c r="U121">
        <f>SmtRes!X165</f>
        <v>781556702</v>
      </c>
      <c r="V121">
        <v>-1266550935</v>
      </c>
      <c r="W121">
        <v>-1597920307</v>
      </c>
    </row>
    <row r="122" spans="1:23" x14ac:dyDescent="0.2">
      <c r="A122">
        <f>Source!A382</f>
        <v>17</v>
      </c>
      <c r="C122">
        <v>3</v>
      </c>
      <c r="D122">
        <v>0</v>
      </c>
      <c r="E122">
        <f>SmtRes!AV174</f>
        <v>0</v>
      </c>
      <c r="F122" t="str">
        <f>SmtRes!I174</f>
        <v>1.4-6-8</v>
      </c>
      <c r="G122" t="str">
        <f>SmtRes!K174</f>
        <v>Торф</v>
      </c>
      <c r="H122" t="str">
        <f>SmtRes!O174</f>
        <v>м3</v>
      </c>
      <c r="I122">
        <f>SmtRes!Y174*Source!I382</f>
        <v>77.419999999999987</v>
      </c>
      <c r="J122">
        <f>SmtRes!AO174</f>
        <v>1</v>
      </c>
      <c r="K122">
        <f>SmtRes!AE174</f>
        <v>407.48</v>
      </c>
      <c r="L122">
        <f>SmtRes!DB174</f>
        <v>285.24</v>
      </c>
      <c r="M122">
        <f>ROUND(ROUND(L122*Source!I382, 6)*1, 2)</f>
        <v>31547.54</v>
      </c>
      <c r="N122">
        <f>SmtRes!AA174</f>
        <v>933.13</v>
      </c>
      <c r="O122">
        <f>ROUND(ROUND(L122*Source!I382, 6)*SmtRes!DA174, 2)</f>
        <v>72243.88</v>
      </c>
      <c r="P122">
        <f>SmtRes!AG174</f>
        <v>0</v>
      </c>
      <c r="Q122">
        <f>SmtRes!DC174</f>
        <v>0</v>
      </c>
      <c r="R122">
        <f>ROUND(ROUND(Q122*Source!I382, 6)*1, 2)</f>
        <v>0</v>
      </c>
      <c r="S122">
        <f>SmtRes!AC174</f>
        <v>0</v>
      </c>
      <c r="T122">
        <f>ROUND(ROUND(Q122*Source!I382, 6)*SmtRes!AK174, 2)</f>
        <v>0</v>
      </c>
      <c r="U122">
        <f>SmtRes!X174</f>
        <v>814528933</v>
      </c>
      <c r="V122">
        <v>-1461549868</v>
      </c>
      <c r="W122">
        <v>907761472</v>
      </c>
    </row>
    <row r="123" spans="1:23" x14ac:dyDescent="0.2">
      <c r="A123">
        <f>Source!A382</f>
        <v>17</v>
      </c>
      <c r="C123">
        <v>2</v>
      </c>
      <c r="D123">
        <v>0</v>
      </c>
      <c r="E123">
        <f>SmtRes!AV172</f>
        <v>0</v>
      </c>
      <c r="F123" t="str">
        <f>SmtRes!I172</f>
        <v>2.1-2-7</v>
      </c>
      <c r="G123" t="str">
        <f>SmtRes!K172</f>
        <v>Тракторы на пневмоколесном ходу, мощность до 60 кВт (81 л.с.)</v>
      </c>
      <c r="H123" t="str">
        <f>SmtRes!O172</f>
        <v>маш.-ч.</v>
      </c>
      <c r="I123">
        <f>SmtRes!Y172*Source!I382</f>
        <v>22.12</v>
      </c>
      <c r="J123">
        <f>SmtRes!AO172</f>
        <v>1</v>
      </c>
      <c r="K123">
        <f>SmtRes!AF172</f>
        <v>97.54</v>
      </c>
      <c r="L123">
        <f>SmtRes!DB172</f>
        <v>19.510000000000002</v>
      </c>
      <c r="M123">
        <f>ROUND(ROUND(L123*Source!I382, 6)*1, 2)</f>
        <v>2157.81</v>
      </c>
      <c r="N123">
        <f>SmtRes!AB172</f>
        <v>966.1</v>
      </c>
      <c r="O123">
        <f>ROUND(ROUND(L123*Source!I382, 6)*SmtRes!DA172, 2)</f>
        <v>20412.84</v>
      </c>
      <c r="P123">
        <f>SmtRes!AG172</f>
        <v>20.82</v>
      </c>
      <c r="Q123">
        <f>SmtRes!DC172</f>
        <v>4.16</v>
      </c>
      <c r="R123">
        <f>ROUND(ROUND(Q123*Source!I382, 6)*1, 2)</f>
        <v>460.1</v>
      </c>
      <c r="S123">
        <f>SmtRes!AC172</f>
        <v>534.72</v>
      </c>
      <c r="T123">
        <f>ROUND(ROUND(Q123*Source!I382, 6)*SmtRes!AK172, 2)</f>
        <v>11286.15</v>
      </c>
      <c r="U123">
        <f>SmtRes!X172</f>
        <v>-1758701186</v>
      </c>
      <c r="V123">
        <v>-119266319</v>
      </c>
      <c r="W123">
        <v>-1165803611</v>
      </c>
    </row>
    <row r="124" spans="1:23" x14ac:dyDescent="0.2">
      <c r="A124">
        <f>Source!A382</f>
        <v>17</v>
      </c>
      <c r="C124">
        <v>2</v>
      </c>
      <c r="D124">
        <v>0</v>
      </c>
      <c r="E124">
        <f>SmtRes!AV171</f>
        <v>0</v>
      </c>
      <c r="F124" t="str">
        <f>SmtRes!I171</f>
        <v>2.1-17-52</v>
      </c>
      <c r="G124" t="str">
        <f>SmtRes!K171</f>
        <v>Ямокопатели</v>
      </c>
      <c r="H124" t="str">
        <f>SmtRes!O171</f>
        <v>маш.-ч.</v>
      </c>
      <c r="I124">
        <f>SmtRes!Y171*Source!I382</f>
        <v>22.12</v>
      </c>
      <c r="J124">
        <f>SmtRes!AO171</f>
        <v>1</v>
      </c>
      <c r="K124">
        <f>SmtRes!AF171</f>
        <v>5.31</v>
      </c>
      <c r="L124">
        <f>SmtRes!DB171</f>
        <v>1.06</v>
      </c>
      <c r="M124">
        <f>ROUND(ROUND(L124*Source!I382, 6)*1, 2)</f>
        <v>117.24</v>
      </c>
      <c r="N124">
        <f>SmtRes!AB171</f>
        <v>28.8</v>
      </c>
      <c r="O124">
        <f>ROUND(ROUND(L124*Source!I382, 6)*SmtRes!DA171, 2)</f>
        <v>607.28</v>
      </c>
      <c r="P124">
        <f>SmtRes!AG171</f>
        <v>0.36</v>
      </c>
      <c r="Q124">
        <f>SmtRes!DC171</f>
        <v>7.0000000000000007E-2</v>
      </c>
      <c r="R124">
        <f>ROUND(ROUND(Q124*Source!I382, 6)*1, 2)</f>
        <v>7.74</v>
      </c>
      <c r="S124">
        <f>SmtRes!AC171</f>
        <v>9.25</v>
      </c>
      <c r="T124">
        <f>ROUND(ROUND(Q124*Source!I382, 6)*SmtRes!AK171, 2)</f>
        <v>189.91</v>
      </c>
      <c r="U124">
        <f>SmtRes!X171</f>
        <v>1088177544</v>
      </c>
      <c r="V124">
        <v>-458896195</v>
      </c>
      <c r="W124">
        <v>-690271854</v>
      </c>
    </row>
    <row r="125" spans="1:23" x14ac:dyDescent="0.2">
      <c r="A125">
        <f>Source!A383</f>
        <v>18</v>
      </c>
      <c r="B125">
        <v>383</v>
      </c>
      <c r="C125">
        <v>3</v>
      </c>
      <c r="D125">
        <f>Source!BI383</f>
        <v>1</v>
      </c>
      <c r="E125">
        <f>Source!FS383</f>
        <v>0</v>
      </c>
      <c r="F125" t="str">
        <f>Source!F383</f>
        <v>1.4-6-1</v>
      </c>
      <c r="G125" t="str">
        <f>Source!G383</f>
        <v>Земля растительная</v>
      </c>
      <c r="H125" t="str">
        <f>Source!H383</f>
        <v>м3</v>
      </c>
      <c r="I125">
        <f>Source!I383</f>
        <v>221.2</v>
      </c>
      <c r="J125">
        <v>1</v>
      </c>
      <c r="K125">
        <f>Source!AC383</f>
        <v>146.84</v>
      </c>
      <c r="M125">
        <f>ROUND(K125*I125, 2)</f>
        <v>32481.01</v>
      </c>
      <c r="N125">
        <f>Source!AC383*IF(Source!BC383&lt;&gt; 0, Source!BC383, 1)</f>
        <v>977.95440000000008</v>
      </c>
      <c r="O125">
        <f>ROUND(N125*I125, 2)</f>
        <v>216323.51</v>
      </c>
      <c r="P125">
        <f>Source!AE383</f>
        <v>0</v>
      </c>
      <c r="R125">
        <f>ROUND(P125*I125, 2)</f>
        <v>0</v>
      </c>
      <c r="S125">
        <f>Source!AE383*IF(Source!BS383&lt;&gt; 0, Source!BS383, 1)</f>
        <v>0</v>
      </c>
      <c r="T125">
        <f>ROUND(S125*I125, 2)</f>
        <v>0</v>
      </c>
      <c r="U125">
        <f>Source!GF383</f>
        <v>92320855</v>
      </c>
      <c r="V125">
        <v>-326285843</v>
      </c>
      <c r="W125">
        <v>-1509024175</v>
      </c>
    </row>
    <row r="126" spans="1:23" x14ac:dyDescent="0.2">
      <c r="A126">
        <f>Source!A384</f>
        <v>17</v>
      </c>
      <c r="C126">
        <v>3</v>
      </c>
      <c r="D126">
        <v>0</v>
      </c>
      <c r="E126">
        <f>SmtRes!AV177</f>
        <v>0</v>
      </c>
      <c r="F126" t="str">
        <f>SmtRes!I177</f>
        <v>1.4-6-8</v>
      </c>
      <c r="G126" t="str">
        <f>SmtRes!K177</f>
        <v>Торф</v>
      </c>
      <c r="H126" t="str">
        <f>SmtRes!O177</f>
        <v>м3</v>
      </c>
      <c r="I126">
        <f>SmtRes!Y177*Source!I384</f>
        <v>116.13</v>
      </c>
      <c r="J126">
        <f>SmtRes!AO177</f>
        <v>1</v>
      </c>
      <c r="K126">
        <f>SmtRes!AE177</f>
        <v>407.48</v>
      </c>
      <c r="L126">
        <f>SmtRes!DB177</f>
        <v>285.24</v>
      </c>
      <c r="M126">
        <f>ROUND(ROUND(L126*Source!I384, 6)*1, 2)</f>
        <v>47321.32</v>
      </c>
      <c r="N126">
        <f>SmtRes!AA177</f>
        <v>933.13</v>
      </c>
      <c r="O126">
        <f>ROUND(ROUND(L126*Source!I384, 6)*SmtRes!DA177, 2)</f>
        <v>108365.81</v>
      </c>
      <c r="P126">
        <f>SmtRes!AG177</f>
        <v>0</v>
      </c>
      <c r="Q126">
        <f>SmtRes!DC177</f>
        <v>0</v>
      </c>
      <c r="R126">
        <f>ROUND(ROUND(Q126*Source!I384, 6)*1, 2)</f>
        <v>0</v>
      </c>
      <c r="S126">
        <f>SmtRes!AC177</f>
        <v>0</v>
      </c>
      <c r="T126">
        <f>ROUND(ROUND(Q126*Source!I384, 6)*SmtRes!AK177, 2)</f>
        <v>0</v>
      </c>
      <c r="U126">
        <f>SmtRes!X177</f>
        <v>814528933</v>
      </c>
      <c r="V126">
        <v>-1461549868</v>
      </c>
      <c r="W126">
        <v>907761472</v>
      </c>
    </row>
    <row r="127" spans="1:23" x14ac:dyDescent="0.2">
      <c r="A127">
        <f>Source!A385</f>
        <v>18</v>
      </c>
      <c r="B127">
        <v>385</v>
      </c>
      <c r="C127">
        <v>3</v>
      </c>
      <c r="D127">
        <f>Source!BI385</f>
        <v>1</v>
      </c>
      <c r="E127">
        <f>Source!FS385</f>
        <v>0</v>
      </c>
      <c r="F127" t="str">
        <f>Source!F385</f>
        <v>1.4-6-1</v>
      </c>
      <c r="G127" t="str">
        <f>Source!G385</f>
        <v>Земля растительная</v>
      </c>
      <c r="H127" t="str">
        <f>Source!H385</f>
        <v>м3</v>
      </c>
      <c r="I127">
        <f>Source!I385</f>
        <v>331.8</v>
      </c>
      <c r="J127">
        <v>1</v>
      </c>
      <c r="K127">
        <f>Source!AC385</f>
        <v>146.84</v>
      </c>
      <c r="M127">
        <f>ROUND(K127*I127, 2)</f>
        <v>48721.51</v>
      </c>
      <c r="N127">
        <f>Source!AC385*IF(Source!BC385&lt;&gt; 0, Source!BC385, 1)</f>
        <v>977.95440000000008</v>
      </c>
      <c r="O127">
        <f>ROUND(N127*I127, 2)</f>
        <v>324485.27</v>
      </c>
      <c r="P127">
        <f>Source!AE385</f>
        <v>0</v>
      </c>
      <c r="R127">
        <f>ROUND(P127*I127, 2)</f>
        <v>0</v>
      </c>
      <c r="S127">
        <f>Source!AE385*IF(Source!BS385&lt;&gt; 0, Source!BS385, 1)</f>
        <v>0</v>
      </c>
      <c r="T127">
        <f>ROUND(S127*I127, 2)</f>
        <v>0</v>
      </c>
      <c r="U127">
        <f>Source!GF385</f>
        <v>92320855</v>
      </c>
      <c r="V127">
        <v>-326285843</v>
      </c>
      <c r="W127">
        <v>-1509024175</v>
      </c>
    </row>
    <row r="128" spans="1:23" x14ac:dyDescent="0.2">
      <c r="A128">
        <f>Source!A386</f>
        <v>17</v>
      </c>
      <c r="C128">
        <v>3</v>
      </c>
      <c r="D128">
        <v>0</v>
      </c>
      <c r="E128">
        <f>SmtRes!AV180</f>
        <v>0</v>
      </c>
      <c r="F128" t="str">
        <f>SmtRes!I180</f>
        <v>1.1-1-118</v>
      </c>
      <c r="G128" t="str">
        <f>SmtRes!K180</f>
        <v>Вода</v>
      </c>
      <c r="H128" t="str">
        <f>SmtRes!O180</f>
        <v>м3</v>
      </c>
      <c r="I128">
        <f>SmtRes!Y180*Source!I386</f>
        <v>295.85500000000002</v>
      </c>
      <c r="J128">
        <f>SmtRes!AO180</f>
        <v>1</v>
      </c>
      <c r="K128">
        <f>SmtRes!AE180</f>
        <v>7.07</v>
      </c>
      <c r="L128">
        <f>SmtRes!DB180</f>
        <v>7.56</v>
      </c>
      <c r="M128">
        <f>ROUND(ROUND(L128*Source!I386, 6)*1, 2)</f>
        <v>2090.34</v>
      </c>
      <c r="N128">
        <f>SmtRes!AA180</f>
        <v>35.28</v>
      </c>
      <c r="O128">
        <f>ROUND(ROUND(L128*Source!I386, 6)*SmtRes!DA180, 2)</f>
        <v>10430.799999999999</v>
      </c>
      <c r="P128">
        <f>SmtRes!AG180</f>
        <v>0</v>
      </c>
      <c r="Q128">
        <f>SmtRes!DC180</f>
        <v>0</v>
      </c>
      <c r="R128">
        <f>ROUND(ROUND(Q128*Source!I386, 6)*1, 2)</f>
        <v>0</v>
      </c>
      <c r="S128">
        <f>SmtRes!AC180</f>
        <v>0</v>
      </c>
      <c r="T128">
        <f>ROUND(ROUND(Q128*Source!I386, 6)*SmtRes!AK180, 2)</f>
        <v>0</v>
      </c>
      <c r="U128">
        <f>SmtRes!X180</f>
        <v>-862991314</v>
      </c>
      <c r="V128">
        <v>209219300</v>
      </c>
      <c r="W128">
        <v>-307160680</v>
      </c>
    </row>
    <row r="129" spans="1:23" x14ac:dyDescent="0.2">
      <c r="A129">
        <f>Source!A386</f>
        <v>17</v>
      </c>
      <c r="C129">
        <v>2</v>
      </c>
      <c r="D129">
        <v>0</v>
      </c>
      <c r="E129">
        <f>SmtRes!AV179</f>
        <v>0</v>
      </c>
      <c r="F129" t="str">
        <f>SmtRes!I179</f>
        <v>2.1-5-18</v>
      </c>
      <c r="G129" t="str">
        <f>SmtRes!K179</f>
        <v>Поливомоечные машины, емкость цистерны более 5000 л</v>
      </c>
      <c r="H129" t="str">
        <f>SmtRes!O179</f>
        <v>маш.-ч.</v>
      </c>
      <c r="I129">
        <f>SmtRes!Y179*Source!I386</f>
        <v>71.89</v>
      </c>
      <c r="J129">
        <f>SmtRes!AO179</f>
        <v>1</v>
      </c>
      <c r="K129">
        <f>SmtRes!AF179</f>
        <v>140.58000000000001</v>
      </c>
      <c r="L129">
        <f>SmtRes!DB179</f>
        <v>36.549999999999997</v>
      </c>
      <c r="M129">
        <f>ROUND(ROUND(L129*Source!I386, 6)*1, 2)</f>
        <v>10106.08</v>
      </c>
      <c r="N129">
        <f>SmtRes!AB179</f>
        <v>1162.78</v>
      </c>
      <c r="O129">
        <f>ROUND(ROUND(L129*Source!I386, 6)*SmtRes!DA179, 2)</f>
        <v>79837.990000000005</v>
      </c>
      <c r="P129">
        <f>SmtRes!AG179</f>
        <v>28.61</v>
      </c>
      <c r="Q129">
        <f>SmtRes!DC179</f>
        <v>7.44</v>
      </c>
      <c r="R129">
        <f>ROUND(ROUND(Q129*Source!I386, 6)*1, 2)</f>
        <v>2057.16</v>
      </c>
      <c r="S129">
        <f>SmtRes!AC179</f>
        <v>734.79</v>
      </c>
      <c r="T129">
        <f>ROUND(ROUND(Q129*Source!I386, 6)*SmtRes!AK179, 2)</f>
        <v>50462.13</v>
      </c>
      <c r="U129">
        <f>SmtRes!X179</f>
        <v>378346098</v>
      </c>
      <c r="V129">
        <v>-656460772</v>
      </c>
      <c r="W129">
        <v>368907495</v>
      </c>
    </row>
    <row r="130" spans="1:23" x14ac:dyDescent="0.2">
      <c r="A130">
        <f>Source!A387</f>
        <v>18</v>
      </c>
      <c r="B130">
        <v>387</v>
      </c>
      <c r="C130">
        <v>3</v>
      </c>
      <c r="D130">
        <f>Source!BI387</f>
        <v>1</v>
      </c>
      <c r="E130">
        <f>Source!FS387</f>
        <v>0</v>
      </c>
      <c r="F130" t="str">
        <f>Source!F387</f>
        <v>1.4-2-40</v>
      </c>
      <c r="G130" t="str">
        <f>Source!G387</f>
        <v>Кустарники декоративные с комом земли, калина обыкновенная, высота 0,3 м, диаметр 0,3 м</v>
      </c>
      <c r="H130" t="str">
        <f>Source!H387</f>
        <v>шт.</v>
      </c>
      <c r="I130">
        <f>Source!I387</f>
        <v>2765</v>
      </c>
      <c r="J130">
        <v>1</v>
      </c>
      <c r="K130">
        <f>Source!AC387</f>
        <v>30.85</v>
      </c>
      <c r="M130">
        <f>ROUND(K130*I130, 2)</f>
        <v>85300.25</v>
      </c>
      <c r="N130">
        <f>Source!AC387*IF(Source!BC387&lt;&gt; 0, Source!BC387, 1)</f>
        <v>226.43899999999999</v>
      </c>
      <c r="O130">
        <f>ROUND(N130*I130, 2)</f>
        <v>626103.84</v>
      </c>
      <c r="P130">
        <f>Source!AE387</f>
        <v>0</v>
      </c>
      <c r="R130">
        <f>ROUND(P130*I130, 2)</f>
        <v>0</v>
      </c>
      <c r="S130">
        <f>Source!AE387*IF(Source!BS387&lt;&gt; 0, Source!BS387, 1)</f>
        <v>0</v>
      </c>
      <c r="T130">
        <f>ROUND(S130*I130, 2)</f>
        <v>0</v>
      </c>
      <c r="U130">
        <f>Source!GF387</f>
        <v>635768350</v>
      </c>
      <c r="V130">
        <v>-1582513695</v>
      </c>
      <c r="W130">
        <v>1592254851</v>
      </c>
    </row>
    <row r="131" spans="1:23" x14ac:dyDescent="0.2">
      <c r="A131">
        <f>Source!A420</f>
        <v>4</v>
      </c>
      <c r="B131">
        <v>420</v>
      </c>
      <c r="G131" t="str">
        <f>Source!G420</f>
        <v>21.2. Однорядная живая изгородь</v>
      </c>
    </row>
    <row r="132" spans="1:23" x14ac:dyDescent="0.2">
      <c r="A132">
        <f>Source!A454</f>
        <v>4</v>
      </c>
      <c r="B132">
        <v>454</v>
      </c>
      <c r="G132" t="str">
        <f>Source!G454</f>
        <v>21.4. Пересадка кустарников без кома, в двухрядную живую изгородь</v>
      </c>
    </row>
    <row r="133" spans="1:23" x14ac:dyDescent="0.2">
      <c r="A133">
        <f>Source!A488</f>
        <v>4</v>
      </c>
      <c r="B133">
        <v>488</v>
      </c>
      <c r="G133" t="str">
        <f>Source!G488</f>
        <v>22.1 Посадка деревьев с комом 0,8х0,6 м, высотой от 3 м</v>
      </c>
    </row>
    <row r="134" spans="1:23" x14ac:dyDescent="0.2">
      <c r="A134">
        <f>Source!A492</f>
        <v>17</v>
      </c>
      <c r="C134">
        <v>3</v>
      </c>
      <c r="D134">
        <v>0</v>
      </c>
      <c r="E134">
        <f>SmtRes!AV185</f>
        <v>0</v>
      </c>
      <c r="F134" t="str">
        <f>SmtRes!I185</f>
        <v>1.4-6-8</v>
      </c>
      <c r="G134" t="str">
        <f>SmtRes!K185</f>
        <v>Торф</v>
      </c>
      <c r="H134" t="str">
        <f>SmtRes!O185</f>
        <v>м3</v>
      </c>
      <c r="I134">
        <f>SmtRes!Y185*Source!I492</f>
        <v>10.247999999999999</v>
      </c>
      <c r="J134">
        <f>SmtRes!AO185</f>
        <v>1</v>
      </c>
      <c r="K134">
        <f>SmtRes!AE185</f>
        <v>407.48</v>
      </c>
      <c r="L134">
        <f>SmtRes!DB185</f>
        <v>855.71</v>
      </c>
      <c r="M134">
        <f>ROUND(ROUND(L134*Source!I492, 6)*1, 2)</f>
        <v>4175.8599999999997</v>
      </c>
      <c r="N134">
        <f>SmtRes!AA185</f>
        <v>933.13</v>
      </c>
      <c r="O134">
        <f>ROUND(ROUND(L134*Source!I492, 6)*SmtRes!DA185, 2)</f>
        <v>9562.73</v>
      </c>
      <c r="P134">
        <f>SmtRes!AG185</f>
        <v>0</v>
      </c>
      <c r="Q134">
        <f>SmtRes!DC185</f>
        <v>0</v>
      </c>
      <c r="R134">
        <f>ROUND(ROUND(Q134*Source!I492, 6)*1, 2)</f>
        <v>0</v>
      </c>
      <c r="S134">
        <f>SmtRes!AC185</f>
        <v>0</v>
      </c>
      <c r="T134">
        <f>ROUND(ROUND(Q134*Source!I492, 6)*SmtRes!AK185, 2)</f>
        <v>0</v>
      </c>
      <c r="U134">
        <f>SmtRes!X185</f>
        <v>814528933</v>
      </c>
      <c r="V134">
        <v>-1461549868</v>
      </c>
      <c r="W134">
        <v>907761472</v>
      </c>
    </row>
    <row r="135" spans="1:23" x14ac:dyDescent="0.2">
      <c r="A135">
        <f>Source!A492</f>
        <v>17</v>
      </c>
      <c r="C135">
        <v>2</v>
      </c>
      <c r="D135">
        <v>0</v>
      </c>
      <c r="E135">
        <f>SmtRes!AV183</f>
        <v>0</v>
      </c>
      <c r="F135" t="str">
        <f>SmtRes!I183</f>
        <v>2.1-1-24</v>
      </c>
      <c r="G135" t="str">
        <f>SmtRes!K183</f>
        <v>Экскаваторы на пневмоколесном тракторе гидравлические, объем ковша до 0,25 м3</v>
      </c>
      <c r="H135" t="str">
        <f>SmtRes!O183</f>
        <v>маш.-ч.</v>
      </c>
      <c r="I135">
        <f>SmtRes!Y183*Source!I492</f>
        <v>2.6352000000000002</v>
      </c>
      <c r="J135">
        <f>SmtRes!AO183</f>
        <v>1</v>
      </c>
      <c r="K135">
        <f>SmtRes!AF183</f>
        <v>80</v>
      </c>
      <c r="L135">
        <f>SmtRes!DB183</f>
        <v>43.2</v>
      </c>
      <c r="M135">
        <f>ROUND(ROUND(L135*Source!I492, 6)*1, 2)</f>
        <v>210.82</v>
      </c>
      <c r="N135">
        <f>SmtRes!AB183</f>
        <v>876.97</v>
      </c>
      <c r="O135">
        <f>ROUND(ROUND(L135*Source!I492, 6)*SmtRes!DA183, 2)</f>
        <v>2207.2399999999998</v>
      </c>
      <c r="P135">
        <f>SmtRes!AG183</f>
        <v>20.87</v>
      </c>
      <c r="Q135">
        <f>SmtRes!DC183</f>
        <v>11.27</v>
      </c>
      <c r="R135">
        <f>ROUND(ROUND(Q135*Source!I492, 6)*1, 2)</f>
        <v>55</v>
      </c>
      <c r="S135">
        <f>SmtRes!AC183</f>
        <v>536</v>
      </c>
      <c r="T135">
        <f>ROUND(ROUND(Q135*Source!I492, 6)*SmtRes!AK183, 2)</f>
        <v>1349.09</v>
      </c>
      <c r="U135">
        <f>SmtRes!X183</f>
        <v>-1659124929</v>
      </c>
      <c r="V135">
        <v>-1201939962</v>
      </c>
      <c r="W135">
        <v>-120954021</v>
      </c>
    </row>
    <row r="136" spans="1:23" x14ac:dyDescent="0.2">
      <c r="A136">
        <f>Source!A493</f>
        <v>18</v>
      </c>
      <c r="B136">
        <v>493</v>
      </c>
      <c r="C136">
        <v>3</v>
      </c>
      <c r="D136">
        <f>Source!BI493</f>
        <v>1</v>
      </c>
      <c r="E136">
        <f>Source!FS493</f>
        <v>0</v>
      </c>
      <c r="F136" t="str">
        <f>Source!F493</f>
        <v>1.4-6-1</v>
      </c>
      <c r="G136" t="str">
        <f>Source!G493</f>
        <v>Земля растительная</v>
      </c>
      <c r="H136" t="str">
        <f>Source!H493</f>
        <v>м3</v>
      </c>
      <c r="I136">
        <f>Source!I493</f>
        <v>30.256</v>
      </c>
      <c r="J136">
        <v>1</v>
      </c>
      <c r="K136">
        <f>Source!AC493</f>
        <v>146.84</v>
      </c>
      <c r="M136">
        <f>ROUND(K136*I136, 2)</f>
        <v>4442.79</v>
      </c>
      <c r="N136">
        <f>Source!AC493*IF(Source!BC493&lt;&gt; 0, Source!BC493, 1)</f>
        <v>977.95440000000008</v>
      </c>
      <c r="O136">
        <f>ROUND(N136*I136, 2)</f>
        <v>29588.99</v>
      </c>
      <c r="P136">
        <f>Source!AE493</f>
        <v>0</v>
      </c>
      <c r="R136">
        <f>ROUND(P136*I136, 2)</f>
        <v>0</v>
      </c>
      <c r="S136">
        <f>Source!AE493*IF(Source!BS493&lt;&gt; 0, Source!BS493, 1)</f>
        <v>0</v>
      </c>
      <c r="T136">
        <f>ROUND(S136*I136, 2)</f>
        <v>0</v>
      </c>
      <c r="U136">
        <f>Source!GF493</f>
        <v>92320855</v>
      </c>
      <c r="V136">
        <v>-326285843</v>
      </c>
      <c r="W136">
        <v>-1509024175</v>
      </c>
    </row>
    <row r="137" spans="1:23" x14ac:dyDescent="0.2">
      <c r="A137">
        <f>Source!A494</f>
        <v>17</v>
      </c>
      <c r="C137">
        <v>3</v>
      </c>
      <c r="D137">
        <v>0</v>
      </c>
      <c r="E137">
        <f>SmtRes!AV188</f>
        <v>0</v>
      </c>
      <c r="F137" t="str">
        <f>SmtRes!I188</f>
        <v>1.4-6-8</v>
      </c>
      <c r="G137" t="str">
        <f>SmtRes!K188</f>
        <v>Торф</v>
      </c>
      <c r="H137" t="str">
        <f>SmtRes!O188</f>
        <v>м3</v>
      </c>
      <c r="I137">
        <f>SmtRes!Y188*Source!I494</f>
        <v>15.372000000000002</v>
      </c>
      <c r="J137">
        <f>SmtRes!AO188</f>
        <v>1</v>
      </c>
      <c r="K137">
        <f>SmtRes!AE188</f>
        <v>407.48</v>
      </c>
      <c r="L137">
        <f>SmtRes!DB188</f>
        <v>855.71</v>
      </c>
      <c r="M137">
        <f>ROUND(ROUND(L137*Source!I494, 6)*1, 2)</f>
        <v>6263.8</v>
      </c>
      <c r="N137">
        <f>SmtRes!AA188</f>
        <v>933.13</v>
      </c>
      <c r="O137">
        <f>ROUND(ROUND(L137*Source!I494, 6)*SmtRes!DA188, 2)</f>
        <v>14344.1</v>
      </c>
      <c r="P137">
        <f>SmtRes!AG188</f>
        <v>0</v>
      </c>
      <c r="Q137">
        <f>SmtRes!DC188</f>
        <v>0</v>
      </c>
      <c r="R137">
        <f>ROUND(ROUND(Q137*Source!I494, 6)*1, 2)</f>
        <v>0</v>
      </c>
      <c r="S137">
        <f>SmtRes!AC188</f>
        <v>0</v>
      </c>
      <c r="T137">
        <f>ROUND(ROUND(Q137*Source!I494, 6)*SmtRes!AK188, 2)</f>
        <v>0</v>
      </c>
      <c r="U137">
        <f>SmtRes!X188</f>
        <v>814528933</v>
      </c>
      <c r="V137">
        <v>-1461549868</v>
      </c>
      <c r="W137">
        <v>907761472</v>
      </c>
    </row>
    <row r="138" spans="1:23" x14ac:dyDescent="0.2">
      <c r="A138">
        <f>Source!A495</f>
        <v>18</v>
      </c>
      <c r="B138">
        <v>495</v>
      </c>
      <c r="C138">
        <v>3</v>
      </c>
      <c r="D138">
        <f>Source!BI495</f>
        <v>1</v>
      </c>
      <c r="E138">
        <f>Source!FS495</f>
        <v>0</v>
      </c>
      <c r="F138" t="str">
        <f>Source!F495</f>
        <v>1.4-6-1</v>
      </c>
      <c r="G138" t="str">
        <f>Source!G495</f>
        <v>Земля растительная</v>
      </c>
      <c r="H138" t="str">
        <f>Source!H495</f>
        <v>м3</v>
      </c>
      <c r="I138">
        <f>Source!I495</f>
        <v>45.384</v>
      </c>
      <c r="J138">
        <v>1</v>
      </c>
      <c r="K138">
        <f>Source!AC495</f>
        <v>146.84</v>
      </c>
      <c r="M138">
        <f>ROUND(K138*I138, 2)</f>
        <v>6664.19</v>
      </c>
      <c r="N138">
        <f>Source!AC495*IF(Source!BC495&lt;&gt; 0, Source!BC495, 1)</f>
        <v>977.95440000000008</v>
      </c>
      <c r="O138">
        <f>ROUND(N138*I138, 2)</f>
        <v>44383.48</v>
      </c>
      <c r="P138">
        <f>Source!AE495</f>
        <v>0</v>
      </c>
      <c r="R138">
        <f>ROUND(P138*I138, 2)</f>
        <v>0</v>
      </c>
      <c r="S138">
        <f>Source!AE495*IF(Source!BS495&lt;&gt; 0, Source!BS495, 1)</f>
        <v>0</v>
      </c>
      <c r="T138">
        <f>ROUND(S138*I138, 2)</f>
        <v>0</v>
      </c>
      <c r="U138">
        <f>Source!GF495</f>
        <v>92320855</v>
      </c>
      <c r="V138">
        <v>-326285843</v>
      </c>
      <c r="W138">
        <v>-1509024175</v>
      </c>
    </row>
    <row r="139" spans="1:23" x14ac:dyDescent="0.2">
      <c r="A139">
        <f>Source!A496</f>
        <v>17</v>
      </c>
      <c r="C139">
        <v>2</v>
      </c>
      <c r="D139">
        <v>0</v>
      </c>
      <c r="E139">
        <f>SmtRes!AV191</f>
        <v>0</v>
      </c>
      <c r="F139" t="str">
        <f>SmtRes!I191</f>
        <v>2.1-1-44</v>
      </c>
      <c r="G139" t="str">
        <f>SmtRes!K191</f>
        <v>Бульдозеры гусеничные, мощность до 79 кВт (108 л.с.)</v>
      </c>
      <c r="H139" t="str">
        <f>SmtRes!O191</f>
        <v>маш.-ч.</v>
      </c>
      <c r="I139">
        <f>SmtRes!Y191*Source!I496</f>
        <v>0.74221066800000002</v>
      </c>
      <c r="J139">
        <f>SmtRes!AO191</f>
        <v>1</v>
      </c>
      <c r="K139">
        <f>SmtRes!AF191</f>
        <v>110.31</v>
      </c>
      <c r="L139">
        <f>SmtRes!DB191</f>
        <v>109.98</v>
      </c>
      <c r="M139">
        <f>ROUND(ROUND(L139*Source!I496, 6)*1, 2)</f>
        <v>81.87</v>
      </c>
      <c r="N139">
        <f>SmtRes!AB191</f>
        <v>1232.06</v>
      </c>
      <c r="O139">
        <f>ROUND(ROUND(L139*Source!I496, 6)*SmtRes!DA191, 2)</f>
        <v>767.16</v>
      </c>
      <c r="P139">
        <f>SmtRes!AG191</f>
        <v>26.52</v>
      </c>
      <c r="Q139">
        <f>SmtRes!DC191</f>
        <v>26.44</v>
      </c>
      <c r="R139">
        <f>ROUND(ROUND(Q139*Source!I496, 6)*1, 2)</f>
        <v>19.68</v>
      </c>
      <c r="S139">
        <f>SmtRes!AC191</f>
        <v>775.44</v>
      </c>
      <c r="T139">
        <f>ROUND(ROUND(Q139*Source!I496, 6)*SmtRes!AK191, 2)</f>
        <v>482.83</v>
      </c>
      <c r="U139">
        <f>SmtRes!X191</f>
        <v>695902881</v>
      </c>
      <c r="V139">
        <v>-190654433</v>
      </c>
      <c r="W139">
        <v>-271111961</v>
      </c>
    </row>
    <row r="140" spans="1:23" x14ac:dyDescent="0.2">
      <c r="A140">
        <f>Source!A496</f>
        <v>17</v>
      </c>
      <c r="C140">
        <v>2</v>
      </c>
      <c r="D140">
        <v>0</v>
      </c>
      <c r="E140">
        <f>SmtRes!AV190</f>
        <v>0</v>
      </c>
      <c r="F140" t="str">
        <f>SmtRes!I190</f>
        <v>2.1-1-4</v>
      </c>
      <c r="G140" t="str">
        <f>SmtRes!K190</f>
        <v>Экскаваторы на гусеничном ходу гидравлические, объем ковша до 0,5 м3</v>
      </c>
      <c r="H140" t="str">
        <f>SmtRes!O190</f>
        <v>маш.-ч.</v>
      </c>
      <c r="I140">
        <f>SmtRes!Y190*Source!I496</f>
        <v>2.9684704499999999</v>
      </c>
      <c r="J140">
        <f>SmtRes!AO190</f>
        <v>1</v>
      </c>
      <c r="K140">
        <f>SmtRes!AF190</f>
        <v>162.4</v>
      </c>
      <c r="L140">
        <f>SmtRes!DB190</f>
        <v>647.57000000000005</v>
      </c>
      <c r="M140">
        <f>ROUND(ROUND(L140*Source!I496, 6)*1, 2)</f>
        <v>482.08</v>
      </c>
      <c r="N140">
        <f>SmtRes!AB190</f>
        <v>1916.45</v>
      </c>
      <c r="O140">
        <f>ROUND(ROUND(L140*Source!I496, 6)*SmtRes!DA190, 2)</f>
        <v>4772.59</v>
      </c>
      <c r="P140">
        <f>SmtRes!AG190</f>
        <v>28.6</v>
      </c>
      <c r="Q140">
        <f>SmtRes!DC190</f>
        <v>114.04</v>
      </c>
      <c r="R140">
        <f>ROUND(ROUND(Q140*Source!I496, 6)*1, 2)</f>
        <v>84.9</v>
      </c>
      <c r="S140">
        <f>SmtRes!AC190</f>
        <v>836.26</v>
      </c>
      <c r="T140">
        <f>ROUND(ROUND(Q140*Source!I496, 6)*SmtRes!AK190, 2)</f>
        <v>2082.5100000000002</v>
      </c>
      <c r="U140">
        <f>SmtRes!X190</f>
        <v>781556702</v>
      </c>
      <c r="V140">
        <v>-1266550935</v>
      </c>
      <c r="W140">
        <v>-1597920307</v>
      </c>
    </row>
    <row r="141" spans="1:23" x14ac:dyDescent="0.2">
      <c r="A141">
        <f>Source!A500</f>
        <v>17</v>
      </c>
      <c r="C141">
        <v>3</v>
      </c>
      <c r="D141">
        <v>0</v>
      </c>
      <c r="E141">
        <f>SmtRes!AV200</f>
        <v>0</v>
      </c>
      <c r="F141" t="str">
        <f>SmtRes!I200</f>
        <v>9999990006</v>
      </c>
      <c r="G141" t="str">
        <f>SmtRes!K200</f>
        <v>Стоимость прочих материалов (ЭСН)</v>
      </c>
      <c r="H141" t="str">
        <f>SmtRes!O200</f>
        <v>руб.</v>
      </c>
      <c r="I141">
        <f>SmtRes!Y200*Source!I500</f>
        <v>264.73999999999995</v>
      </c>
      <c r="J141">
        <f>SmtRes!AO200</f>
        <v>1</v>
      </c>
      <c r="K141">
        <f>SmtRes!AE200</f>
        <v>1</v>
      </c>
      <c r="L141">
        <f>SmtRes!DB200</f>
        <v>21.7</v>
      </c>
      <c r="M141">
        <f>ROUND(ROUND(L141*Source!I500, 6)*1, 2)</f>
        <v>264.74</v>
      </c>
      <c r="N141">
        <f>SmtRes!AA200</f>
        <v>1</v>
      </c>
      <c r="O141">
        <f>ROUND(ROUND(L141*Source!I500, 6)*SmtRes!DA200, 2)</f>
        <v>264.74</v>
      </c>
      <c r="P141">
        <f>SmtRes!AG200</f>
        <v>0</v>
      </c>
      <c r="Q141">
        <f>SmtRes!DC200</f>
        <v>0</v>
      </c>
      <c r="R141">
        <f>ROUND(ROUND(Q141*Source!I500, 6)*1, 2)</f>
        <v>0</v>
      </c>
      <c r="S141">
        <f>SmtRes!AC200</f>
        <v>0</v>
      </c>
      <c r="T141">
        <f>ROUND(ROUND(Q141*Source!I500, 6)*SmtRes!AK200, 2)</f>
        <v>0</v>
      </c>
      <c r="U141">
        <f>SmtRes!X200</f>
        <v>-94250534</v>
      </c>
      <c r="V141">
        <v>-1341645062</v>
      </c>
      <c r="W141">
        <v>-1341645062</v>
      </c>
    </row>
    <row r="142" spans="1:23" x14ac:dyDescent="0.2">
      <c r="A142">
        <f>Source!A500</f>
        <v>17</v>
      </c>
      <c r="C142">
        <v>3</v>
      </c>
      <c r="D142">
        <v>0</v>
      </c>
      <c r="E142">
        <f>SmtRes!AV198</f>
        <v>0</v>
      </c>
      <c r="F142" t="str">
        <f>SmtRes!I198</f>
        <v>1.1-1-118</v>
      </c>
      <c r="G142" t="str">
        <f>SmtRes!K198</f>
        <v>Вода</v>
      </c>
      <c r="H142" t="str">
        <f>SmtRes!O198</f>
        <v>м3</v>
      </c>
      <c r="I142">
        <f>SmtRes!Y198*Source!I500</f>
        <v>31.72</v>
      </c>
      <c r="J142">
        <f>SmtRes!AO198</f>
        <v>1</v>
      </c>
      <c r="K142">
        <f>SmtRes!AE198</f>
        <v>7.07</v>
      </c>
      <c r="L142">
        <f>SmtRes!DB198</f>
        <v>18.38</v>
      </c>
      <c r="M142">
        <f>ROUND(ROUND(L142*Source!I500, 6)*1, 2)</f>
        <v>224.24</v>
      </c>
      <c r="N142">
        <f>SmtRes!AA198</f>
        <v>35.28</v>
      </c>
      <c r="O142">
        <f>ROUND(ROUND(L142*Source!I500, 6)*SmtRes!DA198, 2)</f>
        <v>1118.94</v>
      </c>
      <c r="P142">
        <f>SmtRes!AG198</f>
        <v>0</v>
      </c>
      <c r="Q142">
        <f>SmtRes!DC198</f>
        <v>0</v>
      </c>
      <c r="R142">
        <f>ROUND(ROUND(Q142*Source!I500, 6)*1, 2)</f>
        <v>0</v>
      </c>
      <c r="S142">
        <f>SmtRes!AC198</f>
        <v>0</v>
      </c>
      <c r="T142">
        <f>ROUND(ROUND(Q142*Source!I500, 6)*SmtRes!AK198, 2)</f>
        <v>0</v>
      </c>
      <c r="U142">
        <f>SmtRes!X198</f>
        <v>-862991314</v>
      </c>
      <c r="V142">
        <v>209219300</v>
      </c>
      <c r="W142">
        <v>-307160680</v>
      </c>
    </row>
    <row r="143" spans="1:23" x14ac:dyDescent="0.2">
      <c r="A143">
        <f>Source!A500</f>
        <v>17</v>
      </c>
      <c r="C143">
        <v>2</v>
      </c>
      <c r="D143">
        <v>0</v>
      </c>
      <c r="E143">
        <f>SmtRes!AV197</f>
        <v>0</v>
      </c>
      <c r="F143" t="str">
        <f>SmtRes!I197</f>
        <v>2.1-5-18</v>
      </c>
      <c r="G143" t="str">
        <f>SmtRes!K197</f>
        <v>Поливомоечные машины, емкость цистерны более 5000 л</v>
      </c>
      <c r="H143" t="str">
        <f>SmtRes!O197</f>
        <v>маш.-ч.</v>
      </c>
      <c r="I143">
        <f>SmtRes!Y197*Source!I500</f>
        <v>7.4419999999999993</v>
      </c>
      <c r="J143">
        <f>SmtRes!AO197</f>
        <v>1</v>
      </c>
      <c r="K143">
        <f>SmtRes!AF197</f>
        <v>140.58000000000001</v>
      </c>
      <c r="L143">
        <f>SmtRes!DB197</f>
        <v>85.75</v>
      </c>
      <c r="M143">
        <f>ROUND(ROUND(L143*Source!I500, 6)*1, 2)</f>
        <v>1046.1500000000001</v>
      </c>
      <c r="N143">
        <f>SmtRes!AB197</f>
        <v>1162.78</v>
      </c>
      <c r="O143">
        <f>ROUND(ROUND(L143*Source!I500, 6)*SmtRes!DA197, 2)</f>
        <v>8264.59</v>
      </c>
      <c r="P143">
        <f>SmtRes!AG197</f>
        <v>28.61</v>
      </c>
      <c r="Q143">
        <f>SmtRes!DC197</f>
        <v>17.45</v>
      </c>
      <c r="R143">
        <f>ROUND(ROUND(Q143*Source!I500, 6)*1, 2)</f>
        <v>212.89</v>
      </c>
      <c r="S143">
        <f>SmtRes!AC197</f>
        <v>734.79</v>
      </c>
      <c r="T143">
        <f>ROUND(ROUND(Q143*Source!I500, 6)*SmtRes!AK197, 2)</f>
        <v>5222.1899999999996</v>
      </c>
      <c r="U143">
        <f>SmtRes!X197</f>
        <v>378346098</v>
      </c>
      <c r="V143">
        <v>-656460772</v>
      </c>
      <c r="W143">
        <v>368907495</v>
      </c>
    </row>
    <row r="144" spans="1:23" x14ac:dyDescent="0.2">
      <c r="A144">
        <f>Source!A500</f>
        <v>17</v>
      </c>
      <c r="C144">
        <v>2</v>
      </c>
      <c r="D144">
        <v>0</v>
      </c>
      <c r="E144">
        <f>SmtRes!AV196</f>
        <v>0</v>
      </c>
      <c r="F144" t="str">
        <f>SmtRes!I196</f>
        <v>2.1-3-38</v>
      </c>
      <c r="G144" t="str">
        <f>SmtRes!K196</f>
        <v>Краны на автомобильном ходу, грузоподъемность до 16 т</v>
      </c>
      <c r="H144" t="str">
        <f>SmtRes!O196</f>
        <v>маш.-ч.</v>
      </c>
      <c r="I144">
        <f>SmtRes!Y196*Source!I500</f>
        <v>16.347999999999999</v>
      </c>
      <c r="J144">
        <f>SmtRes!AO196</f>
        <v>1</v>
      </c>
      <c r="K144">
        <f>SmtRes!AF196</f>
        <v>190.93</v>
      </c>
      <c r="L144">
        <f>SmtRes!DB196</f>
        <v>255.85</v>
      </c>
      <c r="M144">
        <f>ROUND(ROUND(L144*Source!I500, 6)*1, 2)</f>
        <v>3121.37</v>
      </c>
      <c r="N144">
        <f>SmtRes!AB196</f>
        <v>1655.2</v>
      </c>
      <c r="O144">
        <f>ROUND(ROUND(L144*Source!I500, 6)*SmtRes!DA196, 2)</f>
        <v>25844.94</v>
      </c>
      <c r="P144">
        <f>SmtRes!AG196</f>
        <v>18.149999999999999</v>
      </c>
      <c r="Q144">
        <f>SmtRes!DC196</f>
        <v>24.32</v>
      </c>
      <c r="R144">
        <f>ROUND(ROUND(Q144*Source!I500, 6)*1, 2)</f>
        <v>296.7</v>
      </c>
      <c r="S144">
        <f>SmtRes!AC196</f>
        <v>466.14</v>
      </c>
      <c r="T144">
        <f>ROUND(ROUND(Q144*Source!I500, 6)*SmtRes!AK196, 2)</f>
        <v>7278.15</v>
      </c>
      <c r="U144">
        <f>SmtRes!X196</f>
        <v>-266174272</v>
      </c>
      <c r="V144">
        <v>360917738</v>
      </c>
      <c r="W144">
        <v>-213384332</v>
      </c>
    </row>
    <row r="145" spans="1:23" x14ac:dyDescent="0.2">
      <c r="A145">
        <f>Source!A501</f>
        <v>18</v>
      </c>
      <c r="B145">
        <v>501</v>
      </c>
      <c r="C145">
        <v>3</v>
      </c>
      <c r="D145">
        <f>Source!BI501</f>
        <v>1</v>
      </c>
      <c r="E145">
        <f>Source!FS501</f>
        <v>0</v>
      </c>
      <c r="F145" t="str">
        <f>Source!F501</f>
        <v>1.4-1-6</v>
      </c>
      <c r="G145" t="str">
        <f>Source!G501</f>
        <v>Деревья декоративные лиственных пород с комом земли, порода: бархат амурский, вяз, дуб, каштан, клен, липа, орех, ясень, размер кома: диаметр - 0,8 м, высота - 0,6 м</v>
      </c>
      <c r="H145" t="str">
        <f>Source!H501</f>
        <v>шт.</v>
      </c>
      <c r="I145">
        <f>Source!I501</f>
        <v>122</v>
      </c>
      <c r="J145">
        <v>1</v>
      </c>
      <c r="K145">
        <f>Source!AC501</f>
        <v>330.55</v>
      </c>
      <c r="M145">
        <f>ROUND(K145*I145, 2)</f>
        <v>40327.1</v>
      </c>
      <c r="N145">
        <f>Source!AC501*IF(Source!BC501&lt;&gt; 0, Source!BC501, 1)</f>
        <v>6829.1630000000005</v>
      </c>
      <c r="O145">
        <f>ROUND(N145*I145, 2)</f>
        <v>833157.89</v>
      </c>
      <c r="P145">
        <f>Source!AE501</f>
        <v>0</v>
      </c>
      <c r="R145">
        <f>ROUND(P145*I145, 2)</f>
        <v>0</v>
      </c>
      <c r="S145">
        <f>Source!AE501*IF(Source!BS501&lt;&gt; 0, Source!BS501, 1)</f>
        <v>0</v>
      </c>
      <c r="T145">
        <f>ROUND(S145*I145, 2)</f>
        <v>0</v>
      </c>
      <c r="U145">
        <f>Source!GF501</f>
        <v>-1513397672</v>
      </c>
      <c r="V145">
        <v>1840360024</v>
      </c>
      <c r="W145">
        <v>-1237106391</v>
      </c>
    </row>
    <row r="146" spans="1:23" x14ac:dyDescent="0.2">
      <c r="A146">
        <f>Source!A534</f>
        <v>4</v>
      </c>
      <c r="B146">
        <v>534</v>
      </c>
      <c r="G146" t="str">
        <f>Source!G534</f>
        <v>22.2 Пересадка деревьев с комом 0,8х0,6 м, высотой от 3 м</v>
      </c>
    </row>
    <row r="147" spans="1:23" x14ac:dyDescent="0.2">
      <c r="A147">
        <f>Source!A568</f>
        <v>4</v>
      </c>
      <c r="B147">
        <v>568</v>
      </c>
      <c r="G147" t="str">
        <f>Source!G568</f>
        <v>23.1. Устройство цветников (многолетники)</v>
      </c>
    </row>
    <row r="148" spans="1:23" x14ac:dyDescent="0.2">
      <c r="A148">
        <f>Source!A573</f>
        <v>18</v>
      </c>
      <c r="B148">
        <v>573</v>
      </c>
      <c r="C148">
        <v>3</v>
      </c>
      <c r="D148">
        <f>Source!BI573</f>
        <v>1</v>
      </c>
      <c r="E148">
        <f>Source!FS573</f>
        <v>0</v>
      </c>
      <c r="F148" t="str">
        <f>Source!F573</f>
        <v>1.4-6-1</v>
      </c>
      <c r="G148" t="str">
        <f>Source!G573</f>
        <v>Земля растительная</v>
      </c>
      <c r="H148" t="str">
        <f>Source!H573</f>
        <v>м3</v>
      </c>
      <c r="I148">
        <f>Source!I573</f>
        <v>56.4</v>
      </c>
      <c r="J148">
        <v>1</v>
      </c>
      <c r="K148">
        <f>Source!AC573</f>
        <v>146.84</v>
      </c>
      <c r="M148">
        <f>ROUND(K148*I148, 2)</f>
        <v>8281.7800000000007</v>
      </c>
      <c r="N148">
        <f>Source!AC573*IF(Source!BC573&lt;&gt; 0, Source!BC573, 1)</f>
        <v>977.95440000000008</v>
      </c>
      <c r="O148">
        <f>ROUND(N148*I148, 2)</f>
        <v>55156.63</v>
      </c>
      <c r="P148">
        <f>Source!AE573</f>
        <v>0</v>
      </c>
      <c r="R148">
        <f>ROUND(P148*I148, 2)</f>
        <v>0</v>
      </c>
      <c r="S148">
        <f>Source!AE573*IF(Source!BS573&lt;&gt; 0, Source!BS573, 1)</f>
        <v>0</v>
      </c>
      <c r="T148">
        <f>ROUND(S148*I148, 2)</f>
        <v>0</v>
      </c>
      <c r="U148">
        <f>Source!GF573</f>
        <v>92320855</v>
      </c>
      <c r="V148">
        <v>-326285843</v>
      </c>
      <c r="W148">
        <v>-1509024175</v>
      </c>
    </row>
    <row r="149" spans="1:23" x14ac:dyDescent="0.2">
      <c r="A149">
        <f>Source!A575</f>
        <v>18</v>
      </c>
      <c r="B149">
        <v>575</v>
      </c>
      <c r="C149">
        <v>3</v>
      </c>
      <c r="D149">
        <f>Source!BI575</f>
        <v>1</v>
      </c>
      <c r="E149">
        <f>Source!FS575</f>
        <v>0</v>
      </c>
      <c r="F149" t="str">
        <f>Source!F575</f>
        <v>1.4-6-1</v>
      </c>
      <c r="G149" t="str">
        <f>Source!G575</f>
        <v>Земля растительная</v>
      </c>
      <c r="H149" t="str">
        <f>Source!H575</f>
        <v>м3</v>
      </c>
      <c r="I149">
        <f>Source!I575</f>
        <v>56.4</v>
      </c>
      <c r="J149">
        <v>1</v>
      </c>
      <c r="K149">
        <f>Source!AC575</f>
        <v>146.84</v>
      </c>
      <c r="M149">
        <f>ROUND(K149*I149, 2)</f>
        <v>8281.7800000000007</v>
      </c>
      <c r="N149">
        <f>Source!AC575*IF(Source!BC575&lt;&gt; 0, Source!BC575, 1)</f>
        <v>977.95440000000008</v>
      </c>
      <c r="O149">
        <f>ROUND(N149*I149, 2)</f>
        <v>55156.63</v>
      </c>
      <c r="P149">
        <f>Source!AE575</f>
        <v>0</v>
      </c>
      <c r="R149">
        <f>ROUND(P149*I149, 2)</f>
        <v>0</v>
      </c>
      <c r="S149">
        <f>Source!AE575*IF(Source!BS575&lt;&gt; 0, Source!BS575, 1)</f>
        <v>0</v>
      </c>
      <c r="T149">
        <f>ROUND(S149*I149, 2)</f>
        <v>0</v>
      </c>
      <c r="U149">
        <f>Source!GF575</f>
        <v>92320855</v>
      </c>
      <c r="V149">
        <v>-326285843</v>
      </c>
      <c r="W149">
        <v>-1509024175</v>
      </c>
    </row>
    <row r="150" spans="1:23" x14ac:dyDescent="0.2">
      <c r="A150">
        <f>Source!A576</f>
        <v>17</v>
      </c>
      <c r="C150">
        <v>3</v>
      </c>
      <c r="D150">
        <v>0</v>
      </c>
      <c r="E150">
        <f>SmtRes!AV210</f>
        <v>0</v>
      </c>
      <c r="F150" t="str">
        <f>SmtRes!I210</f>
        <v>9999990006</v>
      </c>
      <c r="G150" t="str">
        <f>SmtRes!K210</f>
        <v>Стоимость прочих материалов (ЭСН)</v>
      </c>
      <c r="H150" t="str">
        <f>SmtRes!O210</f>
        <v>руб.</v>
      </c>
      <c r="I150">
        <f>SmtRes!Y210*Source!I576</f>
        <v>9.5739000000000001</v>
      </c>
      <c r="J150">
        <f>SmtRes!AO210</f>
        <v>1</v>
      </c>
      <c r="K150">
        <f>SmtRes!AE210</f>
        <v>1</v>
      </c>
      <c r="L150">
        <f>SmtRes!DB210</f>
        <v>6.79</v>
      </c>
      <c r="M150">
        <f>ROUND(ROUND(L150*Source!I576, 6)*1, 2)</f>
        <v>9.57</v>
      </c>
      <c r="N150">
        <f>SmtRes!AA210</f>
        <v>1</v>
      </c>
      <c r="O150">
        <f>ROUND(ROUND(L150*Source!I576, 6)*SmtRes!DA210, 2)</f>
        <v>9.57</v>
      </c>
      <c r="P150">
        <f>SmtRes!AG210</f>
        <v>0</v>
      </c>
      <c r="Q150">
        <f>SmtRes!DC210</f>
        <v>0</v>
      </c>
      <c r="R150">
        <f>ROUND(ROUND(Q150*Source!I576, 6)*1, 2)</f>
        <v>0</v>
      </c>
      <c r="S150">
        <f>SmtRes!AC210</f>
        <v>0</v>
      </c>
      <c r="T150">
        <f>ROUND(ROUND(Q150*Source!I576, 6)*SmtRes!AK210, 2)</f>
        <v>0</v>
      </c>
      <c r="U150">
        <f>SmtRes!X210</f>
        <v>-94250534</v>
      </c>
      <c r="V150">
        <v>-1341645062</v>
      </c>
      <c r="W150">
        <v>-1341645062</v>
      </c>
    </row>
    <row r="151" spans="1:23" x14ac:dyDescent="0.2">
      <c r="A151">
        <f>Source!A576</f>
        <v>17</v>
      </c>
      <c r="C151">
        <v>3</v>
      </c>
      <c r="D151">
        <v>0</v>
      </c>
      <c r="E151">
        <f>SmtRes!AV209</f>
        <v>0</v>
      </c>
      <c r="F151" t="str">
        <f>SmtRes!I209</f>
        <v>1.4-6-8</v>
      </c>
      <c r="G151" t="str">
        <f>SmtRes!K209</f>
        <v>Торф</v>
      </c>
      <c r="H151" t="str">
        <f>SmtRes!O209</f>
        <v>м3</v>
      </c>
      <c r="I151">
        <f>SmtRes!Y209*Source!I576</f>
        <v>2.82</v>
      </c>
      <c r="J151">
        <f>SmtRes!AO209</f>
        <v>1</v>
      </c>
      <c r="K151">
        <f>SmtRes!AE209</f>
        <v>407.48</v>
      </c>
      <c r="L151">
        <f>SmtRes!DB209</f>
        <v>814.96</v>
      </c>
      <c r="M151">
        <f>ROUND(ROUND(L151*Source!I576, 6)*1, 2)</f>
        <v>1149.0899999999999</v>
      </c>
      <c r="N151">
        <f>SmtRes!AA209</f>
        <v>933.13</v>
      </c>
      <c r="O151">
        <f>ROUND(ROUND(L151*Source!I576, 6)*SmtRes!DA209, 2)</f>
        <v>2631.42</v>
      </c>
      <c r="P151">
        <f>SmtRes!AG209</f>
        <v>0</v>
      </c>
      <c r="Q151">
        <f>SmtRes!DC209</f>
        <v>0</v>
      </c>
      <c r="R151">
        <f>ROUND(ROUND(Q151*Source!I576, 6)*1, 2)</f>
        <v>0</v>
      </c>
      <c r="S151">
        <f>SmtRes!AC209</f>
        <v>0</v>
      </c>
      <c r="T151">
        <f>ROUND(ROUND(Q151*Source!I576, 6)*SmtRes!AK209, 2)</f>
        <v>0</v>
      </c>
      <c r="U151">
        <f>SmtRes!X209</f>
        <v>814528933</v>
      </c>
      <c r="V151">
        <v>-1461549868</v>
      </c>
      <c r="W151">
        <v>907761472</v>
      </c>
    </row>
    <row r="152" spans="1:23" x14ac:dyDescent="0.2">
      <c r="A152">
        <f>Source!A576</f>
        <v>17</v>
      </c>
      <c r="C152">
        <v>3</v>
      </c>
      <c r="D152">
        <v>0</v>
      </c>
      <c r="E152">
        <f>SmtRes!AV207</f>
        <v>0</v>
      </c>
      <c r="F152" t="str">
        <f>SmtRes!I207</f>
        <v>1.1-1-232</v>
      </c>
      <c r="G152" t="str">
        <f>SmtRes!K207</f>
        <v>Доски хвойных пород, обрезные, длина 2-6,5 м, сорт IV, толщина 40-60 мм</v>
      </c>
      <c r="H152" t="str">
        <f>SmtRes!O207</f>
        <v>м3</v>
      </c>
      <c r="I152">
        <f>SmtRes!Y207*Source!I576</f>
        <v>1.128E-2</v>
      </c>
      <c r="J152">
        <f>SmtRes!AO207</f>
        <v>1</v>
      </c>
      <c r="K152">
        <f>SmtRes!AE207</f>
        <v>1828.56</v>
      </c>
      <c r="L152">
        <f>SmtRes!DB207</f>
        <v>14.63</v>
      </c>
      <c r="M152">
        <f>ROUND(ROUND(L152*Source!I576, 6)*1, 2)</f>
        <v>20.63</v>
      </c>
      <c r="N152">
        <f>SmtRes!AA207</f>
        <v>5467.39</v>
      </c>
      <c r="O152">
        <f>ROUND(ROUND(L152*Source!I576, 6)*SmtRes!DA207, 2)</f>
        <v>61.68</v>
      </c>
      <c r="P152">
        <f>SmtRes!AG207</f>
        <v>0</v>
      </c>
      <c r="Q152">
        <f>SmtRes!DC207</f>
        <v>0</v>
      </c>
      <c r="R152">
        <f>ROUND(ROUND(Q152*Source!I576, 6)*1, 2)</f>
        <v>0</v>
      </c>
      <c r="S152">
        <f>SmtRes!AC207</f>
        <v>0</v>
      </c>
      <c r="T152">
        <f>ROUND(ROUND(Q152*Source!I576, 6)*SmtRes!AK207, 2)</f>
        <v>0</v>
      </c>
      <c r="U152">
        <f>SmtRes!X207</f>
        <v>468437763</v>
      </c>
      <c r="V152">
        <v>901733663</v>
      </c>
      <c r="W152">
        <v>-583748106</v>
      </c>
    </row>
    <row r="153" spans="1:23" x14ac:dyDescent="0.2">
      <c r="A153">
        <f>Source!A576</f>
        <v>17</v>
      </c>
      <c r="C153">
        <v>3</v>
      </c>
      <c r="D153">
        <v>0</v>
      </c>
      <c r="E153">
        <f>SmtRes!AV206</f>
        <v>0</v>
      </c>
      <c r="F153" t="str">
        <f>SmtRes!I206</f>
        <v>1.1-1-118</v>
      </c>
      <c r="G153" t="str">
        <f>SmtRes!K206</f>
        <v>Вода</v>
      </c>
      <c r="H153" t="str">
        <f>SmtRes!O206</f>
        <v>м3</v>
      </c>
      <c r="I153">
        <f>SmtRes!Y206*Source!I576</f>
        <v>42.3</v>
      </c>
      <c r="J153">
        <f>SmtRes!AO206</f>
        <v>1</v>
      </c>
      <c r="K153">
        <f>SmtRes!AE206</f>
        <v>7.07</v>
      </c>
      <c r="L153">
        <f>SmtRes!DB206</f>
        <v>212.1</v>
      </c>
      <c r="M153">
        <f>ROUND(ROUND(L153*Source!I576, 6)*1, 2)</f>
        <v>299.06</v>
      </c>
      <c r="N153">
        <f>SmtRes!AA206</f>
        <v>35.28</v>
      </c>
      <c r="O153">
        <f>ROUND(ROUND(L153*Source!I576, 6)*SmtRes!DA206, 2)</f>
        <v>1492.31</v>
      </c>
      <c r="P153">
        <f>SmtRes!AG206</f>
        <v>0</v>
      </c>
      <c r="Q153">
        <f>SmtRes!DC206</f>
        <v>0</v>
      </c>
      <c r="R153">
        <f>ROUND(ROUND(Q153*Source!I576, 6)*1, 2)</f>
        <v>0</v>
      </c>
      <c r="S153">
        <f>SmtRes!AC206</f>
        <v>0</v>
      </c>
      <c r="T153">
        <f>ROUND(ROUND(Q153*Source!I576, 6)*SmtRes!AK206, 2)</f>
        <v>0</v>
      </c>
      <c r="U153">
        <f>SmtRes!X206</f>
        <v>-862991314</v>
      </c>
      <c r="V153">
        <v>209219300</v>
      </c>
      <c r="W153">
        <v>-307160680</v>
      </c>
    </row>
    <row r="154" spans="1:23" x14ac:dyDescent="0.2">
      <c r="A154">
        <f>Source!A577</f>
        <v>18</v>
      </c>
      <c r="B154">
        <v>577</v>
      </c>
      <c r="C154">
        <v>3</v>
      </c>
      <c r="D154">
        <f>Source!BI577</f>
        <v>1</v>
      </c>
      <c r="E154">
        <f>Source!FS577</f>
        <v>0</v>
      </c>
      <c r="F154" t="str">
        <f>Source!F577</f>
        <v>1.4-3-85</v>
      </c>
      <c r="G154" t="str">
        <f>Source!G577</f>
        <v>Посадочный материал многолетних цветочных культур, хоста</v>
      </c>
      <c r="H154" t="str">
        <f>Source!H577</f>
        <v>шт.</v>
      </c>
      <c r="I154">
        <f>Source!I577</f>
        <v>2256</v>
      </c>
      <c r="J154">
        <v>1</v>
      </c>
      <c r="K154">
        <f>Source!AC577</f>
        <v>45.36</v>
      </c>
      <c r="M154">
        <f>ROUND(K154*I154, 2)</f>
        <v>102332.16</v>
      </c>
      <c r="N154">
        <f>Source!AC577*IF(Source!BC577&lt;&gt; 0, Source!BC577, 1)</f>
        <v>56.246400000000001</v>
      </c>
      <c r="O154">
        <f>ROUND(N154*I154, 2)</f>
        <v>126891.88</v>
      </c>
      <c r="P154">
        <f>Source!AE577</f>
        <v>0</v>
      </c>
      <c r="R154">
        <f>ROUND(P154*I154, 2)</f>
        <v>0</v>
      </c>
      <c r="S154">
        <f>Source!AE577*IF(Source!BS577&lt;&gt; 0, Source!BS577, 1)</f>
        <v>0</v>
      </c>
      <c r="T154">
        <f>ROUND(S154*I154, 2)</f>
        <v>0</v>
      </c>
      <c r="U154">
        <f>Source!GF577</f>
        <v>-1755298893</v>
      </c>
      <c r="V154">
        <v>-1633377405</v>
      </c>
      <c r="W154">
        <v>769333840</v>
      </c>
    </row>
    <row r="155" spans="1:23" x14ac:dyDescent="0.2">
      <c r="A155">
        <f>Source!A578</f>
        <v>17</v>
      </c>
      <c r="C155">
        <v>3</v>
      </c>
      <c r="D155">
        <v>0</v>
      </c>
      <c r="E155">
        <f>SmtRes!AV216</f>
        <v>0</v>
      </c>
      <c r="F155" t="str">
        <f>SmtRes!I216</f>
        <v>9999990006</v>
      </c>
      <c r="G155" t="str">
        <f>SmtRes!K216</f>
        <v>Стоимость прочих материалов (ЭСН)</v>
      </c>
      <c r="H155" t="str">
        <f>SmtRes!O216</f>
        <v>руб.</v>
      </c>
      <c r="I155">
        <f>SmtRes!Y216*Source!I578</f>
        <v>9.5739000000000001</v>
      </c>
      <c r="J155">
        <f>SmtRes!AO216</f>
        <v>1</v>
      </c>
      <c r="K155">
        <f>SmtRes!AE216</f>
        <v>1</v>
      </c>
      <c r="L155">
        <f>SmtRes!DB216</f>
        <v>6.79</v>
      </c>
      <c r="M155">
        <f>ROUND(ROUND(L155*Source!I578, 6)*1, 2)</f>
        <v>9.57</v>
      </c>
      <c r="N155">
        <f>SmtRes!AA216</f>
        <v>1</v>
      </c>
      <c r="O155">
        <f>ROUND(ROUND(L155*Source!I578, 6)*SmtRes!DA216, 2)</f>
        <v>9.57</v>
      </c>
      <c r="P155">
        <f>SmtRes!AG216</f>
        <v>0</v>
      </c>
      <c r="Q155">
        <f>SmtRes!DC216</f>
        <v>0</v>
      </c>
      <c r="R155">
        <f>ROUND(ROUND(Q155*Source!I578, 6)*1, 2)</f>
        <v>0</v>
      </c>
      <c r="S155">
        <f>SmtRes!AC216</f>
        <v>0</v>
      </c>
      <c r="T155">
        <f>ROUND(ROUND(Q155*Source!I578, 6)*SmtRes!AK216, 2)</f>
        <v>0</v>
      </c>
      <c r="U155">
        <f>SmtRes!X216</f>
        <v>-94250534</v>
      </c>
      <c r="V155">
        <v>-1341645062</v>
      </c>
      <c r="W155">
        <v>-1341645062</v>
      </c>
    </row>
    <row r="156" spans="1:23" x14ac:dyDescent="0.2">
      <c r="A156">
        <f>Source!A578</f>
        <v>17</v>
      </c>
      <c r="C156">
        <v>3</v>
      </c>
      <c r="D156">
        <v>0</v>
      </c>
      <c r="E156">
        <f>SmtRes!AV215</f>
        <v>0</v>
      </c>
      <c r="F156" t="str">
        <f>SmtRes!I215</f>
        <v>1.4-6-8</v>
      </c>
      <c r="G156" t="str">
        <f>SmtRes!K215</f>
        <v>Торф</v>
      </c>
      <c r="H156" t="str">
        <f>SmtRes!O215</f>
        <v>м3</v>
      </c>
      <c r="I156">
        <f>SmtRes!Y215*Source!I578</f>
        <v>2.82</v>
      </c>
      <c r="J156">
        <f>SmtRes!AO215</f>
        <v>1</v>
      </c>
      <c r="K156">
        <f>SmtRes!AE215</f>
        <v>407.48</v>
      </c>
      <c r="L156">
        <f>SmtRes!DB215</f>
        <v>814.96</v>
      </c>
      <c r="M156">
        <f>ROUND(ROUND(L156*Source!I578, 6)*1, 2)</f>
        <v>1149.0899999999999</v>
      </c>
      <c r="N156">
        <f>SmtRes!AA215</f>
        <v>933.13</v>
      </c>
      <c r="O156">
        <f>ROUND(ROUND(L156*Source!I578, 6)*SmtRes!DA215, 2)</f>
        <v>2631.42</v>
      </c>
      <c r="P156">
        <f>SmtRes!AG215</f>
        <v>0</v>
      </c>
      <c r="Q156">
        <f>SmtRes!DC215</f>
        <v>0</v>
      </c>
      <c r="R156">
        <f>ROUND(ROUND(Q156*Source!I578, 6)*1, 2)</f>
        <v>0</v>
      </c>
      <c r="S156">
        <f>SmtRes!AC215</f>
        <v>0</v>
      </c>
      <c r="T156">
        <f>ROUND(ROUND(Q156*Source!I578, 6)*SmtRes!AK215, 2)</f>
        <v>0</v>
      </c>
      <c r="U156">
        <f>SmtRes!X215</f>
        <v>814528933</v>
      </c>
      <c r="V156">
        <v>-1461549868</v>
      </c>
      <c r="W156">
        <v>907761472</v>
      </c>
    </row>
    <row r="157" spans="1:23" x14ac:dyDescent="0.2">
      <c r="A157">
        <f>Source!A578</f>
        <v>17</v>
      </c>
      <c r="C157">
        <v>3</v>
      </c>
      <c r="D157">
        <v>0</v>
      </c>
      <c r="E157">
        <f>SmtRes!AV213</f>
        <v>0</v>
      </c>
      <c r="F157" t="str">
        <f>SmtRes!I213</f>
        <v>1.1-1-232</v>
      </c>
      <c r="G157" t="str">
        <f>SmtRes!K213</f>
        <v>Доски хвойных пород, обрезные, длина 2-6,5 м, сорт IV, толщина 40-60 мм</v>
      </c>
      <c r="H157" t="str">
        <f>SmtRes!O213</f>
        <v>м3</v>
      </c>
      <c r="I157">
        <f>SmtRes!Y213*Source!I578</f>
        <v>1.128E-2</v>
      </c>
      <c r="J157">
        <f>SmtRes!AO213</f>
        <v>1</v>
      </c>
      <c r="K157">
        <f>SmtRes!AE213</f>
        <v>1828.56</v>
      </c>
      <c r="L157">
        <f>SmtRes!DB213</f>
        <v>14.63</v>
      </c>
      <c r="M157">
        <f>ROUND(ROUND(L157*Source!I578, 6)*1, 2)</f>
        <v>20.63</v>
      </c>
      <c r="N157">
        <f>SmtRes!AA213</f>
        <v>5467.39</v>
      </c>
      <c r="O157">
        <f>ROUND(ROUND(L157*Source!I578, 6)*SmtRes!DA213, 2)</f>
        <v>61.68</v>
      </c>
      <c r="P157">
        <f>SmtRes!AG213</f>
        <v>0</v>
      </c>
      <c r="Q157">
        <f>SmtRes!DC213</f>
        <v>0</v>
      </c>
      <c r="R157">
        <f>ROUND(ROUND(Q157*Source!I578, 6)*1, 2)</f>
        <v>0</v>
      </c>
      <c r="S157">
        <f>SmtRes!AC213</f>
        <v>0</v>
      </c>
      <c r="T157">
        <f>ROUND(ROUND(Q157*Source!I578, 6)*SmtRes!AK213, 2)</f>
        <v>0</v>
      </c>
      <c r="U157">
        <f>SmtRes!X213</f>
        <v>468437763</v>
      </c>
      <c r="V157">
        <v>901733663</v>
      </c>
      <c r="W157">
        <v>-583748106</v>
      </c>
    </row>
    <row r="158" spans="1:23" x14ac:dyDescent="0.2">
      <c r="A158">
        <f>Source!A578</f>
        <v>17</v>
      </c>
      <c r="C158">
        <v>3</v>
      </c>
      <c r="D158">
        <v>0</v>
      </c>
      <c r="E158">
        <f>SmtRes!AV212</f>
        <v>0</v>
      </c>
      <c r="F158" t="str">
        <f>SmtRes!I212</f>
        <v>1.1-1-118</v>
      </c>
      <c r="G158" t="str">
        <f>SmtRes!K212</f>
        <v>Вода</v>
      </c>
      <c r="H158" t="str">
        <f>SmtRes!O212</f>
        <v>м3</v>
      </c>
      <c r="I158">
        <f>SmtRes!Y212*Source!I578</f>
        <v>42.3</v>
      </c>
      <c r="J158">
        <f>SmtRes!AO212</f>
        <v>1</v>
      </c>
      <c r="K158">
        <f>SmtRes!AE212</f>
        <v>7.07</v>
      </c>
      <c r="L158">
        <f>SmtRes!DB212</f>
        <v>212.1</v>
      </c>
      <c r="M158">
        <f>ROUND(ROUND(L158*Source!I578, 6)*1, 2)</f>
        <v>299.06</v>
      </c>
      <c r="N158">
        <f>SmtRes!AA212</f>
        <v>35.28</v>
      </c>
      <c r="O158">
        <f>ROUND(ROUND(L158*Source!I578, 6)*SmtRes!DA212, 2)</f>
        <v>1492.31</v>
      </c>
      <c r="P158">
        <f>SmtRes!AG212</f>
        <v>0</v>
      </c>
      <c r="Q158">
        <f>SmtRes!DC212</f>
        <v>0</v>
      </c>
      <c r="R158">
        <f>ROUND(ROUND(Q158*Source!I578, 6)*1, 2)</f>
        <v>0</v>
      </c>
      <c r="S158">
        <f>SmtRes!AC212</f>
        <v>0</v>
      </c>
      <c r="T158">
        <f>ROUND(ROUND(Q158*Source!I578, 6)*SmtRes!AK212, 2)</f>
        <v>0</v>
      </c>
      <c r="U158">
        <f>SmtRes!X212</f>
        <v>-862991314</v>
      </c>
      <c r="V158">
        <v>209219300</v>
      </c>
      <c r="W158">
        <v>-307160680</v>
      </c>
    </row>
    <row r="159" spans="1:23" x14ac:dyDescent="0.2">
      <c r="A159">
        <f>Source!A579</f>
        <v>18</v>
      </c>
      <c r="B159">
        <v>579</v>
      </c>
      <c r="C159">
        <v>3</v>
      </c>
      <c r="D159">
        <f>Source!BI579</f>
        <v>1</v>
      </c>
      <c r="E159">
        <f>Source!FS579</f>
        <v>0</v>
      </c>
      <c r="F159" t="str">
        <f>Source!F579</f>
        <v>1.4-3-56</v>
      </c>
      <c r="G159" t="str">
        <f>Source!G579</f>
        <v>Посадочный материал многолетних цветочных культур, астильба</v>
      </c>
      <c r="H159" t="str">
        <f>Source!H579</f>
        <v>шт.</v>
      </c>
      <c r="I159">
        <f>Source!I579</f>
        <v>2256</v>
      </c>
      <c r="J159">
        <v>1</v>
      </c>
      <c r="K159">
        <f>Source!AC579</f>
        <v>37.04</v>
      </c>
      <c r="M159">
        <f>ROUND(K159*I159, 2)</f>
        <v>83562.240000000005</v>
      </c>
      <c r="N159">
        <f>Source!AC579*IF(Source!BC579&lt;&gt; 0, Source!BC579, 1)</f>
        <v>43.707199999999993</v>
      </c>
      <c r="O159">
        <f>ROUND(N159*I159, 2)</f>
        <v>98603.44</v>
      </c>
      <c r="P159">
        <f>Source!AE579</f>
        <v>0</v>
      </c>
      <c r="R159">
        <f>ROUND(P159*I159, 2)</f>
        <v>0</v>
      </c>
      <c r="S159">
        <f>Source!AE579*IF(Source!BS579&lt;&gt; 0, Source!BS579, 1)</f>
        <v>0</v>
      </c>
      <c r="T159">
        <f>ROUND(S159*I159, 2)</f>
        <v>0</v>
      </c>
      <c r="U159">
        <f>Source!GF579</f>
        <v>-85359034</v>
      </c>
      <c r="V159">
        <v>727437231</v>
      </c>
      <c r="W159">
        <v>-5940246</v>
      </c>
    </row>
    <row r="160" spans="1:23" x14ac:dyDescent="0.2">
      <c r="A160">
        <f>Source!A580</f>
        <v>17</v>
      </c>
      <c r="C160">
        <v>3</v>
      </c>
      <c r="D160">
        <v>0</v>
      </c>
      <c r="E160">
        <f>SmtRes!AV220</f>
        <v>0</v>
      </c>
      <c r="F160" t="str">
        <f>SmtRes!I220</f>
        <v>9999990006</v>
      </c>
      <c r="G160" t="str">
        <f>SmtRes!K220</f>
        <v>Стоимость прочих материалов (ЭСН)</v>
      </c>
      <c r="H160" t="str">
        <f>SmtRes!O220</f>
        <v>руб.</v>
      </c>
      <c r="I160">
        <f>SmtRes!Y220*Source!I580</f>
        <v>6.1193999999999997</v>
      </c>
      <c r="J160">
        <f>SmtRes!AO220</f>
        <v>1</v>
      </c>
      <c r="K160">
        <f>SmtRes!AE220</f>
        <v>1</v>
      </c>
      <c r="L160">
        <f>SmtRes!DB220</f>
        <v>4.34</v>
      </c>
      <c r="M160">
        <f>ROUND(ROUND(L160*Source!I580, 6)*1, 2)</f>
        <v>6.12</v>
      </c>
      <c r="N160">
        <f>SmtRes!AA220</f>
        <v>1</v>
      </c>
      <c r="O160">
        <f>ROUND(ROUND(L160*Source!I580, 6)*SmtRes!DA220, 2)</f>
        <v>6.12</v>
      </c>
      <c r="P160">
        <f>SmtRes!AG220</f>
        <v>0</v>
      </c>
      <c r="Q160">
        <f>SmtRes!DC220</f>
        <v>0</v>
      </c>
      <c r="R160">
        <f>ROUND(ROUND(Q160*Source!I580, 6)*1, 2)</f>
        <v>0</v>
      </c>
      <c r="S160">
        <f>SmtRes!AC220</f>
        <v>0</v>
      </c>
      <c r="T160">
        <f>ROUND(ROUND(Q160*Source!I580, 6)*SmtRes!AK220, 2)</f>
        <v>0</v>
      </c>
      <c r="U160">
        <f>SmtRes!X220</f>
        <v>-94250534</v>
      </c>
      <c r="V160">
        <v>-1341645062</v>
      </c>
      <c r="W160">
        <v>-1341645062</v>
      </c>
    </row>
    <row r="161" spans="1:23" x14ac:dyDescent="0.2">
      <c r="A161">
        <f>Source!A580</f>
        <v>17</v>
      </c>
      <c r="C161">
        <v>3</v>
      </c>
      <c r="D161">
        <v>0</v>
      </c>
      <c r="E161">
        <f>SmtRes!AV218</f>
        <v>0</v>
      </c>
      <c r="F161" t="str">
        <f>SmtRes!I218</f>
        <v>1.1-1-232</v>
      </c>
      <c r="G161" t="str">
        <f>SmtRes!K218</f>
        <v>Доски хвойных пород, обрезные, длина 2-6,5 м, сорт IV, толщина 40-60 мм</v>
      </c>
      <c r="H161" t="str">
        <f>SmtRes!O218</f>
        <v>м3</v>
      </c>
      <c r="I161">
        <f>SmtRes!Y218*Source!I580</f>
        <v>7.0499999999999998E-3</v>
      </c>
      <c r="J161">
        <f>SmtRes!AO218</f>
        <v>1</v>
      </c>
      <c r="K161">
        <f>SmtRes!AE218</f>
        <v>1828.56</v>
      </c>
      <c r="L161">
        <f>SmtRes!DB218</f>
        <v>9.14</v>
      </c>
      <c r="M161">
        <f>ROUND(ROUND(L161*Source!I580, 6)*1, 2)</f>
        <v>12.89</v>
      </c>
      <c r="N161">
        <f>SmtRes!AA218</f>
        <v>5467.39</v>
      </c>
      <c r="O161">
        <f>ROUND(ROUND(L161*Source!I580, 6)*SmtRes!DA218, 2)</f>
        <v>38.53</v>
      </c>
      <c r="P161">
        <f>SmtRes!AG218</f>
        <v>0</v>
      </c>
      <c r="Q161">
        <f>SmtRes!DC218</f>
        <v>0</v>
      </c>
      <c r="R161">
        <f>ROUND(ROUND(Q161*Source!I580, 6)*1, 2)</f>
        <v>0</v>
      </c>
      <c r="S161">
        <f>SmtRes!AC218</f>
        <v>0</v>
      </c>
      <c r="T161">
        <f>ROUND(ROUND(Q161*Source!I580, 6)*SmtRes!AK218, 2)</f>
        <v>0</v>
      </c>
      <c r="U161">
        <f>SmtRes!X218</f>
        <v>468437763</v>
      </c>
      <c r="V161">
        <v>901733663</v>
      </c>
      <c r="W161">
        <v>-583748106</v>
      </c>
    </row>
    <row r="162" spans="1:23" x14ac:dyDescent="0.2">
      <c r="A162">
        <f>Source!A581</f>
        <v>18</v>
      </c>
      <c r="B162">
        <v>581</v>
      </c>
      <c r="C162">
        <v>3</v>
      </c>
      <c r="D162">
        <f>Source!BI581</f>
        <v>1</v>
      </c>
      <c r="E162">
        <f>Source!FS581</f>
        <v>0</v>
      </c>
      <c r="F162" t="str">
        <f>Source!F581</f>
        <v>1.4-3-56</v>
      </c>
      <c r="G162" t="str">
        <f>Source!G581</f>
        <v>Посадочный материал многолетних цветочных культур, астильба</v>
      </c>
      <c r="H162" t="str">
        <f>Source!H581</f>
        <v>шт.</v>
      </c>
      <c r="I162">
        <f>Source!I581</f>
        <v>1720.1999999999998</v>
      </c>
      <c r="J162">
        <v>1</v>
      </c>
      <c r="K162">
        <f>Source!AC581</f>
        <v>37.04</v>
      </c>
      <c r="M162">
        <f>ROUND(K162*I162, 2)</f>
        <v>63716.21</v>
      </c>
      <c r="N162">
        <f>Source!AC581*IF(Source!BC581&lt;&gt; 0, Source!BC581, 1)</f>
        <v>43.707199999999993</v>
      </c>
      <c r="O162">
        <f>ROUND(N162*I162, 2)</f>
        <v>75185.13</v>
      </c>
      <c r="P162">
        <f>Source!AE581</f>
        <v>0</v>
      </c>
      <c r="R162">
        <f>ROUND(P162*I162, 2)</f>
        <v>0</v>
      </c>
      <c r="S162">
        <f>Source!AE581*IF(Source!BS581&lt;&gt; 0, Source!BS581, 1)</f>
        <v>0</v>
      </c>
      <c r="T162">
        <f>ROUND(S162*I162, 2)</f>
        <v>0</v>
      </c>
      <c r="U162">
        <f>Source!GF581</f>
        <v>-85359034</v>
      </c>
      <c r="V162">
        <v>727437231</v>
      </c>
      <c r="W162">
        <v>-5940246</v>
      </c>
    </row>
    <row r="163" spans="1:23" x14ac:dyDescent="0.2">
      <c r="A163">
        <f>Source!A614</f>
        <v>4</v>
      </c>
      <c r="B163">
        <v>614</v>
      </c>
      <c r="G163" t="str">
        <f>Source!G614</f>
        <v>26.1. Текущий ремонт пешеходного покрытия из бетонной плитки</v>
      </c>
    </row>
    <row r="164" spans="1:23" x14ac:dyDescent="0.2">
      <c r="A164">
        <f>Source!A648</f>
        <v>4</v>
      </c>
      <c r="B164">
        <v>648</v>
      </c>
      <c r="G164" t="str">
        <f>Source!G648</f>
        <v>27.1. Капитальный ремонт пешеходного покрытия из бетонной плитки 1503 м2</v>
      </c>
    </row>
    <row r="165" spans="1:23" x14ac:dyDescent="0.2">
      <c r="A165">
        <f>Source!A652</f>
        <v>17</v>
      </c>
      <c r="C165">
        <v>2</v>
      </c>
      <c r="D165">
        <v>0</v>
      </c>
      <c r="E165">
        <f>SmtRes!AV223</f>
        <v>0</v>
      </c>
      <c r="F165" t="str">
        <f>SmtRes!I223</f>
        <v>2.1-1-44</v>
      </c>
      <c r="G165" t="str">
        <f>SmtRes!K223</f>
        <v>Бульдозеры гусеничные, мощность до 79 кВт (108 л.с.)</v>
      </c>
      <c r="H165" t="str">
        <f>SmtRes!O223</f>
        <v>маш.-ч.</v>
      </c>
      <c r="I165">
        <f>SmtRes!Y223*Source!I652</f>
        <v>5.7991601699999995</v>
      </c>
      <c r="J165">
        <f>SmtRes!AO223</f>
        <v>1</v>
      </c>
      <c r="K165">
        <f>SmtRes!AF223</f>
        <v>110.31</v>
      </c>
      <c r="L165">
        <f>SmtRes!DB223</f>
        <v>109.98</v>
      </c>
      <c r="M165">
        <f>ROUND(ROUND(L165*Source!I652, 6)*1, 2)</f>
        <v>639.71</v>
      </c>
      <c r="N165">
        <f>SmtRes!AB223</f>
        <v>1232.06</v>
      </c>
      <c r="O165">
        <f>ROUND(ROUND(L165*Source!I652, 6)*SmtRes!DA223, 2)</f>
        <v>5994.09</v>
      </c>
      <c r="P165">
        <f>SmtRes!AG223</f>
        <v>26.52</v>
      </c>
      <c r="Q165">
        <f>SmtRes!DC223</f>
        <v>26.44</v>
      </c>
      <c r="R165">
        <f>ROUND(ROUND(Q165*Source!I652, 6)*1, 2)</f>
        <v>153.79</v>
      </c>
      <c r="S165">
        <f>SmtRes!AC223</f>
        <v>775.44</v>
      </c>
      <c r="T165">
        <f>ROUND(ROUND(Q165*Source!I652, 6)*SmtRes!AK223, 2)</f>
        <v>3772.5</v>
      </c>
      <c r="U165">
        <f>SmtRes!X223</f>
        <v>695902881</v>
      </c>
      <c r="V165">
        <v>-190654433</v>
      </c>
      <c r="W165">
        <v>-271111961</v>
      </c>
    </row>
    <row r="166" spans="1:23" x14ac:dyDescent="0.2">
      <c r="A166">
        <f>Source!A652</f>
        <v>17</v>
      </c>
      <c r="C166">
        <v>2</v>
      </c>
      <c r="D166">
        <v>0</v>
      </c>
      <c r="E166">
        <f>SmtRes!AV222</f>
        <v>0</v>
      </c>
      <c r="F166" t="str">
        <f>SmtRes!I222</f>
        <v>2.1-1-4</v>
      </c>
      <c r="G166" t="str">
        <f>SmtRes!K222</f>
        <v>Экскаваторы на гусеничном ходу гидравлические, объем ковша до 0,5 м3</v>
      </c>
      <c r="H166" t="str">
        <f>SmtRes!O222</f>
        <v>маш.-ч.</v>
      </c>
      <c r="I166">
        <f>SmtRes!Y222*Source!I652</f>
        <v>23.193732375</v>
      </c>
      <c r="J166">
        <f>SmtRes!AO222</f>
        <v>1</v>
      </c>
      <c r="K166">
        <f>SmtRes!AF222</f>
        <v>162.4</v>
      </c>
      <c r="L166">
        <f>SmtRes!DB222</f>
        <v>647.57000000000005</v>
      </c>
      <c r="M166">
        <f>ROUND(ROUND(L166*Source!I652, 6)*1, 2)</f>
        <v>3766.66</v>
      </c>
      <c r="N166">
        <f>SmtRes!AB222</f>
        <v>1916.45</v>
      </c>
      <c r="O166">
        <f>ROUND(ROUND(L166*Source!I652, 6)*SmtRes!DA222, 2)</f>
        <v>37289.96</v>
      </c>
      <c r="P166">
        <f>SmtRes!AG222</f>
        <v>28.6</v>
      </c>
      <c r="Q166">
        <f>SmtRes!DC222</f>
        <v>114.04</v>
      </c>
      <c r="R166">
        <f>ROUND(ROUND(Q166*Source!I652, 6)*1, 2)</f>
        <v>663.33</v>
      </c>
      <c r="S166">
        <f>SmtRes!AC222</f>
        <v>836.26</v>
      </c>
      <c r="T166">
        <f>ROUND(ROUND(Q166*Source!I652, 6)*SmtRes!AK222, 2)</f>
        <v>16271.39</v>
      </c>
      <c r="U166">
        <f>SmtRes!X222</f>
        <v>781556702</v>
      </c>
      <c r="V166">
        <v>-1266550935</v>
      </c>
      <c r="W166">
        <v>-1597920307</v>
      </c>
    </row>
    <row r="167" spans="1:23" x14ac:dyDescent="0.2">
      <c r="A167">
        <f>Source!A657</f>
        <v>17</v>
      </c>
      <c r="C167">
        <v>3</v>
      </c>
      <c r="D167">
        <v>0</v>
      </c>
      <c r="E167">
        <f>SmtRes!AV234</f>
        <v>0</v>
      </c>
      <c r="F167" t="str">
        <f>SmtRes!I234</f>
        <v>1.1-1-118</v>
      </c>
      <c r="G167" t="str">
        <f>SmtRes!K234</f>
        <v>Вода</v>
      </c>
      <c r="H167" t="str">
        <f>SmtRes!O234</f>
        <v>м3</v>
      </c>
      <c r="I167">
        <f>SmtRes!Y234*Source!I657</f>
        <v>15.03</v>
      </c>
      <c r="J167">
        <f>SmtRes!AO234</f>
        <v>1</v>
      </c>
      <c r="K167">
        <f>SmtRes!AE234</f>
        <v>7.07</v>
      </c>
      <c r="L167">
        <f>SmtRes!DB234</f>
        <v>35.35</v>
      </c>
      <c r="M167">
        <f>ROUND(ROUND(L167*Source!I657, 6)*1, 2)</f>
        <v>106.26</v>
      </c>
      <c r="N167">
        <f>SmtRes!AA234</f>
        <v>35.35</v>
      </c>
      <c r="O167">
        <f>ROUND(ROUND(L167*Source!I657, 6)*SmtRes!DA234, 2)</f>
        <v>530.25</v>
      </c>
      <c r="P167">
        <f>SmtRes!AG234</f>
        <v>0</v>
      </c>
      <c r="Q167">
        <f>SmtRes!DC234</f>
        <v>0</v>
      </c>
      <c r="R167">
        <f>ROUND(ROUND(Q167*Source!I657, 6)*1, 2)</f>
        <v>0</v>
      </c>
      <c r="S167">
        <f>SmtRes!AC234</f>
        <v>0</v>
      </c>
      <c r="T167">
        <f>ROUND(ROUND(Q167*Source!I657, 6)*SmtRes!AK234, 2)</f>
        <v>0</v>
      </c>
      <c r="U167">
        <f>SmtRes!X234</f>
        <v>-862991314</v>
      </c>
      <c r="V167">
        <v>209219300</v>
      </c>
      <c r="W167">
        <v>-1977920412</v>
      </c>
    </row>
    <row r="168" spans="1:23" x14ac:dyDescent="0.2">
      <c r="A168">
        <f>Source!A657</f>
        <v>17</v>
      </c>
      <c r="C168">
        <v>2</v>
      </c>
      <c r="D168">
        <v>0</v>
      </c>
      <c r="E168">
        <f>SmtRes!AV233</f>
        <v>0</v>
      </c>
      <c r="F168" t="str">
        <f>SmtRes!I233</f>
        <v>2.1-5-7</v>
      </c>
      <c r="G168" t="str">
        <f>SmtRes!K233</f>
        <v>Катки дорожные самоходные на пневмоколесном ходу, масса до 16 т</v>
      </c>
      <c r="H168" t="str">
        <f>SmtRes!O233</f>
        <v>маш.-ч.</v>
      </c>
      <c r="I168">
        <f>SmtRes!Y233*Source!I657</f>
        <v>1.5631199999999998</v>
      </c>
      <c r="J168">
        <f>SmtRes!AO233</f>
        <v>1</v>
      </c>
      <c r="K168">
        <f>SmtRes!AF233</f>
        <v>178.02</v>
      </c>
      <c r="L168">
        <f>SmtRes!DB233</f>
        <v>92.57</v>
      </c>
      <c r="M168">
        <f>ROUND(ROUND(L168*Source!I657, 6)*1, 2)</f>
        <v>278.27</v>
      </c>
      <c r="N168">
        <f>SmtRes!AB233</f>
        <v>1593.61</v>
      </c>
      <c r="O168">
        <f>ROUND(ROUND(L168*Source!I657, 6)*SmtRes!DA233, 2)</f>
        <v>2379.17</v>
      </c>
      <c r="P168">
        <f>SmtRes!AG233</f>
        <v>23.5</v>
      </c>
      <c r="Q168">
        <f>SmtRes!DC233</f>
        <v>12.22</v>
      </c>
      <c r="R168">
        <f>ROUND(ROUND(Q168*Source!I657, 6)*1, 2)</f>
        <v>36.729999999999997</v>
      </c>
      <c r="S168">
        <f>SmtRes!AC233</f>
        <v>603.54999999999995</v>
      </c>
      <c r="T168">
        <f>ROUND(ROUND(Q168*Source!I657, 6)*SmtRes!AK233, 2)</f>
        <v>901.07</v>
      </c>
      <c r="U168">
        <f>SmtRes!X233</f>
        <v>2023875219</v>
      </c>
      <c r="V168">
        <v>1989037200</v>
      </c>
      <c r="W168">
        <v>2049417949</v>
      </c>
    </row>
    <row r="169" spans="1:23" x14ac:dyDescent="0.2">
      <c r="A169">
        <f>Source!A657</f>
        <v>17</v>
      </c>
      <c r="C169">
        <v>2</v>
      </c>
      <c r="D169">
        <v>0</v>
      </c>
      <c r="E169">
        <f>SmtRes!AV232</f>
        <v>0</v>
      </c>
      <c r="F169" t="str">
        <f>SmtRes!I232</f>
        <v>2.1-5-48</v>
      </c>
      <c r="G169" t="str">
        <f>SmtRes!K232</f>
        <v>Автогрейдеры, мощность 99-147 кВт (130-200 л.с.)</v>
      </c>
      <c r="H169" t="str">
        <f>SmtRes!O232</f>
        <v>маш.-ч.</v>
      </c>
      <c r="I169">
        <f>SmtRes!Y232*Source!I657</f>
        <v>4.6593</v>
      </c>
      <c r="J169">
        <f>SmtRes!AO232</f>
        <v>1</v>
      </c>
      <c r="K169">
        <f>SmtRes!AF232</f>
        <v>125.13</v>
      </c>
      <c r="L169">
        <f>SmtRes!DB232</f>
        <v>193.95</v>
      </c>
      <c r="M169">
        <f>ROUND(ROUND(L169*Source!I657, 6)*1, 2)</f>
        <v>583.01</v>
      </c>
      <c r="N169">
        <f>SmtRes!AB232</f>
        <v>1539.38</v>
      </c>
      <c r="O169">
        <f>ROUND(ROUND(L169*Source!I657, 6)*SmtRes!DA232, 2)</f>
        <v>6850.41</v>
      </c>
      <c r="P169">
        <f>SmtRes!AG232</f>
        <v>24.74</v>
      </c>
      <c r="Q169">
        <f>SmtRes!DC232</f>
        <v>38.35</v>
      </c>
      <c r="R169">
        <f>ROUND(ROUND(Q169*Source!I657, 6)*1, 2)</f>
        <v>115.28</v>
      </c>
      <c r="S169">
        <f>SmtRes!AC232</f>
        <v>635.4</v>
      </c>
      <c r="T169">
        <f>ROUND(ROUND(Q169*Source!I657, 6)*SmtRes!AK232, 2)</f>
        <v>2827.82</v>
      </c>
      <c r="U169">
        <f>SmtRes!X232</f>
        <v>856318566</v>
      </c>
      <c r="V169">
        <v>-1785549983</v>
      </c>
      <c r="W169">
        <v>559728352</v>
      </c>
    </row>
    <row r="170" spans="1:23" x14ac:dyDescent="0.2">
      <c r="A170">
        <f>Source!A657</f>
        <v>17</v>
      </c>
      <c r="C170">
        <v>2</v>
      </c>
      <c r="D170">
        <v>0</v>
      </c>
      <c r="E170">
        <f>SmtRes!AV231</f>
        <v>0</v>
      </c>
      <c r="F170" t="str">
        <f>SmtRes!I231</f>
        <v>2.1-5-18</v>
      </c>
      <c r="G170" t="str">
        <f>SmtRes!K231</f>
        <v>Поливомоечные машины, емкость цистерны более 5000 л</v>
      </c>
      <c r="H170" t="str">
        <f>SmtRes!O231</f>
        <v>маш.-ч.</v>
      </c>
      <c r="I170">
        <f>SmtRes!Y231*Source!I657</f>
        <v>1.9539</v>
      </c>
      <c r="J170">
        <f>SmtRes!AO231</f>
        <v>1</v>
      </c>
      <c r="K170">
        <f>SmtRes!AF231</f>
        <v>140.58000000000001</v>
      </c>
      <c r="L170">
        <f>SmtRes!DB231</f>
        <v>91.38</v>
      </c>
      <c r="M170">
        <f>ROUND(ROUND(L170*Source!I657, 6)*1, 2)</f>
        <v>274.69</v>
      </c>
      <c r="N170">
        <f>SmtRes!AB231</f>
        <v>1162.78</v>
      </c>
      <c r="O170">
        <f>ROUND(ROUND(L170*Source!I657, 6)*SmtRes!DA231, 2)</f>
        <v>2170.04</v>
      </c>
      <c r="P170">
        <f>SmtRes!AG231</f>
        <v>28.61</v>
      </c>
      <c r="Q170">
        <f>SmtRes!DC231</f>
        <v>18.600000000000001</v>
      </c>
      <c r="R170">
        <f>ROUND(ROUND(Q170*Source!I657, 6)*1, 2)</f>
        <v>55.91</v>
      </c>
      <c r="S170">
        <f>SmtRes!AC231</f>
        <v>734.79</v>
      </c>
      <c r="T170">
        <f>ROUND(ROUND(Q170*Source!I657, 6)*SmtRes!AK231, 2)</f>
        <v>1371.51</v>
      </c>
      <c r="U170">
        <f>SmtRes!X231</f>
        <v>378346098</v>
      </c>
      <c r="V170">
        <v>-656460772</v>
      </c>
      <c r="W170">
        <v>368907495</v>
      </c>
    </row>
    <row r="171" spans="1:23" x14ac:dyDescent="0.2">
      <c r="A171">
        <f>Source!A657</f>
        <v>17</v>
      </c>
      <c r="C171">
        <v>2</v>
      </c>
      <c r="D171">
        <v>0</v>
      </c>
      <c r="E171">
        <f>SmtRes!AV230</f>
        <v>0</v>
      </c>
      <c r="F171" t="str">
        <f>SmtRes!I230</f>
        <v>2.1-5-15</v>
      </c>
      <c r="G171" t="str">
        <f>SmtRes!K230</f>
        <v>Катки прицепные пневмоколесные, масса до 50 т</v>
      </c>
      <c r="H171" t="str">
        <f>SmtRes!O230</f>
        <v>маш.-ч.</v>
      </c>
      <c r="I171">
        <f>SmtRes!Y230*Source!I657</f>
        <v>4.9899599999999991</v>
      </c>
      <c r="J171">
        <f>SmtRes!AO230</f>
        <v>1</v>
      </c>
      <c r="K171">
        <f>SmtRes!AF230</f>
        <v>62.97</v>
      </c>
      <c r="L171">
        <f>SmtRes!DB230</f>
        <v>104.53</v>
      </c>
      <c r="M171">
        <f>ROUND(ROUND(L171*Source!I657, 6)*1, 2)</f>
        <v>314.22000000000003</v>
      </c>
      <c r="N171">
        <f>SmtRes!AB230</f>
        <v>445.02</v>
      </c>
      <c r="O171">
        <f>ROUND(ROUND(L171*Source!I657, 6)*SmtRes!DA230, 2)</f>
        <v>2120.9699999999998</v>
      </c>
      <c r="P171">
        <f>SmtRes!AG230</f>
        <v>6.64</v>
      </c>
      <c r="Q171">
        <f>SmtRes!DC230</f>
        <v>11.02</v>
      </c>
      <c r="R171">
        <f>ROUND(ROUND(Q171*Source!I657, 6)*1, 2)</f>
        <v>33.130000000000003</v>
      </c>
      <c r="S171">
        <f>SmtRes!AC230</f>
        <v>170.53</v>
      </c>
      <c r="T171">
        <f>ROUND(ROUND(Q171*Source!I657, 6)*SmtRes!AK230, 2)</f>
        <v>812.58</v>
      </c>
      <c r="U171">
        <f>SmtRes!X230</f>
        <v>142191915</v>
      </c>
      <c r="V171">
        <v>100101108</v>
      </c>
      <c r="W171">
        <v>439731329</v>
      </c>
    </row>
    <row r="172" spans="1:23" x14ac:dyDescent="0.2">
      <c r="A172">
        <f>Source!A657</f>
        <v>17</v>
      </c>
      <c r="C172">
        <v>2</v>
      </c>
      <c r="D172">
        <v>0</v>
      </c>
      <c r="E172">
        <f>SmtRes!AV229</f>
        <v>0</v>
      </c>
      <c r="F172" t="str">
        <f>SmtRes!I229</f>
        <v>2.1-2-1</v>
      </c>
      <c r="G172" t="str">
        <f>SmtRes!K229</f>
        <v>Тракторы на гусеничном ходу, мощность до 60 кВт (81 л.с.)</v>
      </c>
      <c r="H172" t="str">
        <f>SmtRes!O229</f>
        <v>маш.-ч.</v>
      </c>
      <c r="I172">
        <f>SmtRes!Y229*Source!I657</f>
        <v>4.9899599999999991</v>
      </c>
      <c r="J172">
        <f>SmtRes!AO229</f>
        <v>1</v>
      </c>
      <c r="K172">
        <f>SmtRes!AF229</f>
        <v>116.89</v>
      </c>
      <c r="L172">
        <f>SmtRes!DB229</f>
        <v>194.04</v>
      </c>
      <c r="M172">
        <f>ROUND(ROUND(L172*Source!I657, 6)*1, 2)</f>
        <v>583.28</v>
      </c>
      <c r="N172">
        <f>SmtRes!AB229</f>
        <v>1261.78</v>
      </c>
      <c r="O172">
        <f>ROUND(ROUND(L172*Source!I657, 6)*SmtRes!DA229, 2)</f>
        <v>6013.66</v>
      </c>
      <c r="P172">
        <f>SmtRes!AG229</f>
        <v>23.41</v>
      </c>
      <c r="Q172">
        <f>SmtRes!DC229</f>
        <v>38.86</v>
      </c>
      <c r="R172">
        <f>ROUND(ROUND(Q172*Source!I657, 6)*1, 2)</f>
        <v>116.81</v>
      </c>
      <c r="S172">
        <f>SmtRes!AC229</f>
        <v>601.24</v>
      </c>
      <c r="T172">
        <f>ROUND(ROUND(Q172*Source!I657, 6)*SmtRes!AK229, 2)</f>
        <v>2865.43</v>
      </c>
      <c r="U172">
        <f>SmtRes!X229</f>
        <v>1928543733</v>
      </c>
      <c r="V172">
        <v>482636110</v>
      </c>
      <c r="W172">
        <v>-902618053</v>
      </c>
    </row>
    <row r="173" spans="1:23" x14ac:dyDescent="0.2">
      <c r="A173">
        <f>Source!A658</f>
        <v>18</v>
      </c>
      <c r="B173">
        <v>658</v>
      </c>
      <c r="C173">
        <v>3</v>
      </c>
      <c r="D173">
        <f>Source!BI658</f>
        <v>1</v>
      </c>
      <c r="E173">
        <f>Source!FS658</f>
        <v>0</v>
      </c>
      <c r="F173" t="str">
        <f>Source!F658</f>
        <v>1.1-1-766</v>
      </c>
      <c r="G173" t="str">
        <f>Source!G658</f>
        <v>Песок для строительных работ, рядовой</v>
      </c>
      <c r="H173" t="str">
        <f>Source!H658</f>
        <v>м3</v>
      </c>
      <c r="I173">
        <f>Source!I658</f>
        <v>330.66</v>
      </c>
      <c r="J173">
        <v>1</v>
      </c>
      <c r="K173">
        <f>Source!AC658</f>
        <v>104.99</v>
      </c>
      <c r="M173">
        <f>ROUND(K173*I173, 2)</f>
        <v>34715.99</v>
      </c>
      <c r="N173">
        <f>Source!AC658*IF(Source!BC658&lt;&gt; 0, Source!BC658, 1)</f>
        <v>552.24739999999997</v>
      </c>
      <c r="O173">
        <f>ROUND(N173*I173, 2)</f>
        <v>182606.13</v>
      </c>
      <c r="P173">
        <f>Source!AE658</f>
        <v>0</v>
      </c>
      <c r="R173">
        <f>ROUND(P173*I173, 2)</f>
        <v>0</v>
      </c>
      <c r="S173">
        <f>Source!AE658*IF(Source!BS658&lt;&gt; 0, Source!BS658, 1)</f>
        <v>0</v>
      </c>
      <c r="T173">
        <f>ROUND(S173*I173, 2)</f>
        <v>0</v>
      </c>
      <c r="U173">
        <f>Source!GF658</f>
        <v>2069056849</v>
      </c>
      <c r="V173">
        <v>464578271</v>
      </c>
      <c r="W173">
        <v>1615926593</v>
      </c>
    </row>
    <row r="174" spans="1:23" x14ac:dyDescent="0.2">
      <c r="A174">
        <f>Source!A659</f>
        <v>17</v>
      </c>
      <c r="C174">
        <v>3</v>
      </c>
      <c r="D174">
        <v>0</v>
      </c>
      <c r="E174">
        <f>SmtRes!AV243</f>
        <v>0</v>
      </c>
      <c r="F174" t="str">
        <f>SmtRes!I243</f>
        <v>1.1-1-118</v>
      </c>
      <c r="G174" t="str">
        <f>SmtRes!K243</f>
        <v>Вода</v>
      </c>
      <c r="H174" t="str">
        <f>SmtRes!O243</f>
        <v>м3</v>
      </c>
      <c r="I174">
        <f>SmtRes!Y243*Source!I659</f>
        <v>12.625200000000001</v>
      </c>
      <c r="J174">
        <f>SmtRes!AO243</f>
        <v>1</v>
      </c>
      <c r="K174">
        <f>SmtRes!AE243</f>
        <v>7.07</v>
      </c>
      <c r="L174">
        <f>SmtRes!DB243</f>
        <v>49.49</v>
      </c>
      <c r="M174">
        <f>ROUND(ROUND(L174*Source!I659, 6)*1, 2)</f>
        <v>89.26</v>
      </c>
      <c r="N174">
        <f>SmtRes!AA243</f>
        <v>35.35</v>
      </c>
      <c r="O174">
        <f>ROUND(ROUND(L174*Source!I659, 6)*SmtRes!DA243, 2)</f>
        <v>445.41</v>
      </c>
      <c r="P174">
        <f>SmtRes!AG243</f>
        <v>0</v>
      </c>
      <c r="Q174">
        <f>SmtRes!DC243</f>
        <v>0</v>
      </c>
      <c r="R174">
        <f>ROUND(ROUND(Q174*Source!I659, 6)*1, 2)</f>
        <v>0</v>
      </c>
      <c r="S174">
        <f>SmtRes!AC243</f>
        <v>0</v>
      </c>
      <c r="T174">
        <f>ROUND(ROUND(Q174*Source!I659, 6)*SmtRes!AK243, 2)</f>
        <v>0</v>
      </c>
      <c r="U174">
        <f>SmtRes!X243</f>
        <v>-862991314</v>
      </c>
      <c r="V174">
        <v>209219300</v>
      </c>
      <c r="W174">
        <v>-1977920412</v>
      </c>
    </row>
    <row r="175" spans="1:23" x14ac:dyDescent="0.2">
      <c r="A175">
        <f>Source!A659</f>
        <v>17</v>
      </c>
      <c r="C175">
        <v>2</v>
      </c>
      <c r="D175">
        <v>0</v>
      </c>
      <c r="E175">
        <f>SmtRes!AV242</f>
        <v>0</v>
      </c>
      <c r="F175" t="str">
        <f>SmtRes!I242</f>
        <v>2.1-5-7</v>
      </c>
      <c r="G175" t="str">
        <f>SmtRes!K242</f>
        <v>Катки дорожные самоходные на пневмоколесном ходу, масса до 16 т</v>
      </c>
      <c r="H175" t="str">
        <f>SmtRes!O242</f>
        <v>маш.-ч.</v>
      </c>
      <c r="I175">
        <f>SmtRes!Y242*Source!I659</f>
        <v>0.93787200000000004</v>
      </c>
      <c r="J175">
        <f>SmtRes!AO242</f>
        <v>1</v>
      </c>
      <c r="K175">
        <f>SmtRes!AF242</f>
        <v>178.02</v>
      </c>
      <c r="L175">
        <f>SmtRes!DB242</f>
        <v>92.57</v>
      </c>
      <c r="M175">
        <f>ROUND(ROUND(L175*Source!I659, 6)*1, 2)</f>
        <v>166.96</v>
      </c>
      <c r="N175">
        <f>SmtRes!AB242</f>
        <v>1593.61</v>
      </c>
      <c r="O175">
        <f>ROUND(ROUND(L175*Source!I659, 6)*SmtRes!DA242, 2)</f>
        <v>1427.5</v>
      </c>
      <c r="P175">
        <f>SmtRes!AG242</f>
        <v>23.5</v>
      </c>
      <c r="Q175">
        <f>SmtRes!DC242</f>
        <v>12.22</v>
      </c>
      <c r="R175">
        <f>ROUND(ROUND(Q175*Source!I659, 6)*1, 2)</f>
        <v>22.04</v>
      </c>
      <c r="S175">
        <f>SmtRes!AC242</f>
        <v>603.54999999999995</v>
      </c>
      <c r="T175">
        <f>ROUND(ROUND(Q175*Source!I659, 6)*SmtRes!AK242, 2)</f>
        <v>540.64</v>
      </c>
      <c r="U175">
        <f>SmtRes!X242</f>
        <v>2023875219</v>
      </c>
      <c r="V175">
        <v>1989037200</v>
      </c>
      <c r="W175">
        <v>2049417949</v>
      </c>
    </row>
    <row r="176" spans="1:23" x14ac:dyDescent="0.2">
      <c r="A176">
        <f>Source!A659</f>
        <v>17</v>
      </c>
      <c r="C176">
        <v>2</v>
      </c>
      <c r="D176">
        <v>0</v>
      </c>
      <c r="E176">
        <f>SmtRes!AV241</f>
        <v>0</v>
      </c>
      <c r="F176" t="str">
        <f>SmtRes!I241</f>
        <v>2.1-5-48</v>
      </c>
      <c r="G176" t="str">
        <f>SmtRes!K241</f>
        <v>Автогрейдеры, мощность 99-147 кВт (130-200 л.с.)</v>
      </c>
      <c r="H176" t="str">
        <f>SmtRes!O241</f>
        <v>маш.-ч.</v>
      </c>
      <c r="I176">
        <f>SmtRes!Y241*Source!I659</f>
        <v>3.2284440000000001</v>
      </c>
      <c r="J176">
        <f>SmtRes!AO241</f>
        <v>1</v>
      </c>
      <c r="K176">
        <f>SmtRes!AF241</f>
        <v>125.13</v>
      </c>
      <c r="L176">
        <f>SmtRes!DB241</f>
        <v>223.98</v>
      </c>
      <c r="M176">
        <f>ROUND(ROUND(L176*Source!I659, 6)*1, 2)</f>
        <v>403.97</v>
      </c>
      <c r="N176">
        <f>SmtRes!AB241</f>
        <v>1539.38</v>
      </c>
      <c r="O176">
        <f>ROUND(ROUND(L176*Source!I659, 6)*SmtRes!DA241, 2)</f>
        <v>4746.6499999999996</v>
      </c>
      <c r="P176">
        <f>SmtRes!AG241</f>
        <v>24.74</v>
      </c>
      <c r="Q176">
        <f>SmtRes!DC241</f>
        <v>44.28</v>
      </c>
      <c r="R176">
        <f>ROUND(ROUND(Q176*Source!I659, 6)*1, 2)</f>
        <v>79.86</v>
      </c>
      <c r="S176">
        <f>SmtRes!AC241</f>
        <v>635.4</v>
      </c>
      <c r="T176">
        <f>ROUND(ROUND(Q176*Source!I659, 6)*SmtRes!AK241, 2)</f>
        <v>1959.05</v>
      </c>
      <c r="U176">
        <f>SmtRes!X241</f>
        <v>856318566</v>
      </c>
      <c r="V176">
        <v>-1785549983</v>
      </c>
      <c r="W176">
        <v>559728352</v>
      </c>
    </row>
    <row r="177" spans="1:23" x14ac:dyDescent="0.2">
      <c r="A177">
        <f>Source!A659</f>
        <v>17</v>
      </c>
      <c r="C177">
        <v>2</v>
      </c>
      <c r="D177">
        <v>0</v>
      </c>
      <c r="E177">
        <f>SmtRes!AV240</f>
        <v>0</v>
      </c>
      <c r="F177" t="str">
        <f>SmtRes!I240</f>
        <v>2.1-5-3</v>
      </c>
      <c r="G177" t="str">
        <f>SmtRes!K240</f>
        <v>Катки самоходные вибрационные, масса более 8 т</v>
      </c>
      <c r="H177" t="str">
        <f>SmtRes!O240</f>
        <v>маш.-ч.</v>
      </c>
      <c r="I177">
        <f>SmtRes!Y240*Source!I659</f>
        <v>26.332560000000001</v>
      </c>
      <c r="J177">
        <f>SmtRes!AO240</f>
        <v>1</v>
      </c>
      <c r="K177">
        <f>SmtRes!AF240</f>
        <v>119.77</v>
      </c>
      <c r="L177">
        <f>SmtRes!DB240</f>
        <v>1748.64</v>
      </c>
      <c r="M177">
        <f>ROUND(ROUND(L177*Source!I659, 6)*1, 2)</f>
        <v>3153.85</v>
      </c>
      <c r="N177">
        <f>SmtRes!AB240</f>
        <v>1037.05</v>
      </c>
      <c r="O177">
        <f>ROUND(ROUND(L177*Source!I659, 6)*SmtRes!DA240, 2)</f>
        <v>26082.32</v>
      </c>
      <c r="P177">
        <f>SmtRes!AG240</f>
        <v>22.85</v>
      </c>
      <c r="Q177">
        <f>SmtRes!DC240</f>
        <v>333.61</v>
      </c>
      <c r="R177">
        <f>ROUND(ROUND(Q177*Source!I659, 6)*1, 2)</f>
        <v>601.70000000000005</v>
      </c>
      <c r="S177">
        <f>SmtRes!AC240</f>
        <v>586.85</v>
      </c>
      <c r="T177">
        <f>ROUND(ROUND(Q177*Source!I659, 6)*SmtRes!AK240, 2)</f>
        <v>14759.68</v>
      </c>
      <c r="U177">
        <f>SmtRes!X240</f>
        <v>205895447</v>
      </c>
      <c r="V177">
        <v>-1925184864</v>
      </c>
      <c r="W177">
        <v>187435400</v>
      </c>
    </row>
    <row r="178" spans="1:23" x14ac:dyDescent="0.2">
      <c r="A178">
        <f>Source!A659</f>
        <v>17</v>
      </c>
      <c r="C178">
        <v>2</v>
      </c>
      <c r="D178">
        <v>0</v>
      </c>
      <c r="E178">
        <f>SmtRes!AV239</f>
        <v>0</v>
      </c>
      <c r="F178" t="str">
        <f>SmtRes!I239</f>
        <v>2.1-5-2</v>
      </c>
      <c r="G178" t="str">
        <f>SmtRes!K239</f>
        <v>Катки самоходные вибрационные, масса до 8 т</v>
      </c>
      <c r="H178" t="str">
        <f>SmtRes!O239</f>
        <v>маш.-ч.</v>
      </c>
      <c r="I178">
        <f>SmtRes!Y239*Source!I659</f>
        <v>12.931812000000001</v>
      </c>
      <c r="J178">
        <f>SmtRes!AO239</f>
        <v>1</v>
      </c>
      <c r="K178">
        <f>SmtRes!AF239</f>
        <v>84.82</v>
      </c>
      <c r="L178">
        <f>SmtRes!DB239</f>
        <v>608.16</v>
      </c>
      <c r="M178">
        <f>ROUND(ROUND(L178*Source!I659, 6)*1, 2)</f>
        <v>1096.8800000000001</v>
      </c>
      <c r="N178">
        <f>SmtRes!AB239</f>
        <v>729.99</v>
      </c>
      <c r="O178">
        <f>ROUND(ROUND(L178*Source!I659, 6)*SmtRes!DA239, 2)</f>
        <v>9016.33</v>
      </c>
      <c r="P178">
        <f>SmtRes!AG239</f>
        <v>22.85</v>
      </c>
      <c r="Q178">
        <f>SmtRes!DC239</f>
        <v>163.83000000000001</v>
      </c>
      <c r="R178">
        <f>ROUND(ROUND(Q178*Source!I659, 6)*1, 2)</f>
        <v>295.48</v>
      </c>
      <c r="S178">
        <f>SmtRes!AC239</f>
        <v>586.85</v>
      </c>
      <c r="T178">
        <f>ROUND(ROUND(Q178*Source!I659, 6)*SmtRes!AK239, 2)</f>
        <v>7248.22</v>
      </c>
      <c r="U178">
        <f>SmtRes!X239</f>
        <v>-251987950</v>
      </c>
      <c r="V178">
        <v>1495438336</v>
      </c>
      <c r="W178">
        <v>1817474990</v>
      </c>
    </row>
    <row r="179" spans="1:23" x14ac:dyDescent="0.2">
      <c r="A179">
        <f>Source!A659</f>
        <v>17</v>
      </c>
      <c r="C179">
        <v>2</v>
      </c>
      <c r="D179">
        <v>0</v>
      </c>
      <c r="E179">
        <f>SmtRes!AV238</f>
        <v>0</v>
      </c>
      <c r="F179" t="str">
        <f>SmtRes!I238</f>
        <v>2.1-5-18</v>
      </c>
      <c r="G179" t="str">
        <f>SmtRes!K238</f>
        <v>Поливомоечные машины, емкость цистерны более 5000 л</v>
      </c>
      <c r="H179" t="str">
        <f>SmtRes!O238</f>
        <v>маш.-ч.</v>
      </c>
      <c r="I179">
        <f>SmtRes!Y238*Source!I659</f>
        <v>1.6412760000000002</v>
      </c>
      <c r="J179">
        <f>SmtRes!AO238</f>
        <v>1</v>
      </c>
      <c r="K179">
        <f>SmtRes!AF238</f>
        <v>140.58000000000001</v>
      </c>
      <c r="L179">
        <f>SmtRes!DB238</f>
        <v>127.93</v>
      </c>
      <c r="M179">
        <f>ROUND(ROUND(L179*Source!I659, 6)*1, 2)</f>
        <v>230.73</v>
      </c>
      <c r="N179">
        <f>SmtRes!AB238</f>
        <v>1162.78</v>
      </c>
      <c r="O179">
        <f>ROUND(ROUND(L179*Source!I659, 6)*SmtRes!DA238, 2)</f>
        <v>1822.8</v>
      </c>
      <c r="P179">
        <f>SmtRes!AG238</f>
        <v>28.61</v>
      </c>
      <c r="Q179">
        <f>SmtRes!DC238</f>
        <v>26.04</v>
      </c>
      <c r="R179">
        <f>ROUND(ROUND(Q179*Source!I659, 6)*1, 2)</f>
        <v>46.97</v>
      </c>
      <c r="S179">
        <f>SmtRes!AC238</f>
        <v>734.79</v>
      </c>
      <c r="T179">
        <f>ROUND(ROUND(Q179*Source!I659, 6)*SmtRes!AK238, 2)</f>
        <v>1152.07</v>
      </c>
      <c r="U179">
        <f>SmtRes!X238</f>
        <v>378346098</v>
      </c>
      <c r="V179">
        <v>-656460772</v>
      </c>
      <c r="W179">
        <v>368907495</v>
      </c>
    </row>
    <row r="180" spans="1:23" x14ac:dyDescent="0.2">
      <c r="A180">
        <f>Source!A659</f>
        <v>17</v>
      </c>
      <c r="C180">
        <v>2</v>
      </c>
      <c r="D180">
        <v>0</v>
      </c>
      <c r="E180">
        <f>SmtRes!AV237</f>
        <v>0</v>
      </c>
      <c r="F180" t="str">
        <f>SmtRes!I237</f>
        <v>2.1-1-43</v>
      </c>
      <c r="G180" t="str">
        <f>SmtRes!K237</f>
        <v>Бульдозеры гусеничные, мощность до 59 кВт (80 л.с.)</v>
      </c>
      <c r="H180" t="str">
        <f>SmtRes!O237</f>
        <v>маш.-ч.</v>
      </c>
      <c r="I180">
        <f>SmtRes!Y237*Source!I659</f>
        <v>4.2384600000000008</v>
      </c>
      <c r="J180">
        <f>SmtRes!AO237</f>
        <v>1</v>
      </c>
      <c r="K180">
        <f>SmtRes!AF237</f>
        <v>95.06</v>
      </c>
      <c r="L180">
        <f>SmtRes!DB237</f>
        <v>223.39</v>
      </c>
      <c r="M180">
        <f>ROUND(ROUND(L180*Source!I659, 6)*1, 2)</f>
        <v>402.91</v>
      </c>
      <c r="N180">
        <f>SmtRes!AB237</f>
        <v>989.31</v>
      </c>
      <c r="O180">
        <f>ROUND(ROUND(L180*Source!I659, 6)*SmtRes!DA237, 2)</f>
        <v>4004.89</v>
      </c>
      <c r="P180">
        <f>SmtRes!AG237</f>
        <v>22.22</v>
      </c>
      <c r="Q180">
        <f>SmtRes!DC237</f>
        <v>52.22</v>
      </c>
      <c r="R180">
        <f>ROUND(ROUND(Q180*Source!I659, 6)*1, 2)</f>
        <v>94.18</v>
      </c>
      <c r="S180">
        <f>SmtRes!AC237</f>
        <v>570.66999999999996</v>
      </c>
      <c r="T180">
        <f>ROUND(ROUND(Q180*Source!I659, 6)*SmtRes!AK237, 2)</f>
        <v>2310.33</v>
      </c>
      <c r="U180">
        <f>SmtRes!X237</f>
        <v>1109083233</v>
      </c>
      <c r="V180">
        <v>1544475478</v>
      </c>
      <c r="W180">
        <v>-158017304</v>
      </c>
    </row>
    <row r="181" spans="1:23" x14ac:dyDescent="0.2">
      <c r="A181">
        <f>Source!A660</f>
        <v>18</v>
      </c>
      <c r="B181">
        <v>660</v>
      </c>
      <c r="C181">
        <v>3</v>
      </c>
      <c r="D181">
        <f>Source!BI660</f>
        <v>1</v>
      </c>
      <c r="E181">
        <f>Source!FS660</f>
        <v>0</v>
      </c>
      <c r="F181" t="str">
        <f>Source!F660</f>
        <v>1.1-1-1550</v>
      </c>
      <c r="G181" t="str">
        <f>Source!G660</f>
        <v>Щебень из естественного камня для дорожных работ, марка 600 - 400, фракция 20-40 мм</v>
      </c>
      <c r="H181" t="str">
        <f>Source!H660</f>
        <v>м3</v>
      </c>
      <c r="I181">
        <f>Source!I660</f>
        <v>227.25360000000001</v>
      </c>
      <c r="J181">
        <v>1</v>
      </c>
      <c r="K181">
        <f>Source!AC660</f>
        <v>173.37</v>
      </c>
      <c r="M181">
        <f>ROUND(K181*I181, 2)</f>
        <v>39398.959999999999</v>
      </c>
      <c r="N181">
        <f>Source!AC660*IF(Source!BC660&lt;&gt; 0, Source!BC660, 1)</f>
        <v>1868.9286</v>
      </c>
      <c r="O181">
        <f>ROUND(N181*I181, 2)</f>
        <v>424720.75</v>
      </c>
      <c r="P181">
        <f>Source!AE660</f>
        <v>0</v>
      </c>
      <c r="R181">
        <f>ROUND(P181*I181, 2)</f>
        <v>0</v>
      </c>
      <c r="S181">
        <f>Source!AE660*IF(Source!BS660&lt;&gt; 0, Source!BS660, 1)</f>
        <v>0</v>
      </c>
      <c r="T181">
        <f>ROUND(S181*I181, 2)</f>
        <v>0</v>
      </c>
      <c r="U181">
        <f>Source!GF660</f>
        <v>-820942871</v>
      </c>
      <c r="V181">
        <v>1968999642</v>
      </c>
      <c r="W181">
        <v>1682878819</v>
      </c>
    </row>
    <row r="182" spans="1:23" x14ac:dyDescent="0.2">
      <c r="A182">
        <f>Source!A661</f>
        <v>17</v>
      </c>
      <c r="C182">
        <v>3</v>
      </c>
      <c r="D182">
        <v>0</v>
      </c>
      <c r="E182">
        <f>SmtRes!AV251</f>
        <v>0</v>
      </c>
      <c r="F182" t="str">
        <f>SmtRes!I251</f>
        <v>1.1-1-766</v>
      </c>
      <c r="G182" t="str">
        <f>SmtRes!K251</f>
        <v>Песок для строительных работ, рядовой</v>
      </c>
      <c r="H182" t="str">
        <f>SmtRes!O251</f>
        <v>м3</v>
      </c>
      <c r="I182">
        <f>SmtRes!Y251*Source!I661</f>
        <v>3.1562999999999999</v>
      </c>
      <c r="J182">
        <f>SmtRes!AO251</f>
        <v>1</v>
      </c>
      <c r="K182">
        <f>SmtRes!AE251</f>
        <v>104.99</v>
      </c>
      <c r="L182">
        <f>SmtRes!DB251</f>
        <v>22.05</v>
      </c>
      <c r="M182">
        <f>ROUND(ROUND(L182*Source!I661, 6)*1, 2)</f>
        <v>331.41</v>
      </c>
      <c r="N182">
        <f>SmtRes!AA251</f>
        <v>552.25</v>
      </c>
      <c r="O182">
        <f>ROUND(ROUND(L182*Source!I661, 6)*SmtRes!DA251, 2)</f>
        <v>1743.22</v>
      </c>
      <c r="P182">
        <f>SmtRes!AG251</f>
        <v>0</v>
      </c>
      <c r="Q182">
        <f>SmtRes!DC251</f>
        <v>0</v>
      </c>
      <c r="R182">
        <f>ROUND(ROUND(Q182*Source!I661, 6)*1, 2)</f>
        <v>0</v>
      </c>
      <c r="S182">
        <f>SmtRes!AC251</f>
        <v>0</v>
      </c>
      <c r="T182">
        <f>ROUND(ROUND(Q182*Source!I661, 6)*SmtRes!AK251, 2)</f>
        <v>0</v>
      </c>
      <c r="U182">
        <f>SmtRes!X251</f>
        <v>2069056849</v>
      </c>
      <c r="V182">
        <v>464578271</v>
      </c>
      <c r="W182">
        <v>-2014781051</v>
      </c>
    </row>
    <row r="183" spans="1:23" x14ac:dyDescent="0.2">
      <c r="A183">
        <f>Source!A661</f>
        <v>17</v>
      </c>
      <c r="C183">
        <v>2</v>
      </c>
      <c r="D183">
        <v>0</v>
      </c>
      <c r="E183">
        <f>SmtRes!AV250</f>
        <v>0</v>
      </c>
      <c r="F183" t="str">
        <f>SmtRes!I250</f>
        <v>9999990007</v>
      </c>
      <c r="G183" t="str">
        <f>SmtRes!K250</f>
        <v>Стоимость прочих машин (ЭСН)</v>
      </c>
      <c r="H183" t="str">
        <f>SmtRes!O250</f>
        <v>руб.</v>
      </c>
      <c r="I183">
        <f>SmtRes!Y250*Source!I661</f>
        <v>0.15029999999999999</v>
      </c>
      <c r="J183">
        <f>SmtRes!AO250</f>
        <v>1</v>
      </c>
      <c r="K183">
        <f>SmtRes!AF250</f>
        <v>1</v>
      </c>
      <c r="L183">
        <f>SmtRes!DB250</f>
        <v>0.01</v>
      </c>
      <c r="M183">
        <f>ROUND(ROUND(L183*Source!I661, 6)*1, 2)</f>
        <v>0.15</v>
      </c>
      <c r="N183">
        <f>SmtRes!AB250</f>
        <v>1</v>
      </c>
      <c r="O183">
        <f>ROUND(ROUND(L183*Source!I661, 6)*SmtRes!DA250, 2)</f>
        <v>0.15</v>
      </c>
      <c r="P183">
        <f>SmtRes!AG250</f>
        <v>0</v>
      </c>
      <c r="Q183">
        <f>SmtRes!DC250</f>
        <v>0</v>
      </c>
      <c r="R183">
        <f>ROUND(ROUND(Q183*Source!I661, 6)*1, 2)</f>
        <v>0</v>
      </c>
      <c r="S183">
        <f>SmtRes!AC250</f>
        <v>0</v>
      </c>
      <c r="T183">
        <f>ROUND(ROUND(Q183*Source!I661, 6)*SmtRes!AK250, 2)</f>
        <v>0</v>
      </c>
      <c r="U183">
        <f>SmtRes!X250</f>
        <v>-1180195794</v>
      </c>
      <c r="V183">
        <v>54769220</v>
      </c>
      <c r="W183">
        <v>54769220</v>
      </c>
    </row>
    <row r="184" spans="1:23" x14ac:dyDescent="0.2">
      <c r="A184">
        <f>Source!A661</f>
        <v>17</v>
      </c>
      <c r="C184">
        <v>2</v>
      </c>
      <c r="D184">
        <v>0</v>
      </c>
      <c r="E184">
        <f>SmtRes!AV249</f>
        <v>0</v>
      </c>
      <c r="F184" t="str">
        <f>SmtRes!I249</f>
        <v>2.1-3-38</v>
      </c>
      <c r="G184" t="str">
        <f>SmtRes!K249</f>
        <v>Краны на автомобильном ходу, грузоподъемность до 16 т</v>
      </c>
      <c r="H184" t="str">
        <f>SmtRes!O249</f>
        <v>маш.-ч.</v>
      </c>
      <c r="I184">
        <f>SmtRes!Y249*Source!I661</f>
        <v>12.174300000000001</v>
      </c>
      <c r="J184">
        <f>SmtRes!AO249</f>
        <v>1</v>
      </c>
      <c r="K184">
        <f>SmtRes!AF249</f>
        <v>190.93</v>
      </c>
      <c r="L184">
        <f>SmtRes!DB249</f>
        <v>154.65</v>
      </c>
      <c r="M184">
        <f>ROUND(ROUND(L184*Source!I661, 6)*1, 2)</f>
        <v>2324.39</v>
      </c>
      <c r="N184">
        <f>SmtRes!AB249</f>
        <v>1580.9</v>
      </c>
      <c r="O184">
        <f>ROUND(ROUND(L184*Source!I661, 6)*SmtRes!DA249, 2)</f>
        <v>19245.95</v>
      </c>
      <c r="P184">
        <f>SmtRes!AG249</f>
        <v>18.149999999999999</v>
      </c>
      <c r="Q184">
        <f>SmtRes!DC249</f>
        <v>14.7</v>
      </c>
      <c r="R184">
        <f>ROUND(ROUND(Q184*Source!I661, 6)*1, 2)</f>
        <v>220.94</v>
      </c>
      <c r="S184">
        <f>SmtRes!AC249</f>
        <v>445.22</v>
      </c>
      <c r="T184">
        <f>ROUND(ROUND(Q184*Source!I661, 6)*SmtRes!AK249, 2)</f>
        <v>5419.68</v>
      </c>
      <c r="U184">
        <f>SmtRes!X249</f>
        <v>-266174272</v>
      </c>
      <c r="V184">
        <v>360917738</v>
      </c>
      <c r="W184">
        <v>-677660134</v>
      </c>
    </row>
    <row r="185" spans="1:23" x14ac:dyDescent="0.2">
      <c r="A185">
        <f>Source!A661</f>
        <v>17</v>
      </c>
      <c r="C185">
        <v>2</v>
      </c>
      <c r="D185">
        <v>0</v>
      </c>
      <c r="E185">
        <f>SmtRes!AV248</f>
        <v>0</v>
      </c>
      <c r="F185" t="str">
        <f>SmtRes!I248</f>
        <v>2.1-30-27</v>
      </c>
      <c r="G185" t="str">
        <f>SmtRes!K248</f>
        <v>Пилы дисковые электрические для резки пиломатериалов</v>
      </c>
      <c r="H185" t="str">
        <f>SmtRes!O248</f>
        <v>маш.-ч.</v>
      </c>
      <c r="I185">
        <f>SmtRes!Y248*Source!I661</f>
        <v>26.152199999999997</v>
      </c>
      <c r="J185">
        <f>SmtRes!AO248</f>
        <v>1</v>
      </c>
      <c r="K185">
        <f>SmtRes!AF248</f>
        <v>0.81</v>
      </c>
      <c r="L185">
        <f>SmtRes!DB248</f>
        <v>1.41</v>
      </c>
      <c r="M185">
        <f>ROUND(ROUND(L185*Source!I661, 6)*1, 2)</f>
        <v>21.19</v>
      </c>
      <c r="N185">
        <f>SmtRes!AB248</f>
        <v>4.57</v>
      </c>
      <c r="O185">
        <f>ROUND(ROUND(L185*Source!I661, 6)*SmtRes!DA248, 2)</f>
        <v>119.52</v>
      </c>
      <c r="P185">
        <f>SmtRes!AG248</f>
        <v>0.03</v>
      </c>
      <c r="Q185">
        <f>SmtRes!DC248</f>
        <v>0.05</v>
      </c>
      <c r="R185">
        <f>ROUND(ROUND(Q185*Source!I661, 6)*1, 2)</f>
        <v>0.75</v>
      </c>
      <c r="S185">
        <f>SmtRes!AC248</f>
        <v>0.74</v>
      </c>
      <c r="T185">
        <f>ROUND(ROUND(Q185*Source!I661, 6)*SmtRes!AK248, 2)</f>
        <v>18.43</v>
      </c>
      <c r="U185">
        <f>SmtRes!X248</f>
        <v>2073069139</v>
      </c>
      <c r="V185">
        <v>-1709388950</v>
      </c>
      <c r="W185">
        <v>1236502341</v>
      </c>
    </row>
    <row r="186" spans="1:23" x14ac:dyDescent="0.2">
      <c r="A186">
        <f>Source!A661</f>
        <v>17</v>
      </c>
      <c r="C186">
        <v>2</v>
      </c>
      <c r="D186">
        <v>0</v>
      </c>
      <c r="E186">
        <f>SmtRes!AV247</f>
        <v>0</v>
      </c>
      <c r="F186" t="str">
        <f>SmtRes!I247</f>
        <v>2.1-18-7</v>
      </c>
      <c r="G186" t="str">
        <f>SmtRes!K247</f>
        <v>Автомобили грузовые бортовые, грузоподъемность до 5 т</v>
      </c>
      <c r="H186" t="str">
        <f>SmtRes!O247</f>
        <v>маш.-ч.</v>
      </c>
      <c r="I186">
        <f>SmtRes!Y247*Source!I661</f>
        <v>12.174300000000001</v>
      </c>
      <c r="J186">
        <f>SmtRes!AO247</f>
        <v>1</v>
      </c>
      <c r="K186">
        <f>SmtRes!AF247</f>
        <v>76.81</v>
      </c>
      <c r="L186">
        <f>SmtRes!DB247</f>
        <v>62.22</v>
      </c>
      <c r="M186">
        <f>ROUND(ROUND(L186*Source!I661, 6)*1, 2)</f>
        <v>935.17</v>
      </c>
      <c r="N186">
        <f>SmtRes!AB247</f>
        <v>721.25</v>
      </c>
      <c r="O186">
        <f>ROUND(ROUND(L186*Source!I661, 6)*SmtRes!DA247, 2)</f>
        <v>8781.2099999999991</v>
      </c>
      <c r="P186">
        <f>SmtRes!AG247</f>
        <v>14.36</v>
      </c>
      <c r="Q186">
        <f>SmtRes!DC247</f>
        <v>11.63</v>
      </c>
      <c r="R186">
        <f>ROUND(ROUND(Q186*Source!I661, 6)*1, 2)</f>
        <v>174.8</v>
      </c>
      <c r="S186">
        <f>SmtRes!AC247</f>
        <v>352.25</v>
      </c>
      <c r="T186">
        <f>ROUND(ROUND(Q186*Source!I661, 6)*SmtRes!AK247, 2)</f>
        <v>4287.82</v>
      </c>
      <c r="U186">
        <f>SmtRes!X247</f>
        <v>-628430174</v>
      </c>
      <c r="V186">
        <v>-1989157500</v>
      </c>
      <c r="W186">
        <v>152859303</v>
      </c>
    </row>
    <row r="187" spans="1:23" x14ac:dyDescent="0.2">
      <c r="A187">
        <f>Source!A661</f>
        <v>17</v>
      </c>
      <c r="C187">
        <v>2</v>
      </c>
      <c r="D187">
        <v>0</v>
      </c>
      <c r="E187">
        <f>SmtRes!AV246</f>
        <v>0</v>
      </c>
      <c r="F187" t="str">
        <f>SmtRes!I246</f>
        <v>2.1-17-82</v>
      </c>
      <c r="G187" t="str">
        <f>SmtRes!K246</f>
        <v>Виброплиты для уплотнения песка, гравия и бетона</v>
      </c>
      <c r="H187" t="str">
        <f>SmtRes!O246</f>
        <v>маш.-ч.</v>
      </c>
      <c r="I187">
        <f>SmtRes!Y246*Source!I661</f>
        <v>49.298399999999994</v>
      </c>
      <c r="J187">
        <f>SmtRes!AO246</f>
        <v>1</v>
      </c>
      <c r="K187">
        <f>SmtRes!AF246</f>
        <v>17.420000000000002</v>
      </c>
      <c r="L187">
        <f>SmtRes!DB246</f>
        <v>57.14</v>
      </c>
      <c r="M187">
        <f>ROUND(ROUND(L187*Source!I661, 6)*1, 2)</f>
        <v>858.81</v>
      </c>
      <c r="N187">
        <f>SmtRes!AB246</f>
        <v>94.59</v>
      </c>
      <c r="O187">
        <f>ROUND(ROUND(L187*Source!I661, 6)*SmtRes!DA246, 2)</f>
        <v>4663.3599999999997</v>
      </c>
      <c r="P187">
        <f>SmtRes!AG246</f>
        <v>0.15</v>
      </c>
      <c r="Q187">
        <f>SmtRes!DC246</f>
        <v>0.49</v>
      </c>
      <c r="R187">
        <f>ROUND(ROUND(Q187*Source!I661, 6)*1, 2)</f>
        <v>7.36</v>
      </c>
      <c r="S187">
        <f>SmtRes!AC246</f>
        <v>3.68</v>
      </c>
      <c r="T187">
        <f>ROUND(ROUND(Q187*Source!I661, 6)*SmtRes!AK246, 2)</f>
        <v>180.66</v>
      </c>
      <c r="U187">
        <f>SmtRes!X246</f>
        <v>-1049359691</v>
      </c>
      <c r="V187">
        <v>839392652</v>
      </c>
      <c r="W187">
        <v>-1643900566</v>
      </c>
    </row>
    <row r="188" spans="1:23" x14ac:dyDescent="0.2">
      <c r="A188">
        <f>Source!A662</f>
        <v>18</v>
      </c>
      <c r="B188">
        <v>662</v>
      </c>
      <c r="C188">
        <v>3</v>
      </c>
      <c r="D188">
        <f>Source!BI662</f>
        <v>1</v>
      </c>
      <c r="E188">
        <f>Source!FS662</f>
        <v>0</v>
      </c>
      <c r="F188" t="str">
        <f>Source!F662</f>
        <v>1.7-3-75</v>
      </c>
      <c r="G188" t="str">
        <f>Source!G662</f>
        <v>Диск отрезной с алмазным покрытием, диаметр 230 мм, высота сегмента 7 мм</v>
      </c>
      <c r="H188" t="str">
        <f>Source!H662</f>
        <v>шт.</v>
      </c>
      <c r="I188">
        <f>Source!I662</f>
        <v>51.101999999999997</v>
      </c>
      <c r="J188">
        <v>1</v>
      </c>
      <c r="K188">
        <f>Source!AC662</f>
        <v>437.82</v>
      </c>
      <c r="M188">
        <f>ROUND(K188*I188, 2)</f>
        <v>22373.48</v>
      </c>
      <c r="N188">
        <f>Source!AC662*IF(Source!BC662&lt;&gt; 0, Source!BC662, 1)</f>
        <v>739.91579999999999</v>
      </c>
      <c r="O188">
        <f>ROUND(N188*I188, 2)</f>
        <v>37811.18</v>
      </c>
      <c r="P188">
        <f>Source!AE662</f>
        <v>0</v>
      </c>
      <c r="R188">
        <f>ROUND(P188*I188, 2)</f>
        <v>0</v>
      </c>
      <c r="S188">
        <f>Source!AE662*IF(Source!BS662&lt;&gt; 0, Source!BS662, 1)</f>
        <v>0</v>
      </c>
      <c r="T188">
        <f>ROUND(S188*I188, 2)</f>
        <v>0</v>
      </c>
      <c r="U188">
        <f>Source!GF662</f>
        <v>-1816805806</v>
      </c>
      <c r="V188">
        <v>793912692</v>
      </c>
      <c r="W188">
        <v>-977104737</v>
      </c>
    </row>
    <row r="189" spans="1:23" x14ac:dyDescent="0.2">
      <c r="A189">
        <f>Source!A663</f>
        <v>18</v>
      </c>
      <c r="B189">
        <v>663</v>
      </c>
      <c r="C189">
        <v>3</v>
      </c>
      <c r="D189">
        <f>Source!BI663</f>
        <v>1</v>
      </c>
      <c r="E189">
        <f>Source!FS663</f>
        <v>0</v>
      </c>
      <c r="F189" t="str">
        <f>Source!F663</f>
        <v>1.5-3-421</v>
      </c>
      <c r="G189" t="str">
        <f>Source!G663</f>
        <v>Брусчатка бетонная овальная, марка 4ПБ 15.10.7, цвет светло-серый</v>
      </c>
      <c r="H189" t="str">
        <f>Source!H663</f>
        <v>м2</v>
      </c>
      <c r="I189">
        <f>Source!I663</f>
        <v>1503</v>
      </c>
      <c r="J189">
        <v>1</v>
      </c>
      <c r="K189">
        <f>Source!AC663</f>
        <v>283.43</v>
      </c>
      <c r="M189">
        <f>ROUND(K189*I189, 2)</f>
        <v>425995.29</v>
      </c>
      <c r="N189">
        <f>Source!AC663*IF(Source!BC663&lt;&gt; 0, Source!BC663, 1)</f>
        <v>915.47890000000007</v>
      </c>
      <c r="O189">
        <f>ROUND(N189*I189, 2)</f>
        <v>1375964.79</v>
      </c>
      <c r="P189">
        <f>Source!AE663</f>
        <v>0</v>
      </c>
      <c r="R189">
        <f>ROUND(P189*I189, 2)</f>
        <v>0</v>
      </c>
      <c r="S189">
        <f>Source!AE663*IF(Source!BS663&lt;&gt; 0, Source!BS663, 1)</f>
        <v>0</v>
      </c>
      <c r="T189">
        <f>ROUND(S189*I189, 2)</f>
        <v>0</v>
      </c>
      <c r="U189">
        <f>Source!GF663</f>
        <v>-1129273364</v>
      </c>
      <c r="V189">
        <v>1470966930</v>
      </c>
      <c r="W189">
        <v>1632561054</v>
      </c>
    </row>
    <row r="190" spans="1:23" x14ac:dyDescent="0.2">
      <c r="A190">
        <f>Source!A664</f>
        <v>18</v>
      </c>
      <c r="B190">
        <v>664</v>
      </c>
      <c r="C190">
        <v>3</v>
      </c>
      <c r="D190">
        <f>Source!BI664</f>
        <v>1</v>
      </c>
      <c r="E190">
        <f>Source!FS664</f>
        <v>0</v>
      </c>
      <c r="F190" t="str">
        <f>Source!F664</f>
        <v>1.3-2-18</v>
      </c>
      <c r="G190" t="str">
        <f>Source!G664</f>
        <v>Смеси сухие монтажно-кладочные цементно-песчаные, В7,5 (М100), F50, крупность заполнителя не более 3,5 мм</v>
      </c>
      <c r="H190" t="str">
        <f>Source!H664</f>
        <v>т</v>
      </c>
      <c r="I190">
        <f>Source!I664</f>
        <v>33.817500000000003</v>
      </c>
      <c r="J190">
        <v>1</v>
      </c>
      <c r="K190">
        <f>Source!AC664</f>
        <v>438.37</v>
      </c>
      <c r="M190">
        <f>ROUND(K190*I190, 2)</f>
        <v>14824.58</v>
      </c>
      <c r="N190">
        <f>Source!AC664*IF(Source!BC664&lt;&gt; 0, Source!BC664, 1)</f>
        <v>3186.9499000000001</v>
      </c>
      <c r="O190">
        <f>ROUND(N190*I190, 2)</f>
        <v>107774.68</v>
      </c>
      <c r="P190">
        <f>Source!AE664</f>
        <v>0</v>
      </c>
      <c r="R190">
        <f>ROUND(P190*I190, 2)</f>
        <v>0</v>
      </c>
      <c r="S190">
        <f>Source!AE664*IF(Source!BS664&lt;&gt; 0, Source!BS664, 1)</f>
        <v>0</v>
      </c>
      <c r="T190">
        <f>ROUND(S190*I190, 2)</f>
        <v>0</v>
      </c>
      <c r="U190">
        <f>Source!GF664</f>
        <v>2029920186</v>
      </c>
      <c r="V190">
        <v>587220639</v>
      </c>
      <c r="W190">
        <v>1537784488</v>
      </c>
    </row>
    <row r="191" spans="1:23" x14ac:dyDescent="0.2">
      <c r="A191">
        <f>Source!A697</f>
        <v>4</v>
      </c>
      <c r="B191">
        <v>697</v>
      </c>
      <c r="G191" t="str">
        <f>Source!G697</f>
        <v>28. Камень бортовой садовый</v>
      </c>
    </row>
    <row r="192" spans="1:23" x14ac:dyDescent="0.2">
      <c r="A192">
        <f>Source!A702</f>
        <v>17</v>
      </c>
      <c r="C192">
        <v>2</v>
      </c>
      <c r="D192">
        <v>0</v>
      </c>
      <c r="E192">
        <f>SmtRes!AV257</f>
        <v>0</v>
      </c>
      <c r="F192" t="str">
        <f>SmtRes!I257</f>
        <v>2.1-18-24</v>
      </c>
      <c r="G192" t="str">
        <f>SmtRes!K257</f>
        <v>Автомобили грузопассажирские, грузоподъемность до 2 т</v>
      </c>
      <c r="H192" t="str">
        <f>SmtRes!O257</f>
        <v>маш.-ч.</v>
      </c>
      <c r="I192">
        <f>SmtRes!Y257*Source!I702</f>
        <v>7.1762012000000004</v>
      </c>
      <c r="J192">
        <f>SmtRes!AO257</f>
        <v>1</v>
      </c>
      <c r="K192">
        <f>SmtRes!AF257</f>
        <v>42.2</v>
      </c>
      <c r="L192">
        <f>SmtRes!DB257</f>
        <v>16.04</v>
      </c>
      <c r="M192">
        <f>ROUND(ROUND(L192*Source!I702, 6)*1, 2)</f>
        <v>302.91000000000003</v>
      </c>
      <c r="N192">
        <f>SmtRes!AB257</f>
        <v>577.04</v>
      </c>
      <c r="O192">
        <f>ROUND(ROUND(L192*Source!I702, 6)*SmtRes!DA257, 2)</f>
        <v>3956.02</v>
      </c>
      <c r="P192">
        <f>SmtRes!AG257</f>
        <v>18.38</v>
      </c>
      <c r="Q192">
        <f>SmtRes!DC257</f>
        <v>6.98</v>
      </c>
      <c r="R192">
        <f>ROUND(ROUND(Q192*Source!I702, 6)*1, 2)</f>
        <v>131.82</v>
      </c>
      <c r="S192">
        <f>SmtRes!AC257</f>
        <v>472.05</v>
      </c>
      <c r="T192">
        <f>ROUND(ROUND(Q192*Source!I702, 6)*SmtRes!AK257, 2)</f>
        <v>3233.43</v>
      </c>
      <c r="U192">
        <f>SmtRes!X257</f>
        <v>-646062659</v>
      </c>
      <c r="V192">
        <v>-1131852601</v>
      </c>
      <c r="W192">
        <v>-689561037</v>
      </c>
    </row>
    <row r="193" spans="1:23" x14ac:dyDescent="0.2">
      <c r="A193">
        <f>Source!A706</f>
        <v>17</v>
      </c>
      <c r="C193">
        <v>3</v>
      </c>
      <c r="D193">
        <v>0</v>
      </c>
      <c r="E193">
        <f>SmtRes!AV267</f>
        <v>0</v>
      </c>
      <c r="F193" t="str">
        <f>SmtRes!I267</f>
        <v>1.1-1-118</v>
      </c>
      <c r="G193" t="str">
        <f>SmtRes!K267</f>
        <v>Вода</v>
      </c>
      <c r="H193" t="str">
        <f>SmtRes!O267</f>
        <v>м3</v>
      </c>
      <c r="I193">
        <f>SmtRes!Y267*Source!I706</f>
        <v>1.2609999999999999</v>
      </c>
      <c r="J193">
        <f>SmtRes!AO267</f>
        <v>1</v>
      </c>
      <c r="K193">
        <f>SmtRes!AE267</f>
        <v>7.07</v>
      </c>
      <c r="L193">
        <f>SmtRes!DB267</f>
        <v>35.35</v>
      </c>
      <c r="M193">
        <f>ROUND(ROUND(L193*Source!I706, 6)*1, 2)</f>
        <v>8.92</v>
      </c>
      <c r="N193">
        <f>SmtRes!AA267</f>
        <v>35.35</v>
      </c>
      <c r="O193">
        <f>ROUND(ROUND(L193*Source!I706, 6)*SmtRes!DA267, 2)</f>
        <v>44.49</v>
      </c>
      <c r="P193">
        <f>SmtRes!AG267</f>
        <v>0</v>
      </c>
      <c r="Q193">
        <f>SmtRes!DC267</f>
        <v>0</v>
      </c>
      <c r="R193">
        <f>ROUND(ROUND(Q193*Source!I706, 6)*1, 2)</f>
        <v>0</v>
      </c>
      <c r="S193">
        <f>SmtRes!AC267</f>
        <v>0</v>
      </c>
      <c r="T193">
        <f>ROUND(ROUND(Q193*Source!I706, 6)*SmtRes!AK267, 2)</f>
        <v>0</v>
      </c>
      <c r="U193">
        <f>SmtRes!X267</f>
        <v>-862991314</v>
      </c>
      <c r="V193">
        <v>209219300</v>
      </c>
      <c r="W193">
        <v>-1977920412</v>
      </c>
    </row>
    <row r="194" spans="1:23" x14ac:dyDescent="0.2">
      <c r="A194">
        <f>Source!A706</f>
        <v>17</v>
      </c>
      <c r="C194">
        <v>2</v>
      </c>
      <c r="D194">
        <v>0</v>
      </c>
      <c r="E194">
        <f>SmtRes!AV266</f>
        <v>0</v>
      </c>
      <c r="F194" t="str">
        <f>SmtRes!I266</f>
        <v>2.1-5-7</v>
      </c>
      <c r="G194" t="str">
        <f>SmtRes!K266</f>
        <v>Катки дорожные самоходные на пневмоколесном ходу, масса до 16 т</v>
      </c>
      <c r="H194" t="str">
        <f>SmtRes!O266</f>
        <v>маш.-ч.</v>
      </c>
      <c r="I194">
        <f>SmtRes!Y266*Source!I706</f>
        <v>0.13114399999999998</v>
      </c>
      <c r="J194">
        <f>SmtRes!AO266</f>
        <v>1</v>
      </c>
      <c r="K194">
        <f>SmtRes!AF266</f>
        <v>178.02</v>
      </c>
      <c r="L194">
        <f>SmtRes!DB266</f>
        <v>92.57</v>
      </c>
      <c r="M194">
        <f>ROUND(ROUND(L194*Source!I706, 6)*1, 2)</f>
        <v>23.35</v>
      </c>
      <c r="N194">
        <f>SmtRes!AB266</f>
        <v>1593.61</v>
      </c>
      <c r="O194">
        <f>ROUND(ROUND(L194*Source!I706, 6)*SmtRes!DA266, 2)</f>
        <v>199.61</v>
      </c>
      <c r="P194">
        <f>SmtRes!AG266</f>
        <v>23.5</v>
      </c>
      <c r="Q194">
        <f>SmtRes!DC266</f>
        <v>12.22</v>
      </c>
      <c r="R194">
        <f>ROUND(ROUND(Q194*Source!I706, 6)*1, 2)</f>
        <v>3.08</v>
      </c>
      <c r="S194">
        <f>SmtRes!AC266</f>
        <v>603.54999999999995</v>
      </c>
      <c r="T194">
        <f>ROUND(ROUND(Q194*Source!I706, 6)*SmtRes!AK266, 2)</f>
        <v>75.599999999999994</v>
      </c>
      <c r="U194">
        <f>SmtRes!X266</f>
        <v>2023875219</v>
      </c>
      <c r="V194">
        <v>1989037200</v>
      </c>
      <c r="W194">
        <v>2049417949</v>
      </c>
    </row>
    <row r="195" spans="1:23" x14ac:dyDescent="0.2">
      <c r="A195">
        <f>Source!A706</f>
        <v>17</v>
      </c>
      <c r="C195">
        <v>2</v>
      </c>
      <c r="D195">
        <v>0</v>
      </c>
      <c r="E195">
        <f>SmtRes!AV265</f>
        <v>0</v>
      </c>
      <c r="F195" t="str">
        <f>SmtRes!I265</f>
        <v>2.1-5-48</v>
      </c>
      <c r="G195" t="str">
        <f>SmtRes!K265</f>
        <v>Автогрейдеры, мощность 99-147 кВт (130-200 л.с.)</v>
      </c>
      <c r="H195" t="str">
        <f>SmtRes!O265</f>
        <v>маш.-ч.</v>
      </c>
      <c r="I195">
        <f>SmtRes!Y265*Source!I706</f>
        <v>0.39090999999999998</v>
      </c>
      <c r="J195">
        <f>SmtRes!AO265</f>
        <v>1</v>
      </c>
      <c r="K195">
        <f>SmtRes!AF265</f>
        <v>125.13</v>
      </c>
      <c r="L195">
        <f>SmtRes!DB265</f>
        <v>193.95</v>
      </c>
      <c r="M195">
        <f>ROUND(ROUND(L195*Source!I706, 6)*1, 2)</f>
        <v>48.91</v>
      </c>
      <c r="N195">
        <f>SmtRes!AB265</f>
        <v>1539.38</v>
      </c>
      <c r="O195">
        <f>ROUND(ROUND(L195*Source!I706, 6)*SmtRes!DA265, 2)</f>
        <v>574.74</v>
      </c>
      <c r="P195">
        <f>SmtRes!AG265</f>
        <v>24.74</v>
      </c>
      <c r="Q195">
        <f>SmtRes!DC265</f>
        <v>38.35</v>
      </c>
      <c r="R195">
        <f>ROUND(ROUND(Q195*Source!I706, 6)*1, 2)</f>
        <v>9.67</v>
      </c>
      <c r="S195">
        <f>SmtRes!AC265</f>
        <v>635.4</v>
      </c>
      <c r="T195">
        <f>ROUND(ROUND(Q195*Source!I706, 6)*SmtRes!AK265, 2)</f>
        <v>237.25</v>
      </c>
      <c r="U195">
        <f>SmtRes!X265</f>
        <v>856318566</v>
      </c>
      <c r="V195">
        <v>-1785549983</v>
      </c>
      <c r="W195">
        <v>559728352</v>
      </c>
    </row>
    <row r="196" spans="1:23" x14ac:dyDescent="0.2">
      <c r="A196">
        <f>Source!A706</f>
        <v>17</v>
      </c>
      <c r="C196">
        <v>2</v>
      </c>
      <c r="D196">
        <v>0</v>
      </c>
      <c r="E196">
        <f>SmtRes!AV264</f>
        <v>0</v>
      </c>
      <c r="F196" t="str">
        <f>SmtRes!I264</f>
        <v>2.1-5-18</v>
      </c>
      <c r="G196" t="str">
        <f>SmtRes!K264</f>
        <v>Поливомоечные машины, емкость цистерны более 5000 л</v>
      </c>
      <c r="H196" t="str">
        <f>SmtRes!O264</f>
        <v>маш.-ч.</v>
      </c>
      <c r="I196">
        <f>SmtRes!Y264*Source!I706</f>
        <v>0.16392999999999999</v>
      </c>
      <c r="J196">
        <f>SmtRes!AO264</f>
        <v>1</v>
      </c>
      <c r="K196">
        <f>SmtRes!AF264</f>
        <v>140.58000000000001</v>
      </c>
      <c r="L196">
        <f>SmtRes!DB264</f>
        <v>91.38</v>
      </c>
      <c r="M196">
        <f>ROUND(ROUND(L196*Source!I706, 6)*1, 2)</f>
        <v>23.05</v>
      </c>
      <c r="N196">
        <f>SmtRes!AB264</f>
        <v>1162.78</v>
      </c>
      <c r="O196">
        <f>ROUND(ROUND(L196*Source!I706, 6)*SmtRes!DA264, 2)</f>
        <v>182.06</v>
      </c>
      <c r="P196">
        <f>SmtRes!AG264</f>
        <v>28.61</v>
      </c>
      <c r="Q196">
        <f>SmtRes!DC264</f>
        <v>18.600000000000001</v>
      </c>
      <c r="R196">
        <f>ROUND(ROUND(Q196*Source!I706, 6)*1, 2)</f>
        <v>4.6900000000000004</v>
      </c>
      <c r="S196">
        <f>SmtRes!AC264</f>
        <v>734.79</v>
      </c>
      <c r="T196">
        <f>ROUND(ROUND(Q196*Source!I706, 6)*SmtRes!AK264, 2)</f>
        <v>115.07</v>
      </c>
      <c r="U196">
        <f>SmtRes!X264</f>
        <v>378346098</v>
      </c>
      <c r="V196">
        <v>-656460772</v>
      </c>
      <c r="W196">
        <v>368907495</v>
      </c>
    </row>
    <row r="197" spans="1:23" x14ac:dyDescent="0.2">
      <c r="A197">
        <f>Source!A706</f>
        <v>17</v>
      </c>
      <c r="C197">
        <v>2</v>
      </c>
      <c r="D197">
        <v>0</v>
      </c>
      <c r="E197">
        <f>SmtRes!AV263</f>
        <v>0</v>
      </c>
      <c r="F197" t="str">
        <f>SmtRes!I263</f>
        <v>2.1-5-15</v>
      </c>
      <c r="G197" t="str">
        <f>SmtRes!K263</f>
        <v>Катки прицепные пневмоколесные, масса до 50 т</v>
      </c>
      <c r="H197" t="str">
        <f>SmtRes!O263</f>
        <v>маш.-ч.</v>
      </c>
      <c r="I197">
        <f>SmtRes!Y263*Source!I706</f>
        <v>0.41865199999999997</v>
      </c>
      <c r="J197">
        <f>SmtRes!AO263</f>
        <v>1</v>
      </c>
      <c r="K197">
        <f>SmtRes!AF263</f>
        <v>62.97</v>
      </c>
      <c r="L197">
        <f>SmtRes!DB263</f>
        <v>104.53</v>
      </c>
      <c r="M197">
        <f>ROUND(ROUND(L197*Source!I706, 6)*1, 2)</f>
        <v>26.36</v>
      </c>
      <c r="N197">
        <f>SmtRes!AB263</f>
        <v>445.02</v>
      </c>
      <c r="O197">
        <f>ROUND(ROUND(L197*Source!I706, 6)*SmtRes!DA263, 2)</f>
        <v>177.95</v>
      </c>
      <c r="P197">
        <f>SmtRes!AG263</f>
        <v>6.64</v>
      </c>
      <c r="Q197">
        <f>SmtRes!DC263</f>
        <v>11.02</v>
      </c>
      <c r="R197">
        <f>ROUND(ROUND(Q197*Source!I706, 6)*1, 2)</f>
        <v>2.78</v>
      </c>
      <c r="S197">
        <f>SmtRes!AC263</f>
        <v>170.53</v>
      </c>
      <c r="T197">
        <f>ROUND(ROUND(Q197*Source!I706, 6)*SmtRes!AK263, 2)</f>
        <v>68.17</v>
      </c>
      <c r="U197">
        <f>SmtRes!X263</f>
        <v>142191915</v>
      </c>
      <c r="V197">
        <v>100101108</v>
      </c>
      <c r="W197">
        <v>439731329</v>
      </c>
    </row>
    <row r="198" spans="1:23" x14ac:dyDescent="0.2">
      <c r="A198">
        <f>Source!A706</f>
        <v>17</v>
      </c>
      <c r="C198">
        <v>2</v>
      </c>
      <c r="D198">
        <v>0</v>
      </c>
      <c r="E198">
        <f>SmtRes!AV262</f>
        <v>0</v>
      </c>
      <c r="F198" t="str">
        <f>SmtRes!I262</f>
        <v>2.1-2-1</v>
      </c>
      <c r="G198" t="str">
        <f>SmtRes!K262</f>
        <v>Тракторы на гусеничном ходу, мощность до 60 кВт (81 л.с.)</v>
      </c>
      <c r="H198" t="str">
        <f>SmtRes!O262</f>
        <v>маш.-ч.</v>
      </c>
      <c r="I198">
        <f>SmtRes!Y262*Source!I706</f>
        <v>0.41865199999999997</v>
      </c>
      <c r="J198">
        <f>SmtRes!AO262</f>
        <v>1</v>
      </c>
      <c r="K198">
        <f>SmtRes!AF262</f>
        <v>116.89</v>
      </c>
      <c r="L198">
        <f>SmtRes!DB262</f>
        <v>194.04</v>
      </c>
      <c r="M198">
        <f>ROUND(ROUND(L198*Source!I706, 6)*1, 2)</f>
        <v>48.94</v>
      </c>
      <c r="N198">
        <f>SmtRes!AB262</f>
        <v>1261.78</v>
      </c>
      <c r="O198">
        <f>ROUND(ROUND(L198*Source!I706, 6)*SmtRes!DA262, 2)</f>
        <v>504.54</v>
      </c>
      <c r="P198">
        <f>SmtRes!AG262</f>
        <v>23.41</v>
      </c>
      <c r="Q198">
        <f>SmtRes!DC262</f>
        <v>38.86</v>
      </c>
      <c r="R198">
        <f>ROUND(ROUND(Q198*Source!I706, 6)*1, 2)</f>
        <v>9.8000000000000007</v>
      </c>
      <c r="S198">
        <f>SmtRes!AC262</f>
        <v>601.24</v>
      </c>
      <c r="T198">
        <f>ROUND(ROUND(Q198*Source!I706, 6)*SmtRes!AK262, 2)</f>
        <v>240.41</v>
      </c>
      <c r="U198">
        <f>SmtRes!X262</f>
        <v>1928543733</v>
      </c>
      <c r="V198">
        <v>482636110</v>
      </c>
      <c r="W198">
        <v>-902618053</v>
      </c>
    </row>
    <row r="199" spans="1:23" x14ac:dyDescent="0.2">
      <c r="A199">
        <f>Source!A707</f>
        <v>18</v>
      </c>
      <c r="B199">
        <v>707</v>
      </c>
      <c r="C199">
        <v>3</v>
      </c>
      <c r="D199">
        <f>Source!BI707</f>
        <v>1</v>
      </c>
      <c r="E199">
        <f>Source!FS707</f>
        <v>0</v>
      </c>
      <c r="F199" t="str">
        <f>Source!F707</f>
        <v>1.1-1-766</v>
      </c>
      <c r="G199" t="str">
        <f>Source!G707</f>
        <v>Песок для строительных работ, рядовой</v>
      </c>
      <c r="H199" t="str">
        <f>Source!H707</f>
        <v>м3</v>
      </c>
      <c r="I199">
        <f>Source!I707</f>
        <v>27.742000000000001</v>
      </c>
      <c r="J199">
        <v>1</v>
      </c>
      <c r="K199">
        <f>Source!AC707</f>
        <v>104.99</v>
      </c>
      <c r="M199">
        <f>ROUND(K199*I199, 2)</f>
        <v>2912.63</v>
      </c>
      <c r="N199">
        <f>Source!AC707*IF(Source!BC707&lt;&gt; 0, Source!BC707, 1)</f>
        <v>552.24739999999997</v>
      </c>
      <c r="O199">
        <f>ROUND(N199*I199, 2)</f>
        <v>15320.45</v>
      </c>
      <c r="P199">
        <f>Source!AE707</f>
        <v>0</v>
      </c>
      <c r="R199">
        <f>ROUND(P199*I199, 2)</f>
        <v>0</v>
      </c>
      <c r="S199">
        <f>Source!AE707*IF(Source!BS707&lt;&gt; 0, Source!BS707, 1)</f>
        <v>0</v>
      </c>
      <c r="T199">
        <f>ROUND(S199*I199, 2)</f>
        <v>0</v>
      </c>
      <c r="U199">
        <f>Source!GF707</f>
        <v>2069056849</v>
      </c>
      <c r="V199">
        <v>464578271</v>
      </c>
      <c r="W199">
        <v>1615926593</v>
      </c>
    </row>
    <row r="200" spans="1:23" x14ac:dyDescent="0.2">
      <c r="A200">
        <f>Source!A708</f>
        <v>17</v>
      </c>
      <c r="C200">
        <v>3</v>
      </c>
      <c r="D200">
        <v>0</v>
      </c>
      <c r="E200">
        <f>SmtRes!AV276</f>
        <v>0</v>
      </c>
      <c r="F200" t="str">
        <f>SmtRes!I276</f>
        <v>1.3-2-5</v>
      </c>
      <c r="G200" t="str">
        <f>SmtRes!K276</f>
        <v>Растворы цементные, марка 100</v>
      </c>
      <c r="H200" t="str">
        <f>SmtRes!O276</f>
        <v>м3</v>
      </c>
      <c r="I200">
        <f>SmtRes!Y276*Source!I708</f>
        <v>0.25219999999999998</v>
      </c>
      <c r="J200">
        <f>SmtRes!AO276</f>
        <v>1</v>
      </c>
      <c r="K200">
        <f>SmtRes!AE276</f>
        <v>451.14</v>
      </c>
      <c r="L200">
        <f>SmtRes!DB276</f>
        <v>9.02</v>
      </c>
      <c r="M200">
        <f>ROUND(ROUND(L200*Source!I708, 6)*1, 2)</f>
        <v>113.74</v>
      </c>
      <c r="N200">
        <f>SmtRes!AA276</f>
        <v>3406.06</v>
      </c>
      <c r="O200">
        <f>ROUND(ROUND(L200*Source!I708, 6)*SmtRes!DA276, 2)</f>
        <v>833.73</v>
      </c>
      <c r="P200">
        <f>SmtRes!AG276</f>
        <v>0</v>
      </c>
      <c r="Q200">
        <f>SmtRes!DC276</f>
        <v>0</v>
      </c>
      <c r="R200">
        <f>ROUND(ROUND(Q200*Source!I708, 6)*1, 2)</f>
        <v>0</v>
      </c>
      <c r="S200">
        <f>SmtRes!AC276</f>
        <v>0</v>
      </c>
      <c r="T200">
        <f>ROUND(ROUND(Q200*Source!I708, 6)*SmtRes!AK276, 2)</f>
        <v>0</v>
      </c>
      <c r="U200">
        <f>SmtRes!X276</f>
        <v>-718781615</v>
      </c>
      <c r="V200">
        <v>-1804029654</v>
      </c>
      <c r="W200">
        <v>-1170584268</v>
      </c>
    </row>
    <row r="201" spans="1:23" x14ac:dyDescent="0.2">
      <c r="A201">
        <f>Source!A708</f>
        <v>17</v>
      </c>
      <c r="C201">
        <v>3</v>
      </c>
      <c r="D201">
        <v>0</v>
      </c>
      <c r="E201">
        <f>SmtRes!AV275</f>
        <v>0</v>
      </c>
      <c r="F201" t="str">
        <f>SmtRes!I275</f>
        <v>1.3-1-38</v>
      </c>
      <c r="G201" t="str">
        <f>SmtRes!K275</f>
        <v>Смеси бетонные, БСГ, тяжелого бетона на гранитном щебне, класс прочности В15 (М200); П3, фракция 5-20, F50-100, W0-2</v>
      </c>
      <c r="H201" t="str">
        <f>SmtRes!O275</f>
        <v>м3</v>
      </c>
      <c r="I201">
        <f>SmtRes!Y275*Source!I708</f>
        <v>60.527999999999992</v>
      </c>
      <c r="J201">
        <f>SmtRes!AO275</f>
        <v>1</v>
      </c>
      <c r="K201">
        <f>SmtRes!AE275</f>
        <v>704.89</v>
      </c>
      <c r="L201">
        <f>SmtRes!DB275</f>
        <v>3383.47</v>
      </c>
      <c r="M201">
        <f>ROUND(ROUND(L201*Source!I708, 6)*1, 2)</f>
        <v>42665.56</v>
      </c>
      <c r="N201">
        <f>SmtRes!AA275</f>
        <v>4334.4399999999996</v>
      </c>
      <c r="O201">
        <f>ROUND(ROUND(L201*Source!I708, 6)*SmtRes!DA275, 2)</f>
        <v>254713.37</v>
      </c>
      <c r="P201">
        <f>SmtRes!AG275</f>
        <v>0</v>
      </c>
      <c r="Q201">
        <f>SmtRes!DC275</f>
        <v>0</v>
      </c>
      <c r="R201">
        <f>ROUND(ROUND(Q201*Source!I708, 6)*1, 2)</f>
        <v>0</v>
      </c>
      <c r="S201">
        <f>SmtRes!AC275</f>
        <v>0</v>
      </c>
      <c r="T201">
        <f>ROUND(ROUND(Q201*Source!I708, 6)*SmtRes!AK275, 2)</f>
        <v>0</v>
      </c>
      <c r="U201">
        <f>SmtRes!X275</f>
        <v>-758282629</v>
      </c>
      <c r="V201">
        <v>786719351</v>
      </c>
      <c r="W201">
        <v>59352439</v>
      </c>
    </row>
    <row r="202" spans="1:23" x14ac:dyDescent="0.2">
      <c r="A202">
        <f>Source!A708</f>
        <v>17</v>
      </c>
      <c r="C202">
        <v>3</v>
      </c>
      <c r="D202">
        <v>0</v>
      </c>
      <c r="E202">
        <f>SmtRes!AV274</f>
        <v>0</v>
      </c>
      <c r="F202" t="str">
        <f>SmtRes!I274</f>
        <v>1.1-1-230</v>
      </c>
      <c r="G202" t="str">
        <f>SmtRes!K274</f>
        <v>Доски хвойных пород, обрезные, длина 2-6,5 м, сорт IV, толщина 19-22 мм</v>
      </c>
      <c r="H202" t="str">
        <f>SmtRes!O274</f>
        <v>м3</v>
      </c>
      <c r="I202">
        <f>SmtRes!Y274*Source!I708</f>
        <v>2.1436999999999999</v>
      </c>
      <c r="J202">
        <f>SmtRes!AO274</f>
        <v>1</v>
      </c>
      <c r="K202">
        <f>SmtRes!AE274</f>
        <v>1828.56</v>
      </c>
      <c r="L202">
        <f>SmtRes!DB274</f>
        <v>310.86</v>
      </c>
      <c r="M202">
        <f>ROUND(ROUND(L202*Source!I708, 6)*1, 2)</f>
        <v>3919.94</v>
      </c>
      <c r="N202">
        <f>SmtRes!AA274</f>
        <v>3126.47</v>
      </c>
      <c r="O202">
        <f>ROUND(ROUND(L202*Source!I708, 6)*SmtRes!DA274, 2)</f>
        <v>6507.11</v>
      </c>
      <c r="P202">
        <f>SmtRes!AG274</f>
        <v>0</v>
      </c>
      <c r="Q202">
        <f>SmtRes!DC274</f>
        <v>0</v>
      </c>
      <c r="R202">
        <f>ROUND(ROUND(Q202*Source!I708, 6)*1, 2)</f>
        <v>0</v>
      </c>
      <c r="S202">
        <f>SmtRes!AC274</f>
        <v>0</v>
      </c>
      <c r="T202">
        <f>ROUND(ROUND(Q202*Source!I708, 6)*SmtRes!AK274, 2)</f>
        <v>0</v>
      </c>
      <c r="U202">
        <f>SmtRes!X274</f>
        <v>-164923881</v>
      </c>
      <c r="V202">
        <v>1113885926</v>
      </c>
      <c r="W202">
        <v>2084027107</v>
      </c>
    </row>
    <row r="203" spans="1:23" x14ac:dyDescent="0.2">
      <c r="A203">
        <f>Source!A708</f>
        <v>17</v>
      </c>
      <c r="C203">
        <v>3</v>
      </c>
      <c r="D203">
        <v>0</v>
      </c>
      <c r="E203">
        <f>SmtRes!AV273</f>
        <v>0</v>
      </c>
      <c r="F203" t="str">
        <f>SmtRes!I273</f>
        <v>1.1-1-132</v>
      </c>
      <c r="G203" t="str">
        <f>SmtRes!K273</f>
        <v>Гвозди строительные</v>
      </c>
      <c r="H203" t="str">
        <f>SmtRes!O273</f>
        <v>т</v>
      </c>
      <c r="I203">
        <f>SmtRes!Y273*Source!I708</f>
        <v>1.261E-2</v>
      </c>
      <c r="J203">
        <f>SmtRes!AO273</f>
        <v>1</v>
      </c>
      <c r="K203">
        <f>SmtRes!AE273</f>
        <v>6521.42</v>
      </c>
      <c r="L203">
        <f>SmtRes!DB273</f>
        <v>6.52</v>
      </c>
      <c r="M203">
        <f>ROUND(ROUND(L203*Source!I708, 6)*1, 2)</f>
        <v>82.22</v>
      </c>
      <c r="N203">
        <f>SmtRes!AA273</f>
        <v>52258.75</v>
      </c>
      <c r="O203">
        <f>ROUND(ROUND(L203*Source!I708, 6)*SmtRes!DA273, 2)</f>
        <v>639.65</v>
      </c>
      <c r="P203">
        <f>SmtRes!AG273</f>
        <v>0</v>
      </c>
      <c r="Q203">
        <f>SmtRes!DC273</f>
        <v>0</v>
      </c>
      <c r="R203">
        <f>ROUND(ROUND(Q203*Source!I708, 6)*1, 2)</f>
        <v>0</v>
      </c>
      <c r="S203">
        <f>SmtRes!AC273</f>
        <v>0</v>
      </c>
      <c r="T203">
        <f>ROUND(ROUND(Q203*Source!I708, 6)*SmtRes!AK273, 2)</f>
        <v>0</v>
      </c>
      <c r="U203">
        <f>SmtRes!X273</f>
        <v>563176784</v>
      </c>
      <c r="V203">
        <v>-676994890</v>
      </c>
      <c r="W203">
        <v>-1460289249</v>
      </c>
    </row>
    <row r="204" spans="1:23" x14ac:dyDescent="0.2">
      <c r="A204">
        <f>Source!A708</f>
        <v>17</v>
      </c>
      <c r="C204">
        <v>2</v>
      </c>
      <c r="D204">
        <v>0</v>
      </c>
      <c r="E204">
        <f>SmtRes!AV272</f>
        <v>0</v>
      </c>
      <c r="F204" t="str">
        <f>SmtRes!I272</f>
        <v>2.1-4-12</v>
      </c>
      <c r="G204" t="str">
        <f>SmtRes!K272</f>
        <v>Погрузчики на автомобильном ходу, грузоподъемность до 5 т</v>
      </c>
      <c r="H204" t="str">
        <f>SmtRes!O272</f>
        <v>маш.-ч.</v>
      </c>
      <c r="I204">
        <f>SmtRes!Y272*Source!I708</f>
        <v>2.7742</v>
      </c>
      <c r="J204">
        <f>SmtRes!AO272</f>
        <v>1</v>
      </c>
      <c r="K204">
        <f>SmtRes!AF272</f>
        <v>73</v>
      </c>
      <c r="L204">
        <f>SmtRes!DB272</f>
        <v>16.059999999999999</v>
      </c>
      <c r="M204">
        <f>ROUND(ROUND(L204*Source!I708, 6)*1, 2)</f>
        <v>202.52</v>
      </c>
      <c r="N204">
        <f>SmtRes!AB272</f>
        <v>742.91</v>
      </c>
      <c r="O204">
        <f>ROUND(ROUND(L204*Source!I708, 6)*SmtRes!DA272, 2)</f>
        <v>1968.46</v>
      </c>
      <c r="P204">
        <f>SmtRes!AG272</f>
        <v>16.899999999999999</v>
      </c>
      <c r="Q204">
        <f>SmtRes!DC272</f>
        <v>3.72</v>
      </c>
      <c r="R204">
        <f>ROUND(ROUND(Q204*Source!I708, 6)*1, 2)</f>
        <v>46.91</v>
      </c>
      <c r="S204">
        <f>SmtRes!AC272</f>
        <v>434.04</v>
      </c>
      <c r="T204">
        <f>ROUND(ROUND(Q204*Source!I708, 6)*SmtRes!AK272, 2)</f>
        <v>1150.68</v>
      </c>
      <c r="U204">
        <f>SmtRes!X272</f>
        <v>482200787</v>
      </c>
      <c r="V204">
        <v>-708758393</v>
      </c>
      <c r="W204">
        <v>-788593992</v>
      </c>
    </row>
    <row r="205" spans="1:23" x14ac:dyDescent="0.2">
      <c r="A205">
        <f>Source!A708</f>
        <v>17</v>
      </c>
      <c r="C205">
        <v>2</v>
      </c>
      <c r="D205">
        <v>0</v>
      </c>
      <c r="E205">
        <f>SmtRes!AV271</f>
        <v>0</v>
      </c>
      <c r="F205" t="str">
        <f>SmtRes!I271</f>
        <v>2.1-3-38</v>
      </c>
      <c r="G205" t="str">
        <f>SmtRes!K271</f>
        <v>Краны на автомобильном ходу, грузоподъемность до 16 т</v>
      </c>
      <c r="H205" t="str">
        <f>SmtRes!O271</f>
        <v>маш.-ч.</v>
      </c>
      <c r="I205">
        <f>SmtRes!Y271*Source!I708</f>
        <v>1.7654000000000001</v>
      </c>
      <c r="J205">
        <f>SmtRes!AO271</f>
        <v>1</v>
      </c>
      <c r="K205">
        <f>SmtRes!AF271</f>
        <v>190.93</v>
      </c>
      <c r="L205">
        <f>SmtRes!DB271</f>
        <v>26.73</v>
      </c>
      <c r="M205">
        <f>ROUND(ROUND(L205*Source!I708, 6)*1, 2)</f>
        <v>337.07</v>
      </c>
      <c r="N205">
        <f>SmtRes!AB271</f>
        <v>1655.2</v>
      </c>
      <c r="O205">
        <f>ROUND(ROUND(L205*Source!I708, 6)*SmtRes!DA271, 2)</f>
        <v>2790.9</v>
      </c>
      <c r="P205">
        <f>SmtRes!AG271</f>
        <v>18.149999999999999</v>
      </c>
      <c r="Q205">
        <f>SmtRes!DC271</f>
        <v>2.54</v>
      </c>
      <c r="R205">
        <f>ROUND(ROUND(Q205*Source!I708, 6)*1, 2)</f>
        <v>32.03</v>
      </c>
      <c r="S205">
        <f>SmtRes!AC271</f>
        <v>466.14</v>
      </c>
      <c r="T205">
        <f>ROUND(ROUND(Q205*Source!I708, 6)*SmtRes!AK271, 2)</f>
        <v>785.68</v>
      </c>
      <c r="U205">
        <f>SmtRes!X271</f>
        <v>-266174272</v>
      </c>
      <c r="V205">
        <v>360917738</v>
      </c>
      <c r="W205">
        <v>-213384332</v>
      </c>
    </row>
    <row r="206" spans="1:23" x14ac:dyDescent="0.2">
      <c r="A206">
        <f>Source!A708</f>
        <v>17</v>
      </c>
      <c r="C206">
        <v>2</v>
      </c>
      <c r="D206">
        <v>0</v>
      </c>
      <c r="E206">
        <f>SmtRes!AV270</f>
        <v>0</v>
      </c>
      <c r="F206" t="str">
        <f>SmtRes!I270</f>
        <v>2.1-18-7</v>
      </c>
      <c r="G206" t="str">
        <f>SmtRes!K270</f>
        <v>Автомобили грузовые бортовые, грузоподъемность до 5 т</v>
      </c>
      <c r="H206" t="str">
        <f>SmtRes!O270</f>
        <v>маш.-ч.</v>
      </c>
      <c r="I206">
        <f>SmtRes!Y270*Source!I708</f>
        <v>1.7654000000000001</v>
      </c>
      <c r="J206">
        <f>SmtRes!AO270</f>
        <v>1</v>
      </c>
      <c r="K206">
        <f>SmtRes!AF270</f>
        <v>76.81</v>
      </c>
      <c r="L206">
        <f>SmtRes!DB270</f>
        <v>10.75</v>
      </c>
      <c r="M206">
        <f>ROUND(ROUND(L206*Source!I708, 6)*1, 2)</f>
        <v>135.56</v>
      </c>
      <c r="N206">
        <f>SmtRes!AB270</f>
        <v>755.14</v>
      </c>
      <c r="O206">
        <f>ROUND(ROUND(L206*Source!I708, 6)*SmtRes!DA270, 2)</f>
        <v>1272.8800000000001</v>
      </c>
      <c r="P206">
        <f>SmtRes!AG270</f>
        <v>14.36</v>
      </c>
      <c r="Q206">
        <f>SmtRes!DC270</f>
        <v>2.0099999999999998</v>
      </c>
      <c r="R206">
        <f>ROUND(ROUND(Q206*Source!I708, 6)*1, 2)</f>
        <v>25.35</v>
      </c>
      <c r="S206">
        <f>SmtRes!AC270</f>
        <v>368.81</v>
      </c>
      <c r="T206">
        <f>ROUND(ROUND(Q206*Source!I708, 6)*SmtRes!AK270, 2)</f>
        <v>621.74</v>
      </c>
      <c r="U206">
        <f>SmtRes!X270</f>
        <v>-628430174</v>
      </c>
      <c r="V206">
        <v>-1989157500</v>
      </c>
      <c r="W206">
        <v>1752455861</v>
      </c>
    </row>
    <row r="207" spans="1:23" x14ac:dyDescent="0.2">
      <c r="A207">
        <f>Source!A709</f>
        <v>18</v>
      </c>
      <c r="B207">
        <v>709</v>
      </c>
      <c r="C207">
        <v>3</v>
      </c>
      <c r="D207">
        <f>Source!BI709</f>
        <v>1</v>
      </c>
      <c r="E207">
        <f>Source!FS709</f>
        <v>0</v>
      </c>
      <c r="F207" t="str">
        <f>Source!F709</f>
        <v>1.5-3-499</v>
      </c>
      <c r="G207" t="str">
        <f>Source!G709</f>
        <v>Камни бетонные бортовые, марка БР 100.20.8</v>
      </c>
      <c r="H207" t="str">
        <f>Source!H709</f>
        <v>м3</v>
      </c>
      <c r="I207">
        <f>Source!I709</f>
        <v>20.175999999999998</v>
      </c>
      <c r="J207">
        <v>1</v>
      </c>
      <c r="K207">
        <f>Source!AC709</f>
        <v>2385.71</v>
      </c>
      <c r="M207">
        <f>ROUND(K207*I207, 2)</f>
        <v>48134.080000000002</v>
      </c>
      <c r="N207">
        <f>Source!AC709*IF(Source!BC709&lt;&gt; 0, Source!BC709, 1)</f>
        <v>8516.9846999999991</v>
      </c>
      <c r="O207">
        <f>ROUND(N207*I207, 2)</f>
        <v>171838.68</v>
      </c>
      <c r="P207">
        <f>Source!AE709</f>
        <v>0</v>
      </c>
      <c r="R207">
        <f>ROUND(P207*I207, 2)</f>
        <v>0</v>
      </c>
      <c r="S207">
        <f>Source!AE709*IF(Source!BS709&lt;&gt; 0, Source!BS709, 1)</f>
        <v>0</v>
      </c>
      <c r="T207">
        <f>ROUND(S207*I207, 2)</f>
        <v>0</v>
      </c>
      <c r="U207">
        <f>Source!GF709</f>
        <v>889553512</v>
      </c>
      <c r="V207">
        <v>-611199556</v>
      </c>
      <c r="W207">
        <v>1405395105</v>
      </c>
    </row>
    <row r="208" spans="1:23" x14ac:dyDescent="0.2">
      <c r="A208">
        <f>Source!A742</f>
        <v>4</v>
      </c>
      <c r="B208">
        <v>742</v>
      </c>
      <c r="G208" t="str">
        <f>Source!G742</f>
        <v>29. Устройство покрытия площадок для выгула домашних животных</v>
      </c>
    </row>
    <row r="209" spans="1:23" x14ac:dyDescent="0.2">
      <c r="A209">
        <f>Source!A776</f>
        <v>4</v>
      </c>
      <c r="B209">
        <v>776</v>
      </c>
      <c r="G209" t="str">
        <f>Source!G776</f>
        <v>30.2. Окраска подпорной стенки по штукатурке с расчисткой</v>
      </c>
    </row>
    <row r="210" spans="1:23" x14ac:dyDescent="0.2">
      <c r="A210">
        <f>Source!A782</f>
        <v>17</v>
      </c>
      <c r="C210">
        <v>2</v>
      </c>
      <c r="D210">
        <v>0</v>
      </c>
      <c r="E210">
        <f>SmtRes!AV281</f>
        <v>0</v>
      </c>
      <c r="F210" t="str">
        <f>SmtRes!I281</f>
        <v>9999990007</v>
      </c>
      <c r="G210" t="str">
        <f>SmtRes!K281</f>
        <v>Стоимость прочих машин (ЭСН)</v>
      </c>
      <c r="H210" t="str">
        <f>SmtRes!O281</f>
        <v>руб.</v>
      </c>
      <c r="I210">
        <f>SmtRes!Y281*Source!I782</f>
        <v>0</v>
      </c>
      <c r="J210">
        <f>SmtRes!AO281</f>
        <v>1</v>
      </c>
      <c r="K210">
        <f>SmtRes!AF281</f>
        <v>1</v>
      </c>
      <c r="L210">
        <f>SmtRes!DB281</f>
        <v>32.270000000000003</v>
      </c>
      <c r="M210">
        <f>ROUND(ROUND(L210*Source!I782, 6)*1, 2)</f>
        <v>0</v>
      </c>
      <c r="N210">
        <f>SmtRes!AB281</f>
        <v>1</v>
      </c>
      <c r="O210">
        <f>ROUND(ROUND(L210*Source!I782, 6)*SmtRes!DA281, 2)</f>
        <v>0</v>
      </c>
      <c r="P210">
        <f>SmtRes!AG281</f>
        <v>0</v>
      </c>
      <c r="Q210">
        <f>SmtRes!DC281</f>
        <v>0</v>
      </c>
      <c r="R210">
        <f>ROUND(ROUND(Q210*Source!I782, 6)*1, 2)</f>
        <v>0</v>
      </c>
      <c r="S210">
        <f>SmtRes!AC281</f>
        <v>0</v>
      </c>
      <c r="T210">
        <f>ROUND(ROUND(Q210*Source!I782, 6)*SmtRes!AK281, 2)</f>
        <v>0</v>
      </c>
      <c r="U210">
        <f>SmtRes!X281</f>
        <v>-1180195794</v>
      </c>
      <c r="V210">
        <v>54769220</v>
      </c>
      <c r="W210">
        <v>54769220</v>
      </c>
    </row>
    <row r="211" spans="1:23" x14ac:dyDescent="0.2">
      <c r="A211">
        <f>Source!A783</f>
        <v>17</v>
      </c>
      <c r="C211">
        <v>2</v>
      </c>
      <c r="D211">
        <v>0</v>
      </c>
      <c r="E211">
        <f>SmtRes!AV282</f>
        <v>0</v>
      </c>
      <c r="F211" t="str">
        <f>SmtRes!I282</f>
        <v>9999990007</v>
      </c>
      <c r="G211" t="str">
        <f>SmtRes!K282</f>
        <v>Стоимость прочих машин (ЭСН)</v>
      </c>
      <c r="H211" t="str">
        <f>SmtRes!O282</f>
        <v>руб.</v>
      </c>
      <c r="I211">
        <f>SmtRes!Y282*Source!I783</f>
        <v>0</v>
      </c>
      <c r="J211">
        <f>SmtRes!AO282</f>
        <v>1</v>
      </c>
      <c r="K211">
        <f>SmtRes!AF282</f>
        <v>1</v>
      </c>
      <c r="L211">
        <f>SmtRes!DB282</f>
        <v>21.71</v>
      </c>
      <c r="M211">
        <f>ROUND(ROUND(L211*Source!I783, 6)*1, 2)</f>
        <v>0</v>
      </c>
      <c r="N211">
        <f>SmtRes!AB282</f>
        <v>1</v>
      </c>
      <c r="O211">
        <f>ROUND(ROUND(L211*Source!I783, 6)*SmtRes!DA282, 2)</f>
        <v>0</v>
      </c>
      <c r="P211">
        <f>SmtRes!AG282</f>
        <v>0</v>
      </c>
      <c r="Q211">
        <f>SmtRes!DC282</f>
        <v>0</v>
      </c>
      <c r="R211">
        <f>ROUND(ROUND(Q211*Source!I783, 6)*1, 2)</f>
        <v>0</v>
      </c>
      <c r="S211">
        <f>SmtRes!AC282</f>
        <v>0</v>
      </c>
      <c r="T211">
        <f>ROUND(ROUND(Q211*Source!I783, 6)*SmtRes!AK282, 2)</f>
        <v>0</v>
      </c>
      <c r="U211">
        <f>SmtRes!X282</f>
        <v>-1180195794</v>
      </c>
      <c r="V211">
        <v>54769220</v>
      </c>
      <c r="W211">
        <v>54769220</v>
      </c>
    </row>
    <row r="212" spans="1:23" x14ac:dyDescent="0.2">
      <c r="A212">
        <f>Source!A785</f>
        <v>17</v>
      </c>
      <c r="C212">
        <v>3</v>
      </c>
      <c r="D212">
        <v>0</v>
      </c>
      <c r="E212">
        <f>SmtRes!AV290</f>
        <v>0</v>
      </c>
      <c r="F212" t="str">
        <f>SmtRes!I290</f>
        <v>9999990006</v>
      </c>
      <c r="G212" t="str">
        <f>SmtRes!K290</f>
        <v>Стоимость прочих материалов (ЭСН)</v>
      </c>
      <c r="H212" t="str">
        <f>SmtRes!O290</f>
        <v>руб.</v>
      </c>
      <c r="I212">
        <f>SmtRes!Y290*Source!I785</f>
        <v>0.42299999999999999</v>
      </c>
      <c r="J212">
        <f>SmtRes!AO290</f>
        <v>1</v>
      </c>
      <c r="K212">
        <f>SmtRes!AE290</f>
        <v>1</v>
      </c>
      <c r="L212">
        <f>SmtRes!DB290</f>
        <v>1.41</v>
      </c>
      <c r="M212">
        <f>ROUND(ROUND(L212*Source!I785, 6)*1, 2)</f>
        <v>0.42</v>
      </c>
      <c r="N212">
        <f>SmtRes!AA290</f>
        <v>1</v>
      </c>
      <c r="O212">
        <f>ROUND(ROUND(L212*Source!I785, 6)*SmtRes!DA290, 2)</f>
        <v>0.42</v>
      </c>
      <c r="P212">
        <f>SmtRes!AG290</f>
        <v>0</v>
      </c>
      <c r="Q212">
        <f>SmtRes!DC290</f>
        <v>0</v>
      </c>
      <c r="R212">
        <f>ROUND(ROUND(Q212*Source!I785, 6)*1, 2)</f>
        <v>0</v>
      </c>
      <c r="S212">
        <f>SmtRes!AC290</f>
        <v>0</v>
      </c>
      <c r="T212">
        <f>ROUND(ROUND(Q212*Source!I785, 6)*SmtRes!AK290, 2)</f>
        <v>0</v>
      </c>
      <c r="U212">
        <f>SmtRes!X290</f>
        <v>-94250534</v>
      </c>
      <c r="V212">
        <v>-1341645062</v>
      </c>
      <c r="W212">
        <v>-1341645062</v>
      </c>
    </row>
    <row r="213" spans="1:23" x14ac:dyDescent="0.2">
      <c r="A213">
        <f>Source!A785</f>
        <v>17</v>
      </c>
      <c r="C213">
        <v>2</v>
      </c>
      <c r="D213">
        <v>0</v>
      </c>
      <c r="E213">
        <f>SmtRes!AV286</f>
        <v>0</v>
      </c>
      <c r="F213" t="str">
        <f>SmtRes!I286</f>
        <v>9999990007</v>
      </c>
      <c r="G213" t="str">
        <f>SmtRes!K286</f>
        <v>Стоимость прочих машин (ЭСН)</v>
      </c>
      <c r="H213" t="str">
        <f>SmtRes!O286</f>
        <v>руб.</v>
      </c>
      <c r="I213">
        <f>SmtRes!Y286*Source!I785</f>
        <v>4.9139999999999997</v>
      </c>
      <c r="J213">
        <f>SmtRes!AO286</f>
        <v>1</v>
      </c>
      <c r="K213">
        <f>SmtRes!AF286</f>
        <v>1</v>
      </c>
      <c r="L213">
        <f>SmtRes!DB286</f>
        <v>16.38</v>
      </c>
      <c r="M213">
        <f>ROUND(ROUND(L213*Source!I785, 6)*1, 2)</f>
        <v>4.91</v>
      </c>
      <c r="N213">
        <f>SmtRes!AB286</f>
        <v>1.05</v>
      </c>
      <c r="O213">
        <f>ROUND(ROUND(L213*Source!I785, 6)*SmtRes!DA286, 2)</f>
        <v>4.91</v>
      </c>
      <c r="P213">
        <f>SmtRes!AG286</f>
        <v>0</v>
      </c>
      <c r="Q213">
        <f>SmtRes!DC286</f>
        <v>0</v>
      </c>
      <c r="R213">
        <f>ROUND(ROUND(Q213*Source!I785, 6)*1, 2)</f>
        <v>0</v>
      </c>
      <c r="S213">
        <f>SmtRes!AC286</f>
        <v>0</v>
      </c>
      <c r="T213">
        <f>ROUND(ROUND(Q213*Source!I785, 6)*SmtRes!AK286, 2)</f>
        <v>0</v>
      </c>
      <c r="U213">
        <f>SmtRes!X286</f>
        <v>-1180195794</v>
      </c>
      <c r="V213">
        <v>54769220</v>
      </c>
      <c r="W213">
        <v>1832560717</v>
      </c>
    </row>
    <row r="214" spans="1:23" x14ac:dyDescent="0.2">
      <c r="A214">
        <f>Source!A785</f>
        <v>17</v>
      </c>
      <c r="C214">
        <v>2</v>
      </c>
      <c r="D214">
        <v>0</v>
      </c>
      <c r="E214">
        <f>SmtRes!AV285</f>
        <v>0</v>
      </c>
      <c r="F214" t="str">
        <f>SmtRes!I285</f>
        <v>2.1-6-34</v>
      </c>
      <c r="G214" t="str">
        <f>SmtRes!K285</f>
        <v>Растворонасосы, производительность до 3 м3/ч</v>
      </c>
      <c r="H214" t="str">
        <f>SmtRes!O285</f>
        <v>маш.-ч.</v>
      </c>
      <c r="I214">
        <f>SmtRes!Y285*Source!I785</f>
        <v>0.72</v>
      </c>
      <c r="J214">
        <f>SmtRes!AO285</f>
        <v>1</v>
      </c>
      <c r="K214">
        <f>SmtRes!AF285</f>
        <v>58.51</v>
      </c>
      <c r="L214">
        <f>SmtRes!DB285</f>
        <v>140.41999999999999</v>
      </c>
      <c r="M214">
        <f>ROUND(ROUND(L214*Source!I785, 6)*1, 2)</f>
        <v>42.13</v>
      </c>
      <c r="N214">
        <f>SmtRes!AB285</f>
        <v>655.48</v>
      </c>
      <c r="O214">
        <f>ROUND(ROUND(L214*Source!I785, 6)*SmtRes!DA285, 2)</f>
        <v>450.75</v>
      </c>
      <c r="P214">
        <f>SmtRes!AG285</f>
        <v>13.38</v>
      </c>
      <c r="Q214">
        <f>SmtRes!DC285</f>
        <v>32.11</v>
      </c>
      <c r="R214">
        <f>ROUND(ROUND(Q214*Source!I785, 6)*1, 2)</f>
        <v>9.6300000000000008</v>
      </c>
      <c r="S214">
        <f>SmtRes!AC285</f>
        <v>343.64</v>
      </c>
      <c r="T214">
        <f>ROUND(ROUND(Q214*Source!I785, 6)*SmtRes!AK285, 2)</f>
        <v>236.3</v>
      </c>
      <c r="U214">
        <f>SmtRes!X285</f>
        <v>-888321550</v>
      </c>
      <c r="V214">
        <v>-1810871941</v>
      </c>
      <c r="W214">
        <v>14036318</v>
      </c>
    </row>
    <row r="215" spans="1:23" x14ac:dyDescent="0.2">
      <c r="A215">
        <f>Source!A786</f>
        <v>18</v>
      </c>
      <c r="B215">
        <v>786</v>
      </c>
      <c r="C215">
        <v>3</v>
      </c>
      <c r="D215">
        <f>Source!BI786</f>
        <v>1</v>
      </c>
      <c r="E215">
        <f>Source!FS786</f>
        <v>0</v>
      </c>
      <c r="F215" t="str">
        <f>Source!F786</f>
        <v>1.1-1-118</v>
      </c>
      <c r="G215" t="str">
        <f>Source!G786</f>
        <v>Вода</v>
      </c>
      <c r="H215" t="str">
        <f>Source!H786</f>
        <v>м3</v>
      </c>
      <c r="I215">
        <f>Source!I786</f>
        <v>3.1752000000000002E-2</v>
      </c>
      <c r="J215">
        <v>1</v>
      </c>
      <c r="K215">
        <f>Source!AC786</f>
        <v>7.07</v>
      </c>
      <c r="M215">
        <f>ROUND(K215*I215, 2)</f>
        <v>0.22</v>
      </c>
      <c r="N215">
        <f>Source!AC786*IF(Source!BC786&lt;&gt; 0, Source!BC786, 1)</f>
        <v>35.279300000000006</v>
      </c>
      <c r="O215">
        <f>ROUND(N215*I215, 2)</f>
        <v>1.1200000000000001</v>
      </c>
      <c r="P215">
        <f>Source!AE786</f>
        <v>0</v>
      </c>
      <c r="R215">
        <f>ROUND(P215*I215, 2)</f>
        <v>0</v>
      </c>
      <c r="S215">
        <f>Source!AE786*IF(Source!BS786&lt;&gt; 0, Source!BS786, 1)</f>
        <v>0</v>
      </c>
      <c r="T215">
        <f>ROUND(S215*I215, 2)</f>
        <v>0</v>
      </c>
      <c r="U215">
        <f>Source!GF786</f>
        <v>-862991314</v>
      </c>
      <c r="V215">
        <v>209219300</v>
      </c>
      <c r="W215">
        <v>639826957</v>
      </c>
    </row>
    <row r="216" spans="1:23" x14ac:dyDescent="0.2">
      <c r="A216">
        <f>Source!A787</f>
        <v>18</v>
      </c>
      <c r="B216">
        <v>787</v>
      </c>
      <c r="C216">
        <v>3</v>
      </c>
      <c r="D216">
        <f>Source!BI787</f>
        <v>1</v>
      </c>
      <c r="E216">
        <f>Source!FS787</f>
        <v>0</v>
      </c>
      <c r="F216" t="str">
        <f>Source!F787</f>
        <v>1.3-2-24</v>
      </c>
      <c r="G216" t="str">
        <f>Source!G787</f>
        <v>Смеси сухие штукатурные цементно-песчаные для внутренних и наружных работ, бездобавочные, В12,5 (М150), F50, крупность заполнителя не более 0,5 мм</v>
      </c>
      <c r="H216" t="str">
        <f>Source!H787</f>
        <v>т</v>
      </c>
      <c r="I216">
        <f>Source!I787</f>
        <v>0.18143999999999999</v>
      </c>
      <c r="J216">
        <v>1</v>
      </c>
      <c r="K216">
        <f>Source!AC787</f>
        <v>796.76</v>
      </c>
      <c r="M216">
        <f>ROUND(K216*I216, 2)</f>
        <v>144.56</v>
      </c>
      <c r="N216">
        <f>Source!AC787*IF(Source!BC787&lt;&gt; 0, Source!BC787, 1)</f>
        <v>4939.9120000000003</v>
      </c>
      <c r="O216">
        <f>ROUND(N216*I216, 2)</f>
        <v>896.3</v>
      </c>
      <c r="P216">
        <f>Source!AE787</f>
        <v>0</v>
      </c>
      <c r="R216">
        <f>ROUND(P216*I216, 2)</f>
        <v>0</v>
      </c>
      <c r="S216">
        <f>Source!AE787*IF(Source!BS787&lt;&gt; 0, Source!BS787, 1)</f>
        <v>0</v>
      </c>
      <c r="T216">
        <f>ROUND(S216*I216, 2)</f>
        <v>0</v>
      </c>
      <c r="U216">
        <f>Source!GF787</f>
        <v>-224782797</v>
      </c>
      <c r="V216">
        <v>-522836506</v>
      </c>
      <c r="W216">
        <v>-160088777</v>
      </c>
    </row>
    <row r="217" spans="1:23" x14ac:dyDescent="0.2">
      <c r="A217">
        <f>Source!A788</f>
        <v>18</v>
      </c>
      <c r="B217">
        <v>788</v>
      </c>
      <c r="C217">
        <v>3</v>
      </c>
      <c r="D217">
        <f>Source!BI788</f>
        <v>1</v>
      </c>
      <c r="E217">
        <f>Source!FS788</f>
        <v>0</v>
      </c>
      <c r="F217" t="str">
        <f>Source!F788</f>
        <v>1.3-2-13</v>
      </c>
      <c r="G217" t="str">
        <f>Source!G788</f>
        <v>Растворы цементно-известковые, марка 75</v>
      </c>
      <c r="H217" t="str">
        <f>Source!H788</f>
        <v>м3</v>
      </c>
      <c r="I217">
        <f>Source!I788</f>
        <v>0.4536</v>
      </c>
      <c r="J217">
        <v>1</v>
      </c>
      <c r="K217">
        <f>Source!AC788</f>
        <v>481.69</v>
      </c>
      <c r="M217">
        <f>ROUND(K217*I217, 2)</f>
        <v>218.49</v>
      </c>
      <c r="N217">
        <f>Source!AC788*IF(Source!BC788&lt;&gt; 0, Source!BC788, 1)</f>
        <v>3222.5061000000001</v>
      </c>
      <c r="O217">
        <f>ROUND(N217*I217, 2)</f>
        <v>1461.73</v>
      </c>
      <c r="P217">
        <f>Source!AE788</f>
        <v>0</v>
      </c>
      <c r="R217">
        <f>ROUND(P217*I217, 2)</f>
        <v>0</v>
      </c>
      <c r="S217">
        <f>Source!AE788*IF(Source!BS788&lt;&gt; 0, Source!BS788, 1)</f>
        <v>0</v>
      </c>
      <c r="T217">
        <f>ROUND(S217*I217, 2)</f>
        <v>0</v>
      </c>
      <c r="U217">
        <f>Source!GF788</f>
        <v>202608499</v>
      </c>
      <c r="V217">
        <v>426063702</v>
      </c>
      <c r="W217">
        <v>1528165081</v>
      </c>
    </row>
    <row r="218" spans="1:23" x14ac:dyDescent="0.2">
      <c r="A218">
        <f>Source!A789</f>
        <v>17</v>
      </c>
      <c r="C218">
        <v>3</v>
      </c>
      <c r="D218">
        <v>0</v>
      </c>
      <c r="E218">
        <f>SmtRes!AV299</f>
        <v>0</v>
      </c>
      <c r="F218" t="str">
        <f>SmtRes!I299</f>
        <v>1.1-1-999</v>
      </c>
      <c r="G218" t="str">
        <f>SmtRes!K299</f>
        <v>Растворитель "Уайт-спирит"</v>
      </c>
      <c r="H218" t="str">
        <f>SmtRes!O299</f>
        <v>т</v>
      </c>
      <c r="I218">
        <f>SmtRes!Y299*Source!I789</f>
        <v>0.02</v>
      </c>
      <c r="J218">
        <f>SmtRes!AO299</f>
        <v>1</v>
      </c>
      <c r="K218">
        <f>SmtRes!AE299</f>
        <v>12534.98</v>
      </c>
      <c r="L218">
        <f>SmtRes!DB299</f>
        <v>125.35</v>
      </c>
      <c r="M218">
        <f>ROUND(ROUND(L218*Source!I789, 6)*1, 2)</f>
        <v>250.7</v>
      </c>
      <c r="N218">
        <f>SmtRes!AA299</f>
        <v>38849.29</v>
      </c>
      <c r="O218">
        <f>ROUND(ROUND(L218*Source!I789, 6)*SmtRes!DA299, 2)</f>
        <v>774.66</v>
      </c>
      <c r="P218">
        <f>SmtRes!AG299</f>
        <v>0</v>
      </c>
      <c r="Q218">
        <f>SmtRes!DC299</f>
        <v>0</v>
      </c>
      <c r="R218">
        <f>ROUND(ROUND(Q218*Source!I789, 6)*1, 2)</f>
        <v>0</v>
      </c>
      <c r="S218">
        <f>SmtRes!AC299</f>
        <v>0</v>
      </c>
      <c r="T218">
        <f>ROUND(ROUND(Q218*Source!I789, 6)*SmtRes!AK299, 2)</f>
        <v>0</v>
      </c>
      <c r="U218">
        <f>SmtRes!X299</f>
        <v>1320659850</v>
      </c>
      <c r="V218">
        <v>-406444833</v>
      </c>
      <c r="W218">
        <v>1773437602</v>
      </c>
    </row>
    <row r="219" spans="1:23" x14ac:dyDescent="0.2">
      <c r="A219">
        <f>Source!A789</f>
        <v>17</v>
      </c>
      <c r="C219">
        <v>3</v>
      </c>
      <c r="D219">
        <v>0</v>
      </c>
      <c r="E219">
        <f>SmtRes!AV298</f>
        <v>0</v>
      </c>
      <c r="F219" t="str">
        <f>SmtRes!I298</f>
        <v>1.1-1-758</v>
      </c>
      <c r="G219" t="str">
        <f>SmtRes!K298</f>
        <v>Пемза шлаковая</v>
      </c>
      <c r="H219" t="str">
        <f>SmtRes!O298</f>
        <v>т</v>
      </c>
      <c r="I219">
        <f>SmtRes!Y298*Source!I789</f>
        <v>4.8000000000000001E-4</v>
      </c>
      <c r="J219">
        <f>SmtRes!AO298</f>
        <v>1</v>
      </c>
      <c r="K219">
        <f>SmtRes!AE298</f>
        <v>176.5</v>
      </c>
      <c r="L219">
        <f>SmtRes!DB298</f>
        <v>0.04</v>
      </c>
      <c r="M219">
        <f>ROUND(ROUND(L219*Source!I789, 6)*1, 2)</f>
        <v>0.08</v>
      </c>
      <c r="N219">
        <f>SmtRes!AA298</f>
        <v>1826.94</v>
      </c>
      <c r="O219">
        <f>ROUND(ROUND(L219*Source!I789, 6)*SmtRes!DA298, 2)</f>
        <v>0.83</v>
      </c>
      <c r="P219">
        <f>SmtRes!AG298</f>
        <v>0</v>
      </c>
      <c r="Q219">
        <f>SmtRes!DC298</f>
        <v>0</v>
      </c>
      <c r="R219">
        <f>ROUND(ROUND(Q219*Source!I789, 6)*1, 2)</f>
        <v>0</v>
      </c>
      <c r="S219">
        <f>SmtRes!AC298</f>
        <v>0</v>
      </c>
      <c r="T219">
        <f>ROUND(ROUND(Q219*Source!I789, 6)*SmtRes!AK298, 2)</f>
        <v>0</v>
      </c>
      <c r="U219">
        <f>SmtRes!X298</f>
        <v>-1802904755</v>
      </c>
      <c r="V219">
        <v>-1544662388</v>
      </c>
      <c r="W219">
        <v>1413420176</v>
      </c>
    </row>
    <row r="220" spans="1:23" x14ac:dyDescent="0.2">
      <c r="A220">
        <f>Source!A789</f>
        <v>17</v>
      </c>
      <c r="C220">
        <v>3</v>
      </c>
      <c r="D220">
        <v>0</v>
      </c>
      <c r="E220">
        <f>SmtRes!AV296</f>
        <v>0</v>
      </c>
      <c r="F220" t="str">
        <f>SmtRes!I296</f>
        <v>1.1-1-166</v>
      </c>
      <c r="G220" t="str">
        <f>SmtRes!K296</f>
        <v>Грунтовка перхлорвиниловая, ХВ</v>
      </c>
      <c r="H220" t="str">
        <f>SmtRes!O296</f>
        <v>т</v>
      </c>
      <c r="I220">
        <f>SmtRes!Y296*Source!I789</f>
        <v>0.03</v>
      </c>
      <c r="J220">
        <f>SmtRes!AO296</f>
        <v>1</v>
      </c>
      <c r="K220">
        <f>SmtRes!AE296</f>
        <v>11449.85</v>
      </c>
      <c r="L220">
        <f>SmtRes!DB296</f>
        <v>171.75</v>
      </c>
      <c r="M220">
        <f>ROUND(ROUND(L220*Source!I789, 6)*1, 2)</f>
        <v>343.5</v>
      </c>
      <c r="N220">
        <f>SmtRes!AA296</f>
        <v>98764.12</v>
      </c>
      <c r="O220">
        <f>ROUND(ROUND(L220*Source!I789, 6)*SmtRes!DA296, 2)</f>
        <v>2954.1</v>
      </c>
      <c r="P220">
        <f>SmtRes!AG296</f>
        <v>0</v>
      </c>
      <c r="Q220">
        <f>SmtRes!DC296</f>
        <v>0</v>
      </c>
      <c r="R220">
        <f>ROUND(ROUND(Q220*Source!I789, 6)*1, 2)</f>
        <v>0</v>
      </c>
      <c r="S220">
        <f>SmtRes!AC296</f>
        <v>0</v>
      </c>
      <c r="T220">
        <f>ROUND(ROUND(Q220*Source!I789, 6)*SmtRes!AK296, 2)</f>
        <v>0</v>
      </c>
      <c r="U220">
        <f>SmtRes!X296</f>
        <v>-2007815717</v>
      </c>
      <c r="V220">
        <v>-1310781216</v>
      </c>
      <c r="W220">
        <v>-1237673601</v>
      </c>
    </row>
    <row r="221" spans="1:23" x14ac:dyDescent="0.2">
      <c r="A221">
        <f>Source!A789</f>
        <v>17</v>
      </c>
      <c r="C221">
        <v>3</v>
      </c>
      <c r="D221">
        <v>0</v>
      </c>
      <c r="E221">
        <f>SmtRes!AV295</f>
        <v>0</v>
      </c>
      <c r="F221" t="str">
        <f>SmtRes!I295</f>
        <v>1.1-1-1486</v>
      </c>
      <c r="G221" t="str">
        <f>SmtRes!K295</f>
        <v>Шпатлевка перхлорвиниловая, марка ХВ</v>
      </c>
      <c r="H221" t="str">
        <f>SmtRes!O295</f>
        <v>т</v>
      </c>
      <c r="I221">
        <f>SmtRes!Y295*Source!I789</f>
        <v>2.4E-2</v>
      </c>
      <c r="J221">
        <f>SmtRes!AO295</f>
        <v>1</v>
      </c>
      <c r="K221">
        <f>SmtRes!AE295</f>
        <v>10697.76</v>
      </c>
      <c r="L221">
        <f>SmtRes!DB295</f>
        <v>128.37</v>
      </c>
      <c r="M221">
        <f>ROUND(ROUND(L221*Source!I789, 6)*1, 2)</f>
        <v>256.74</v>
      </c>
      <c r="N221">
        <f>SmtRes!AA295</f>
        <v>107405.83</v>
      </c>
      <c r="O221">
        <f>ROUND(ROUND(L221*Source!I789, 6)*SmtRes!DA295, 2)</f>
        <v>2569.9699999999998</v>
      </c>
      <c r="P221">
        <f>SmtRes!AG295</f>
        <v>0</v>
      </c>
      <c r="Q221">
        <f>SmtRes!DC295</f>
        <v>0</v>
      </c>
      <c r="R221">
        <f>ROUND(ROUND(Q221*Source!I789, 6)*1, 2)</f>
        <v>0</v>
      </c>
      <c r="S221">
        <f>SmtRes!AC295</f>
        <v>0</v>
      </c>
      <c r="T221">
        <f>ROUND(ROUND(Q221*Source!I789, 6)*SmtRes!AK295, 2)</f>
        <v>0</v>
      </c>
      <c r="U221">
        <f>SmtRes!X295</f>
        <v>-1088841279</v>
      </c>
      <c r="V221">
        <v>-667005569</v>
      </c>
      <c r="W221">
        <v>-1499963125</v>
      </c>
    </row>
    <row r="222" spans="1:23" x14ac:dyDescent="0.2">
      <c r="A222">
        <f>Source!A789</f>
        <v>17</v>
      </c>
      <c r="C222">
        <v>3</v>
      </c>
      <c r="D222">
        <v>0</v>
      </c>
      <c r="E222">
        <f>SmtRes!AV294</f>
        <v>0</v>
      </c>
      <c r="F222" t="str">
        <f>SmtRes!I294</f>
        <v>1.1-1-115</v>
      </c>
      <c r="G222" t="str">
        <f>SmtRes!K294</f>
        <v>Ветошь</v>
      </c>
      <c r="H222" t="str">
        <f>SmtRes!O294</f>
        <v>кг</v>
      </c>
      <c r="I222">
        <f>SmtRes!Y294*Source!I789</f>
        <v>0.82</v>
      </c>
      <c r="J222">
        <f>SmtRes!AO294</f>
        <v>1</v>
      </c>
      <c r="K222">
        <f>SmtRes!AE294</f>
        <v>1.61</v>
      </c>
      <c r="L222">
        <f>SmtRes!DB294</f>
        <v>0.66</v>
      </c>
      <c r="M222">
        <f>ROUND(ROUND(L222*Source!I789, 6)*1, 2)</f>
        <v>1.32</v>
      </c>
      <c r="N222">
        <f>SmtRes!AA294</f>
        <v>51</v>
      </c>
      <c r="O222">
        <f>ROUND(ROUND(L222*Source!I789, 6)*SmtRes!DA294, 2)</f>
        <v>41.69</v>
      </c>
      <c r="P222">
        <f>SmtRes!AG294</f>
        <v>0</v>
      </c>
      <c r="Q222">
        <f>SmtRes!DC294</f>
        <v>0</v>
      </c>
      <c r="R222">
        <f>ROUND(ROUND(Q222*Source!I789, 6)*1, 2)</f>
        <v>0</v>
      </c>
      <c r="S222">
        <f>SmtRes!AC294</f>
        <v>0</v>
      </c>
      <c r="T222">
        <f>ROUND(ROUND(Q222*Source!I789, 6)*SmtRes!AK294, 2)</f>
        <v>0</v>
      </c>
      <c r="U222">
        <f>SmtRes!X294</f>
        <v>622621594</v>
      </c>
      <c r="V222">
        <v>73906449</v>
      </c>
      <c r="W222">
        <v>-1693555147</v>
      </c>
    </row>
    <row r="223" spans="1:23" x14ac:dyDescent="0.2">
      <c r="A223">
        <f>Source!A789</f>
        <v>17</v>
      </c>
      <c r="C223">
        <v>2</v>
      </c>
      <c r="D223">
        <v>0</v>
      </c>
      <c r="E223">
        <f>SmtRes!AV293</f>
        <v>0</v>
      </c>
      <c r="F223" t="str">
        <f>SmtRes!I293</f>
        <v>2.1-4-30</v>
      </c>
      <c r="G223" t="str">
        <f>SmtRes!K293</f>
        <v>Лебедки электрические, грузоподъемность до 0,5 т</v>
      </c>
      <c r="H223" t="str">
        <f>SmtRes!O293</f>
        <v>маш.-ч.</v>
      </c>
      <c r="I223">
        <f>SmtRes!Y293*Source!I789</f>
        <v>0.42</v>
      </c>
      <c r="J223">
        <f>SmtRes!AO293</f>
        <v>1</v>
      </c>
      <c r="K223">
        <f>SmtRes!AF293</f>
        <v>1.28</v>
      </c>
      <c r="L223">
        <f>SmtRes!DB293</f>
        <v>0.27</v>
      </c>
      <c r="M223">
        <f>ROUND(ROUND(L223*Source!I789, 6)*1, 2)</f>
        <v>0.54</v>
      </c>
      <c r="N223">
        <f>SmtRes!AB293</f>
        <v>20.5</v>
      </c>
      <c r="O223">
        <f>ROUND(ROUND(L223*Source!I789, 6)*SmtRes!DA293, 2)</f>
        <v>8.26</v>
      </c>
      <c r="P223">
        <f>SmtRes!AG293</f>
        <v>0.67</v>
      </c>
      <c r="Q223">
        <f>SmtRes!DC293</f>
        <v>0.14000000000000001</v>
      </c>
      <c r="R223">
        <f>ROUND(ROUND(Q223*Source!I789, 6)*1, 2)</f>
        <v>0.28000000000000003</v>
      </c>
      <c r="S223">
        <f>SmtRes!AC293</f>
        <v>17.21</v>
      </c>
      <c r="T223">
        <f>ROUND(ROUND(Q223*Source!I789, 6)*SmtRes!AK293, 2)</f>
        <v>6.87</v>
      </c>
      <c r="U223">
        <f>SmtRes!X293</f>
        <v>-1812649094</v>
      </c>
      <c r="V223">
        <v>-1960851645</v>
      </c>
      <c r="W223">
        <v>644248027</v>
      </c>
    </row>
    <row r="224" spans="1:23" x14ac:dyDescent="0.2">
      <c r="A224">
        <f>Source!A789</f>
        <v>17</v>
      </c>
      <c r="C224">
        <v>2</v>
      </c>
      <c r="D224">
        <v>0</v>
      </c>
      <c r="E224">
        <f>SmtRes!AV292</f>
        <v>0</v>
      </c>
      <c r="F224" t="str">
        <f>SmtRes!I292</f>
        <v>2.1-18-7</v>
      </c>
      <c r="G224" t="str">
        <f>SmtRes!K292</f>
        <v>Автомобили грузовые бортовые, грузоподъемность до 5 т</v>
      </c>
      <c r="H224" t="str">
        <f>SmtRes!O292</f>
        <v>маш.-ч.</v>
      </c>
      <c r="I224">
        <f>SmtRes!Y292*Source!I789</f>
        <v>0.22</v>
      </c>
      <c r="J224">
        <f>SmtRes!AO292</f>
        <v>1</v>
      </c>
      <c r="K224">
        <f>SmtRes!AF292</f>
        <v>76.81</v>
      </c>
      <c r="L224">
        <f>SmtRes!DB292</f>
        <v>8.4499999999999993</v>
      </c>
      <c r="M224">
        <f>ROUND(ROUND(L224*Source!I789, 6)*1, 2)</f>
        <v>16.899999999999999</v>
      </c>
      <c r="N224">
        <f>SmtRes!AB292</f>
        <v>755.14</v>
      </c>
      <c r="O224">
        <f>ROUND(ROUND(L224*Source!I789, 6)*SmtRes!DA292, 2)</f>
        <v>158.69</v>
      </c>
      <c r="P224">
        <f>SmtRes!AG292</f>
        <v>14.36</v>
      </c>
      <c r="Q224">
        <f>SmtRes!DC292</f>
        <v>1.58</v>
      </c>
      <c r="R224">
        <f>ROUND(ROUND(Q224*Source!I789, 6)*1, 2)</f>
        <v>3.16</v>
      </c>
      <c r="S224">
        <f>SmtRes!AC292</f>
        <v>368.81</v>
      </c>
      <c r="T224">
        <f>ROUND(ROUND(Q224*Source!I789, 6)*SmtRes!AK292, 2)</f>
        <v>77.510000000000005</v>
      </c>
      <c r="U224">
        <f>SmtRes!X292</f>
        <v>-628430174</v>
      </c>
      <c r="V224">
        <v>-1989157500</v>
      </c>
      <c r="W224">
        <v>1752455861</v>
      </c>
    </row>
    <row r="225" spans="1:23" x14ac:dyDescent="0.2">
      <c r="A225">
        <f>Source!A790</f>
        <v>18</v>
      </c>
      <c r="B225">
        <v>790</v>
      </c>
      <c r="C225">
        <v>3</v>
      </c>
      <c r="D225">
        <f>Source!BI790</f>
        <v>1</v>
      </c>
      <c r="E225">
        <f>Source!FS790</f>
        <v>0</v>
      </c>
      <c r="F225" t="str">
        <f>Source!F790</f>
        <v>1.1-1-450</v>
      </c>
      <c r="G225" t="str">
        <f>Source!G790</f>
        <v>Краски фасадные перхлорвиниловые, марка ХВ161 "А" (цветная)</v>
      </c>
      <c r="H225" t="str">
        <f>Source!H790</f>
        <v>т</v>
      </c>
      <c r="I225">
        <f>Source!I790</f>
        <v>0.11799999999999999</v>
      </c>
      <c r="J225">
        <v>1</v>
      </c>
      <c r="K225">
        <f>Source!AC790</f>
        <v>16138.28</v>
      </c>
      <c r="M225">
        <f>ROUND(K225*I225, 2)</f>
        <v>1904.32</v>
      </c>
      <c r="N225">
        <f>Source!AC790*IF(Source!BC790&lt;&gt; 0, Source!BC790, 1)</f>
        <v>85532.884000000005</v>
      </c>
      <c r="O225">
        <f>ROUND(N225*I225, 2)</f>
        <v>10092.879999999999</v>
      </c>
      <c r="P225">
        <f>Source!AE790</f>
        <v>0</v>
      </c>
      <c r="R225">
        <f>ROUND(P225*I225, 2)</f>
        <v>0</v>
      </c>
      <c r="S225">
        <f>Source!AE790*IF(Source!BS790&lt;&gt; 0, Source!BS790, 1)</f>
        <v>0</v>
      </c>
      <c r="T225">
        <f>ROUND(S225*I225, 2)</f>
        <v>0</v>
      </c>
      <c r="U225">
        <f>Source!GF790</f>
        <v>-448116312</v>
      </c>
      <c r="V225">
        <v>1417008030</v>
      </c>
      <c r="W225">
        <v>1964103796</v>
      </c>
    </row>
    <row r="226" spans="1:23" x14ac:dyDescent="0.2">
      <c r="A226">
        <f>Source!A823</f>
        <v>4</v>
      </c>
      <c r="B226">
        <v>823</v>
      </c>
      <c r="G226" t="str">
        <f>Source!G823</f>
        <v>31.4. Накрывные элементы на подпорные стены (бетонные)</v>
      </c>
    </row>
    <row r="227" spans="1:23" x14ac:dyDescent="0.2">
      <c r="A227">
        <f>Source!A857</f>
        <v>4</v>
      </c>
      <c r="B227">
        <v>857</v>
      </c>
      <c r="G227" t="str">
        <f>Source!G857</f>
        <v>31.5. Накрывные элементы на подпорные стены (природный камень)</v>
      </c>
    </row>
    <row r="228" spans="1:23" x14ac:dyDescent="0.2">
      <c r="A228">
        <f>Source!A861</f>
        <v>17</v>
      </c>
      <c r="C228">
        <v>3</v>
      </c>
      <c r="D228">
        <v>0</v>
      </c>
      <c r="E228">
        <f>SmtRes!AV304</f>
        <v>0</v>
      </c>
      <c r="F228" t="str">
        <f>SmtRes!I304</f>
        <v>9999990006</v>
      </c>
      <c r="G228" t="str">
        <f>SmtRes!K304</f>
        <v>Стоимость прочих материалов (ЭСН)</v>
      </c>
      <c r="H228" t="str">
        <f>SmtRes!O304</f>
        <v>руб.</v>
      </c>
      <c r="I228">
        <f>SmtRes!Y304*Source!I861</f>
        <v>2.2680000000000002</v>
      </c>
      <c r="J228">
        <f>SmtRes!AO304</f>
        <v>1</v>
      </c>
      <c r="K228">
        <f>SmtRes!AE304</f>
        <v>1</v>
      </c>
      <c r="L228">
        <f>SmtRes!DB304</f>
        <v>5.67</v>
      </c>
      <c r="M228">
        <f>ROUND(ROUND(L228*Source!I861, 6)*1, 2)</f>
        <v>2.27</v>
      </c>
      <c r="N228">
        <f>SmtRes!AA304</f>
        <v>1</v>
      </c>
      <c r="O228">
        <f>ROUND(ROUND(L228*Source!I861, 6)*SmtRes!DA304, 2)</f>
        <v>2.27</v>
      </c>
      <c r="P228">
        <f>SmtRes!AG304</f>
        <v>0</v>
      </c>
      <c r="Q228">
        <f>SmtRes!DC304</f>
        <v>0</v>
      </c>
      <c r="R228">
        <f>ROUND(ROUND(Q228*Source!I861, 6)*1, 2)</f>
        <v>0</v>
      </c>
      <c r="S228">
        <f>SmtRes!AC304</f>
        <v>0</v>
      </c>
      <c r="T228">
        <f>ROUND(ROUND(Q228*Source!I861, 6)*SmtRes!AK304, 2)</f>
        <v>0</v>
      </c>
      <c r="U228">
        <f>SmtRes!X304</f>
        <v>-94250534</v>
      </c>
      <c r="V228">
        <v>-1341645062</v>
      </c>
      <c r="W228">
        <v>-1341645062</v>
      </c>
    </row>
    <row r="229" spans="1:23" x14ac:dyDescent="0.2">
      <c r="A229">
        <f>Source!A861</f>
        <v>17</v>
      </c>
      <c r="C229">
        <v>3</v>
      </c>
      <c r="D229">
        <v>0</v>
      </c>
      <c r="E229">
        <f>SmtRes!AV303</f>
        <v>0</v>
      </c>
      <c r="F229" t="str">
        <f>SmtRes!I303</f>
        <v>1.3-2-6</v>
      </c>
      <c r="G229" t="str">
        <f>SmtRes!K303</f>
        <v>Растворы цементные, марка 150</v>
      </c>
      <c r="H229" t="str">
        <f>SmtRes!O303</f>
        <v>м3</v>
      </c>
      <c r="I229">
        <f>SmtRes!Y303*Source!I861</f>
        <v>0.84399999999999997</v>
      </c>
      <c r="J229">
        <f>SmtRes!AO303</f>
        <v>1</v>
      </c>
      <c r="K229">
        <f>SmtRes!AE303</f>
        <v>478.96</v>
      </c>
      <c r="L229">
        <f>SmtRes!DB303</f>
        <v>1010.61</v>
      </c>
      <c r="M229">
        <f>ROUND(ROUND(L229*Source!I861, 6)*1, 2)</f>
        <v>404.24</v>
      </c>
      <c r="N229">
        <f>SmtRes!AA303</f>
        <v>3410.2</v>
      </c>
      <c r="O229">
        <f>ROUND(ROUND(L229*Source!I861, 6)*SmtRes!DA303, 2)</f>
        <v>2878.22</v>
      </c>
      <c r="P229">
        <f>SmtRes!AG303</f>
        <v>0</v>
      </c>
      <c r="Q229">
        <f>SmtRes!DC303</f>
        <v>0</v>
      </c>
      <c r="R229">
        <f>ROUND(ROUND(Q229*Source!I861, 6)*1, 2)</f>
        <v>0</v>
      </c>
      <c r="S229">
        <f>SmtRes!AC303</f>
        <v>0</v>
      </c>
      <c r="T229">
        <f>ROUND(ROUND(Q229*Source!I861, 6)*SmtRes!AK303, 2)</f>
        <v>0</v>
      </c>
      <c r="U229">
        <f>SmtRes!X303</f>
        <v>-1161195218</v>
      </c>
      <c r="V229">
        <v>78190390</v>
      </c>
      <c r="W229">
        <v>115370701</v>
      </c>
    </row>
    <row r="230" spans="1:23" x14ac:dyDescent="0.2">
      <c r="A230">
        <f>Source!A861</f>
        <v>17</v>
      </c>
      <c r="C230">
        <v>2</v>
      </c>
      <c r="D230">
        <v>0</v>
      </c>
      <c r="E230">
        <f>SmtRes!AV301</f>
        <v>0</v>
      </c>
      <c r="F230" t="str">
        <f>SmtRes!I301</f>
        <v>9999990007</v>
      </c>
      <c r="G230" t="str">
        <f>SmtRes!K301</f>
        <v>Стоимость прочих машин (ЭСН)</v>
      </c>
      <c r="H230" t="str">
        <f>SmtRes!O301</f>
        <v>руб.</v>
      </c>
      <c r="I230">
        <f>SmtRes!Y301*Source!I861</f>
        <v>91.448000000000008</v>
      </c>
      <c r="J230">
        <f>SmtRes!AO301</f>
        <v>1</v>
      </c>
      <c r="K230">
        <f>SmtRes!AF301</f>
        <v>1</v>
      </c>
      <c r="L230">
        <f>SmtRes!DB301</f>
        <v>228.62</v>
      </c>
      <c r="M230">
        <f>ROUND(ROUND(L230*Source!I861, 6)*1, 2)</f>
        <v>91.45</v>
      </c>
      <c r="N230">
        <f>SmtRes!AB301</f>
        <v>1.05</v>
      </c>
      <c r="O230">
        <f>ROUND(ROUND(L230*Source!I861, 6)*SmtRes!DA301, 2)</f>
        <v>91.45</v>
      </c>
      <c r="P230">
        <f>SmtRes!AG301</f>
        <v>0</v>
      </c>
      <c r="Q230">
        <f>SmtRes!DC301</f>
        <v>0</v>
      </c>
      <c r="R230">
        <f>ROUND(ROUND(Q230*Source!I861, 6)*1, 2)</f>
        <v>0</v>
      </c>
      <c r="S230">
        <f>SmtRes!AC301</f>
        <v>0</v>
      </c>
      <c r="T230">
        <f>ROUND(ROUND(Q230*Source!I861, 6)*SmtRes!AK301, 2)</f>
        <v>0</v>
      </c>
      <c r="U230">
        <f>SmtRes!X301</f>
        <v>-1180195794</v>
      </c>
      <c r="V230">
        <v>54769220</v>
      </c>
      <c r="W230">
        <v>1832560717</v>
      </c>
    </row>
    <row r="231" spans="1:23" x14ac:dyDescent="0.2">
      <c r="A231">
        <f>Source!A862</f>
        <v>18</v>
      </c>
      <c r="B231">
        <v>862</v>
      </c>
      <c r="C231">
        <v>3</v>
      </c>
      <c r="D231">
        <f>Source!BI862</f>
        <v>1</v>
      </c>
      <c r="E231">
        <f>Source!FS862</f>
        <v>0</v>
      </c>
      <c r="F231" t="str">
        <f>Source!F862</f>
        <v>1.11-3-9</v>
      </c>
      <c r="G231" t="str">
        <f>Source!G862</f>
        <v>Плиты из известняка полированные, толщина 40 мм, месторождение: Мелехово-Федотовское</v>
      </c>
      <c r="H231" t="str">
        <f>Source!H862</f>
        <v>м2</v>
      </c>
      <c r="I231">
        <f>Source!I862</f>
        <v>40</v>
      </c>
      <c r="J231">
        <v>1</v>
      </c>
      <c r="K231">
        <f>Source!AC862</f>
        <v>1206.3800000000001</v>
      </c>
      <c r="M231">
        <f>ROUND(K231*I231, 2)</f>
        <v>48255.199999999997</v>
      </c>
      <c r="N231">
        <f>Source!AC862*IF(Source!BC862&lt;&gt; 0, Source!BC862, 1)</f>
        <v>4198.2024000000001</v>
      </c>
      <c r="O231">
        <f>ROUND(N231*I231, 2)</f>
        <v>167928.1</v>
      </c>
      <c r="P231">
        <f>Source!AE862</f>
        <v>0</v>
      </c>
      <c r="R231">
        <f>ROUND(P231*I231, 2)</f>
        <v>0</v>
      </c>
      <c r="S231">
        <f>Source!AE862*IF(Source!BS862&lt;&gt; 0, Source!BS862, 1)</f>
        <v>0</v>
      </c>
      <c r="T231">
        <f>ROUND(S231*I231, 2)</f>
        <v>0</v>
      </c>
      <c r="U231">
        <f>Source!GF862</f>
        <v>321713354</v>
      </c>
      <c r="V231">
        <v>-573104777</v>
      </c>
      <c r="W231">
        <v>1396751574</v>
      </c>
    </row>
    <row r="232" spans="1:23" x14ac:dyDescent="0.2">
      <c r="A232">
        <f>Source!A895</f>
        <v>4</v>
      </c>
      <c r="B232">
        <v>895</v>
      </c>
      <c r="G232" t="str">
        <f>Source!G895</f>
        <v>33. Устройство подпорной стенки (облицовочная плитка)</v>
      </c>
    </row>
    <row r="233" spans="1:23" x14ac:dyDescent="0.2">
      <c r="A233">
        <f>Source!A929</f>
        <v>4</v>
      </c>
      <c r="B233">
        <v>929</v>
      </c>
      <c r="G233" t="str">
        <f>Source!G929</f>
        <v>34. Устройство лестничных маршей</v>
      </c>
    </row>
    <row r="234" spans="1:23" x14ac:dyDescent="0.2">
      <c r="A234">
        <f>Source!A963</f>
        <v>4</v>
      </c>
      <c r="B234">
        <v>963</v>
      </c>
      <c r="G234" t="str">
        <f>Source!G963</f>
        <v>35. Установка ограждения газонного высотой 0,7 м</v>
      </c>
    </row>
    <row r="235" spans="1:23" x14ac:dyDescent="0.2">
      <c r="A235">
        <f>Source!A997</f>
        <v>4</v>
      </c>
      <c r="B235">
        <v>997</v>
      </c>
      <c r="G235" t="str">
        <f>Source!G997</f>
        <v>36. Установка ограждения детской площадки 1,2 м</v>
      </c>
    </row>
    <row r="236" spans="1:23" x14ac:dyDescent="0.2">
      <c r="A236">
        <f>Source!A1001</f>
        <v>17</v>
      </c>
      <c r="C236">
        <v>3</v>
      </c>
      <c r="D236">
        <v>0</v>
      </c>
      <c r="E236">
        <f>SmtRes!AV311</f>
        <v>0</v>
      </c>
      <c r="F236" t="str">
        <f>SmtRes!I311</f>
        <v>1.1-1-987</v>
      </c>
      <c r="G236" t="str">
        <f>SmtRes!K311</f>
        <v>Пропан-бутан газообразный</v>
      </c>
      <c r="H236" t="str">
        <f>SmtRes!O311</f>
        <v>м3</v>
      </c>
      <c r="I236">
        <f>SmtRes!Y311*Source!I1001</f>
        <v>0.11719599999999999</v>
      </c>
      <c r="J236">
        <f>SmtRes!AO311</f>
        <v>1</v>
      </c>
      <c r="K236">
        <f>SmtRes!AE311</f>
        <v>5.67</v>
      </c>
      <c r="L236">
        <f>SmtRes!DB311</f>
        <v>0.02</v>
      </c>
      <c r="M236">
        <f>ROUND(ROUND(L236*Source!I1001, 6)*1, 2)</f>
        <v>0.71</v>
      </c>
      <c r="N236">
        <f>SmtRes!AA311</f>
        <v>90.39</v>
      </c>
      <c r="O236">
        <f>ROUND(ROUND(L236*Source!I1001, 6)*SmtRes!DA311, 2)</f>
        <v>11.23</v>
      </c>
      <c r="P236">
        <f>SmtRes!AG311</f>
        <v>0</v>
      </c>
      <c r="Q236">
        <f>SmtRes!DC311</f>
        <v>0</v>
      </c>
      <c r="R236">
        <f>ROUND(ROUND(Q236*Source!I1001, 6)*1, 2)</f>
        <v>0</v>
      </c>
      <c r="S236">
        <f>SmtRes!AC311</f>
        <v>0</v>
      </c>
      <c r="T236">
        <f>ROUND(ROUND(Q236*Source!I1001, 6)*SmtRes!AK311, 2)</f>
        <v>0</v>
      </c>
      <c r="U236">
        <f>SmtRes!X311</f>
        <v>138241181</v>
      </c>
      <c r="V236">
        <v>-972136229</v>
      </c>
      <c r="W236">
        <v>908231741</v>
      </c>
    </row>
    <row r="237" spans="1:23" x14ac:dyDescent="0.2">
      <c r="A237">
        <f>Source!A1001</f>
        <v>17</v>
      </c>
      <c r="C237">
        <v>3</v>
      </c>
      <c r="D237">
        <v>0</v>
      </c>
      <c r="E237">
        <f>SmtRes!AV310</f>
        <v>0</v>
      </c>
      <c r="F237" t="str">
        <f>SmtRes!I310</f>
        <v>1.1-1-376</v>
      </c>
      <c r="G237" t="str">
        <f>SmtRes!K310</f>
        <v>Кислород технический газообразный</v>
      </c>
      <c r="H237" t="str">
        <f>SmtRes!O310</f>
        <v>м3</v>
      </c>
      <c r="I237">
        <f>SmtRes!Y310*Source!I1001</f>
        <v>0.23721599999999998</v>
      </c>
      <c r="J237">
        <f>SmtRes!AO310</f>
        <v>1</v>
      </c>
      <c r="K237">
        <f>SmtRes!AE310</f>
        <v>5.91</v>
      </c>
      <c r="L237">
        <f>SmtRes!DB310</f>
        <v>0.04</v>
      </c>
      <c r="M237">
        <f>ROUND(ROUND(L237*Source!I1001, 6)*1, 2)</f>
        <v>1.41</v>
      </c>
      <c r="N237">
        <f>SmtRes!AA310</f>
        <v>48.8</v>
      </c>
      <c r="O237">
        <f>ROUND(ROUND(L237*Source!I1001, 6)*SmtRes!DA310, 2)</f>
        <v>11.63</v>
      </c>
      <c r="P237">
        <f>SmtRes!AG310</f>
        <v>0</v>
      </c>
      <c r="Q237">
        <f>SmtRes!DC310</f>
        <v>0</v>
      </c>
      <c r="R237">
        <f>ROUND(ROUND(Q237*Source!I1001, 6)*1, 2)</f>
        <v>0</v>
      </c>
      <c r="S237">
        <f>SmtRes!AC310</f>
        <v>0</v>
      </c>
      <c r="T237">
        <f>ROUND(ROUND(Q237*Source!I1001, 6)*SmtRes!AK310, 2)</f>
        <v>0</v>
      </c>
      <c r="U237">
        <f>SmtRes!X310</f>
        <v>-1236741395</v>
      </c>
      <c r="V237">
        <v>620450163</v>
      </c>
      <c r="W237">
        <v>-922655990</v>
      </c>
    </row>
    <row r="238" spans="1:23" x14ac:dyDescent="0.2">
      <c r="A238">
        <f>Source!A1001</f>
        <v>17</v>
      </c>
      <c r="C238">
        <v>2</v>
      </c>
      <c r="D238">
        <v>0</v>
      </c>
      <c r="E238">
        <f>SmtRes!AV308</f>
        <v>0</v>
      </c>
      <c r="F238" t="str">
        <f>SmtRes!I308</f>
        <v>2.1-30-19</v>
      </c>
      <c r="G238" t="str">
        <f>SmtRes!K308</f>
        <v>Машины шлифовальные электрические</v>
      </c>
      <c r="H238" t="str">
        <f>SmtRes!O308</f>
        <v>маш.-ч.</v>
      </c>
      <c r="I238">
        <f>SmtRes!Y308*Source!I1001</f>
        <v>1.7649999999999999</v>
      </c>
      <c r="J238">
        <f>SmtRes!AO308</f>
        <v>1</v>
      </c>
      <c r="K238">
        <f>SmtRes!AF308</f>
        <v>0.68</v>
      </c>
      <c r="L238">
        <f>SmtRes!DB308</f>
        <v>0.03</v>
      </c>
      <c r="M238">
        <f>ROUND(ROUND(L238*Source!I1001, 6)*1, 2)</f>
        <v>1.06</v>
      </c>
      <c r="N238">
        <f>SmtRes!AB308</f>
        <v>6.17</v>
      </c>
      <c r="O238">
        <f>ROUND(ROUND(L238*Source!I1001, 6)*SmtRes!DA308, 2)</f>
        <v>9.17</v>
      </c>
      <c r="P238">
        <f>SmtRes!AG308</f>
        <v>0.04</v>
      </c>
      <c r="Q238">
        <f>SmtRes!DC308</f>
        <v>0</v>
      </c>
      <c r="R238">
        <f>ROUND(ROUND(Q238*Source!I1001, 6)*1, 2)</f>
        <v>0</v>
      </c>
      <c r="S238">
        <f>SmtRes!AC308</f>
        <v>1.03</v>
      </c>
      <c r="T238">
        <f>ROUND(ROUND(Q238*Source!I1001, 6)*SmtRes!AK308, 2)</f>
        <v>0</v>
      </c>
      <c r="U238">
        <f>SmtRes!X308</f>
        <v>-875577540</v>
      </c>
      <c r="V238">
        <v>334347769</v>
      </c>
      <c r="W238">
        <v>-377984653</v>
      </c>
    </row>
    <row r="239" spans="1:23" x14ac:dyDescent="0.2">
      <c r="A239">
        <f>Source!A1001</f>
        <v>17</v>
      </c>
      <c r="C239">
        <v>2</v>
      </c>
      <c r="D239">
        <v>0</v>
      </c>
      <c r="E239">
        <f>SmtRes!AV307</f>
        <v>0</v>
      </c>
      <c r="F239" t="str">
        <f>SmtRes!I307</f>
        <v>2.1-13-16</v>
      </c>
      <c r="G239" t="str">
        <f>SmtRes!K307</f>
        <v>Аппараты для газовой сварки и резки</v>
      </c>
      <c r="H239" t="str">
        <f>SmtRes!O307</f>
        <v>маш.-ч.</v>
      </c>
      <c r="I239">
        <f>SmtRes!Y307*Source!I1001</f>
        <v>1.7649999999999999</v>
      </c>
      <c r="J239">
        <f>SmtRes!AO307</f>
        <v>1</v>
      </c>
      <c r="K239">
        <f>SmtRes!AF307</f>
        <v>1.0900000000000001</v>
      </c>
      <c r="L239">
        <f>SmtRes!DB307</f>
        <v>0.05</v>
      </c>
      <c r="M239">
        <f>ROUND(ROUND(L239*Source!I1001, 6)*1, 2)</f>
        <v>1.77</v>
      </c>
      <c r="N239">
        <f>SmtRes!AB307</f>
        <v>6.74</v>
      </c>
      <c r="O239">
        <f>ROUND(ROUND(L239*Source!I1001, 6)*SmtRes!DA307, 2)</f>
        <v>10.43</v>
      </c>
      <c r="P239">
        <f>SmtRes!AG307</f>
        <v>0.09</v>
      </c>
      <c r="Q239">
        <f>SmtRes!DC307</f>
        <v>0</v>
      </c>
      <c r="R239">
        <f>ROUND(ROUND(Q239*Source!I1001, 6)*1, 2)</f>
        <v>0</v>
      </c>
      <c r="S239">
        <f>SmtRes!AC307</f>
        <v>2.31</v>
      </c>
      <c r="T239">
        <f>ROUND(ROUND(Q239*Source!I1001, 6)*SmtRes!AK307, 2)</f>
        <v>0</v>
      </c>
      <c r="U239">
        <f>SmtRes!X307</f>
        <v>-157737218</v>
      </c>
      <c r="V239">
        <v>770155520</v>
      </c>
      <c r="W239">
        <v>-2118093117</v>
      </c>
    </row>
    <row r="240" spans="1:23" x14ac:dyDescent="0.2">
      <c r="A240">
        <f>Source!A1001</f>
        <v>17</v>
      </c>
      <c r="C240">
        <v>2</v>
      </c>
      <c r="D240">
        <v>0</v>
      </c>
      <c r="E240">
        <f>SmtRes!AV306</f>
        <v>0</v>
      </c>
      <c r="F240" t="str">
        <f>SmtRes!I306</f>
        <v>2.1-13-15</v>
      </c>
      <c r="G240" t="str">
        <f>SmtRes!K306</f>
        <v>Аппараты сварочные</v>
      </c>
      <c r="H240" t="str">
        <f>SmtRes!O306</f>
        <v>маш.-ч.</v>
      </c>
      <c r="I240">
        <f>SmtRes!Y306*Source!I1001</f>
        <v>15.885</v>
      </c>
      <c r="J240">
        <f>SmtRes!AO306</f>
        <v>1</v>
      </c>
      <c r="K240">
        <f>SmtRes!AF306</f>
        <v>43.4</v>
      </c>
      <c r="L240">
        <f>SmtRes!DB306</f>
        <v>19.53</v>
      </c>
      <c r="M240">
        <f>ROUND(ROUND(L240*Source!I1001, 6)*1, 2)</f>
        <v>689.41</v>
      </c>
      <c r="N240">
        <f>SmtRes!AB306</f>
        <v>351.7</v>
      </c>
      <c r="O240">
        <f>ROUND(ROUND(L240*Source!I1001, 6)*SmtRes!DA306, 2)</f>
        <v>5336.03</v>
      </c>
      <c r="P240">
        <f>SmtRes!AG306</f>
        <v>2.68</v>
      </c>
      <c r="Q240">
        <f>SmtRes!DC306</f>
        <v>1.21</v>
      </c>
      <c r="R240">
        <f>ROUND(ROUND(Q240*Source!I1001, 6)*1, 2)</f>
        <v>42.71</v>
      </c>
      <c r="S240">
        <f>SmtRes!AC306</f>
        <v>68.83</v>
      </c>
      <c r="T240">
        <f>ROUND(ROUND(Q240*Source!I1001, 6)*SmtRes!AK306, 2)</f>
        <v>1047.75</v>
      </c>
      <c r="U240">
        <f>SmtRes!X306</f>
        <v>-869219575</v>
      </c>
      <c r="V240">
        <v>310760831</v>
      </c>
      <c r="W240">
        <v>-1413904308</v>
      </c>
    </row>
    <row r="241" spans="1:23" x14ac:dyDescent="0.2">
      <c r="A241">
        <f>Source!A1002</f>
        <v>18</v>
      </c>
      <c r="B241">
        <v>1002</v>
      </c>
      <c r="C241">
        <v>3</v>
      </c>
      <c r="D241">
        <f>Source!BI1002</f>
        <v>1</v>
      </c>
      <c r="E241">
        <f>Source!FS1002</f>
        <v>0</v>
      </c>
      <c r="F241" t="str">
        <f>Source!F1002</f>
        <v>1.1-1-2350</v>
      </c>
      <c r="G241" t="str">
        <f>Source!G1002</f>
        <v>Профили стальные электросварные прямоугольного сечения трубчатые, размер 40х60 мм, толщина стенки 3,5 мм</v>
      </c>
      <c r="H241" t="str">
        <f>Source!H1002</f>
        <v>т</v>
      </c>
      <c r="I241">
        <f>Source!I1002</f>
        <v>3.83711</v>
      </c>
      <c r="J241">
        <v>1</v>
      </c>
      <c r="K241">
        <f>Source!AC1002</f>
        <v>11726.55</v>
      </c>
      <c r="M241">
        <f>ROUND(K241*I241, 2)</f>
        <v>44996.06</v>
      </c>
      <c r="N241">
        <f>Source!AC1002*IF(Source!BC1002&lt;&gt; 0, Source!BC1002, 1)</f>
        <v>35883.242999999995</v>
      </c>
      <c r="O241">
        <f>ROUND(N241*I241, 2)</f>
        <v>137687.95000000001</v>
      </c>
      <c r="P241">
        <f>Source!AE1002</f>
        <v>0</v>
      </c>
      <c r="R241">
        <f>ROUND(P241*I241, 2)</f>
        <v>0</v>
      </c>
      <c r="S241">
        <f>Source!AE1002*IF(Source!BS1002&lt;&gt; 0, Source!BS1002, 1)</f>
        <v>0</v>
      </c>
      <c r="T241">
        <f>ROUND(S241*I241, 2)</f>
        <v>0</v>
      </c>
      <c r="U241">
        <f>Source!GF1002</f>
        <v>-1570911069</v>
      </c>
      <c r="V241">
        <v>-969026528</v>
      </c>
      <c r="W241">
        <v>2141277888</v>
      </c>
    </row>
    <row r="242" spans="1:23" x14ac:dyDescent="0.2">
      <c r="A242">
        <f>Source!A1003</f>
        <v>17</v>
      </c>
      <c r="C242">
        <v>3</v>
      </c>
      <c r="D242">
        <v>0</v>
      </c>
      <c r="E242">
        <f>SmtRes!AV316</f>
        <v>0</v>
      </c>
      <c r="F242" t="str">
        <f>SmtRes!I316</f>
        <v>1.1-1-766</v>
      </c>
      <c r="G242" t="str">
        <f>SmtRes!K316</f>
        <v>Песок для строительных работ, рядовой</v>
      </c>
      <c r="H242" t="str">
        <f>SmtRes!O316</f>
        <v>м3</v>
      </c>
      <c r="I242">
        <f>SmtRes!Y316*Source!I1003</f>
        <v>10.554699999999999</v>
      </c>
      <c r="J242">
        <f>SmtRes!AO316</f>
        <v>1</v>
      </c>
      <c r="K242">
        <f>SmtRes!AE316</f>
        <v>104.99</v>
      </c>
      <c r="L242">
        <f>SmtRes!DB316</f>
        <v>31.39</v>
      </c>
      <c r="M242">
        <f>ROUND(ROUND(L242*Source!I1003, 6)*1, 2)</f>
        <v>1108.07</v>
      </c>
      <c r="N242">
        <f>SmtRes!AA316</f>
        <v>553.35</v>
      </c>
      <c r="O242">
        <f>ROUND(ROUND(L242*Source!I1003, 6)*SmtRes!DA316, 2)</f>
        <v>5828.43</v>
      </c>
      <c r="P242">
        <f>SmtRes!AG316</f>
        <v>0</v>
      </c>
      <c r="Q242">
        <f>SmtRes!DC316</f>
        <v>0</v>
      </c>
      <c r="R242">
        <f>ROUND(ROUND(Q242*Source!I1003, 6)*1, 2)</f>
        <v>0</v>
      </c>
      <c r="S242">
        <f>SmtRes!AC316</f>
        <v>0</v>
      </c>
      <c r="T242">
        <f>ROUND(ROUND(Q242*Source!I1003, 6)*SmtRes!AK316, 2)</f>
        <v>0</v>
      </c>
      <c r="U242">
        <f>SmtRes!X316</f>
        <v>2069056849</v>
      </c>
      <c r="V242">
        <v>464578271</v>
      </c>
      <c r="W242">
        <v>642758561</v>
      </c>
    </row>
    <row r="243" spans="1:23" x14ac:dyDescent="0.2">
      <c r="A243">
        <f>Source!A1003</f>
        <v>17</v>
      </c>
      <c r="C243">
        <v>3</v>
      </c>
      <c r="D243">
        <v>0</v>
      </c>
      <c r="E243">
        <f>SmtRes!AV315</f>
        <v>0</v>
      </c>
      <c r="F243" t="str">
        <f>SmtRes!I315</f>
        <v>1.1-1-1329</v>
      </c>
      <c r="G243" t="str">
        <f>SmtRes!K315</f>
        <v>Цемент общестроительный, портландцемент общего назначения, марка 400</v>
      </c>
      <c r="H243" t="str">
        <f>SmtRes!O315</f>
        <v>т</v>
      </c>
      <c r="I243">
        <f>SmtRes!Y315*Source!I1003</f>
        <v>3.7770999999999995</v>
      </c>
      <c r="J243">
        <f>SmtRes!AO315</f>
        <v>1</v>
      </c>
      <c r="K243">
        <f>SmtRes!AE315</f>
        <v>332.74</v>
      </c>
      <c r="L243">
        <f>SmtRes!DB315</f>
        <v>35.6</v>
      </c>
      <c r="M243">
        <f>ROUND(ROUND(L243*Source!I1003, 6)*1, 2)</f>
        <v>1256.68</v>
      </c>
      <c r="N243">
        <f>SmtRes!AA315</f>
        <v>4327.6000000000004</v>
      </c>
      <c r="O243">
        <f>ROUND(ROUND(L243*Source!I1003, 6)*SmtRes!DA315, 2)</f>
        <v>16311.71</v>
      </c>
      <c r="P243">
        <f>SmtRes!AG315</f>
        <v>0</v>
      </c>
      <c r="Q243">
        <f>SmtRes!DC315</f>
        <v>0</v>
      </c>
      <c r="R243">
        <f>ROUND(ROUND(Q243*Source!I1003, 6)*1, 2)</f>
        <v>0</v>
      </c>
      <c r="S243">
        <f>SmtRes!AC315</f>
        <v>0</v>
      </c>
      <c r="T243">
        <f>ROUND(ROUND(Q243*Source!I1003, 6)*SmtRes!AK315, 2)</f>
        <v>0</v>
      </c>
      <c r="U243">
        <f>SmtRes!X315</f>
        <v>-318432533</v>
      </c>
      <c r="V243">
        <v>1668805352</v>
      </c>
      <c r="W243">
        <v>691610743</v>
      </c>
    </row>
    <row r="244" spans="1:23" x14ac:dyDescent="0.2">
      <c r="A244">
        <f>Source!A1003</f>
        <v>17</v>
      </c>
      <c r="C244">
        <v>3</v>
      </c>
      <c r="D244">
        <v>0</v>
      </c>
      <c r="E244">
        <f>SmtRes!AV314</f>
        <v>0</v>
      </c>
      <c r="F244" t="str">
        <f>SmtRes!I314</f>
        <v>1.1-1-118</v>
      </c>
      <c r="G244" t="str">
        <f>SmtRes!K314</f>
        <v>Вода</v>
      </c>
      <c r="H244" t="str">
        <f>SmtRes!O314</f>
        <v>м3</v>
      </c>
      <c r="I244">
        <f>SmtRes!Y314*Source!I1003</f>
        <v>2.7180999999999997</v>
      </c>
      <c r="J244">
        <f>SmtRes!AO314</f>
        <v>1</v>
      </c>
      <c r="K244">
        <f>SmtRes!AE314</f>
        <v>7.07</v>
      </c>
      <c r="L244">
        <f>SmtRes!DB314</f>
        <v>0.54</v>
      </c>
      <c r="M244">
        <f>ROUND(ROUND(L244*Source!I1003, 6)*1, 2)</f>
        <v>19.059999999999999</v>
      </c>
      <c r="N244">
        <f>SmtRes!AA314</f>
        <v>35.35</v>
      </c>
      <c r="O244">
        <f>ROUND(ROUND(L244*Source!I1003, 6)*SmtRes!DA314, 2)</f>
        <v>95.12</v>
      </c>
      <c r="P244">
        <f>SmtRes!AG314</f>
        <v>0</v>
      </c>
      <c r="Q244">
        <f>SmtRes!DC314</f>
        <v>0</v>
      </c>
      <c r="R244">
        <f>ROUND(ROUND(Q244*Source!I1003, 6)*1, 2)</f>
        <v>0</v>
      </c>
      <c r="S244">
        <f>SmtRes!AC314</f>
        <v>0</v>
      </c>
      <c r="T244">
        <f>ROUND(ROUND(Q244*Source!I1003, 6)*SmtRes!AK314, 2)</f>
        <v>0</v>
      </c>
      <c r="U244">
        <f>SmtRes!X314</f>
        <v>-862991314</v>
      </c>
      <c r="V244">
        <v>209219300</v>
      </c>
      <c r="W244">
        <v>-1977920412</v>
      </c>
    </row>
    <row r="245" spans="1:23" x14ac:dyDescent="0.2">
      <c r="A245">
        <f>Source!A1003</f>
        <v>17</v>
      </c>
      <c r="C245">
        <v>2</v>
      </c>
      <c r="D245">
        <v>0</v>
      </c>
      <c r="E245">
        <f>SmtRes!AV313</f>
        <v>0</v>
      </c>
      <c r="F245" t="str">
        <f>SmtRes!I313</f>
        <v>2.1-18-7</v>
      </c>
      <c r="G245" t="str">
        <f>SmtRes!K313</f>
        <v>Автомобили грузовые бортовые, грузоподъемность до 5 т</v>
      </c>
      <c r="H245" t="str">
        <f>SmtRes!O313</f>
        <v>маш.-ч.</v>
      </c>
      <c r="I245">
        <f>SmtRes!Y313*Source!I1003</f>
        <v>0.70599999999999996</v>
      </c>
      <c r="J245">
        <f>SmtRes!AO313</f>
        <v>1</v>
      </c>
      <c r="K245">
        <f>SmtRes!AF313</f>
        <v>76.81</v>
      </c>
      <c r="L245">
        <f>SmtRes!DB313</f>
        <v>1.54</v>
      </c>
      <c r="M245">
        <f>ROUND(ROUND(L245*Source!I1003, 6)*1, 2)</f>
        <v>54.36</v>
      </c>
      <c r="N245">
        <f>SmtRes!AB313</f>
        <v>755.14</v>
      </c>
      <c r="O245">
        <f>ROUND(ROUND(L245*Source!I1003, 6)*SmtRes!DA313, 2)</f>
        <v>510.46</v>
      </c>
      <c r="P245">
        <f>SmtRes!AG313</f>
        <v>14.36</v>
      </c>
      <c r="Q245">
        <f>SmtRes!DC313</f>
        <v>0.28999999999999998</v>
      </c>
      <c r="R245">
        <f>ROUND(ROUND(Q245*Source!I1003, 6)*1, 2)</f>
        <v>10.24</v>
      </c>
      <c r="S245">
        <f>SmtRes!AC313</f>
        <v>368.81</v>
      </c>
      <c r="T245">
        <f>ROUND(ROUND(Q245*Source!I1003, 6)*SmtRes!AK313, 2)</f>
        <v>251.11</v>
      </c>
      <c r="U245">
        <f>SmtRes!X313</f>
        <v>-628430174</v>
      </c>
      <c r="V245">
        <v>-1989157500</v>
      </c>
      <c r="W245">
        <v>1752455861</v>
      </c>
    </row>
    <row r="246" spans="1:23" x14ac:dyDescent="0.2">
      <c r="A246">
        <f>Source!A1004</f>
        <v>17</v>
      </c>
      <c r="C246">
        <v>3</v>
      </c>
      <c r="D246">
        <v>0</v>
      </c>
      <c r="E246">
        <f>SmtRes!AV324</f>
        <v>0</v>
      </c>
      <c r="F246" t="str">
        <f>SmtRes!I324</f>
        <v>1.7-3-52</v>
      </c>
      <c r="G246" t="str">
        <f>SmtRes!K324</f>
        <v>Диск отрезной абразивный для резки облицовочных плит, диаметр 230 мм</v>
      </c>
      <c r="H246" t="str">
        <f>SmtRes!O324</f>
        <v>шт.</v>
      </c>
      <c r="I246">
        <f>SmtRes!Y324*Source!I1004</f>
        <v>6.7776000000000005</v>
      </c>
      <c r="J246">
        <f>SmtRes!AO324</f>
        <v>1</v>
      </c>
      <c r="K246">
        <f>SmtRes!AE324</f>
        <v>10.4</v>
      </c>
      <c r="L246">
        <f>SmtRes!DB324</f>
        <v>0.08</v>
      </c>
      <c r="M246">
        <f>ROUND(ROUND(L246*Source!I1004, 6)*1, 2)</f>
        <v>67.78</v>
      </c>
      <c r="N246">
        <f>SmtRes!AA324</f>
        <v>42.83</v>
      </c>
      <c r="O246">
        <f>ROUND(ROUND(L246*Source!I1004, 6)*SmtRes!DA324, 2)</f>
        <v>278.56</v>
      </c>
      <c r="P246">
        <f>SmtRes!AG324</f>
        <v>0</v>
      </c>
      <c r="Q246">
        <f>SmtRes!DC324</f>
        <v>0</v>
      </c>
      <c r="R246">
        <f>ROUND(ROUND(Q246*Source!I1004, 6)*1, 2)</f>
        <v>0</v>
      </c>
      <c r="S246">
        <f>SmtRes!AC324</f>
        <v>0</v>
      </c>
      <c r="T246">
        <f>ROUND(ROUND(Q246*Source!I1004, 6)*SmtRes!AK324, 2)</f>
        <v>0</v>
      </c>
      <c r="U246">
        <f>SmtRes!X324</f>
        <v>-2023618709</v>
      </c>
      <c r="V246">
        <v>1196248087</v>
      </c>
      <c r="W246">
        <v>538595047</v>
      </c>
    </row>
    <row r="247" spans="1:23" x14ac:dyDescent="0.2">
      <c r="A247">
        <f>Source!A1004</f>
        <v>17</v>
      </c>
      <c r="C247">
        <v>3</v>
      </c>
      <c r="D247">
        <v>0</v>
      </c>
      <c r="E247">
        <f>SmtRes!AV322</f>
        <v>0</v>
      </c>
      <c r="F247" t="str">
        <f>SmtRes!I322</f>
        <v>1.1-1-1566</v>
      </c>
      <c r="G247" t="str">
        <f>SmtRes!K322</f>
        <v>Электроды, тип Э-42, 46, 50, диаметр 4 - 6 мм</v>
      </c>
      <c r="H247" t="str">
        <f>SmtRes!O322</f>
        <v>т</v>
      </c>
      <c r="I247">
        <f>SmtRes!Y322*Source!I1004</f>
        <v>0.228744</v>
      </c>
      <c r="J247">
        <f>SmtRes!AO322</f>
        <v>1</v>
      </c>
      <c r="K247">
        <f>SmtRes!AE322</f>
        <v>7191.81</v>
      </c>
      <c r="L247">
        <f>SmtRes!DB322</f>
        <v>1.94</v>
      </c>
      <c r="M247">
        <f>ROUND(ROUND(L247*Source!I1004, 6)*1, 2)</f>
        <v>1643.57</v>
      </c>
      <c r="N247">
        <f>SmtRes!AA322</f>
        <v>87987.62</v>
      </c>
      <c r="O247">
        <f>ROUND(ROUND(L247*Source!I1004, 6)*SmtRes!DA322, 2)</f>
        <v>20067.97</v>
      </c>
      <c r="P247">
        <f>SmtRes!AG322</f>
        <v>0</v>
      </c>
      <c r="Q247">
        <f>SmtRes!DC322</f>
        <v>0</v>
      </c>
      <c r="R247">
        <f>ROUND(ROUND(Q247*Source!I1004, 6)*1, 2)</f>
        <v>0</v>
      </c>
      <c r="S247">
        <f>SmtRes!AC322</f>
        <v>0</v>
      </c>
      <c r="T247">
        <f>ROUND(ROUND(Q247*Source!I1004, 6)*SmtRes!AK322, 2)</f>
        <v>0</v>
      </c>
      <c r="U247">
        <f>SmtRes!X322</f>
        <v>1310716689</v>
      </c>
      <c r="V247">
        <v>-143943088</v>
      </c>
      <c r="W247">
        <v>366972017</v>
      </c>
    </row>
    <row r="248" spans="1:23" x14ac:dyDescent="0.2">
      <c r="A248">
        <f>Source!A1004</f>
        <v>17</v>
      </c>
      <c r="C248">
        <v>2</v>
      </c>
      <c r="D248">
        <v>0</v>
      </c>
      <c r="E248">
        <f>SmtRes!AV320</f>
        <v>0</v>
      </c>
      <c r="F248" t="str">
        <f>SmtRes!I320</f>
        <v>2.1-30-43</v>
      </c>
      <c r="G248" t="str">
        <f>SmtRes!K320</f>
        <v>Станки трубоотрезные</v>
      </c>
      <c r="H248" t="str">
        <f>SmtRes!O320</f>
        <v>маш.-ч.</v>
      </c>
      <c r="I248">
        <f>SmtRes!Y320*Source!I1004</f>
        <v>57.609600000000007</v>
      </c>
      <c r="J248">
        <f>SmtRes!AO320</f>
        <v>1</v>
      </c>
      <c r="K248">
        <f>SmtRes!AF320</f>
        <v>61.48</v>
      </c>
      <c r="L248">
        <f>SmtRes!DB320</f>
        <v>4.18</v>
      </c>
      <c r="M248">
        <f>ROUND(ROUND(L248*Source!I1004, 6)*1, 2)</f>
        <v>3541.3</v>
      </c>
      <c r="N248">
        <f>SmtRes!AB320</f>
        <v>688.11</v>
      </c>
      <c r="O248">
        <f>ROUND(ROUND(L248*Source!I1004, 6)*SmtRes!DA320, 2)</f>
        <v>37856.449999999997</v>
      </c>
      <c r="P248">
        <f>SmtRes!AG320</f>
        <v>20.64</v>
      </c>
      <c r="Q248">
        <f>SmtRes!DC320</f>
        <v>1.4</v>
      </c>
      <c r="R248">
        <f>ROUND(ROUND(Q248*Source!I1004, 6)*1, 2)</f>
        <v>1186.08</v>
      </c>
      <c r="S248">
        <f>SmtRes!AC320</f>
        <v>530.1</v>
      </c>
      <c r="T248">
        <f>ROUND(ROUND(Q248*Source!I1004, 6)*SmtRes!AK320, 2)</f>
        <v>29094.54</v>
      </c>
      <c r="U248">
        <f>SmtRes!X320</f>
        <v>-1245574031</v>
      </c>
      <c r="V248">
        <v>923253211</v>
      </c>
      <c r="W248">
        <v>-2089416598</v>
      </c>
    </row>
    <row r="249" spans="1:23" x14ac:dyDescent="0.2">
      <c r="A249">
        <f>Source!A1004</f>
        <v>17</v>
      </c>
      <c r="C249">
        <v>2</v>
      </c>
      <c r="D249">
        <v>0</v>
      </c>
      <c r="E249">
        <f>SmtRes!AV319</f>
        <v>0</v>
      </c>
      <c r="F249" t="str">
        <f>SmtRes!I319</f>
        <v>2.1-30-19</v>
      </c>
      <c r="G249" t="str">
        <f>SmtRes!K319</f>
        <v>Машины шлифовальные электрические</v>
      </c>
      <c r="H249" t="str">
        <f>SmtRes!O319</f>
        <v>маш.-ч.</v>
      </c>
      <c r="I249">
        <f>SmtRes!Y319*Source!I1004</f>
        <v>33.888000000000005</v>
      </c>
      <c r="J249">
        <f>SmtRes!AO319</f>
        <v>1</v>
      </c>
      <c r="K249">
        <f>SmtRes!AF319</f>
        <v>0.68</v>
      </c>
      <c r="L249">
        <f>SmtRes!DB319</f>
        <v>0.03</v>
      </c>
      <c r="M249">
        <f>ROUND(ROUND(L249*Source!I1004, 6)*1, 2)</f>
        <v>25.42</v>
      </c>
      <c r="N249">
        <f>SmtRes!AB319</f>
        <v>6.17</v>
      </c>
      <c r="O249">
        <f>ROUND(ROUND(L249*Source!I1004, 6)*SmtRes!DA319, 2)</f>
        <v>220.1</v>
      </c>
      <c r="P249">
        <f>SmtRes!AG319</f>
        <v>0.04</v>
      </c>
      <c r="Q249">
        <f>SmtRes!DC319</f>
        <v>0</v>
      </c>
      <c r="R249">
        <f>ROUND(ROUND(Q249*Source!I1004, 6)*1, 2)</f>
        <v>0</v>
      </c>
      <c r="S249">
        <f>SmtRes!AC319</f>
        <v>1.03</v>
      </c>
      <c r="T249">
        <f>ROUND(ROUND(Q249*Source!I1004, 6)*SmtRes!AK319, 2)</f>
        <v>0</v>
      </c>
      <c r="U249">
        <f>SmtRes!X319</f>
        <v>-875577540</v>
      </c>
      <c r="V249">
        <v>334347769</v>
      </c>
      <c r="W249">
        <v>-377984653</v>
      </c>
    </row>
    <row r="250" spans="1:23" x14ac:dyDescent="0.2">
      <c r="A250">
        <f>Source!A1004</f>
        <v>17</v>
      </c>
      <c r="C250">
        <v>2</v>
      </c>
      <c r="D250">
        <v>0</v>
      </c>
      <c r="E250">
        <f>SmtRes!AV318</f>
        <v>0</v>
      </c>
      <c r="F250" t="str">
        <f>SmtRes!I318</f>
        <v>2.1-13-15</v>
      </c>
      <c r="G250" t="str">
        <f>SmtRes!K318</f>
        <v>Аппараты сварочные</v>
      </c>
      <c r="H250" t="str">
        <f>SmtRes!O318</f>
        <v>маш.-ч.</v>
      </c>
      <c r="I250">
        <f>SmtRes!Y318*Source!I1004</f>
        <v>39.818400000000004</v>
      </c>
      <c r="J250">
        <f>SmtRes!AO318</f>
        <v>1</v>
      </c>
      <c r="K250">
        <f>SmtRes!AF318</f>
        <v>43.4</v>
      </c>
      <c r="L250">
        <f>SmtRes!DB318</f>
        <v>2.04</v>
      </c>
      <c r="M250">
        <f>ROUND(ROUND(L250*Source!I1004, 6)*1, 2)</f>
        <v>1728.29</v>
      </c>
      <c r="N250">
        <f>SmtRes!AB318</f>
        <v>351.7</v>
      </c>
      <c r="O250">
        <f>ROUND(ROUND(L250*Source!I1004, 6)*SmtRes!DA318, 2)</f>
        <v>13376.95</v>
      </c>
      <c r="P250">
        <f>SmtRes!AG318</f>
        <v>2.68</v>
      </c>
      <c r="Q250">
        <f>SmtRes!DC318</f>
        <v>0.13</v>
      </c>
      <c r="R250">
        <f>ROUND(ROUND(Q250*Source!I1004, 6)*1, 2)</f>
        <v>110.14</v>
      </c>
      <c r="S250">
        <f>SmtRes!AC318</f>
        <v>68.83</v>
      </c>
      <c r="T250">
        <f>ROUND(ROUND(Q250*Source!I1004, 6)*SmtRes!AK318, 2)</f>
        <v>2701.64</v>
      </c>
      <c r="U250">
        <f>SmtRes!X318</f>
        <v>-869219575</v>
      </c>
      <c r="V250">
        <v>310760831</v>
      </c>
      <c r="W250">
        <v>-1413904308</v>
      </c>
    </row>
    <row r="251" spans="1:23" x14ac:dyDescent="0.2">
      <c r="A251">
        <f>Source!A1005</f>
        <v>18</v>
      </c>
      <c r="B251">
        <v>1005</v>
      </c>
      <c r="C251">
        <v>3</v>
      </c>
      <c r="D251">
        <f>Source!BI1005</f>
        <v>1</v>
      </c>
      <c r="E251">
        <f>Source!FS1005</f>
        <v>0</v>
      </c>
      <c r="F251" t="str">
        <f>Source!F1005</f>
        <v>1.1-1-2303</v>
      </c>
      <c r="G251" t="str">
        <f>Source!G1005</f>
        <v>Профили стальные электросварные прямоугольного сечения трубчатые, размер 20х40 мм, толщина стенки 2,0 мм</v>
      </c>
      <c r="H251" t="str">
        <f>Source!H1005</f>
        <v>т</v>
      </c>
      <c r="I251">
        <f>Source!I1005</f>
        <v>4.3207199999999997</v>
      </c>
      <c r="J251">
        <v>1</v>
      </c>
      <c r="K251">
        <f>Source!AC1005</f>
        <v>11978.98</v>
      </c>
      <c r="M251">
        <f>ROUND(K251*I251, 2)</f>
        <v>51757.82</v>
      </c>
      <c r="N251">
        <f>Source!AC1005*IF(Source!BC1005&lt;&gt; 0, Source!BC1005, 1)</f>
        <v>42166.009599999998</v>
      </c>
      <c r="O251">
        <f>ROUND(N251*I251, 2)</f>
        <v>182187.51999999999</v>
      </c>
      <c r="P251">
        <f>Source!AE1005</f>
        <v>0</v>
      </c>
      <c r="R251">
        <f>ROUND(P251*I251, 2)</f>
        <v>0</v>
      </c>
      <c r="S251">
        <f>Source!AE1005*IF(Source!BS1005&lt;&gt; 0, Source!BS1005, 1)</f>
        <v>0</v>
      </c>
      <c r="T251">
        <f>ROUND(S251*I251, 2)</f>
        <v>0</v>
      </c>
      <c r="U251">
        <f>Source!GF1005</f>
        <v>1437067085</v>
      </c>
      <c r="V251">
        <v>-523822971</v>
      </c>
      <c r="W251">
        <v>911771265</v>
      </c>
    </row>
    <row r="252" spans="1:23" x14ac:dyDescent="0.2">
      <c r="A252">
        <f>Source!A1006</f>
        <v>18</v>
      </c>
      <c r="B252">
        <v>1006</v>
      </c>
      <c r="C252">
        <v>3</v>
      </c>
      <c r="D252">
        <f>Source!BI1006</f>
        <v>1</v>
      </c>
      <c r="E252">
        <f>Source!FS1006</f>
        <v>0</v>
      </c>
      <c r="F252" t="str">
        <f>Source!F1006</f>
        <v>1.1-1-1080</v>
      </c>
      <c r="G252" t="str">
        <f>Source!G1006</f>
        <v>Круг, квадрат горячекатаный из стали углеродистой обыкновенного качества, кипящей, размер 5-12 мм</v>
      </c>
      <c r="H252" t="str">
        <f>Source!H1006</f>
        <v>т</v>
      </c>
      <c r="I252">
        <f>Source!I1006</f>
        <v>5.9219280000000003</v>
      </c>
      <c r="J252">
        <v>1</v>
      </c>
      <c r="K252">
        <f>Source!AC1006</f>
        <v>6446.56</v>
      </c>
      <c r="M252">
        <f>ROUND(K252*I252, 2)</f>
        <v>38176.06</v>
      </c>
      <c r="N252">
        <f>Source!AC1006*IF(Source!BC1006&lt;&gt; 0, Source!BC1006, 1)</f>
        <v>24948.187200000004</v>
      </c>
      <c r="O252">
        <f>ROUND(N252*I252, 2)</f>
        <v>147741.37</v>
      </c>
      <c r="P252">
        <f>Source!AE1006</f>
        <v>0</v>
      </c>
      <c r="R252">
        <f>ROUND(P252*I252, 2)</f>
        <v>0</v>
      </c>
      <c r="S252">
        <f>Source!AE1006*IF(Source!BS1006&lt;&gt; 0, Source!BS1006, 1)</f>
        <v>0</v>
      </c>
      <c r="T252">
        <f>ROUND(S252*I252, 2)</f>
        <v>0</v>
      </c>
      <c r="U252">
        <f>Source!GF1006</f>
        <v>925217899</v>
      </c>
      <c r="V252">
        <v>-161161699</v>
      </c>
      <c r="W252">
        <v>-1587361586</v>
      </c>
    </row>
    <row r="253" spans="1:23" x14ac:dyDescent="0.2">
      <c r="A253">
        <f>Source!A1007</f>
        <v>17</v>
      </c>
      <c r="C253">
        <v>3</v>
      </c>
      <c r="D253">
        <v>0</v>
      </c>
      <c r="E253">
        <f>SmtRes!AV330</f>
        <v>0</v>
      </c>
      <c r="F253" t="str">
        <f>SmtRes!I330</f>
        <v>1.1-1-1566</v>
      </c>
      <c r="G253" t="str">
        <f>SmtRes!K330</f>
        <v>Электроды, тип Э-42, 46, 50, диаметр 4 - 6 мм</v>
      </c>
      <c r="H253" t="str">
        <f>SmtRes!O330</f>
        <v>т</v>
      </c>
      <c r="I253">
        <f>SmtRes!Y330*Source!I1007</f>
        <v>2.5416000000000001E-2</v>
      </c>
      <c r="J253">
        <f>SmtRes!AO330</f>
        <v>1</v>
      </c>
      <c r="K253">
        <f>SmtRes!AE330</f>
        <v>7191.81</v>
      </c>
      <c r="L253">
        <f>SmtRes!DB330</f>
        <v>0.22</v>
      </c>
      <c r="M253">
        <f>ROUND(ROUND(L253*Source!I1007, 6)*1, 2)</f>
        <v>186.38</v>
      </c>
      <c r="N253">
        <f>SmtRes!AA330</f>
        <v>87987.62</v>
      </c>
      <c r="O253">
        <f>ROUND(ROUND(L253*Source!I1007, 6)*SmtRes!DA330, 2)</f>
        <v>2275.75</v>
      </c>
      <c r="P253">
        <f>SmtRes!AG330</f>
        <v>0</v>
      </c>
      <c r="Q253">
        <f>SmtRes!DC330</f>
        <v>0</v>
      </c>
      <c r="R253">
        <f>ROUND(ROUND(Q253*Source!I1007, 6)*1, 2)</f>
        <v>0</v>
      </c>
      <c r="S253">
        <f>SmtRes!AC330</f>
        <v>0</v>
      </c>
      <c r="T253">
        <f>ROUND(ROUND(Q253*Source!I1007, 6)*SmtRes!AK330, 2)</f>
        <v>0</v>
      </c>
      <c r="U253">
        <f>SmtRes!X330</f>
        <v>1310716689</v>
      </c>
      <c r="V253">
        <v>-143943088</v>
      </c>
      <c r="W253">
        <v>366972017</v>
      </c>
    </row>
    <row r="254" spans="1:23" x14ac:dyDescent="0.2">
      <c r="A254">
        <f>Source!A1007</f>
        <v>17</v>
      </c>
      <c r="C254">
        <v>2</v>
      </c>
      <c r="D254">
        <v>0</v>
      </c>
      <c r="E254">
        <f>SmtRes!AV329</f>
        <v>0</v>
      </c>
      <c r="F254" t="str">
        <f>SmtRes!I329</f>
        <v>9999990007</v>
      </c>
      <c r="G254" t="str">
        <f>SmtRes!K329</f>
        <v>Стоимость прочих машин (ЭСН)</v>
      </c>
      <c r="H254" t="str">
        <f>SmtRes!O329</f>
        <v>руб.</v>
      </c>
      <c r="I254">
        <f>SmtRes!Y329*Source!I1007</f>
        <v>8.4720000000000013</v>
      </c>
      <c r="J254">
        <f>SmtRes!AO329</f>
        <v>1</v>
      </c>
      <c r="K254">
        <f>SmtRes!AF329</f>
        <v>1</v>
      </c>
      <c r="L254">
        <f>SmtRes!DB329</f>
        <v>0.01</v>
      </c>
      <c r="M254">
        <f>ROUND(ROUND(L254*Source!I1007, 6)*1, 2)</f>
        <v>8.4700000000000006</v>
      </c>
      <c r="N254">
        <f>SmtRes!AB329</f>
        <v>1.05</v>
      </c>
      <c r="O254">
        <f>ROUND(ROUND(L254*Source!I1007, 6)*SmtRes!DA329, 2)</f>
        <v>8.4700000000000006</v>
      </c>
      <c r="P254">
        <f>SmtRes!AG329</f>
        <v>0</v>
      </c>
      <c r="Q254">
        <f>SmtRes!DC329</f>
        <v>0</v>
      </c>
      <c r="R254">
        <f>ROUND(ROUND(Q254*Source!I1007, 6)*1, 2)</f>
        <v>0</v>
      </c>
      <c r="S254">
        <f>SmtRes!AC329</f>
        <v>0</v>
      </c>
      <c r="T254">
        <f>ROUND(ROUND(Q254*Source!I1007, 6)*SmtRes!AK329, 2)</f>
        <v>0</v>
      </c>
      <c r="U254">
        <f>SmtRes!X329</f>
        <v>-1180195794</v>
      </c>
      <c r="V254">
        <v>54769220</v>
      </c>
      <c r="W254">
        <v>1832560717</v>
      </c>
    </row>
    <row r="255" spans="1:23" x14ac:dyDescent="0.2">
      <c r="A255">
        <f>Source!A1007</f>
        <v>17</v>
      </c>
      <c r="C255">
        <v>2</v>
      </c>
      <c r="D255">
        <v>0</v>
      </c>
      <c r="E255">
        <f>SmtRes!AV328</f>
        <v>0</v>
      </c>
      <c r="F255" t="str">
        <f>SmtRes!I328</f>
        <v>2.1-30-19</v>
      </c>
      <c r="G255" t="str">
        <f>SmtRes!K328</f>
        <v>Машины шлифовальные электрические</v>
      </c>
      <c r="H255" t="str">
        <f>SmtRes!O328</f>
        <v>маш.-ч.</v>
      </c>
      <c r="I255">
        <f>SmtRes!Y328*Source!I1007</f>
        <v>8.4720000000000013</v>
      </c>
      <c r="J255">
        <f>SmtRes!AO328</f>
        <v>1</v>
      </c>
      <c r="K255">
        <f>SmtRes!AF328</f>
        <v>0.68</v>
      </c>
      <c r="L255">
        <f>SmtRes!DB328</f>
        <v>0.01</v>
      </c>
      <c r="M255">
        <f>ROUND(ROUND(L255*Source!I1007, 6)*1, 2)</f>
        <v>8.4700000000000006</v>
      </c>
      <c r="N255">
        <f>SmtRes!AB328</f>
        <v>6.17</v>
      </c>
      <c r="O255">
        <f>ROUND(ROUND(L255*Source!I1007, 6)*SmtRes!DA328, 2)</f>
        <v>73.37</v>
      </c>
      <c r="P255">
        <f>SmtRes!AG328</f>
        <v>0.04</v>
      </c>
      <c r="Q255">
        <f>SmtRes!DC328</f>
        <v>0</v>
      </c>
      <c r="R255">
        <f>ROUND(ROUND(Q255*Source!I1007, 6)*1, 2)</f>
        <v>0</v>
      </c>
      <c r="S255">
        <f>SmtRes!AC328</f>
        <v>1.03</v>
      </c>
      <c r="T255">
        <f>ROUND(ROUND(Q255*Source!I1007, 6)*SmtRes!AK328, 2)</f>
        <v>0</v>
      </c>
      <c r="U255">
        <f>SmtRes!X328</f>
        <v>-875577540</v>
      </c>
      <c r="V255">
        <v>334347769</v>
      </c>
      <c r="W255">
        <v>-377984653</v>
      </c>
    </row>
    <row r="256" spans="1:23" x14ac:dyDescent="0.2">
      <c r="A256">
        <f>Source!A1007</f>
        <v>17</v>
      </c>
      <c r="C256">
        <v>2</v>
      </c>
      <c r="D256">
        <v>0</v>
      </c>
      <c r="E256">
        <f>SmtRes!AV327</f>
        <v>0</v>
      </c>
      <c r="F256" t="str">
        <f>SmtRes!I327</f>
        <v>2.1-18-7</v>
      </c>
      <c r="G256" t="str">
        <f>SmtRes!K327</f>
        <v>Автомобили грузовые бортовые, грузоподъемность до 5 т</v>
      </c>
      <c r="H256" t="str">
        <f>SmtRes!O327</f>
        <v>маш.-ч.</v>
      </c>
      <c r="I256">
        <f>SmtRes!Y327*Source!I1007</f>
        <v>8.4720000000000013</v>
      </c>
      <c r="J256">
        <f>SmtRes!AO327</f>
        <v>1</v>
      </c>
      <c r="K256">
        <f>SmtRes!AF327</f>
        <v>76.81</v>
      </c>
      <c r="L256">
        <f>SmtRes!DB327</f>
        <v>0.77</v>
      </c>
      <c r="M256">
        <f>ROUND(ROUND(L256*Source!I1007, 6)*1, 2)</f>
        <v>652.34</v>
      </c>
      <c r="N256">
        <f>SmtRes!AB327</f>
        <v>755.14</v>
      </c>
      <c r="O256">
        <f>ROUND(ROUND(L256*Source!I1007, 6)*SmtRes!DA327, 2)</f>
        <v>6125.51</v>
      </c>
      <c r="P256">
        <f>SmtRes!AG327</f>
        <v>14.36</v>
      </c>
      <c r="Q256">
        <f>SmtRes!DC327</f>
        <v>0.14000000000000001</v>
      </c>
      <c r="R256">
        <f>ROUND(ROUND(Q256*Source!I1007, 6)*1, 2)</f>
        <v>118.61</v>
      </c>
      <c r="S256">
        <f>SmtRes!AC327</f>
        <v>368.81</v>
      </c>
      <c r="T256">
        <f>ROUND(ROUND(Q256*Source!I1007, 6)*SmtRes!AK327, 2)</f>
        <v>2909.45</v>
      </c>
      <c r="U256">
        <f>SmtRes!X327</f>
        <v>-628430174</v>
      </c>
      <c r="V256">
        <v>-1989157500</v>
      </c>
      <c r="W256">
        <v>1752455861</v>
      </c>
    </row>
    <row r="257" spans="1:23" x14ac:dyDescent="0.2">
      <c r="A257">
        <f>Source!A1007</f>
        <v>17</v>
      </c>
      <c r="C257">
        <v>2</v>
      </c>
      <c r="D257">
        <v>0</v>
      </c>
      <c r="E257">
        <f>SmtRes!AV326</f>
        <v>0</v>
      </c>
      <c r="F257" t="str">
        <f>SmtRes!I326</f>
        <v>2.1-13-15</v>
      </c>
      <c r="G257" t="str">
        <f>SmtRes!K326</f>
        <v>Аппараты сварочные</v>
      </c>
      <c r="H257" t="str">
        <f>SmtRes!O326</f>
        <v>маш.-ч.</v>
      </c>
      <c r="I257">
        <f>SmtRes!Y326*Source!I1007</f>
        <v>16.944000000000003</v>
      </c>
      <c r="J257">
        <f>SmtRes!AO326</f>
        <v>1</v>
      </c>
      <c r="K257">
        <f>SmtRes!AF326</f>
        <v>43.4</v>
      </c>
      <c r="L257">
        <f>SmtRes!DB326</f>
        <v>0.87</v>
      </c>
      <c r="M257">
        <f>ROUND(ROUND(L257*Source!I1007, 6)*1, 2)</f>
        <v>737.06</v>
      </c>
      <c r="N257">
        <f>SmtRes!AB326</f>
        <v>351.7</v>
      </c>
      <c r="O257">
        <f>ROUND(ROUND(L257*Source!I1007, 6)*SmtRes!DA326, 2)</f>
        <v>5704.88</v>
      </c>
      <c r="P257">
        <f>SmtRes!AG326</f>
        <v>2.68</v>
      </c>
      <c r="Q257">
        <f>SmtRes!DC326</f>
        <v>0.05</v>
      </c>
      <c r="R257">
        <f>ROUND(ROUND(Q257*Source!I1007, 6)*1, 2)</f>
        <v>42.36</v>
      </c>
      <c r="S257">
        <f>SmtRes!AC326</f>
        <v>68.83</v>
      </c>
      <c r="T257">
        <f>ROUND(ROUND(Q257*Source!I1007, 6)*SmtRes!AK326, 2)</f>
        <v>1039.0899999999999</v>
      </c>
      <c r="U257">
        <f>SmtRes!X326</f>
        <v>-869219575</v>
      </c>
      <c r="V257">
        <v>310760831</v>
      </c>
      <c r="W257">
        <v>-1413904308</v>
      </c>
    </row>
    <row r="258" spans="1:23" x14ac:dyDescent="0.2">
      <c r="A258">
        <f>Source!A1008</f>
        <v>17</v>
      </c>
      <c r="C258">
        <v>3</v>
      </c>
      <c r="D258">
        <v>0</v>
      </c>
      <c r="E258">
        <f>SmtRes!AV335</f>
        <v>0</v>
      </c>
      <c r="F258" t="str">
        <f>SmtRes!I335</f>
        <v>1.1-1-489</v>
      </c>
      <c r="G258" t="str">
        <f>SmtRes!K335</f>
        <v>Ксилол нефтяной, марка А</v>
      </c>
      <c r="H258" t="str">
        <f>SmtRes!O335</f>
        <v>т</v>
      </c>
      <c r="I258">
        <f>SmtRes!Y335*Source!I1008</f>
        <v>1.3770003324E-2</v>
      </c>
      <c r="J258">
        <f>SmtRes!AO335</f>
        <v>1</v>
      </c>
      <c r="K258">
        <f>SmtRes!AE335</f>
        <v>6303.6</v>
      </c>
      <c r="L258">
        <f>SmtRes!DB335</f>
        <v>9.4600000000000009</v>
      </c>
      <c r="M258">
        <f>ROUND(ROUND(L258*Source!I1008, 6)*1, 2)</f>
        <v>86.84</v>
      </c>
      <c r="N258">
        <f>SmtRes!AA335</f>
        <v>38388.92</v>
      </c>
      <c r="O258">
        <f>ROUND(ROUND(L258*Source!I1008, 6)*SmtRes!DA335, 2)</f>
        <v>528.87</v>
      </c>
      <c r="P258">
        <f>SmtRes!AG335</f>
        <v>0</v>
      </c>
      <c r="Q258">
        <f>SmtRes!DC335</f>
        <v>0</v>
      </c>
      <c r="R258">
        <f>ROUND(ROUND(Q258*Source!I1008, 6)*1, 2)</f>
        <v>0</v>
      </c>
      <c r="S258">
        <f>SmtRes!AC335</f>
        <v>0</v>
      </c>
      <c r="T258">
        <f>ROUND(ROUND(Q258*Source!I1008, 6)*SmtRes!AK335, 2)</f>
        <v>0</v>
      </c>
      <c r="U258">
        <f>SmtRes!X335</f>
        <v>-904493642</v>
      </c>
      <c r="V258">
        <v>1246118143</v>
      </c>
      <c r="W258">
        <v>387696430</v>
      </c>
    </row>
    <row r="259" spans="1:23" x14ac:dyDescent="0.2">
      <c r="A259">
        <f>Source!A1008</f>
        <v>17</v>
      </c>
      <c r="C259">
        <v>2</v>
      </c>
      <c r="D259">
        <v>0</v>
      </c>
      <c r="E259">
        <f>SmtRes!AV333</f>
        <v>0</v>
      </c>
      <c r="F259" t="str">
        <f>SmtRes!I333</f>
        <v>9999990007</v>
      </c>
      <c r="G259" t="str">
        <f>SmtRes!K333</f>
        <v>Стоимость прочих машин (ЭСН)</v>
      </c>
      <c r="H259" t="str">
        <f>SmtRes!O333</f>
        <v>руб.</v>
      </c>
      <c r="I259">
        <f>SmtRes!Y333*Source!I1008</f>
        <v>13.67820330184</v>
      </c>
      <c r="J259">
        <f>SmtRes!AO333</f>
        <v>1</v>
      </c>
      <c r="K259">
        <f>SmtRes!AF333</f>
        <v>1</v>
      </c>
      <c r="L259">
        <f>SmtRes!DB333</f>
        <v>1.49</v>
      </c>
      <c r="M259">
        <f>ROUND(ROUND(L259*Source!I1008, 6)*1, 2)</f>
        <v>13.68</v>
      </c>
      <c r="N259">
        <f>SmtRes!AB333</f>
        <v>1.05</v>
      </c>
      <c r="O259">
        <f>ROUND(ROUND(L259*Source!I1008, 6)*SmtRes!DA333, 2)</f>
        <v>13.68</v>
      </c>
      <c r="P259">
        <f>SmtRes!AG333</f>
        <v>0</v>
      </c>
      <c r="Q259">
        <f>SmtRes!DC333</f>
        <v>0</v>
      </c>
      <c r="R259">
        <f>ROUND(ROUND(Q259*Source!I1008, 6)*1, 2)</f>
        <v>0</v>
      </c>
      <c r="S259">
        <f>SmtRes!AC333</f>
        <v>0</v>
      </c>
      <c r="T259">
        <f>ROUND(ROUND(Q259*Source!I1008, 6)*SmtRes!AK333, 2)</f>
        <v>0</v>
      </c>
      <c r="U259">
        <f>SmtRes!X333</f>
        <v>-1180195794</v>
      </c>
      <c r="V259">
        <v>54769220</v>
      </c>
      <c r="W259">
        <v>1832560717</v>
      </c>
    </row>
    <row r="260" spans="1:23" x14ac:dyDescent="0.2">
      <c r="A260">
        <f>Source!A1008</f>
        <v>17</v>
      </c>
      <c r="C260">
        <v>2</v>
      </c>
      <c r="D260">
        <v>0</v>
      </c>
      <c r="E260">
        <f>SmtRes!AV332</f>
        <v>0</v>
      </c>
      <c r="F260" t="str">
        <f>SmtRes!I332</f>
        <v>2.1-10-12</v>
      </c>
      <c r="G260" t="str">
        <f>SmtRes!K332</f>
        <v>Электрокомпрессоры прицепные, производительность до 3,5 м3/мин</v>
      </c>
      <c r="H260" t="str">
        <f>SmtRes!O332</f>
        <v>маш.-ч.</v>
      </c>
      <c r="I260">
        <f>SmtRes!Y332*Source!I1008</f>
        <v>10.28160248192</v>
      </c>
      <c r="J260">
        <f>SmtRes!AO332</f>
        <v>1</v>
      </c>
      <c r="K260">
        <f>SmtRes!AF332</f>
        <v>17.32</v>
      </c>
      <c r="L260">
        <f>SmtRes!DB332</f>
        <v>19.399999999999999</v>
      </c>
      <c r="M260">
        <f>ROUND(ROUND(L260*Source!I1008, 6)*1, 2)</f>
        <v>178.09</v>
      </c>
      <c r="N260">
        <f>SmtRes!AB332</f>
        <v>111.89</v>
      </c>
      <c r="O260">
        <f>ROUND(ROUND(L260*Source!I1008, 6)*SmtRes!DA332, 2)</f>
        <v>1098.83</v>
      </c>
      <c r="P260">
        <f>SmtRes!AG332</f>
        <v>1.36</v>
      </c>
      <c r="Q260">
        <f>SmtRes!DC332</f>
        <v>1.52</v>
      </c>
      <c r="R260">
        <f>ROUND(ROUND(Q260*Source!I1008, 6)*1, 2)</f>
        <v>13.95</v>
      </c>
      <c r="S260">
        <f>SmtRes!AC332</f>
        <v>34.93</v>
      </c>
      <c r="T260">
        <f>ROUND(ROUND(Q260*Source!I1008, 6)*SmtRes!AK332, 2)</f>
        <v>342.28</v>
      </c>
      <c r="U260">
        <f>SmtRes!X332</f>
        <v>-421688854</v>
      </c>
      <c r="V260">
        <v>-654533507</v>
      </c>
      <c r="W260">
        <v>1674436797</v>
      </c>
    </row>
    <row r="261" spans="1:23" x14ac:dyDescent="0.2">
      <c r="A261">
        <f>Source!A1009</f>
        <v>18</v>
      </c>
      <c r="B261">
        <v>1009</v>
      </c>
      <c r="C261">
        <v>3</v>
      </c>
      <c r="D261">
        <f>Source!BI1009</f>
        <v>1</v>
      </c>
      <c r="E261">
        <f>Source!FS1009</f>
        <v>0</v>
      </c>
      <c r="F261" t="str">
        <f>Source!F1009</f>
        <v>1.1-1-3205</v>
      </c>
      <c r="G261" t="str">
        <f>Source!G1009</f>
        <v>Грунтовка глифталевая, ГФ-032</v>
      </c>
      <c r="H261" t="str">
        <f>Source!H1009</f>
        <v>кг</v>
      </c>
      <c r="I261">
        <f>Source!I1009</f>
        <v>82.620019999999997</v>
      </c>
      <c r="J261">
        <v>1</v>
      </c>
      <c r="K261">
        <f>Source!AC1009</f>
        <v>48.21</v>
      </c>
      <c r="M261">
        <f>ROUND(K261*I261, 2)</f>
        <v>3983.11</v>
      </c>
      <c r="N261">
        <f>Source!AC1009*IF(Source!BC1009&lt;&gt; 0, Source!BC1009, 1)</f>
        <v>82.439099999999996</v>
      </c>
      <c r="O261">
        <f>ROUND(N261*I261, 2)</f>
        <v>6811.12</v>
      </c>
      <c r="P261">
        <f>Source!AE1009</f>
        <v>0</v>
      </c>
      <c r="R261">
        <f>ROUND(P261*I261, 2)</f>
        <v>0</v>
      </c>
      <c r="S261">
        <f>Source!AE1009*IF(Source!BS1009&lt;&gt; 0, Source!BS1009, 1)</f>
        <v>0</v>
      </c>
      <c r="T261">
        <f>ROUND(S261*I261, 2)</f>
        <v>0</v>
      </c>
      <c r="U261">
        <f>Source!GF1009</f>
        <v>-1866386001</v>
      </c>
      <c r="V261">
        <v>985912470</v>
      </c>
      <c r="W261">
        <v>-118334387</v>
      </c>
    </row>
    <row r="262" spans="1:23" x14ac:dyDescent="0.2">
      <c r="A262">
        <f>Source!A1010</f>
        <v>17</v>
      </c>
      <c r="C262">
        <v>3</v>
      </c>
      <c r="D262">
        <v>0</v>
      </c>
      <c r="E262">
        <f>SmtRes!AV340</f>
        <v>0</v>
      </c>
      <c r="F262" t="str">
        <f>SmtRes!I340</f>
        <v>1.1-1-999</v>
      </c>
      <c r="G262" t="str">
        <f>SmtRes!K340</f>
        <v>Растворитель "Уайт-спирит"</v>
      </c>
      <c r="H262" t="str">
        <f>SmtRes!O340</f>
        <v>т</v>
      </c>
      <c r="I262">
        <f>SmtRes!Y340*Source!I1010</f>
        <v>1.35864E-4</v>
      </c>
      <c r="J262">
        <f>SmtRes!AO340</f>
        <v>1</v>
      </c>
      <c r="K262">
        <f>SmtRes!AE340</f>
        <v>12534.98</v>
      </c>
      <c r="L262">
        <f>SmtRes!DB340</f>
        <v>18.55</v>
      </c>
      <c r="M262">
        <f>ROUND(ROUND(L262*Source!I1010, 6)*1, 2)</f>
        <v>1.7</v>
      </c>
      <c r="N262">
        <f>SmtRes!AA340</f>
        <v>38733.089999999997</v>
      </c>
      <c r="O262">
        <f>ROUND(ROUND(L262*Source!I1010, 6)*SmtRes!DA340, 2)</f>
        <v>5.26</v>
      </c>
      <c r="P262">
        <f>SmtRes!AG340</f>
        <v>0</v>
      </c>
      <c r="Q262">
        <f>SmtRes!DC340</f>
        <v>0</v>
      </c>
      <c r="R262">
        <f>ROUND(ROUND(Q262*Source!I1010, 6)*1, 2)</f>
        <v>0</v>
      </c>
      <c r="S262">
        <f>SmtRes!AC340</f>
        <v>0</v>
      </c>
      <c r="T262">
        <f>ROUND(ROUND(Q262*Source!I1010, 6)*SmtRes!AK340, 2)</f>
        <v>0</v>
      </c>
      <c r="U262">
        <f>SmtRes!X340</f>
        <v>1320659850</v>
      </c>
      <c r="V262">
        <v>-406444833</v>
      </c>
      <c r="W262">
        <v>2001301121</v>
      </c>
    </row>
    <row r="263" spans="1:23" x14ac:dyDescent="0.2">
      <c r="A263">
        <f>Source!A1010</f>
        <v>17</v>
      </c>
      <c r="C263">
        <v>3</v>
      </c>
      <c r="D263">
        <v>0</v>
      </c>
      <c r="E263">
        <f>SmtRes!AV339</f>
        <v>0</v>
      </c>
      <c r="F263" t="str">
        <f>SmtRes!I339</f>
        <v>1.1-1-1577</v>
      </c>
      <c r="G263" t="str">
        <f>SmtRes!K339</f>
        <v>Эмаль, марка ПФ-115 (цветная), пентафталевая</v>
      </c>
      <c r="H263" t="str">
        <f>SmtRes!O339</f>
        <v>кг</v>
      </c>
      <c r="I263">
        <f>SmtRes!Y339*Source!I1010</f>
        <v>0.82620000000000005</v>
      </c>
      <c r="J263">
        <f>SmtRes!AO339</f>
        <v>1</v>
      </c>
      <c r="K263">
        <f>SmtRes!AE339</f>
        <v>29.9</v>
      </c>
      <c r="L263">
        <f>SmtRes!DB339</f>
        <v>269.10000000000002</v>
      </c>
      <c r="M263">
        <f>ROUND(ROUND(L263*Source!I1010, 6)*1, 2)</f>
        <v>24.7</v>
      </c>
      <c r="N263">
        <f>SmtRes!AA339</f>
        <v>50.23</v>
      </c>
      <c r="O263">
        <f>ROUND(ROUND(L263*Source!I1010, 6)*SmtRes!DA339, 2)</f>
        <v>41.5</v>
      </c>
      <c r="P263">
        <f>SmtRes!AG339</f>
        <v>0</v>
      </c>
      <c r="Q263">
        <f>SmtRes!DC339</f>
        <v>0</v>
      </c>
      <c r="R263">
        <f>ROUND(ROUND(Q263*Source!I1010, 6)*1, 2)</f>
        <v>0</v>
      </c>
      <c r="S263">
        <f>SmtRes!AC339</f>
        <v>0</v>
      </c>
      <c r="T263">
        <f>ROUND(ROUND(Q263*Source!I1010, 6)*SmtRes!AK339, 2)</f>
        <v>0</v>
      </c>
      <c r="U263">
        <f>SmtRes!X339</f>
        <v>1751843284</v>
      </c>
      <c r="V263">
        <v>-1354945903</v>
      </c>
      <c r="W263">
        <v>-961979854</v>
      </c>
    </row>
    <row r="264" spans="1:23" x14ac:dyDescent="0.2">
      <c r="A264">
        <f>Source!A1010</f>
        <v>17</v>
      </c>
      <c r="C264">
        <v>2</v>
      </c>
      <c r="D264">
        <v>0</v>
      </c>
      <c r="E264">
        <f>SmtRes!AV338</f>
        <v>0</v>
      </c>
      <c r="F264" t="str">
        <f>SmtRes!I338</f>
        <v>2.1-4-12</v>
      </c>
      <c r="G264" t="str">
        <f>SmtRes!K338</f>
        <v>Погрузчики на автомобильном ходу, грузоподъемность до 5 т</v>
      </c>
      <c r="H264" t="str">
        <f>SmtRes!O338</f>
        <v>маш.-ч.</v>
      </c>
      <c r="I264">
        <f>SmtRes!Y338*Source!I1010</f>
        <v>9.1800000000000009E-4</v>
      </c>
      <c r="J264">
        <f>SmtRes!AO338</f>
        <v>1</v>
      </c>
      <c r="K264">
        <f>SmtRes!AF338</f>
        <v>73</v>
      </c>
      <c r="L264">
        <f>SmtRes!DB338</f>
        <v>0.73</v>
      </c>
      <c r="M264">
        <f>ROUND(ROUND(L264*Source!I1010, 6)*1, 2)</f>
        <v>7.0000000000000007E-2</v>
      </c>
      <c r="N264">
        <f>SmtRes!AB338</f>
        <v>742.91</v>
      </c>
      <c r="O264">
        <f>ROUND(ROUND(L264*Source!I1010, 6)*SmtRes!DA338, 2)</f>
        <v>0.65</v>
      </c>
      <c r="P264">
        <f>SmtRes!AG338</f>
        <v>16.899999999999999</v>
      </c>
      <c r="Q264">
        <f>SmtRes!DC338</f>
        <v>0.17</v>
      </c>
      <c r="R264">
        <f>ROUND(ROUND(Q264*Source!I1010, 6)*1, 2)</f>
        <v>0.02</v>
      </c>
      <c r="S264">
        <f>SmtRes!AC338</f>
        <v>434.04</v>
      </c>
      <c r="T264">
        <f>ROUND(ROUND(Q264*Source!I1010, 6)*SmtRes!AK338, 2)</f>
        <v>0.38</v>
      </c>
      <c r="U264">
        <f>SmtRes!X338</f>
        <v>482200787</v>
      </c>
      <c r="V264">
        <v>-708758393</v>
      </c>
      <c r="W264">
        <v>-788593992</v>
      </c>
    </row>
    <row r="265" spans="1:23" x14ac:dyDescent="0.2">
      <c r="A265">
        <f>Source!A1010</f>
        <v>17</v>
      </c>
      <c r="C265">
        <v>2</v>
      </c>
      <c r="D265">
        <v>0</v>
      </c>
      <c r="E265">
        <f>SmtRes!AV337</f>
        <v>0</v>
      </c>
      <c r="F265" t="str">
        <f>SmtRes!I337</f>
        <v>2.1-18-7</v>
      </c>
      <c r="G265" t="str">
        <f>SmtRes!K337</f>
        <v>Автомобили грузовые бортовые, грузоподъемность до 5 т</v>
      </c>
      <c r="H265" t="str">
        <f>SmtRes!O337</f>
        <v>маш.-ч.</v>
      </c>
      <c r="I265">
        <f>SmtRes!Y337*Source!I1010</f>
        <v>9.1800000000000009E-4</v>
      </c>
      <c r="J265">
        <f>SmtRes!AO337</f>
        <v>1</v>
      </c>
      <c r="K265">
        <f>SmtRes!AF337</f>
        <v>76.81</v>
      </c>
      <c r="L265">
        <f>SmtRes!DB337</f>
        <v>0.77</v>
      </c>
      <c r="M265">
        <f>ROUND(ROUND(L265*Source!I1010, 6)*1, 2)</f>
        <v>7.0000000000000007E-2</v>
      </c>
      <c r="N265">
        <f>SmtRes!AB337</f>
        <v>755.14</v>
      </c>
      <c r="O265">
        <f>ROUND(ROUND(L265*Source!I1010, 6)*SmtRes!DA337, 2)</f>
        <v>0.66</v>
      </c>
      <c r="P265">
        <f>SmtRes!AG337</f>
        <v>14.36</v>
      </c>
      <c r="Q265">
        <f>SmtRes!DC337</f>
        <v>0.14000000000000001</v>
      </c>
      <c r="R265">
        <f>ROUND(ROUND(Q265*Source!I1010, 6)*1, 2)</f>
        <v>0.01</v>
      </c>
      <c r="S265">
        <f>SmtRes!AC337</f>
        <v>368.81</v>
      </c>
      <c r="T265">
        <f>ROUND(ROUND(Q265*Source!I1010, 6)*SmtRes!AK337, 2)</f>
        <v>0.32</v>
      </c>
      <c r="U265">
        <f>SmtRes!X337</f>
        <v>-628430174</v>
      </c>
      <c r="V265">
        <v>-1989157500</v>
      </c>
      <c r="W265">
        <v>1752455861</v>
      </c>
    </row>
    <row r="266" spans="1:23" x14ac:dyDescent="0.2">
      <c r="A266">
        <f>Source!A1043</f>
        <v>4</v>
      </c>
      <c r="B266">
        <v>1043</v>
      </c>
      <c r="G266" t="str">
        <f>Source!G1043</f>
        <v>37.2. Установка ограждения паркового высота 2,5 м</v>
      </c>
    </row>
    <row r="267" spans="1:23" x14ac:dyDescent="0.2">
      <c r="A267">
        <f>Source!A1077</f>
        <v>4</v>
      </c>
      <c r="B267">
        <v>1077</v>
      </c>
      <c r="G267" t="str">
        <f>Source!G1077</f>
        <v>38. Монтаж поликарбоната на ограждение</v>
      </c>
    </row>
    <row r="268" spans="1:23" x14ac:dyDescent="0.2">
      <c r="A268">
        <f>Source!A1111</f>
        <v>4</v>
      </c>
      <c r="B268">
        <v>1111</v>
      </c>
      <c r="G268" t="str">
        <f>Source!G1111</f>
        <v>39. Установка металлического ограждениядворовой территории высотой 3 м</v>
      </c>
    </row>
    <row r="269" spans="1:23" x14ac:dyDescent="0.2">
      <c r="A269">
        <f>Source!A1145</f>
        <v>4</v>
      </c>
      <c r="B269">
        <v>1145</v>
      </c>
      <c r="G269" t="str">
        <f>Source!G1145</f>
        <v>41. Установка информационных и дорожных знаков</v>
      </c>
    </row>
    <row r="270" spans="1:23" x14ac:dyDescent="0.2">
      <c r="A270">
        <f>Source!A1149</f>
        <v>17</v>
      </c>
      <c r="C270">
        <v>3</v>
      </c>
      <c r="D270">
        <v>0</v>
      </c>
      <c r="E270">
        <f>SmtRes!AV343</f>
        <v>0</v>
      </c>
      <c r="F270" t="str">
        <f>SmtRes!I343</f>
        <v>1.1-1-58</v>
      </c>
      <c r="G270" t="str">
        <f>SmtRes!K343</f>
        <v>Болты строительные с гайками оцинкованные (10х100 мм)</v>
      </c>
      <c r="H270" t="str">
        <f>SmtRes!O343</f>
        <v>т</v>
      </c>
      <c r="I270">
        <f>SmtRes!Y343*Source!I1149</f>
        <v>9.6000000000000009E-3</v>
      </c>
      <c r="J270">
        <f>SmtRes!AO343</f>
        <v>1</v>
      </c>
      <c r="K270">
        <f>SmtRes!AE343</f>
        <v>24618.39</v>
      </c>
      <c r="L270">
        <f>SmtRes!DB343</f>
        <v>1181.68</v>
      </c>
      <c r="M270">
        <f>ROUND(ROUND(L270*Source!I1149, 6)*1, 2)</f>
        <v>236.34</v>
      </c>
      <c r="N270">
        <f>SmtRes!AA343</f>
        <v>94042.25</v>
      </c>
      <c r="O270">
        <f>ROUND(ROUND(L270*Source!I1149, 6)*SmtRes!DA343, 2)</f>
        <v>902.8</v>
      </c>
      <c r="P270">
        <f>SmtRes!AG343</f>
        <v>0</v>
      </c>
      <c r="Q270">
        <f>SmtRes!DC343</f>
        <v>0</v>
      </c>
      <c r="R270">
        <f>ROUND(ROUND(Q270*Source!I1149, 6)*1, 2)</f>
        <v>0</v>
      </c>
      <c r="S270">
        <f>SmtRes!AC343</f>
        <v>0</v>
      </c>
      <c r="T270">
        <f>ROUND(ROUND(Q270*Source!I1149, 6)*SmtRes!AK343, 2)</f>
        <v>0</v>
      </c>
      <c r="U270">
        <f>SmtRes!X343</f>
        <v>238444175</v>
      </c>
      <c r="V270">
        <v>-649257975</v>
      </c>
      <c r="W270">
        <v>-443616964</v>
      </c>
    </row>
    <row r="271" spans="1:23" x14ac:dyDescent="0.2">
      <c r="A271">
        <f>Source!A1149</f>
        <v>17</v>
      </c>
      <c r="C271">
        <v>2</v>
      </c>
      <c r="D271">
        <v>0</v>
      </c>
      <c r="E271">
        <f>SmtRes!AV342</f>
        <v>0</v>
      </c>
      <c r="F271" t="str">
        <f>SmtRes!I342</f>
        <v>2.1-9-1</v>
      </c>
      <c r="G271" t="str">
        <f>SmtRes!K342</f>
        <v>Машины бурильно-крановые на базе трактора, глубина бурения до 5 м</v>
      </c>
      <c r="H271" t="str">
        <f>SmtRes!O342</f>
        <v>маш.-ч.</v>
      </c>
      <c r="I271">
        <f>SmtRes!Y342*Source!I1149</f>
        <v>2.2000000000000002</v>
      </c>
      <c r="J271">
        <f>SmtRes!AO342</f>
        <v>1</v>
      </c>
      <c r="K271">
        <f>SmtRes!AF342</f>
        <v>101.39</v>
      </c>
      <c r="L271">
        <f>SmtRes!DB342</f>
        <v>1115.29</v>
      </c>
      <c r="M271">
        <f>ROUND(ROUND(L271*Source!I1149, 6)*1, 2)</f>
        <v>223.06</v>
      </c>
      <c r="N271">
        <f>SmtRes!AB342</f>
        <v>1342.86</v>
      </c>
      <c r="O271">
        <f>ROUND(ROUND(L271*Source!I1149, 6)*SmtRes!DA342, 2)</f>
        <v>2821.68</v>
      </c>
      <c r="P271">
        <f>SmtRes!AG342</f>
        <v>22.54</v>
      </c>
      <c r="Q271">
        <f>SmtRes!DC342</f>
        <v>247.94</v>
      </c>
      <c r="R271">
        <f>ROUND(ROUND(Q271*Source!I1149, 6)*1, 2)</f>
        <v>49.59</v>
      </c>
      <c r="S271">
        <f>SmtRes!AC342</f>
        <v>578.89</v>
      </c>
      <c r="T271">
        <f>ROUND(ROUND(Q271*Source!I1149, 6)*SmtRes!AK342, 2)</f>
        <v>1216.3900000000001</v>
      </c>
      <c r="U271">
        <f>SmtRes!X342</f>
        <v>-1376231497</v>
      </c>
      <c r="V271">
        <v>-1913414838</v>
      </c>
      <c r="W271">
        <v>2079271295</v>
      </c>
    </row>
    <row r="272" spans="1:23" x14ac:dyDescent="0.2">
      <c r="A272">
        <f>Source!A1150</f>
        <v>18</v>
      </c>
      <c r="B272">
        <v>1150</v>
      </c>
      <c r="C272">
        <v>3</v>
      </c>
      <c r="D272">
        <f>Source!BI1150</f>
        <v>1</v>
      </c>
      <c r="E272">
        <f>Source!FS1150</f>
        <v>0</v>
      </c>
      <c r="F272" t="str">
        <f>Source!F1150</f>
        <v>1.7-13-5</v>
      </c>
      <c r="G272" t="str">
        <f>Source!G1150</f>
        <v>Знаки из тонколистовой оцинкованной стали со световозвращающей пленкой, круглой формы, диаметр 700 мм</v>
      </c>
      <c r="H272" t="str">
        <f>Source!H1150</f>
        <v>шт.</v>
      </c>
      <c r="I272">
        <f>Source!I1150</f>
        <v>20</v>
      </c>
      <c r="J272">
        <v>1</v>
      </c>
      <c r="K272">
        <f>Source!AC1150</f>
        <v>636.66</v>
      </c>
      <c r="M272">
        <f>ROUND(K272*I272, 2)</f>
        <v>12733.2</v>
      </c>
      <c r="N272">
        <f>Source!AC1150*IF(Source!BC1150&lt;&gt; 0, Source!BC1150, 1)</f>
        <v>814.9248</v>
      </c>
      <c r="O272">
        <f>ROUND(N272*I272, 2)</f>
        <v>16298.5</v>
      </c>
      <c r="P272">
        <f>Source!AE1150</f>
        <v>0</v>
      </c>
      <c r="R272">
        <f>ROUND(P272*I272, 2)</f>
        <v>0</v>
      </c>
      <c r="S272">
        <f>Source!AE1150*IF(Source!BS1150&lt;&gt; 0, Source!BS1150, 1)</f>
        <v>0</v>
      </c>
      <c r="T272">
        <f>ROUND(S272*I272, 2)</f>
        <v>0</v>
      </c>
      <c r="U272">
        <f>Source!GF1150</f>
        <v>-1951501916</v>
      </c>
      <c r="V272">
        <v>-1654131854</v>
      </c>
      <c r="W272">
        <v>2080073401</v>
      </c>
    </row>
    <row r="273" spans="1:23" x14ac:dyDescent="0.2">
      <c r="A273">
        <f>Source!A1151</f>
        <v>18</v>
      </c>
      <c r="B273">
        <v>1151</v>
      </c>
      <c r="C273">
        <v>3</v>
      </c>
      <c r="D273">
        <f>Source!BI1151</f>
        <v>1</v>
      </c>
      <c r="E273">
        <f>Source!FS1151</f>
        <v>0</v>
      </c>
      <c r="F273" t="str">
        <f>Source!F1151</f>
        <v>1.7-13-100</v>
      </c>
      <c r="G273" t="str">
        <f>Source!G1151</f>
        <v>Стойки из оцинкованной стали, диаметр 76 мм</v>
      </c>
      <c r="H273" t="str">
        <f>Source!H1151</f>
        <v>м</v>
      </c>
      <c r="I273">
        <f>Source!I1151</f>
        <v>30</v>
      </c>
      <c r="J273">
        <v>1</v>
      </c>
      <c r="K273">
        <f>Source!AC1151</f>
        <v>191.48</v>
      </c>
      <c r="M273">
        <f>ROUND(K273*I273, 2)</f>
        <v>5744.4</v>
      </c>
      <c r="N273">
        <f>Source!AC1151*IF(Source!BC1151&lt;&gt; 0, Source!BC1151, 1)</f>
        <v>513.16639999999995</v>
      </c>
      <c r="O273">
        <f>ROUND(N273*I273, 2)</f>
        <v>15394.99</v>
      </c>
      <c r="P273">
        <f>Source!AE1151</f>
        <v>0</v>
      </c>
      <c r="R273">
        <f>ROUND(P273*I273, 2)</f>
        <v>0</v>
      </c>
      <c r="S273">
        <f>Source!AE1151*IF(Source!BS1151&lt;&gt; 0, Source!BS1151, 1)</f>
        <v>0</v>
      </c>
      <c r="T273">
        <f>ROUND(S273*I273, 2)</f>
        <v>0</v>
      </c>
      <c r="U273">
        <f>Source!GF1151</f>
        <v>1643840078</v>
      </c>
      <c r="V273">
        <v>1635868368</v>
      </c>
      <c r="W273">
        <v>599233532</v>
      </c>
    </row>
    <row r="274" spans="1:23" x14ac:dyDescent="0.2">
      <c r="A274">
        <f>Source!A1152</f>
        <v>18</v>
      </c>
      <c r="B274">
        <v>1152</v>
      </c>
      <c r="C274">
        <v>3</v>
      </c>
      <c r="D274">
        <f>Source!BI1152</f>
        <v>1</v>
      </c>
      <c r="E274">
        <f>Source!FS1152</f>
        <v>0</v>
      </c>
      <c r="F274" t="str">
        <f>Source!F1152</f>
        <v>1.7-13-101</v>
      </c>
      <c r="G274" t="str">
        <f>Source!G1152</f>
        <v>Хомуты из оцинкованной стали, диаметр 76 мм</v>
      </c>
      <c r="H274" t="str">
        <f>Source!H1152</f>
        <v>шт.</v>
      </c>
      <c r="I274">
        <f>Source!I1152</f>
        <v>20</v>
      </c>
      <c r="J274">
        <v>1</v>
      </c>
      <c r="K274">
        <f>Source!AC1152</f>
        <v>47.28</v>
      </c>
      <c r="M274">
        <f>ROUND(K274*I274, 2)</f>
        <v>945.6</v>
      </c>
      <c r="N274">
        <f>Source!AC1152*IF(Source!BC1152&lt;&gt; 0, Source!BC1152, 1)</f>
        <v>55.317599999999999</v>
      </c>
      <c r="O274">
        <f>ROUND(N274*I274, 2)</f>
        <v>1106.3499999999999</v>
      </c>
      <c r="P274">
        <f>Source!AE1152</f>
        <v>0</v>
      </c>
      <c r="R274">
        <f>ROUND(P274*I274, 2)</f>
        <v>0</v>
      </c>
      <c r="S274">
        <f>Source!AE1152*IF(Source!BS1152&lt;&gt; 0, Source!BS1152, 1)</f>
        <v>0</v>
      </c>
      <c r="T274">
        <f>ROUND(S274*I274, 2)</f>
        <v>0</v>
      </c>
      <c r="U274">
        <f>Source!GF1152</f>
        <v>645346249</v>
      </c>
      <c r="V274">
        <v>-1746708717</v>
      </c>
      <c r="W274">
        <v>-698957023</v>
      </c>
    </row>
    <row r="275" spans="1:23" x14ac:dyDescent="0.2">
      <c r="A275">
        <f>Source!A1153</f>
        <v>17</v>
      </c>
      <c r="C275">
        <v>3</v>
      </c>
      <c r="D275">
        <v>0</v>
      </c>
      <c r="E275">
        <f>SmtRes!AV348</f>
        <v>0</v>
      </c>
      <c r="F275" t="str">
        <f>SmtRes!I348</f>
        <v>1.7-13-101</v>
      </c>
      <c r="G275" t="str">
        <f>SmtRes!K348</f>
        <v>Хомуты из оцинкованной стали, диаметр 76 мм</v>
      </c>
      <c r="H275" t="str">
        <f>SmtRes!O348</f>
        <v>шт.</v>
      </c>
      <c r="I275">
        <f>SmtRes!Y348*Source!I1153</f>
        <v>20</v>
      </c>
      <c r="J275">
        <f>SmtRes!AO348</f>
        <v>1</v>
      </c>
      <c r="K275">
        <f>SmtRes!AE348</f>
        <v>47.28</v>
      </c>
      <c r="L275">
        <f>SmtRes!DB348</f>
        <v>4728</v>
      </c>
      <c r="M275">
        <f>ROUND(ROUND(L275*Source!I1153, 6)*1, 2)</f>
        <v>945.6</v>
      </c>
      <c r="N275">
        <f>SmtRes!AA348</f>
        <v>55.32</v>
      </c>
      <c r="O275">
        <f>ROUND(ROUND(L275*Source!I1153, 6)*SmtRes!DA348, 2)</f>
        <v>1106.3499999999999</v>
      </c>
      <c r="P275">
        <f>SmtRes!AG348</f>
        <v>0</v>
      </c>
      <c r="Q275">
        <f>SmtRes!DC348</f>
        <v>0</v>
      </c>
      <c r="R275">
        <f>ROUND(ROUND(Q275*Source!I1153, 6)*1, 2)</f>
        <v>0</v>
      </c>
      <c r="S275">
        <f>SmtRes!AC348</f>
        <v>0</v>
      </c>
      <c r="T275">
        <f>ROUND(ROUND(Q275*Source!I1153, 6)*SmtRes!AK348, 2)</f>
        <v>0</v>
      </c>
      <c r="U275">
        <f>SmtRes!X348</f>
        <v>645346249</v>
      </c>
      <c r="V275">
        <v>-1746708717</v>
      </c>
      <c r="W275">
        <v>-112955785</v>
      </c>
    </row>
    <row r="276" spans="1:23" x14ac:dyDescent="0.2">
      <c r="A276">
        <f>Source!A1154</f>
        <v>18</v>
      </c>
      <c r="B276">
        <v>1154</v>
      </c>
      <c r="C276">
        <v>3</v>
      </c>
      <c r="D276">
        <f>Source!BI1154</f>
        <v>1</v>
      </c>
      <c r="E276">
        <f>Source!FS1154</f>
        <v>0</v>
      </c>
      <c r="F276" t="str">
        <f>Source!F1154</f>
        <v>1.7-13-5</v>
      </c>
      <c r="G276" t="str">
        <f>Source!G1154</f>
        <v>Знаки из тонколистовой оцинкованной стали со световозвращающей пленкой, круглой формы, диаметр 700 мм</v>
      </c>
      <c r="H276" t="str">
        <f>Source!H1154</f>
        <v>шт.</v>
      </c>
      <c r="I276">
        <f>Source!I1154</f>
        <v>20</v>
      </c>
      <c r="J276">
        <v>1</v>
      </c>
      <c r="K276">
        <f>Source!AC1154</f>
        <v>636.66</v>
      </c>
      <c r="M276">
        <f>ROUND(K276*I276, 2)</f>
        <v>12733.2</v>
      </c>
      <c r="N276">
        <f>Source!AC1154*IF(Source!BC1154&lt;&gt; 0, Source!BC1154, 1)</f>
        <v>814.9248</v>
      </c>
      <c r="O276">
        <f>ROUND(N276*I276, 2)</f>
        <v>16298.5</v>
      </c>
      <c r="P276">
        <f>Source!AE1154</f>
        <v>0</v>
      </c>
      <c r="R276">
        <f>ROUND(P276*I276, 2)</f>
        <v>0</v>
      </c>
      <c r="S276">
        <f>Source!AE1154*IF(Source!BS1154&lt;&gt; 0, Source!BS1154, 1)</f>
        <v>0</v>
      </c>
      <c r="T276">
        <f>ROUND(S276*I276, 2)</f>
        <v>0</v>
      </c>
      <c r="U276">
        <f>Source!GF1154</f>
        <v>-1951501916</v>
      </c>
      <c r="V276">
        <v>-1654131854</v>
      </c>
      <c r="W276">
        <v>2080073401</v>
      </c>
    </row>
    <row r="277" spans="1:23" x14ac:dyDescent="0.2">
      <c r="A277">
        <f>Source!A1155</f>
        <v>18</v>
      </c>
      <c r="B277">
        <v>1155</v>
      </c>
      <c r="C277">
        <v>3</v>
      </c>
      <c r="D277">
        <f>Source!BI1155</f>
        <v>1</v>
      </c>
      <c r="E277">
        <f>Source!FS1155</f>
        <v>0</v>
      </c>
      <c r="F277" t="str">
        <f>Source!F1155</f>
        <v>1.7-13-101</v>
      </c>
      <c r="G277" t="str">
        <f>Source!G1155</f>
        <v>Хомуты из оцинкованной стали, диаметр 76 мм</v>
      </c>
      <c r="H277" t="str">
        <f>Source!H1155</f>
        <v>шт.</v>
      </c>
      <c r="I277">
        <f>Source!I1155</f>
        <v>20</v>
      </c>
      <c r="J277">
        <v>1</v>
      </c>
      <c r="K277">
        <f>Source!AC1155</f>
        <v>47.28</v>
      </c>
      <c r="M277">
        <f>ROUND(K277*I277, 2)</f>
        <v>945.6</v>
      </c>
      <c r="N277">
        <f>Source!AC1155*IF(Source!BC1155&lt;&gt; 0, Source!BC1155, 1)</f>
        <v>55.317599999999999</v>
      </c>
      <c r="O277">
        <f>ROUND(N277*I277, 2)</f>
        <v>1106.3499999999999</v>
      </c>
      <c r="P277">
        <f>Source!AE1155</f>
        <v>0</v>
      </c>
      <c r="R277">
        <f>ROUND(P277*I277, 2)</f>
        <v>0</v>
      </c>
      <c r="S277">
        <f>Source!AE1155*IF(Source!BS1155&lt;&gt; 0, Source!BS1155, 1)</f>
        <v>0</v>
      </c>
      <c r="T277">
        <f>ROUND(S277*I277, 2)</f>
        <v>0</v>
      </c>
      <c r="U277">
        <f>Source!GF1155</f>
        <v>645346249</v>
      </c>
      <c r="V277">
        <v>-1746708717</v>
      </c>
      <c r="W277">
        <v>-698957023</v>
      </c>
    </row>
    <row r="278" spans="1:23" x14ac:dyDescent="0.2">
      <c r="A278">
        <f>Source!A1188</f>
        <v>4</v>
      </c>
      <c r="B278">
        <v>1188</v>
      </c>
      <c r="G278" t="str">
        <f>Source!G1188</f>
        <v>42. Установка ИДН  (3,5м)</v>
      </c>
    </row>
    <row r="279" spans="1:23" x14ac:dyDescent="0.2">
      <c r="A279">
        <f>Source!A1192</f>
        <v>17</v>
      </c>
      <c r="C279">
        <v>3</v>
      </c>
      <c r="D279">
        <v>0</v>
      </c>
      <c r="E279">
        <f>SmtRes!AV359</f>
        <v>0</v>
      </c>
      <c r="F279" t="str">
        <f>SmtRes!I359</f>
        <v>9999990006</v>
      </c>
      <c r="G279" t="str">
        <f>SmtRes!K359</f>
        <v>Стоимость прочих материалов (ЭСН)</v>
      </c>
      <c r="H279" t="str">
        <f>SmtRes!O359</f>
        <v>руб.</v>
      </c>
      <c r="I279">
        <f>SmtRes!Y359*Source!I1192</f>
        <v>0.27</v>
      </c>
      <c r="J279">
        <f>SmtRes!AO359</f>
        <v>1</v>
      </c>
      <c r="K279">
        <f>SmtRes!AE359</f>
        <v>1</v>
      </c>
      <c r="L279">
        <f>SmtRes!DB359</f>
        <v>0.01</v>
      </c>
      <c r="M279">
        <f>ROUND(ROUND(L279*Source!I1192, 6)*1, 2)</f>
        <v>0.27</v>
      </c>
      <c r="N279">
        <f>SmtRes!AA359</f>
        <v>1.01</v>
      </c>
      <c r="O279">
        <f>ROUND(ROUND(L279*Source!I1192, 6)*SmtRes!DA359, 2)</f>
        <v>0.27</v>
      </c>
      <c r="P279">
        <f>SmtRes!AG359</f>
        <v>0</v>
      </c>
      <c r="Q279">
        <f>SmtRes!DC359</f>
        <v>0</v>
      </c>
      <c r="R279">
        <f>ROUND(ROUND(Q279*Source!I1192, 6)*1, 2)</f>
        <v>0</v>
      </c>
      <c r="S279">
        <f>SmtRes!AC359</f>
        <v>0</v>
      </c>
      <c r="T279">
        <f>ROUND(ROUND(Q279*Source!I1192, 6)*SmtRes!AK359, 2)</f>
        <v>0</v>
      </c>
      <c r="U279">
        <f>SmtRes!X359</f>
        <v>-94250534</v>
      </c>
      <c r="V279">
        <v>-1341645062</v>
      </c>
      <c r="W279">
        <v>575082756</v>
      </c>
    </row>
    <row r="280" spans="1:23" x14ac:dyDescent="0.2">
      <c r="A280">
        <f>Source!A1192</f>
        <v>17</v>
      </c>
      <c r="C280">
        <v>3</v>
      </c>
      <c r="D280">
        <v>0</v>
      </c>
      <c r="E280">
        <f>SmtRes!AV358</f>
        <v>0</v>
      </c>
      <c r="F280" t="str">
        <f>SmtRes!I358</f>
        <v>1.7-5-229</v>
      </c>
      <c r="G280" t="str">
        <f>SmtRes!K358</f>
        <v>Анкер-болт оцинкованный с пластиковой втулкой, для крепления искусственных дорожных неровностей, размеры 10х135 мм</v>
      </c>
      <c r="H280" t="str">
        <f>SmtRes!O358</f>
        <v>шт.</v>
      </c>
      <c r="I280">
        <f>SmtRes!Y358*Source!I1192</f>
        <v>615.9996000000001</v>
      </c>
      <c r="J280">
        <f>SmtRes!AO358</f>
        <v>1</v>
      </c>
      <c r="K280">
        <f>SmtRes!AE358</f>
        <v>11.58</v>
      </c>
      <c r="L280">
        <f>SmtRes!DB358</f>
        <v>264.2</v>
      </c>
      <c r="M280">
        <f>ROUND(ROUND(L280*Source!I1192, 6)*1, 2)</f>
        <v>7133.4</v>
      </c>
      <c r="N280">
        <f>SmtRes!AA358</f>
        <v>26.21</v>
      </c>
      <c r="O280">
        <f>ROUND(ROUND(L280*Source!I1192, 6)*SmtRes!DA358, 2)</f>
        <v>16050.15</v>
      </c>
      <c r="P280">
        <f>SmtRes!AG358</f>
        <v>0</v>
      </c>
      <c r="Q280">
        <f>SmtRes!DC358</f>
        <v>0</v>
      </c>
      <c r="R280">
        <f>ROUND(ROUND(Q280*Source!I1192, 6)*1, 2)</f>
        <v>0</v>
      </c>
      <c r="S280">
        <f>SmtRes!AC358</f>
        <v>0</v>
      </c>
      <c r="T280">
        <f>ROUND(ROUND(Q280*Source!I1192, 6)*SmtRes!AK358, 2)</f>
        <v>0</v>
      </c>
      <c r="U280">
        <f>SmtRes!X358</f>
        <v>-1963666126</v>
      </c>
      <c r="V280">
        <v>1728779386</v>
      </c>
      <c r="W280">
        <v>-1948157840</v>
      </c>
    </row>
    <row r="281" spans="1:23" x14ac:dyDescent="0.2">
      <c r="A281">
        <f>Source!A1192</f>
        <v>17</v>
      </c>
      <c r="C281">
        <v>3</v>
      </c>
      <c r="D281">
        <v>0</v>
      </c>
      <c r="E281">
        <f>SmtRes!AV357</f>
        <v>0</v>
      </c>
      <c r="F281" t="str">
        <f>SmtRes!I357</f>
        <v>1.7-3-73</v>
      </c>
      <c r="G281" t="str">
        <f>SmtRes!K357</f>
        <v>Бур с наконечником из твердого сплава, с хвостовиком SDS-max, диаметр 16 мм, длина 340 мм</v>
      </c>
      <c r="H281" t="str">
        <f>SmtRes!O357</f>
        <v>шт.</v>
      </c>
      <c r="I281">
        <f>SmtRes!Y357*Source!I1192</f>
        <v>41.067</v>
      </c>
      <c r="J281">
        <f>SmtRes!AO357</f>
        <v>1</v>
      </c>
      <c r="K281">
        <f>SmtRes!AE357</f>
        <v>373.37</v>
      </c>
      <c r="L281">
        <f>SmtRes!DB357</f>
        <v>567.9</v>
      </c>
      <c r="M281">
        <f>ROUND(ROUND(L281*Source!I1192, 6)*1, 2)</f>
        <v>15333.3</v>
      </c>
      <c r="N281">
        <f>SmtRes!AA357</f>
        <v>1006.64</v>
      </c>
      <c r="O281">
        <f>ROUND(ROUND(L281*Source!I1192, 6)*SmtRes!DA357, 2)</f>
        <v>41093.24</v>
      </c>
      <c r="P281">
        <f>SmtRes!AG357</f>
        <v>0</v>
      </c>
      <c r="Q281">
        <f>SmtRes!DC357</f>
        <v>0</v>
      </c>
      <c r="R281">
        <f>ROUND(ROUND(Q281*Source!I1192, 6)*1, 2)</f>
        <v>0</v>
      </c>
      <c r="S281">
        <f>SmtRes!AC357</f>
        <v>0</v>
      </c>
      <c r="T281">
        <f>ROUND(ROUND(Q281*Source!I1192, 6)*SmtRes!AK357, 2)</f>
        <v>0</v>
      </c>
      <c r="U281">
        <f>SmtRes!X357</f>
        <v>-1551247525</v>
      </c>
      <c r="V281">
        <v>-2025506423</v>
      </c>
      <c r="W281">
        <v>-1683334093</v>
      </c>
    </row>
    <row r="282" spans="1:23" x14ac:dyDescent="0.2">
      <c r="A282">
        <f>Source!A1192</f>
        <v>17</v>
      </c>
      <c r="C282">
        <v>3</v>
      </c>
      <c r="D282">
        <v>0</v>
      </c>
      <c r="E282">
        <f>SmtRes!AV356</f>
        <v>0</v>
      </c>
      <c r="F282" t="str">
        <f>SmtRes!I356</f>
        <v>1.1-1-2876</v>
      </c>
      <c r="G282" t="str">
        <f>SmtRes!K356</f>
        <v>Клей полиуретановый двухкомпонентный</v>
      </c>
      <c r="H282" t="str">
        <f>SmtRes!O356</f>
        <v>кг</v>
      </c>
      <c r="I282">
        <f>SmtRes!Y356*Source!I1192</f>
        <v>23.4009</v>
      </c>
      <c r="J282">
        <f>SmtRes!AO356</f>
        <v>1</v>
      </c>
      <c r="K282">
        <f>SmtRes!AE356</f>
        <v>221.64</v>
      </c>
      <c r="L282">
        <f>SmtRes!DB356</f>
        <v>192.1</v>
      </c>
      <c r="M282">
        <f>ROUND(ROUND(L282*Source!I1192, 6)*1, 2)</f>
        <v>5186.7</v>
      </c>
      <c r="N282">
        <f>SmtRes!AA356</f>
        <v>280.94</v>
      </c>
      <c r="O282">
        <f>ROUND(ROUND(L282*Source!I1192, 6)*SmtRes!DA356, 2)</f>
        <v>6535.24</v>
      </c>
      <c r="P282">
        <f>SmtRes!AG356</f>
        <v>0</v>
      </c>
      <c r="Q282">
        <f>SmtRes!DC356</f>
        <v>0</v>
      </c>
      <c r="R282">
        <f>ROUND(ROUND(Q282*Source!I1192, 6)*1, 2)</f>
        <v>0</v>
      </c>
      <c r="S282">
        <f>SmtRes!AC356</f>
        <v>0</v>
      </c>
      <c r="T282">
        <f>ROUND(ROUND(Q282*Source!I1192, 6)*SmtRes!AK356, 2)</f>
        <v>0</v>
      </c>
      <c r="U282">
        <f>SmtRes!X356</f>
        <v>1077528645</v>
      </c>
      <c r="V282">
        <v>320848201</v>
      </c>
      <c r="W282">
        <v>1720427074</v>
      </c>
    </row>
    <row r="283" spans="1:23" x14ac:dyDescent="0.2">
      <c r="A283">
        <f>Source!A1192</f>
        <v>17</v>
      </c>
      <c r="C283">
        <v>2</v>
      </c>
      <c r="D283">
        <v>0</v>
      </c>
      <c r="E283">
        <f>SmtRes!AV354</f>
        <v>0</v>
      </c>
      <c r="F283" t="str">
        <f>SmtRes!I354</f>
        <v>2.1-30-56</v>
      </c>
      <c r="G283" t="str">
        <f>SmtRes!K354</f>
        <v>Шуруповерты</v>
      </c>
      <c r="H283" t="str">
        <f>SmtRes!O354</f>
        <v>маш.-ч.</v>
      </c>
      <c r="I283">
        <f>SmtRes!Y354*Source!I1192</f>
        <v>6.4799999999999995</v>
      </c>
      <c r="J283">
        <f>SmtRes!AO354</f>
        <v>1</v>
      </c>
      <c r="K283">
        <f>SmtRes!AF354</f>
        <v>0.64</v>
      </c>
      <c r="L283">
        <f>SmtRes!DB354</f>
        <v>0.15</v>
      </c>
      <c r="M283">
        <f>ROUND(ROUND(L283*Source!I1192, 6)*1, 2)</f>
        <v>4.05</v>
      </c>
      <c r="N283">
        <f>SmtRes!AB354</f>
        <v>6.16</v>
      </c>
      <c r="O283">
        <f>ROUND(ROUND(L283*Source!I1192, 6)*SmtRes!DA354, 2)</f>
        <v>37.26</v>
      </c>
      <c r="P283">
        <f>SmtRes!AG354</f>
        <v>0.04</v>
      </c>
      <c r="Q283">
        <f>SmtRes!DC354</f>
        <v>0.01</v>
      </c>
      <c r="R283">
        <f>ROUND(ROUND(Q283*Source!I1192, 6)*1, 2)</f>
        <v>0.27</v>
      </c>
      <c r="S283">
        <f>SmtRes!AC354</f>
        <v>1.03</v>
      </c>
      <c r="T283">
        <f>ROUND(ROUND(Q283*Source!I1192, 6)*SmtRes!AK354, 2)</f>
        <v>6.62</v>
      </c>
      <c r="U283">
        <f>SmtRes!X354</f>
        <v>926785503</v>
      </c>
      <c r="V283">
        <v>1087820908</v>
      </c>
      <c r="W283">
        <v>-990741413</v>
      </c>
    </row>
    <row r="284" spans="1:23" x14ac:dyDescent="0.2">
      <c r="A284">
        <f>Source!A1192</f>
        <v>17</v>
      </c>
      <c r="C284">
        <v>2</v>
      </c>
      <c r="D284">
        <v>0</v>
      </c>
      <c r="E284">
        <f>SmtRes!AV353</f>
        <v>0</v>
      </c>
      <c r="F284" t="str">
        <f>SmtRes!I353</f>
        <v>2.1-30-103</v>
      </c>
      <c r="G284" t="str">
        <f>SmtRes!K353</f>
        <v>Перфораторы электрические, мощность до 1,2 кВт</v>
      </c>
      <c r="H284" t="str">
        <f>SmtRes!O353</f>
        <v>маш.-ч.</v>
      </c>
      <c r="I284">
        <f>SmtRes!Y353*Source!I1192</f>
        <v>44.279999999999994</v>
      </c>
      <c r="J284">
        <f>SmtRes!AO353</f>
        <v>1</v>
      </c>
      <c r="K284">
        <f>SmtRes!AF353</f>
        <v>2.36</v>
      </c>
      <c r="L284">
        <f>SmtRes!DB353</f>
        <v>3.87</v>
      </c>
      <c r="M284">
        <f>ROUND(ROUND(L284*Source!I1192, 6)*1, 2)</f>
        <v>104.49</v>
      </c>
      <c r="N284">
        <f>SmtRes!AB353</f>
        <v>9.4600000000000009</v>
      </c>
      <c r="O284">
        <f>ROUND(ROUND(L284*Source!I1192, 6)*SmtRes!DA353, 2)</f>
        <v>400.2</v>
      </c>
      <c r="P284">
        <f>SmtRes!AG353</f>
        <v>0.04</v>
      </c>
      <c r="Q284">
        <f>SmtRes!DC353</f>
        <v>7.0000000000000007E-2</v>
      </c>
      <c r="R284">
        <f>ROUND(ROUND(Q284*Source!I1192, 6)*1, 2)</f>
        <v>1.89</v>
      </c>
      <c r="S284">
        <f>SmtRes!AC353</f>
        <v>1.03</v>
      </c>
      <c r="T284">
        <f>ROUND(ROUND(Q284*Source!I1192, 6)*SmtRes!AK353, 2)</f>
        <v>46.36</v>
      </c>
      <c r="U284">
        <f>SmtRes!X353</f>
        <v>593980231</v>
      </c>
      <c r="V284">
        <v>-329438901</v>
      </c>
      <c r="W284">
        <v>1948072077</v>
      </c>
    </row>
    <row r="285" spans="1:23" x14ac:dyDescent="0.2">
      <c r="A285">
        <f>Source!A1192</f>
        <v>17</v>
      </c>
      <c r="C285">
        <v>2</v>
      </c>
      <c r="D285">
        <v>0</v>
      </c>
      <c r="E285">
        <f>SmtRes!AV352</f>
        <v>0</v>
      </c>
      <c r="F285" t="str">
        <f>SmtRes!I352</f>
        <v>2.1-18-7</v>
      </c>
      <c r="G285" t="str">
        <f>SmtRes!K352</f>
        <v>Автомобили грузовые бортовые, грузоподъемность до 5 т</v>
      </c>
      <c r="H285" t="str">
        <f>SmtRes!O352</f>
        <v>маш.-ч.</v>
      </c>
      <c r="I285">
        <f>SmtRes!Y352*Source!I1192</f>
        <v>0.54</v>
      </c>
      <c r="J285">
        <f>SmtRes!AO352</f>
        <v>1</v>
      </c>
      <c r="K285">
        <f>SmtRes!AF352</f>
        <v>76.81</v>
      </c>
      <c r="L285">
        <f>SmtRes!DB352</f>
        <v>1.54</v>
      </c>
      <c r="M285">
        <f>ROUND(ROUND(L285*Source!I1192, 6)*1, 2)</f>
        <v>41.58</v>
      </c>
      <c r="N285">
        <f>SmtRes!AB352</f>
        <v>755.14</v>
      </c>
      <c r="O285">
        <f>ROUND(ROUND(L285*Source!I1192, 6)*SmtRes!DA352, 2)</f>
        <v>390.44</v>
      </c>
      <c r="P285">
        <f>SmtRes!AG352</f>
        <v>14.36</v>
      </c>
      <c r="Q285">
        <f>SmtRes!DC352</f>
        <v>0.28999999999999998</v>
      </c>
      <c r="R285">
        <f>ROUND(ROUND(Q285*Source!I1192, 6)*1, 2)</f>
        <v>7.83</v>
      </c>
      <c r="S285">
        <f>SmtRes!AC352</f>
        <v>368.81</v>
      </c>
      <c r="T285">
        <f>ROUND(ROUND(Q285*Source!I1192, 6)*SmtRes!AK352, 2)</f>
        <v>192.07</v>
      </c>
      <c r="U285">
        <f>SmtRes!X352</f>
        <v>-628430174</v>
      </c>
      <c r="V285">
        <v>-1989157500</v>
      </c>
      <c r="W285">
        <v>1752455861</v>
      </c>
    </row>
    <row r="286" spans="1:23" x14ac:dyDescent="0.2">
      <c r="A286">
        <f>Source!A1193</f>
        <v>18</v>
      </c>
      <c r="B286">
        <v>1193</v>
      </c>
      <c r="C286">
        <v>3</v>
      </c>
      <c r="D286">
        <f>Source!BI1193</f>
        <v>1</v>
      </c>
      <c r="E286">
        <f>Source!FS1193</f>
        <v>0</v>
      </c>
      <c r="F286" t="str">
        <f>Source!F1193</f>
        <v>1.1-1-2874</v>
      </c>
      <c r="G286" t="str">
        <f>Source!G1193</f>
        <v>Искусственная дорожная неровность из резины, средний элемент, размеры 900х500 мм</v>
      </c>
      <c r="H286" t="str">
        <f>Source!H1193</f>
        <v>шт.</v>
      </c>
      <c r="I286">
        <f>Source!I1193</f>
        <v>60</v>
      </c>
      <c r="J286">
        <v>1</v>
      </c>
      <c r="K286">
        <f>Source!AC1193</f>
        <v>1157.69</v>
      </c>
      <c r="M286">
        <f>ROUND(K286*I286, 2)</f>
        <v>69461.399999999994</v>
      </c>
      <c r="N286">
        <f>Source!AC1193*IF(Source!BC1193&lt;&gt; 0, Source!BC1193, 1)</f>
        <v>1528.1508000000001</v>
      </c>
      <c r="O286">
        <f>ROUND(N286*I286, 2)</f>
        <v>91689.05</v>
      </c>
      <c r="P286">
        <f>Source!AE1193</f>
        <v>0</v>
      </c>
      <c r="R286">
        <f>ROUND(P286*I286, 2)</f>
        <v>0</v>
      </c>
      <c r="S286">
        <f>Source!AE1193*IF(Source!BS1193&lt;&gt; 0, Source!BS1193, 1)</f>
        <v>0</v>
      </c>
      <c r="T286">
        <f>ROUND(S286*I286, 2)</f>
        <v>0</v>
      </c>
      <c r="U286">
        <f>Source!GF1193</f>
        <v>727499281</v>
      </c>
      <c r="V286">
        <v>-2103444116</v>
      </c>
      <c r="W286">
        <v>-1733298309</v>
      </c>
    </row>
    <row r="287" spans="1:23" x14ac:dyDescent="0.2">
      <c r="A287">
        <f>Source!A1194</f>
        <v>17</v>
      </c>
      <c r="C287">
        <v>3</v>
      </c>
      <c r="D287">
        <v>0</v>
      </c>
      <c r="E287">
        <f>SmtRes!AV367</f>
        <v>0</v>
      </c>
      <c r="F287" t="str">
        <f>SmtRes!I367</f>
        <v>1.7-5-229</v>
      </c>
      <c r="G287" t="str">
        <f>SmtRes!K367</f>
        <v>Анкер-болт оцинкованный с пластиковой втулкой, для крепления искусственных дорожных неровностей, размеры 10х135 мм</v>
      </c>
      <c r="H287" t="str">
        <f>SmtRes!O367</f>
        <v>шт.</v>
      </c>
      <c r="I287">
        <f>SmtRes!Y367*Source!I1194</f>
        <v>110.66670000000001</v>
      </c>
      <c r="J287">
        <f>SmtRes!AO367</f>
        <v>1</v>
      </c>
      <c r="K287">
        <f>SmtRes!AE367</f>
        <v>11.58</v>
      </c>
      <c r="L287">
        <f>SmtRes!DB367</f>
        <v>284.77999999999997</v>
      </c>
      <c r="M287">
        <f>ROUND(ROUND(L287*Source!I1194, 6)*1, 2)</f>
        <v>1281.51</v>
      </c>
      <c r="N287">
        <f>SmtRes!AA367</f>
        <v>26.21</v>
      </c>
      <c r="O287">
        <f>ROUND(ROUND(L287*Source!I1194, 6)*SmtRes!DA367, 2)</f>
        <v>2883.4</v>
      </c>
      <c r="P287">
        <f>SmtRes!AG367</f>
        <v>0</v>
      </c>
      <c r="Q287">
        <f>SmtRes!DC367</f>
        <v>0</v>
      </c>
      <c r="R287">
        <f>ROUND(ROUND(Q287*Source!I1194, 6)*1, 2)</f>
        <v>0</v>
      </c>
      <c r="S287">
        <f>SmtRes!AC367</f>
        <v>0</v>
      </c>
      <c r="T287">
        <f>ROUND(ROUND(Q287*Source!I1194, 6)*SmtRes!AK367, 2)</f>
        <v>0</v>
      </c>
      <c r="U287">
        <f>SmtRes!X367</f>
        <v>-1963666126</v>
      </c>
      <c r="V287">
        <v>1728779386</v>
      </c>
      <c r="W287">
        <v>-1948157840</v>
      </c>
    </row>
    <row r="288" spans="1:23" x14ac:dyDescent="0.2">
      <c r="A288">
        <f>Source!A1194</f>
        <v>17</v>
      </c>
      <c r="C288">
        <v>3</v>
      </c>
      <c r="D288">
        <v>0</v>
      </c>
      <c r="E288">
        <f>SmtRes!AV366</f>
        <v>0</v>
      </c>
      <c r="F288" t="str">
        <f>SmtRes!I366</f>
        <v>1.7-3-73</v>
      </c>
      <c r="G288" t="str">
        <f>SmtRes!K366</f>
        <v>Бур с наконечником из твердого сплава, с хвостовиком SDS-max, диаметр 16 мм, длина 340 мм</v>
      </c>
      <c r="H288" t="str">
        <f>SmtRes!O366</f>
        <v>шт.</v>
      </c>
      <c r="I288">
        <f>SmtRes!Y366*Source!I1194</f>
        <v>7.3777499999999998</v>
      </c>
      <c r="J288">
        <f>SmtRes!AO366</f>
        <v>1</v>
      </c>
      <c r="K288">
        <f>SmtRes!AE366</f>
        <v>373.37</v>
      </c>
      <c r="L288">
        <f>SmtRes!DB366</f>
        <v>612.14</v>
      </c>
      <c r="M288">
        <f>ROUND(ROUND(L288*Source!I1194, 6)*1, 2)</f>
        <v>2754.63</v>
      </c>
      <c r="N288">
        <f>SmtRes!AA366</f>
        <v>1006.64</v>
      </c>
      <c r="O288">
        <f>ROUND(ROUND(L288*Source!I1194, 6)*SmtRes!DA366, 2)</f>
        <v>7382.41</v>
      </c>
      <c r="P288">
        <f>SmtRes!AG366</f>
        <v>0</v>
      </c>
      <c r="Q288">
        <f>SmtRes!DC366</f>
        <v>0</v>
      </c>
      <c r="R288">
        <f>ROUND(ROUND(Q288*Source!I1194, 6)*1, 2)</f>
        <v>0</v>
      </c>
      <c r="S288">
        <f>SmtRes!AC366</f>
        <v>0</v>
      </c>
      <c r="T288">
        <f>ROUND(ROUND(Q288*Source!I1194, 6)*SmtRes!AK366, 2)</f>
        <v>0</v>
      </c>
      <c r="U288">
        <f>SmtRes!X366</f>
        <v>-1551247525</v>
      </c>
      <c r="V288">
        <v>-2025506423</v>
      </c>
      <c r="W288">
        <v>-1683334093</v>
      </c>
    </row>
    <row r="289" spans="1:23" x14ac:dyDescent="0.2">
      <c r="A289">
        <f>Source!A1194</f>
        <v>17</v>
      </c>
      <c r="C289">
        <v>3</v>
      </c>
      <c r="D289">
        <v>0</v>
      </c>
      <c r="E289">
        <f>SmtRes!AV365</f>
        <v>0</v>
      </c>
      <c r="F289" t="str">
        <f>SmtRes!I365</f>
        <v>1.1-1-2876</v>
      </c>
      <c r="G289" t="str">
        <f>SmtRes!K365</f>
        <v>Клей полиуретановый двухкомпонентный</v>
      </c>
      <c r="H289" t="str">
        <f>SmtRes!O365</f>
        <v>кг</v>
      </c>
      <c r="I289">
        <f>SmtRes!Y365*Source!I1194</f>
        <v>5.2001999999999997</v>
      </c>
      <c r="J289">
        <f>SmtRes!AO365</f>
        <v>1</v>
      </c>
      <c r="K289">
        <f>SmtRes!AE365</f>
        <v>221.64</v>
      </c>
      <c r="L289">
        <f>SmtRes!DB365</f>
        <v>256.13</v>
      </c>
      <c r="M289">
        <f>ROUND(ROUND(L289*Source!I1194, 6)*1, 2)</f>
        <v>1152.5899999999999</v>
      </c>
      <c r="N289">
        <f>SmtRes!AA365</f>
        <v>280.94</v>
      </c>
      <c r="O289">
        <f>ROUND(ROUND(L289*Source!I1194, 6)*SmtRes!DA365, 2)</f>
        <v>1452.26</v>
      </c>
      <c r="P289">
        <f>SmtRes!AG365</f>
        <v>0</v>
      </c>
      <c r="Q289">
        <f>SmtRes!DC365</f>
        <v>0</v>
      </c>
      <c r="R289">
        <f>ROUND(ROUND(Q289*Source!I1194, 6)*1, 2)</f>
        <v>0</v>
      </c>
      <c r="S289">
        <f>SmtRes!AC365</f>
        <v>0</v>
      </c>
      <c r="T289">
        <f>ROUND(ROUND(Q289*Source!I1194, 6)*SmtRes!AK365, 2)</f>
        <v>0</v>
      </c>
      <c r="U289">
        <f>SmtRes!X365</f>
        <v>1077528645</v>
      </c>
      <c r="V289">
        <v>320848201</v>
      </c>
      <c r="W289">
        <v>1720427074</v>
      </c>
    </row>
    <row r="290" spans="1:23" x14ac:dyDescent="0.2">
      <c r="A290">
        <f>Source!A1194</f>
        <v>17</v>
      </c>
      <c r="C290">
        <v>2</v>
      </c>
      <c r="D290">
        <v>0</v>
      </c>
      <c r="E290">
        <f>SmtRes!AV363</f>
        <v>0</v>
      </c>
      <c r="F290" t="str">
        <f>SmtRes!I363</f>
        <v>2.1-30-56</v>
      </c>
      <c r="G290" t="str">
        <f>SmtRes!K363</f>
        <v>Шуруповерты</v>
      </c>
      <c r="H290" t="str">
        <f>SmtRes!O363</f>
        <v>маш.-ч.</v>
      </c>
      <c r="I290">
        <f>SmtRes!Y363*Source!I1194</f>
        <v>1.44</v>
      </c>
      <c r="J290">
        <f>SmtRes!AO363</f>
        <v>1</v>
      </c>
      <c r="K290">
        <f>SmtRes!AF363</f>
        <v>0.64</v>
      </c>
      <c r="L290">
        <f>SmtRes!DB363</f>
        <v>0.2</v>
      </c>
      <c r="M290">
        <f>ROUND(ROUND(L290*Source!I1194, 6)*1, 2)</f>
        <v>0.9</v>
      </c>
      <c r="N290">
        <f>SmtRes!AB363</f>
        <v>6.16</v>
      </c>
      <c r="O290">
        <f>ROUND(ROUND(L290*Source!I1194, 6)*SmtRes!DA363, 2)</f>
        <v>8.2799999999999994</v>
      </c>
      <c r="P290">
        <f>SmtRes!AG363</f>
        <v>0.04</v>
      </c>
      <c r="Q290">
        <f>SmtRes!DC363</f>
        <v>0.01</v>
      </c>
      <c r="R290">
        <f>ROUND(ROUND(Q290*Source!I1194, 6)*1, 2)</f>
        <v>0.05</v>
      </c>
      <c r="S290">
        <f>SmtRes!AC363</f>
        <v>1.03</v>
      </c>
      <c r="T290">
        <f>ROUND(ROUND(Q290*Source!I1194, 6)*SmtRes!AK363, 2)</f>
        <v>1.1000000000000001</v>
      </c>
      <c r="U290">
        <f>SmtRes!X363</f>
        <v>926785503</v>
      </c>
      <c r="V290">
        <v>1087820908</v>
      </c>
      <c r="W290">
        <v>-990741413</v>
      </c>
    </row>
    <row r="291" spans="1:23" x14ac:dyDescent="0.2">
      <c r="A291">
        <f>Source!A1194</f>
        <v>17</v>
      </c>
      <c r="C291">
        <v>2</v>
      </c>
      <c r="D291">
        <v>0</v>
      </c>
      <c r="E291">
        <f>SmtRes!AV362</f>
        <v>0</v>
      </c>
      <c r="F291" t="str">
        <f>SmtRes!I362</f>
        <v>2.1-30-103</v>
      </c>
      <c r="G291" t="str">
        <f>SmtRes!K362</f>
        <v>Перфораторы электрические, мощность до 1,2 кВт</v>
      </c>
      <c r="H291" t="str">
        <f>SmtRes!O362</f>
        <v>маш.-ч.</v>
      </c>
      <c r="I291">
        <f>SmtRes!Y362*Source!I1194</f>
        <v>7.92</v>
      </c>
      <c r="J291">
        <f>SmtRes!AO362</f>
        <v>1</v>
      </c>
      <c r="K291">
        <f>SmtRes!AF362</f>
        <v>2.36</v>
      </c>
      <c r="L291">
        <f>SmtRes!DB362</f>
        <v>4.1500000000000004</v>
      </c>
      <c r="M291">
        <f>ROUND(ROUND(L291*Source!I1194, 6)*1, 2)</f>
        <v>18.68</v>
      </c>
      <c r="N291">
        <f>SmtRes!AB362</f>
        <v>9.4600000000000009</v>
      </c>
      <c r="O291">
        <f>ROUND(ROUND(L291*Source!I1194, 6)*SmtRes!DA362, 2)</f>
        <v>71.53</v>
      </c>
      <c r="P291">
        <f>SmtRes!AG362</f>
        <v>0.04</v>
      </c>
      <c r="Q291">
        <f>SmtRes!DC362</f>
        <v>7.0000000000000007E-2</v>
      </c>
      <c r="R291">
        <f>ROUND(ROUND(Q291*Source!I1194, 6)*1, 2)</f>
        <v>0.32</v>
      </c>
      <c r="S291">
        <f>SmtRes!AC362</f>
        <v>1.03</v>
      </c>
      <c r="T291">
        <f>ROUND(ROUND(Q291*Source!I1194, 6)*SmtRes!AK362, 2)</f>
        <v>7.73</v>
      </c>
      <c r="U291">
        <f>SmtRes!X362</f>
        <v>593980231</v>
      </c>
      <c r="V291">
        <v>-329438901</v>
      </c>
      <c r="W291">
        <v>1948072077</v>
      </c>
    </row>
    <row r="292" spans="1:23" x14ac:dyDescent="0.2">
      <c r="A292">
        <f>Source!A1194</f>
        <v>17</v>
      </c>
      <c r="C292">
        <v>2</v>
      </c>
      <c r="D292">
        <v>0</v>
      </c>
      <c r="E292">
        <f>SmtRes!AV361</f>
        <v>0</v>
      </c>
      <c r="F292" t="str">
        <f>SmtRes!I361</f>
        <v>2.1-18-7</v>
      </c>
      <c r="G292" t="str">
        <f>SmtRes!K361</f>
        <v>Автомобили грузовые бортовые, грузоподъемность до 5 т</v>
      </c>
      <c r="H292" t="str">
        <f>SmtRes!O361</f>
        <v>маш.-ч.</v>
      </c>
      <c r="I292">
        <f>SmtRes!Y361*Source!I1194</f>
        <v>0.13500000000000001</v>
      </c>
      <c r="J292">
        <f>SmtRes!AO361</f>
        <v>1</v>
      </c>
      <c r="K292">
        <f>SmtRes!AF361</f>
        <v>76.81</v>
      </c>
      <c r="L292">
        <f>SmtRes!DB361</f>
        <v>2.2999999999999998</v>
      </c>
      <c r="M292">
        <f>ROUND(ROUND(L292*Source!I1194, 6)*1, 2)</f>
        <v>10.35</v>
      </c>
      <c r="N292">
        <f>SmtRes!AB361</f>
        <v>755.14</v>
      </c>
      <c r="O292">
        <f>ROUND(ROUND(L292*Source!I1194, 6)*SmtRes!DA361, 2)</f>
        <v>97.19</v>
      </c>
      <c r="P292">
        <f>SmtRes!AG361</f>
        <v>14.36</v>
      </c>
      <c r="Q292">
        <f>SmtRes!DC361</f>
        <v>0.43</v>
      </c>
      <c r="R292">
        <f>ROUND(ROUND(Q292*Source!I1194, 6)*1, 2)</f>
        <v>1.94</v>
      </c>
      <c r="S292">
        <f>SmtRes!AC361</f>
        <v>368.81</v>
      </c>
      <c r="T292">
        <f>ROUND(ROUND(Q292*Source!I1194, 6)*SmtRes!AK361, 2)</f>
        <v>47.47</v>
      </c>
      <c r="U292">
        <f>SmtRes!X361</f>
        <v>-628430174</v>
      </c>
      <c r="V292">
        <v>-1989157500</v>
      </c>
      <c r="W292">
        <v>1752455861</v>
      </c>
    </row>
    <row r="293" spans="1:23" x14ac:dyDescent="0.2">
      <c r="A293">
        <f>Source!A1195</f>
        <v>18</v>
      </c>
      <c r="B293">
        <v>1195</v>
      </c>
      <c r="C293">
        <v>3</v>
      </c>
      <c r="D293">
        <f>Source!BI1195</f>
        <v>1</v>
      </c>
      <c r="E293">
        <f>Source!FS1195</f>
        <v>0</v>
      </c>
      <c r="F293" t="str">
        <f>Source!F1195</f>
        <v>1.1-1-2875</v>
      </c>
      <c r="G293" t="str">
        <f>Source!G1195</f>
        <v>Искусственная дорожная неровность из резины, концевой элемент, размеры 900х250 мм</v>
      </c>
      <c r="H293" t="str">
        <f>Source!H1195</f>
        <v>шт.</v>
      </c>
      <c r="I293">
        <f>Source!I1195</f>
        <v>20</v>
      </c>
      <c r="J293">
        <v>1</v>
      </c>
      <c r="K293">
        <f>Source!AC1195</f>
        <v>950.7</v>
      </c>
      <c r="M293">
        <f>ROUND(K293*I293, 2)</f>
        <v>19014</v>
      </c>
      <c r="N293">
        <f>Source!AC1195*IF(Source!BC1195&lt;&gt; 0, Source!BC1195, 1)</f>
        <v>713.02500000000009</v>
      </c>
      <c r="O293">
        <f>ROUND(N293*I293, 2)</f>
        <v>14260.5</v>
      </c>
      <c r="P293">
        <f>Source!AE1195</f>
        <v>0</v>
      </c>
      <c r="R293">
        <f>ROUND(P293*I293, 2)</f>
        <v>0</v>
      </c>
      <c r="S293">
        <f>Source!AE1195*IF(Source!BS1195&lt;&gt; 0, Source!BS1195, 1)</f>
        <v>0</v>
      </c>
      <c r="T293">
        <f>ROUND(S293*I293, 2)</f>
        <v>0</v>
      </c>
      <c r="U293">
        <f>Source!GF1195</f>
        <v>-1569363204</v>
      </c>
      <c r="V293">
        <v>-1033724497</v>
      </c>
      <c r="W293">
        <v>-730179058</v>
      </c>
    </row>
    <row r="294" spans="1:23" x14ac:dyDescent="0.2">
      <c r="A294">
        <f>Source!A1228</f>
        <v>4</v>
      </c>
      <c r="B294">
        <v>1228</v>
      </c>
      <c r="G294" t="str">
        <f>Source!G1228</f>
        <v>43. Установка антипарковочных столбиков</v>
      </c>
    </row>
    <row r="295" spans="1:23" x14ac:dyDescent="0.2">
      <c r="A295">
        <f>Source!A1262</f>
        <v>4</v>
      </c>
      <c r="B295">
        <v>1262</v>
      </c>
      <c r="G295" t="str">
        <f>Source!G1262</f>
        <v>44. Разметка парковочного места</v>
      </c>
    </row>
    <row r="296" spans="1:23" x14ac:dyDescent="0.2">
      <c r="A296">
        <f>Source!A1296</f>
        <v>4</v>
      </c>
      <c r="B296">
        <v>1296</v>
      </c>
      <c r="G296" t="str">
        <f>Source!G1296</f>
        <v>47. Устройство покрытия на детской площадке для детей от 5 лет 4 см (3 см - резина, 1 см - EPDM)</v>
      </c>
    </row>
    <row r="297" spans="1:23" x14ac:dyDescent="0.2">
      <c r="A297">
        <f>Source!A1300</f>
        <v>17</v>
      </c>
      <c r="C297">
        <v>3</v>
      </c>
      <c r="D297">
        <v>0</v>
      </c>
      <c r="E297">
        <f>SmtRes!AV378</f>
        <v>0</v>
      </c>
      <c r="F297" t="str">
        <f>SmtRes!I378</f>
        <v>9999990006</v>
      </c>
      <c r="G297" t="str">
        <f>SmtRes!K378</f>
        <v>Стоимость прочих материалов (ЭСН)</v>
      </c>
      <c r="H297" t="str">
        <f>SmtRes!O378</f>
        <v>руб.</v>
      </c>
      <c r="I297">
        <f>SmtRes!Y378*Source!I1300</f>
        <v>0.32429999999999998</v>
      </c>
      <c r="J297">
        <f>SmtRes!AO378</f>
        <v>1</v>
      </c>
      <c r="K297">
        <f>SmtRes!AE378</f>
        <v>1</v>
      </c>
      <c r="L297">
        <f>SmtRes!DB378</f>
        <v>0.01</v>
      </c>
      <c r="M297">
        <f>ROUND(ROUND(L297*Source!I1300, 6)*1, 2)</f>
        <v>0.32</v>
      </c>
      <c r="N297">
        <f>SmtRes!AA378</f>
        <v>1</v>
      </c>
      <c r="O297">
        <f>ROUND(ROUND(L297*Source!I1300, 6)*SmtRes!DA378, 2)</f>
        <v>0.32</v>
      </c>
      <c r="P297">
        <f>SmtRes!AG378</f>
        <v>0</v>
      </c>
      <c r="Q297">
        <f>SmtRes!DC378</f>
        <v>0</v>
      </c>
      <c r="R297">
        <f>ROUND(ROUND(Q297*Source!I1300, 6)*1, 2)</f>
        <v>0</v>
      </c>
      <c r="S297">
        <f>SmtRes!AC378</f>
        <v>0</v>
      </c>
      <c r="T297">
        <f>ROUND(ROUND(Q297*Source!I1300, 6)*SmtRes!AK378, 2)</f>
        <v>0</v>
      </c>
      <c r="U297">
        <f>SmtRes!X378</f>
        <v>-94250534</v>
      </c>
      <c r="V297">
        <v>-1341645062</v>
      </c>
      <c r="W297">
        <v>-1341645062</v>
      </c>
    </row>
    <row r="298" spans="1:23" x14ac:dyDescent="0.2">
      <c r="A298">
        <f>Source!A1300</f>
        <v>17</v>
      </c>
      <c r="C298">
        <v>3</v>
      </c>
      <c r="D298">
        <v>0</v>
      </c>
      <c r="E298">
        <f>SmtRes!AV377</f>
        <v>0</v>
      </c>
      <c r="F298" t="str">
        <f>SmtRes!I377</f>
        <v>1.1-1-825</v>
      </c>
      <c r="G298" t="str">
        <f>SmtRes!K377</f>
        <v>Пленка полиэтиленовая, толщина 0,12 - 0,15 мм</v>
      </c>
      <c r="H298" t="str">
        <f>SmtRes!O377</f>
        <v>м2</v>
      </c>
      <c r="I298">
        <f>SmtRes!Y377*Source!I1300</f>
        <v>181.60799999999998</v>
      </c>
      <c r="J298">
        <f>SmtRes!AO377</f>
        <v>1</v>
      </c>
      <c r="K298">
        <f>SmtRes!AE377</f>
        <v>3.66</v>
      </c>
      <c r="L298">
        <f>SmtRes!DB377</f>
        <v>20.5</v>
      </c>
      <c r="M298">
        <f>ROUND(ROUND(L298*Source!I1300, 6)*1, 2)</f>
        <v>664.82</v>
      </c>
      <c r="N298">
        <f>SmtRes!AA377</f>
        <v>8.7799999999999994</v>
      </c>
      <c r="O298">
        <f>ROUND(ROUND(L298*Source!I1300, 6)*SmtRes!DA377, 2)</f>
        <v>1595.56</v>
      </c>
      <c r="P298">
        <f>SmtRes!AG377</f>
        <v>0</v>
      </c>
      <c r="Q298">
        <f>SmtRes!DC377</f>
        <v>0</v>
      </c>
      <c r="R298">
        <f>ROUND(ROUND(Q298*Source!I1300, 6)*1, 2)</f>
        <v>0</v>
      </c>
      <c r="S298">
        <f>SmtRes!AC377</f>
        <v>0</v>
      </c>
      <c r="T298">
        <f>ROUND(ROUND(Q298*Source!I1300, 6)*SmtRes!AK377, 2)</f>
        <v>0</v>
      </c>
      <c r="U298">
        <f>SmtRes!X377</f>
        <v>-1298941158</v>
      </c>
      <c r="V298">
        <v>195041248</v>
      </c>
      <c r="W298">
        <v>570592423</v>
      </c>
    </row>
    <row r="299" spans="1:23" x14ac:dyDescent="0.2">
      <c r="A299">
        <f>Source!A1300</f>
        <v>17</v>
      </c>
      <c r="C299">
        <v>3</v>
      </c>
      <c r="D299">
        <v>0</v>
      </c>
      <c r="E299">
        <f>SmtRes!AV375</f>
        <v>0</v>
      </c>
      <c r="F299" t="str">
        <f>SmtRes!I375</f>
        <v>1.1-1-3461</v>
      </c>
      <c r="G299" t="str">
        <f>SmtRes!K375</f>
        <v>Средство связующее универсальное полиуретановое на основе резиновой и каучуковой крошки для устройства высокопрочных эластичных покрытий</v>
      </c>
      <c r="H299" t="str">
        <f>SmtRes!O375</f>
        <v>кг</v>
      </c>
      <c r="I299">
        <f>SmtRes!Y375*Source!I1300</f>
        <v>7831.8450000000003</v>
      </c>
      <c r="J299">
        <f>SmtRes!AO375</f>
        <v>1</v>
      </c>
      <c r="K299">
        <f>SmtRes!AE375</f>
        <v>69.17</v>
      </c>
      <c r="L299">
        <f>SmtRes!DB375</f>
        <v>16704.560000000001</v>
      </c>
      <c r="M299">
        <f>ROUND(ROUND(L299*Source!I1300, 6)*1, 2)</f>
        <v>541728.88</v>
      </c>
      <c r="N299">
        <f>SmtRes!AA375</f>
        <v>188.83</v>
      </c>
      <c r="O299">
        <f>ROUND(ROUND(L299*Source!I1300, 6)*SmtRes!DA375, 2)</f>
        <v>1478919.84</v>
      </c>
      <c r="P299">
        <f>SmtRes!AG375</f>
        <v>0</v>
      </c>
      <c r="Q299">
        <f>SmtRes!DC375</f>
        <v>0</v>
      </c>
      <c r="R299">
        <f>ROUND(ROUND(Q299*Source!I1300, 6)*1, 2)</f>
        <v>0</v>
      </c>
      <c r="S299">
        <f>SmtRes!AC375</f>
        <v>0</v>
      </c>
      <c r="T299">
        <f>ROUND(ROUND(Q299*Source!I1300, 6)*SmtRes!AK375, 2)</f>
        <v>0</v>
      </c>
      <c r="U299">
        <f>SmtRes!X375</f>
        <v>1820829807</v>
      </c>
      <c r="V299">
        <v>-1089356534</v>
      </c>
      <c r="W299">
        <v>-507477228</v>
      </c>
    </row>
    <row r="300" spans="1:23" x14ac:dyDescent="0.2">
      <c r="A300">
        <f>Source!A1300</f>
        <v>17</v>
      </c>
      <c r="C300">
        <v>3</v>
      </c>
      <c r="D300">
        <v>0</v>
      </c>
      <c r="E300">
        <f>SmtRes!AV374</f>
        <v>0</v>
      </c>
      <c r="F300" t="str">
        <f>SmtRes!I374</f>
        <v>1.1-1-1032</v>
      </c>
      <c r="G300" t="str">
        <f>SmtRes!K374</f>
        <v>Скипидар живичный</v>
      </c>
      <c r="H300" t="str">
        <f>SmtRes!O374</f>
        <v>т</v>
      </c>
      <c r="I300">
        <f>SmtRes!Y374*Source!I1300</f>
        <v>0.1021545</v>
      </c>
      <c r="J300">
        <f>SmtRes!AO374</f>
        <v>1</v>
      </c>
      <c r="K300">
        <f>SmtRes!AE374</f>
        <v>6240.56</v>
      </c>
      <c r="L300">
        <f>SmtRes!DB374</f>
        <v>19.66</v>
      </c>
      <c r="M300">
        <f>ROUND(ROUND(L300*Source!I1300, 6)*1, 2)</f>
        <v>637.57000000000005</v>
      </c>
      <c r="N300">
        <f>SmtRes!AA374</f>
        <v>349096.93</v>
      </c>
      <c r="O300">
        <f>ROUND(ROUND(L300*Source!I1300, 6)*SmtRes!DA374, 2)</f>
        <v>35665.879999999997</v>
      </c>
      <c r="P300">
        <f>SmtRes!AG374</f>
        <v>0</v>
      </c>
      <c r="Q300">
        <f>SmtRes!DC374</f>
        <v>0</v>
      </c>
      <c r="R300">
        <f>ROUND(ROUND(Q300*Source!I1300, 6)*1, 2)</f>
        <v>0</v>
      </c>
      <c r="S300">
        <f>SmtRes!AC374</f>
        <v>0</v>
      </c>
      <c r="T300">
        <f>ROUND(ROUND(Q300*Source!I1300, 6)*SmtRes!AK374, 2)</f>
        <v>0</v>
      </c>
      <c r="U300">
        <f>SmtRes!X374</f>
        <v>1594740613</v>
      </c>
      <c r="V300">
        <v>-2119181341</v>
      </c>
      <c r="W300">
        <v>-755734467</v>
      </c>
    </row>
    <row r="301" spans="1:23" x14ac:dyDescent="0.2">
      <c r="A301">
        <f>Source!A1300</f>
        <v>17</v>
      </c>
      <c r="C301">
        <v>2</v>
      </c>
      <c r="D301">
        <v>0</v>
      </c>
      <c r="E301">
        <f>SmtRes!AV373</f>
        <v>0</v>
      </c>
      <c r="F301" t="str">
        <f>SmtRes!I373</f>
        <v>2.1-6-68</v>
      </c>
      <c r="G301" t="str">
        <f>SmtRes!K373</f>
        <v>Растворосмесители стационарные, емкость до 250 л</v>
      </c>
      <c r="H301" t="str">
        <f>SmtRes!O373</f>
        <v>маш.-ч.</v>
      </c>
      <c r="I301">
        <f>SmtRes!Y373*Source!I1300</f>
        <v>68.427300000000002</v>
      </c>
      <c r="J301">
        <f>SmtRes!AO373</f>
        <v>1</v>
      </c>
      <c r="K301">
        <f>SmtRes!AF373</f>
        <v>36.57</v>
      </c>
      <c r="L301">
        <f>SmtRes!DB373</f>
        <v>77.16</v>
      </c>
      <c r="M301">
        <f>ROUND(ROUND(L301*Source!I1300, 6)*1, 2)</f>
        <v>2502.3000000000002</v>
      </c>
      <c r="N301">
        <f>SmtRes!AB373</f>
        <v>466.63</v>
      </c>
      <c r="O301">
        <f>ROUND(ROUND(L301*Source!I1300, 6)*SmtRes!DA373, 2)</f>
        <v>31929.33</v>
      </c>
      <c r="P301">
        <f>SmtRes!AG373</f>
        <v>16.77</v>
      </c>
      <c r="Q301">
        <f>SmtRes!DC373</f>
        <v>35.380000000000003</v>
      </c>
      <c r="R301">
        <f>ROUND(ROUND(Q301*Source!I1300, 6)*1, 2)</f>
        <v>1147.3699999999999</v>
      </c>
      <c r="S301">
        <f>SmtRes!AC373</f>
        <v>411.37</v>
      </c>
      <c r="T301">
        <f>ROUND(ROUND(Q301*Source!I1300, 6)*SmtRes!AK373, 2)</f>
        <v>28145.07</v>
      </c>
      <c r="U301">
        <f>SmtRes!X373</f>
        <v>761448849</v>
      </c>
      <c r="V301">
        <v>-137287146</v>
      </c>
      <c r="W301">
        <v>-1313029091</v>
      </c>
    </row>
    <row r="302" spans="1:23" x14ac:dyDescent="0.2">
      <c r="A302">
        <f>Source!A1300</f>
        <v>17</v>
      </c>
      <c r="C302">
        <v>2</v>
      </c>
      <c r="D302">
        <v>0</v>
      </c>
      <c r="E302">
        <f>SmtRes!AV372</f>
        <v>0</v>
      </c>
      <c r="F302" t="str">
        <f>SmtRes!I372</f>
        <v>2.1-4-8</v>
      </c>
      <c r="G302" t="str">
        <f>SmtRes!K372</f>
        <v>Погрузчики на автомобильном ходу, грузоподъемность до 1 т</v>
      </c>
      <c r="H302" t="str">
        <f>SmtRes!O372</f>
        <v>маш.-ч.</v>
      </c>
      <c r="I302">
        <f>SmtRes!Y372*Source!I1300</f>
        <v>0.32429999999999998</v>
      </c>
      <c r="J302">
        <f>SmtRes!AO372</f>
        <v>1</v>
      </c>
      <c r="K302">
        <f>SmtRes!AF372</f>
        <v>68.87</v>
      </c>
      <c r="L302">
        <f>SmtRes!DB372</f>
        <v>0.69</v>
      </c>
      <c r="M302">
        <f>ROUND(ROUND(L302*Source!I1300, 6)*1, 2)</f>
        <v>22.38</v>
      </c>
      <c r="N302">
        <f>SmtRes!AB372</f>
        <v>620.52</v>
      </c>
      <c r="O302">
        <f>ROUND(ROUND(L302*Source!I1300, 6)*SmtRes!DA372, 2)</f>
        <v>201.61</v>
      </c>
      <c r="P302">
        <f>SmtRes!AG372</f>
        <v>18.34</v>
      </c>
      <c r="Q302">
        <f>SmtRes!DC372</f>
        <v>0.18</v>
      </c>
      <c r="R302">
        <f>ROUND(ROUND(Q302*Source!I1300, 6)*1, 2)</f>
        <v>5.84</v>
      </c>
      <c r="S302">
        <f>SmtRes!AC372</f>
        <v>449.88</v>
      </c>
      <c r="T302">
        <f>ROUND(ROUND(Q302*Source!I1300, 6)*SmtRes!AK372, 2)</f>
        <v>143.19</v>
      </c>
      <c r="U302">
        <f>SmtRes!X372</f>
        <v>-1264716692</v>
      </c>
      <c r="V302">
        <v>2104628188</v>
      </c>
      <c r="W302">
        <v>-324285623</v>
      </c>
    </row>
    <row r="303" spans="1:23" x14ac:dyDescent="0.2">
      <c r="A303">
        <f>Source!A1300</f>
        <v>17</v>
      </c>
      <c r="C303">
        <v>2</v>
      </c>
      <c r="D303">
        <v>0</v>
      </c>
      <c r="E303">
        <f>SmtRes!AV371</f>
        <v>0</v>
      </c>
      <c r="F303" t="str">
        <f>SmtRes!I371</f>
        <v>2.1-30-6</v>
      </c>
      <c r="G303" t="str">
        <f>SmtRes!K371</f>
        <v>Дрели электрические</v>
      </c>
      <c r="H303" t="str">
        <f>SmtRes!O371</f>
        <v>маш.-ч.</v>
      </c>
      <c r="I303">
        <f>SmtRes!Y371*Source!I1300</f>
        <v>30.484199999999998</v>
      </c>
      <c r="J303">
        <f>SmtRes!AO371</f>
        <v>1</v>
      </c>
      <c r="K303">
        <f>SmtRes!AF371</f>
        <v>2.36</v>
      </c>
      <c r="L303">
        <f>SmtRes!DB371</f>
        <v>2.2200000000000002</v>
      </c>
      <c r="M303">
        <f>ROUND(ROUND(L303*Source!I1300, 6)*1, 2)</f>
        <v>71.989999999999995</v>
      </c>
      <c r="N303">
        <f>SmtRes!AB371</f>
        <v>32.119999999999997</v>
      </c>
      <c r="O303">
        <f>ROUND(ROUND(L303*Source!I1300, 6)*SmtRes!DA371, 2)</f>
        <v>979.85</v>
      </c>
      <c r="P303">
        <f>SmtRes!AG371</f>
        <v>0.1</v>
      </c>
      <c r="Q303">
        <f>SmtRes!DC371</f>
        <v>0.09</v>
      </c>
      <c r="R303">
        <f>ROUND(ROUND(Q303*Source!I1300, 6)*1, 2)</f>
        <v>2.92</v>
      </c>
      <c r="S303">
        <f>SmtRes!AC371</f>
        <v>2.4500000000000002</v>
      </c>
      <c r="T303">
        <f>ROUND(ROUND(Q303*Source!I1300, 6)*SmtRes!AK371, 2)</f>
        <v>71.599999999999994</v>
      </c>
      <c r="U303">
        <f>SmtRes!X371</f>
        <v>950854334</v>
      </c>
      <c r="V303">
        <v>1680068806</v>
      </c>
      <c r="W303">
        <v>-1121222194</v>
      </c>
    </row>
    <row r="304" spans="1:23" x14ac:dyDescent="0.2">
      <c r="A304">
        <f>Source!A1300</f>
        <v>17</v>
      </c>
      <c r="C304">
        <v>2</v>
      </c>
      <c r="D304">
        <v>0</v>
      </c>
      <c r="E304">
        <f>SmtRes!AV370</f>
        <v>0</v>
      </c>
      <c r="F304" t="str">
        <f>SmtRes!I370</f>
        <v>2.1-18-7</v>
      </c>
      <c r="G304" t="str">
        <f>SmtRes!K370</f>
        <v>Автомобили грузовые бортовые, грузоподъемность до 5 т</v>
      </c>
      <c r="H304" t="str">
        <f>SmtRes!O370</f>
        <v>маш.-ч.</v>
      </c>
      <c r="I304">
        <f>SmtRes!Y370*Source!I1300</f>
        <v>3.2430000000000003</v>
      </c>
      <c r="J304">
        <f>SmtRes!AO370</f>
        <v>1</v>
      </c>
      <c r="K304">
        <f>SmtRes!AF370</f>
        <v>76.81</v>
      </c>
      <c r="L304">
        <f>SmtRes!DB370</f>
        <v>7.68</v>
      </c>
      <c r="M304">
        <f>ROUND(ROUND(L304*Source!I1300, 6)*1, 2)</f>
        <v>249.06</v>
      </c>
      <c r="N304">
        <f>SmtRes!AB370</f>
        <v>721.25</v>
      </c>
      <c r="O304">
        <f>ROUND(ROUND(L304*Source!I1300, 6)*SmtRes!DA370, 2)</f>
        <v>2338.6999999999998</v>
      </c>
      <c r="P304">
        <f>SmtRes!AG370</f>
        <v>14.36</v>
      </c>
      <c r="Q304">
        <f>SmtRes!DC370</f>
        <v>1.44</v>
      </c>
      <c r="R304">
        <f>ROUND(ROUND(Q304*Source!I1300, 6)*1, 2)</f>
        <v>46.7</v>
      </c>
      <c r="S304">
        <f>SmtRes!AC370</f>
        <v>352.25</v>
      </c>
      <c r="T304">
        <f>ROUND(ROUND(Q304*Source!I1300, 6)*SmtRes!AK370, 2)</f>
        <v>1145.53</v>
      </c>
      <c r="U304">
        <f>SmtRes!X370</f>
        <v>-628430174</v>
      </c>
      <c r="V304">
        <v>-1989157500</v>
      </c>
      <c r="W304">
        <v>152859303</v>
      </c>
    </row>
    <row r="305" spans="1:23" x14ac:dyDescent="0.2">
      <c r="A305">
        <f>Source!A1300</f>
        <v>17</v>
      </c>
      <c r="C305">
        <v>2</v>
      </c>
      <c r="D305">
        <v>0</v>
      </c>
      <c r="E305">
        <f>SmtRes!AV369</f>
        <v>0</v>
      </c>
      <c r="F305" t="str">
        <f>SmtRes!I369</f>
        <v>2.1-17-168</v>
      </c>
      <c r="G305" t="str">
        <f>SmtRes!K369</f>
        <v>Укладчики полимерных покрытий на игровых и спортивных площадках, производительность 10-50 м2/ч</v>
      </c>
      <c r="H305" t="str">
        <f>SmtRes!O369</f>
        <v>маш.-ч.</v>
      </c>
      <c r="I305">
        <f>SmtRes!Y369*Source!I1300</f>
        <v>68.427300000000002</v>
      </c>
      <c r="J305">
        <f>SmtRes!AO369</f>
        <v>1</v>
      </c>
      <c r="K305">
        <f>SmtRes!AF369</f>
        <v>44</v>
      </c>
      <c r="L305">
        <f>SmtRes!DB369</f>
        <v>92.84</v>
      </c>
      <c r="M305">
        <f>ROUND(ROUND(L305*Source!I1300, 6)*1, 2)</f>
        <v>3010.8</v>
      </c>
      <c r="N305">
        <f>SmtRes!AB369</f>
        <v>535.48</v>
      </c>
      <c r="O305">
        <f>ROUND(ROUND(L305*Source!I1300, 6)*SmtRes!DA369, 2)</f>
        <v>36641.449999999997</v>
      </c>
      <c r="P305">
        <f>SmtRes!AG369</f>
        <v>15.44</v>
      </c>
      <c r="Q305">
        <f>SmtRes!DC369</f>
        <v>32.58</v>
      </c>
      <c r="R305">
        <f>ROUND(ROUND(Q305*Source!I1300, 6)*1, 2)</f>
        <v>1056.57</v>
      </c>
      <c r="S305">
        <f>SmtRes!AC369</f>
        <v>378.74</v>
      </c>
      <c r="T305">
        <f>ROUND(ROUND(Q305*Source!I1300, 6)*SmtRes!AK369, 2)</f>
        <v>25917.65</v>
      </c>
      <c r="U305">
        <f>SmtRes!X369</f>
        <v>506283845</v>
      </c>
      <c r="V305">
        <v>1186422742</v>
      </c>
      <c r="W305">
        <v>1834385349</v>
      </c>
    </row>
    <row r="306" spans="1:23" x14ac:dyDescent="0.2">
      <c r="A306">
        <f>Source!A1301</f>
        <v>18</v>
      </c>
      <c r="B306">
        <v>1301</v>
      </c>
      <c r="C306">
        <v>3</v>
      </c>
      <c r="D306">
        <f>Source!BI1301</f>
        <v>1</v>
      </c>
      <c r="E306">
        <f>Source!FS1301</f>
        <v>0</v>
      </c>
      <c r="F306" t="str">
        <f>Source!F1301</f>
        <v>1.1-1-3462</v>
      </c>
      <c r="G306" t="str">
        <f>Source!G1301</f>
        <v>Крошка резиновая гранулированная, фракция 2-3 мм</v>
      </c>
      <c r="H306" t="str">
        <f>Source!H1301</f>
        <v>кг</v>
      </c>
      <c r="I306">
        <f>Source!I1301</f>
        <v>23738.76</v>
      </c>
      <c r="J306">
        <v>1</v>
      </c>
      <c r="K306">
        <f>Source!AC1301</f>
        <v>7.22</v>
      </c>
      <c r="M306">
        <f>ROUND(K306*I306, 2)</f>
        <v>171393.85</v>
      </c>
      <c r="N306">
        <f>Source!AC1301*IF(Source!BC1301&lt;&gt; 0, Source!BC1301, 1)</f>
        <v>17.544599999999999</v>
      </c>
      <c r="O306">
        <f>ROUND(N306*I306, 2)</f>
        <v>416487.05</v>
      </c>
      <c r="P306">
        <f>Source!AE1301</f>
        <v>0</v>
      </c>
      <c r="R306">
        <f>ROUND(P306*I306, 2)</f>
        <v>0</v>
      </c>
      <c r="S306">
        <f>Source!AE1301*IF(Source!BS1301&lt;&gt; 0, Source!BS1301, 1)</f>
        <v>0</v>
      </c>
      <c r="T306">
        <f>ROUND(S306*I306, 2)</f>
        <v>0</v>
      </c>
      <c r="U306">
        <f>Source!GF1301</f>
        <v>2090190104</v>
      </c>
      <c r="V306">
        <v>-1918669294</v>
      </c>
      <c r="W306">
        <v>1266083808</v>
      </c>
    </row>
    <row r="307" spans="1:23" x14ac:dyDescent="0.2">
      <c r="A307">
        <f>Source!A1302</f>
        <v>17</v>
      </c>
      <c r="C307">
        <v>3</v>
      </c>
      <c r="D307">
        <v>0</v>
      </c>
      <c r="E307">
        <f>SmtRes!AV384</f>
        <v>0</v>
      </c>
      <c r="F307" t="str">
        <f>SmtRes!I384</f>
        <v>1.1-1-3461</v>
      </c>
      <c r="G307" t="str">
        <f>SmtRes!K384</f>
        <v>Средство связующее универсальное полиуретановое на основе резиновой и каучуковой крошки для устройства высокопрочных эластичных покрытий</v>
      </c>
      <c r="H307" t="str">
        <f>SmtRes!O384</f>
        <v>кг</v>
      </c>
      <c r="I307">
        <f>SmtRes!Y384*Source!I1302</f>
        <v>13620.6</v>
      </c>
      <c r="J307">
        <f>SmtRes!AO384</f>
        <v>1</v>
      </c>
      <c r="K307">
        <f>SmtRes!AE384</f>
        <v>69.17</v>
      </c>
      <c r="L307">
        <f>SmtRes!DB384</f>
        <v>29051.4</v>
      </c>
      <c r="M307">
        <f>ROUND(ROUND(L307*Source!I1302, 6)*1, 2)</f>
        <v>942136.9</v>
      </c>
      <c r="N307">
        <f>SmtRes!AA384</f>
        <v>188.83</v>
      </c>
      <c r="O307">
        <f>ROUND(ROUND(L307*Source!I1302, 6)*SmtRes!DA384, 2)</f>
        <v>2572033.7400000002</v>
      </c>
      <c r="P307">
        <f>SmtRes!AG384</f>
        <v>0</v>
      </c>
      <c r="Q307">
        <f>SmtRes!DC384</f>
        <v>0</v>
      </c>
      <c r="R307">
        <f>ROUND(ROUND(Q307*Source!I1302, 6)*1, 2)</f>
        <v>0</v>
      </c>
      <c r="S307">
        <f>SmtRes!AC384</f>
        <v>0</v>
      </c>
      <c r="T307">
        <f>ROUND(ROUND(Q307*Source!I1302, 6)*SmtRes!AK384, 2)</f>
        <v>0</v>
      </c>
      <c r="U307">
        <f>SmtRes!X384</f>
        <v>1820829807</v>
      </c>
      <c r="V307">
        <v>-1089356534</v>
      </c>
      <c r="W307">
        <v>-507477228</v>
      </c>
    </row>
    <row r="308" spans="1:23" x14ac:dyDescent="0.2">
      <c r="A308">
        <f>Source!A1302</f>
        <v>17</v>
      </c>
      <c r="C308">
        <v>2</v>
      </c>
      <c r="D308">
        <v>0</v>
      </c>
      <c r="E308">
        <f>SmtRes!AV383</f>
        <v>0</v>
      </c>
      <c r="F308" t="str">
        <f>SmtRes!I383</f>
        <v>9999990007</v>
      </c>
      <c r="G308" t="str">
        <f>SmtRes!K383</f>
        <v>Стоимость прочих машин (ЭСН)</v>
      </c>
      <c r="H308" t="str">
        <f>SmtRes!O383</f>
        <v>руб.</v>
      </c>
      <c r="I308">
        <f>SmtRes!Y383*Source!I1302</f>
        <v>3.2430000000000003</v>
      </c>
      <c r="J308">
        <f>SmtRes!AO383</f>
        <v>1</v>
      </c>
      <c r="K308">
        <f>SmtRes!AF383</f>
        <v>1</v>
      </c>
      <c r="L308">
        <f>SmtRes!DB383</f>
        <v>0.1</v>
      </c>
      <c r="M308">
        <f>ROUND(ROUND(L308*Source!I1302, 6)*1, 2)</f>
        <v>3.24</v>
      </c>
      <c r="N308">
        <f>SmtRes!AB383</f>
        <v>1</v>
      </c>
      <c r="O308">
        <f>ROUND(ROUND(L308*Source!I1302, 6)*SmtRes!DA383, 2)</f>
        <v>3.24</v>
      </c>
      <c r="P308">
        <f>SmtRes!AG383</f>
        <v>0</v>
      </c>
      <c r="Q308">
        <f>SmtRes!DC383</f>
        <v>0</v>
      </c>
      <c r="R308">
        <f>ROUND(ROUND(Q308*Source!I1302, 6)*1, 2)</f>
        <v>0</v>
      </c>
      <c r="S308">
        <f>SmtRes!AC383</f>
        <v>0</v>
      </c>
      <c r="T308">
        <f>ROUND(ROUND(Q308*Source!I1302, 6)*SmtRes!AK383, 2)</f>
        <v>0</v>
      </c>
      <c r="U308">
        <f>SmtRes!X383</f>
        <v>-1180195794</v>
      </c>
      <c r="V308">
        <v>54769220</v>
      </c>
      <c r="W308">
        <v>54769220</v>
      </c>
    </row>
    <row r="309" spans="1:23" x14ac:dyDescent="0.2">
      <c r="A309">
        <f>Source!A1302</f>
        <v>17</v>
      </c>
      <c r="C309">
        <v>2</v>
      </c>
      <c r="D309">
        <v>0</v>
      </c>
      <c r="E309">
        <f>SmtRes!AV382</f>
        <v>0</v>
      </c>
      <c r="F309" t="str">
        <f>SmtRes!I382</f>
        <v>2.1-6-68</v>
      </c>
      <c r="G309" t="str">
        <f>SmtRes!K382</f>
        <v>Растворосмесители стационарные, емкость до 250 л</v>
      </c>
      <c r="H309" t="str">
        <f>SmtRes!O382</f>
        <v>маш.-ч.</v>
      </c>
      <c r="I309">
        <f>SmtRes!Y382*Source!I1302</f>
        <v>129.72</v>
      </c>
      <c r="J309">
        <f>SmtRes!AO382</f>
        <v>1</v>
      </c>
      <c r="K309">
        <f>SmtRes!AF382</f>
        <v>36.57</v>
      </c>
      <c r="L309">
        <f>SmtRes!DB382</f>
        <v>146.30000000000001</v>
      </c>
      <c r="M309">
        <f>ROUND(ROUND(L309*Source!I1302, 6)*1, 2)</f>
        <v>4744.51</v>
      </c>
      <c r="N309">
        <f>SmtRes!AB382</f>
        <v>466.63</v>
      </c>
      <c r="O309">
        <f>ROUND(ROUND(L309*Source!I1302, 6)*SmtRes!DA382, 2)</f>
        <v>60539.93</v>
      </c>
      <c r="P309">
        <f>SmtRes!AG382</f>
        <v>16.77</v>
      </c>
      <c r="Q309">
        <f>SmtRes!DC382</f>
        <v>67.099999999999994</v>
      </c>
      <c r="R309">
        <f>ROUND(ROUND(Q309*Source!I1302, 6)*1, 2)</f>
        <v>2176.0500000000002</v>
      </c>
      <c r="S309">
        <f>SmtRes!AC382</f>
        <v>411.37</v>
      </c>
      <c r="T309">
        <f>ROUND(ROUND(Q309*Source!I1302, 6)*SmtRes!AK382, 2)</f>
        <v>53378.58</v>
      </c>
      <c r="U309">
        <f>SmtRes!X382</f>
        <v>761448849</v>
      </c>
      <c r="V309">
        <v>-137287146</v>
      </c>
      <c r="W309">
        <v>-1313029091</v>
      </c>
    </row>
    <row r="310" spans="1:23" x14ac:dyDescent="0.2">
      <c r="A310">
        <f>Source!A1302</f>
        <v>17</v>
      </c>
      <c r="C310">
        <v>2</v>
      </c>
      <c r="D310">
        <v>0</v>
      </c>
      <c r="E310">
        <f>SmtRes!AV381</f>
        <v>0</v>
      </c>
      <c r="F310" t="str">
        <f>SmtRes!I381</f>
        <v>2.1-18-7</v>
      </c>
      <c r="G310" t="str">
        <f>SmtRes!K381</f>
        <v>Автомобили грузовые бортовые, грузоподъемность до 5 т</v>
      </c>
      <c r="H310" t="str">
        <f>SmtRes!O381</f>
        <v>маш.-ч.</v>
      </c>
      <c r="I310">
        <f>SmtRes!Y381*Source!I1302</f>
        <v>6.4860000000000007</v>
      </c>
      <c r="J310">
        <f>SmtRes!AO381</f>
        <v>1</v>
      </c>
      <c r="K310">
        <f>SmtRes!AF381</f>
        <v>76.81</v>
      </c>
      <c r="L310">
        <f>SmtRes!DB381</f>
        <v>15.4</v>
      </c>
      <c r="M310">
        <f>ROUND(ROUND(L310*Source!I1302, 6)*1, 2)</f>
        <v>499.42</v>
      </c>
      <c r="N310">
        <f>SmtRes!AB381</f>
        <v>721.25</v>
      </c>
      <c r="O310">
        <f>ROUND(ROUND(L310*Source!I1302, 6)*SmtRes!DA381, 2)</f>
        <v>4689.57</v>
      </c>
      <c r="P310">
        <f>SmtRes!AG381</f>
        <v>14.36</v>
      </c>
      <c r="Q310">
        <f>SmtRes!DC381</f>
        <v>2.9</v>
      </c>
      <c r="R310">
        <f>ROUND(ROUND(Q310*Source!I1302, 6)*1, 2)</f>
        <v>94.05</v>
      </c>
      <c r="S310">
        <f>SmtRes!AC381</f>
        <v>352.25</v>
      </c>
      <c r="T310">
        <f>ROUND(ROUND(Q310*Source!I1302, 6)*SmtRes!AK381, 2)</f>
        <v>2306.9699999999998</v>
      </c>
      <c r="U310">
        <f>SmtRes!X381</f>
        <v>-628430174</v>
      </c>
      <c r="V310">
        <v>-1989157500</v>
      </c>
      <c r="W310">
        <v>152859303</v>
      </c>
    </row>
    <row r="311" spans="1:23" x14ac:dyDescent="0.2">
      <c r="A311">
        <f>Source!A1302</f>
        <v>17</v>
      </c>
      <c r="C311">
        <v>2</v>
      </c>
      <c r="D311">
        <v>0</v>
      </c>
      <c r="E311">
        <f>SmtRes!AV380</f>
        <v>0</v>
      </c>
      <c r="F311" t="str">
        <f>SmtRes!I380</f>
        <v>2.1-17-168</v>
      </c>
      <c r="G311" t="str">
        <f>SmtRes!K380</f>
        <v>Укладчики полимерных покрытий на игровых и спортивных площадках, производительность 10-50 м2/ч</v>
      </c>
      <c r="H311" t="str">
        <f>SmtRes!O380</f>
        <v>маш.-ч.</v>
      </c>
      <c r="I311">
        <f>SmtRes!Y380*Source!I1302</f>
        <v>129.72</v>
      </c>
      <c r="J311">
        <f>SmtRes!AO380</f>
        <v>1</v>
      </c>
      <c r="K311">
        <f>SmtRes!AF380</f>
        <v>44</v>
      </c>
      <c r="L311">
        <f>SmtRes!DB380</f>
        <v>176</v>
      </c>
      <c r="M311">
        <f>ROUND(ROUND(L311*Source!I1302, 6)*1, 2)</f>
        <v>5707.68</v>
      </c>
      <c r="N311">
        <f>SmtRes!AB380</f>
        <v>535.48</v>
      </c>
      <c r="O311">
        <f>ROUND(ROUND(L311*Source!I1302, 6)*SmtRes!DA380, 2)</f>
        <v>69462.47</v>
      </c>
      <c r="P311">
        <f>SmtRes!AG380</f>
        <v>15.44</v>
      </c>
      <c r="Q311">
        <f>SmtRes!DC380</f>
        <v>61.8</v>
      </c>
      <c r="R311">
        <f>ROUND(ROUND(Q311*Source!I1302, 6)*1, 2)</f>
        <v>2004.17</v>
      </c>
      <c r="S311">
        <f>SmtRes!AC380</f>
        <v>378.74</v>
      </c>
      <c r="T311">
        <f>ROUND(ROUND(Q311*Source!I1302, 6)*SmtRes!AK380, 2)</f>
        <v>49162.39</v>
      </c>
      <c r="U311">
        <f>SmtRes!X380</f>
        <v>506283845</v>
      </c>
      <c r="V311">
        <v>1186422742</v>
      </c>
      <c r="W311">
        <v>1834385349</v>
      </c>
    </row>
    <row r="312" spans="1:23" x14ac:dyDescent="0.2">
      <c r="A312">
        <f>Source!A1303</f>
        <v>18</v>
      </c>
      <c r="B312">
        <v>1303</v>
      </c>
      <c r="C312">
        <v>3</v>
      </c>
      <c r="D312">
        <f>Source!BI1303</f>
        <v>1</v>
      </c>
      <c r="E312">
        <f>Source!FS1303</f>
        <v>0</v>
      </c>
      <c r="F312" t="str">
        <f>Source!F1303</f>
        <v>1.1-1-3462</v>
      </c>
      <c r="G312" t="str">
        <f>Source!G1303</f>
        <v>Крошка резиновая гранулированная, фракция 2-3 мм</v>
      </c>
      <c r="H312" t="str">
        <f>Source!H1303</f>
        <v>кг</v>
      </c>
      <c r="I312">
        <f>Source!I1303</f>
        <v>47672.1</v>
      </c>
      <c r="J312">
        <v>1</v>
      </c>
      <c r="K312">
        <f>Source!AC1303</f>
        <v>7.22</v>
      </c>
      <c r="M312">
        <f>ROUND(K312*I312, 2)</f>
        <v>344192.56</v>
      </c>
      <c r="N312">
        <f>Source!AC1303*IF(Source!BC1303&lt;&gt; 0, Source!BC1303, 1)</f>
        <v>17.544599999999999</v>
      </c>
      <c r="O312">
        <f>ROUND(N312*I312, 2)</f>
        <v>836387.93</v>
      </c>
      <c r="P312">
        <f>Source!AE1303</f>
        <v>0</v>
      </c>
      <c r="R312">
        <f>ROUND(P312*I312, 2)</f>
        <v>0</v>
      </c>
      <c r="S312">
        <f>Source!AE1303*IF(Source!BS1303&lt;&gt; 0, Source!BS1303, 1)</f>
        <v>0</v>
      </c>
      <c r="T312">
        <f>ROUND(S312*I312, 2)</f>
        <v>0</v>
      </c>
      <c r="U312">
        <f>Source!GF1303</f>
        <v>2090190104</v>
      </c>
      <c r="V312">
        <v>-1918669294</v>
      </c>
      <c r="W312">
        <v>1266083808</v>
      </c>
    </row>
    <row r="313" spans="1:23" x14ac:dyDescent="0.2">
      <c r="A313">
        <f>Source!A1304</f>
        <v>17</v>
      </c>
      <c r="C313">
        <v>3</v>
      </c>
      <c r="D313">
        <v>0</v>
      </c>
      <c r="E313">
        <f>SmtRes!AV396</f>
        <v>0</v>
      </c>
      <c r="F313" t="str">
        <f>SmtRes!I396</f>
        <v>9999990006</v>
      </c>
      <c r="G313" t="str">
        <f>SmtRes!K396</f>
        <v>Стоимость прочих материалов (ЭСН)</v>
      </c>
      <c r="H313" t="str">
        <f>SmtRes!O396</f>
        <v>руб.</v>
      </c>
      <c r="I313">
        <f>SmtRes!Y396*Source!I1304</f>
        <v>0.32429999999999998</v>
      </c>
      <c r="J313">
        <f>SmtRes!AO396</f>
        <v>1</v>
      </c>
      <c r="K313">
        <f>SmtRes!AE396</f>
        <v>1</v>
      </c>
      <c r="L313">
        <f>SmtRes!DB396</f>
        <v>0.01</v>
      </c>
      <c r="M313">
        <f>ROUND(ROUND(L313*Source!I1304, 6)*1, 2)</f>
        <v>0.32</v>
      </c>
      <c r="N313">
        <f>SmtRes!AA396</f>
        <v>1</v>
      </c>
      <c r="O313">
        <f>ROUND(ROUND(L313*Source!I1304, 6)*SmtRes!DA396, 2)</f>
        <v>0.32</v>
      </c>
      <c r="P313">
        <f>SmtRes!AG396</f>
        <v>0</v>
      </c>
      <c r="Q313">
        <f>SmtRes!DC396</f>
        <v>0</v>
      </c>
      <c r="R313">
        <f>ROUND(ROUND(Q313*Source!I1304, 6)*1, 2)</f>
        <v>0</v>
      </c>
      <c r="S313">
        <f>SmtRes!AC396</f>
        <v>0</v>
      </c>
      <c r="T313">
        <f>ROUND(ROUND(Q313*Source!I1304, 6)*SmtRes!AK396, 2)</f>
        <v>0</v>
      </c>
      <c r="U313">
        <f>SmtRes!X396</f>
        <v>-94250534</v>
      </c>
      <c r="V313">
        <v>-1341645062</v>
      </c>
      <c r="W313">
        <v>-1341645062</v>
      </c>
    </row>
    <row r="314" spans="1:23" x14ac:dyDescent="0.2">
      <c r="A314">
        <f>Source!A1304</f>
        <v>17</v>
      </c>
      <c r="C314">
        <v>3</v>
      </c>
      <c r="D314">
        <v>0</v>
      </c>
      <c r="E314">
        <f>SmtRes!AV395</f>
        <v>0</v>
      </c>
      <c r="F314" t="str">
        <f>SmtRes!I395</f>
        <v>1.1-1-825</v>
      </c>
      <c r="G314" t="str">
        <f>SmtRes!K395</f>
        <v>Пленка полиэтиленовая, толщина 0,12 - 0,15 мм</v>
      </c>
      <c r="H314" t="str">
        <f>SmtRes!O395</f>
        <v>м2</v>
      </c>
      <c r="I314">
        <f>SmtRes!Y395*Source!I1304</f>
        <v>181.60799999999998</v>
      </c>
      <c r="J314">
        <f>SmtRes!AO395</f>
        <v>1</v>
      </c>
      <c r="K314">
        <f>SmtRes!AE395</f>
        <v>3.66</v>
      </c>
      <c r="L314">
        <f>SmtRes!DB395</f>
        <v>20.5</v>
      </c>
      <c r="M314">
        <f>ROUND(ROUND(L314*Source!I1304, 6)*1, 2)</f>
        <v>664.82</v>
      </c>
      <c r="N314">
        <f>SmtRes!AA395</f>
        <v>8.7799999999999994</v>
      </c>
      <c r="O314">
        <f>ROUND(ROUND(L314*Source!I1304, 6)*SmtRes!DA395, 2)</f>
        <v>1595.56</v>
      </c>
      <c r="P314">
        <f>SmtRes!AG395</f>
        <v>0</v>
      </c>
      <c r="Q314">
        <f>SmtRes!DC395</f>
        <v>0</v>
      </c>
      <c r="R314">
        <f>ROUND(ROUND(Q314*Source!I1304, 6)*1, 2)</f>
        <v>0</v>
      </c>
      <c r="S314">
        <f>SmtRes!AC395</f>
        <v>0</v>
      </c>
      <c r="T314">
        <f>ROUND(ROUND(Q314*Source!I1304, 6)*SmtRes!AK395, 2)</f>
        <v>0</v>
      </c>
      <c r="U314">
        <f>SmtRes!X395</f>
        <v>-1298941158</v>
      </c>
      <c r="V314">
        <v>195041248</v>
      </c>
      <c r="W314">
        <v>570592423</v>
      </c>
    </row>
    <row r="315" spans="1:23" x14ac:dyDescent="0.2">
      <c r="A315">
        <f>Source!A1304</f>
        <v>17</v>
      </c>
      <c r="C315">
        <v>3</v>
      </c>
      <c r="D315">
        <v>0</v>
      </c>
      <c r="E315">
        <f>SmtRes!AV393</f>
        <v>0</v>
      </c>
      <c r="F315" t="str">
        <f>SmtRes!I393</f>
        <v>1.1-1-3461</v>
      </c>
      <c r="G315" t="str">
        <f>SmtRes!K393</f>
        <v>Средство связующее универсальное полиуретановое на основе резиновой и каучуковой крошки для устройства высокопрочных эластичных покрытий</v>
      </c>
      <c r="H315" t="str">
        <f>SmtRes!O393</f>
        <v>кг</v>
      </c>
      <c r="I315">
        <f>SmtRes!Y393*Source!I1304</f>
        <v>7831.8450000000003</v>
      </c>
      <c r="J315">
        <f>SmtRes!AO393</f>
        <v>1</v>
      </c>
      <c r="K315">
        <f>SmtRes!AE393</f>
        <v>69.17</v>
      </c>
      <c r="L315">
        <f>SmtRes!DB393</f>
        <v>16704.560000000001</v>
      </c>
      <c r="M315">
        <f>ROUND(ROUND(L315*Source!I1304, 6)*1, 2)</f>
        <v>541728.88</v>
      </c>
      <c r="N315">
        <f>SmtRes!AA393</f>
        <v>188.83</v>
      </c>
      <c r="O315">
        <f>ROUND(ROUND(L315*Source!I1304, 6)*SmtRes!DA393, 2)</f>
        <v>1478919.84</v>
      </c>
      <c r="P315">
        <f>SmtRes!AG393</f>
        <v>0</v>
      </c>
      <c r="Q315">
        <f>SmtRes!DC393</f>
        <v>0</v>
      </c>
      <c r="R315">
        <f>ROUND(ROUND(Q315*Source!I1304, 6)*1, 2)</f>
        <v>0</v>
      </c>
      <c r="S315">
        <f>SmtRes!AC393</f>
        <v>0</v>
      </c>
      <c r="T315">
        <f>ROUND(ROUND(Q315*Source!I1304, 6)*SmtRes!AK393, 2)</f>
        <v>0</v>
      </c>
      <c r="U315">
        <f>SmtRes!X393</f>
        <v>1820829807</v>
      </c>
      <c r="V315">
        <v>-1089356534</v>
      </c>
      <c r="W315">
        <v>-507477228</v>
      </c>
    </row>
    <row r="316" spans="1:23" x14ac:dyDescent="0.2">
      <c r="A316">
        <f>Source!A1304</f>
        <v>17</v>
      </c>
      <c r="C316">
        <v>3</v>
      </c>
      <c r="D316">
        <v>0</v>
      </c>
      <c r="E316">
        <f>SmtRes!AV392</f>
        <v>0</v>
      </c>
      <c r="F316" t="str">
        <f>SmtRes!I392</f>
        <v>1.1-1-1032</v>
      </c>
      <c r="G316" t="str">
        <f>SmtRes!K392</f>
        <v>Скипидар живичный</v>
      </c>
      <c r="H316" t="str">
        <f>SmtRes!O392</f>
        <v>т</v>
      </c>
      <c r="I316">
        <f>SmtRes!Y392*Source!I1304</f>
        <v>0.1021545</v>
      </c>
      <c r="J316">
        <f>SmtRes!AO392</f>
        <v>1</v>
      </c>
      <c r="K316">
        <f>SmtRes!AE392</f>
        <v>6240.56</v>
      </c>
      <c r="L316">
        <f>SmtRes!DB392</f>
        <v>19.66</v>
      </c>
      <c r="M316">
        <f>ROUND(ROUND(L316*Source!I1304, 6)*1, 2)</f>
        <v>637.57000000000005</v>
      </c>
      <c r="N316">
        <f>SmtRes!AA392</f>
        <v>349096.93</v>
      </c>
      <c r="O316">
        <f>ROUND(ROUND(L316*Source!I1304, 6)*SmtRes!DA392, 2)</f>
        <v>35665.879999999997</v>
      </c>
      <c r="P316">
        <f>SmtRes!AG392</f>
        <v>0</v>
      </c>
      <c r="Q316">
        <f>SmtRes!DC392</f>
        <v>0</v>
      </c>
      <c r="R316">
        <f>ROUND(ROUND(Q316*Source!I1304, 6)*1, 2)</f>
        <v>0</v>
      </c>
      <c r="S316">
        <f>SmtRes!AC392</f>
        <v>0</v>
      </c>
      <c r="T316">
        <f>ROUND(ROUND(Q316*Source!I1304, 6)*SmtRes!AK392, 2)</f>
        <v>0</v>
      </c>
      <c r="U316">
        <f>SmtRes!X392</f>
        <v>1594740613</v>
      </c>
      <c r="V316">
        <v>-2119181341</v>
      </c>
      <c r="W316">
        <v>-755734467</v>
      </c>
    </row>
    <row r="317" spans="1:23" x14ac:dyDescent="0.2">
      <c r="A317">
        <f>Source!A1304</f>
        <v>17</v>
      </c>
      <c r="C317">
        <v>2</v>
      </c>
      <c r="D317">
        <v>0</v>
      </c>
      <c r="E317">
        <f>SmtRes!AV391</f>
        <v>0</v>
      </c>
      <c r="F317" t="str">
        <f>SmtRes!I391</f>
        <v>2.1-6-68</v>
      </c>
      <c r="G317" t="str">
        <f>SmtRes!K391</f>
        <v>Растворосмесители стационарные, емкость до 250 л</v>
      </c>
      <c r="H317" t="str">
        <f>SmtRes!O391</f>
        <v>маш.-ч.</v>
      </c>
      <c r="I317">
        <f>SmtRes!Y391*Source!I1304</f>
        <v>68.427300000000002</v>
      </c>
      <c r="J317">
        <f>SmtRes!AO391</f>
        <v>1</v>
      </c>
      <c r="K317">
        <f>SmtRes!AF391</f>
        <v>36.57</v>
      </c>
      <c r="L317">
        <f>SmtRes!DB391</f>
        <v>77.16</v>
      </c>
      <c r="M317">
        <f>ROUND(ROUND(L317*Source!I1304, 6)*1, 2)</f>
        <v>2502.3000000000002</v>
      </c>
      <c r="N317">
        <f>SmtRes!AB391</f>
        <v>466.63</v>
      </c>
      <c r="O317">
        <f>ROUND(ROUND(L317*Source!I1304, 6)*SmtRes!DA391, 2)</f>
        <v>31929.33</v>
      </c>
      <c r="P317">
        <f>SmtRes!AG391</f>
        <v>16.77</v>
      </c>
      <c r="Q317">
        <f>SmtRes!DC391</f>
        <v>35.380000000000003</v>
      </c>
      <c r="R317">
        <f>ROUND(ROUND(Q317*Source!I1304, 6)*1, 2)</f>
        <v>1147.3699999999999</v>
      </c>
      <c r="S317">
        <f>SmtRes!AC391</f>
        <v>411.37</v>
      </c>
      <c r="T317">
        <f>ROUND(ROUND(Q317*Source!I1304, 6)*SmtRes!AK391, 2)</f>
        <v>28145.07</v>
      </c>
      <c r="U317">
        <f>SmtRes!X391</f>
        <v>761448849</v>
      </c>
      <c r="V317">
        <v>-137287146</v>
      </c>
      <c r="W317">
        <v>-1313029091</v>
      </c>
    </row>
    <row r="318" spans="1:23" x14ac:dyDescent="0.2">
      <c r="A318">
        <f>Source!A1304</f>
        <v>17</v>
      </c>
      <c r="C318">
        <v>2</v>
      </c>
      <c r="D318">
        <v>0</v>
      </c>
      <c r="E318">
        <f>SmtRes!AV390</f>
        <v>0</v>
      </c>
      <c r="F318" t="str">
        <f>SmtRes!I390</f>
        <v>2.1-4-8</v>
      </c>
      <c r="G318" t="str">
        <f>SmtRes!K390</f>
        <v>Погрузчики на автомобильном ходу, грузоподъемность до 1 т</v>
      </c>
      <c r="H318" t="str">
        <f>SmtRes!O390</f>
        <v>маш.-ч.</v>
      </c>
      <c r="I318">
        <f>SmtRes!Y390*Source!I1304</f>
        <v>0.32429999999999998</v>
      </c>
      <c r="J318">
        <f>SmtRes!AO390</f>
        <v>1</v>
      </c>
      <c r="K318">
        <f>SmtRes!AF390</f>
        <v>68.87</v>
      </c>
      <c r="L318">
        <f>SmtRes!DB390</f>
        <v>0.69</v>
      </c>
      <c r="M318">
        <f>ROUND(ROUND(L318*Source!I1304, 6)*1, 2)</f>
        <v>22.38</v>
      </c>
      <c r="N318">
        <f>SmtRes!AB390</f>
        <v>620.52</v>
      </c>
      <c r="O318">
        <f>ROUND(ROUND(L318*Source!I1304, 6)*SmtRes!DA390, 2)</f>
        <v>201.61</v>
      </c>
      <c r="P318">
        <f>SmtRes!AG390</f>
        <v>18.34</v>
      </c>
      <c r="Q318">
        <f>SmtRes!DC390</f>
        <v>0.18</v>
      </c>
      <c r="R318">
        <f>ROUND(ROUND(Q318*Source!I1304, 6)*1, 2)</f>
        <v>5.84</v>
      </c>
      <c r="S318">
        <f>SmtRes!AC390</f>
        <v>449.88</v>
      </c>
      <c r="T318">
        <f>ROUND(ROUND(Q318*Source!I1304, 6)*SmtRes!AK390, 2)</f>
        <v>143.19</v>
      </c>
      <c r="U318">
        <f>SmtRes!X390</f>
        <v>-1264716692</v>
      </c>
      <c r="V318">
        <v>2104628188</v>
      </c>
      <c r="W318">
        <v>-324285623</v>
      </c>
    </row>
    <row r="319" spans="1:23" x14ac:dyDescent="0.2">
      <c r="A319">
        <f>Source!A1304</f>
        <v>17</v>
      </c>
      <c r="C319">
        <v>2</v>
      </c>
      <c r="D319">
        <v>0</v>
      </c>
      <c r="E319">
        <f>SmtRes!AV389</f>
        <v>0</v>
      </c>
      <c r="F319" t="str">
        <f>SmtRes!I389</f>
        <v>2.1-30-6</v>
      </c>
      <c r="G319" t="str">
        <f>SmtRes!K389</f>
        <v>Дрели электрические</v>
      </c>
      <c r="H319" t="str">
        <f>SmtRes!O389</f>
        <v>маш.-ч.</v>
      </c>
      <c r="I319">
        <f>SmtRes!Y389*Source!I1304</f>
        <v>30.484199999999998</v>
      </c>
      <c r="J319">
        <f>SmtRes!AO389</f>
        <v>1</v>
      </c>
      <c r="K319">
        <f>SmtRes!AF389</f>
        <v>2.36</v>
      </c>
      <c r="L319">
        <f>SmtRes!DB389</f>
        <v>2.2200000000000002</v>
      </c>
      <c r="M319">
        <f>ROUND(ROUND(L319*Source!I1304, 6)*1, 2)</f>
        <v>71.989999999999995</v>
      </c>
      <c r="N319">
        <f>SmtRes!AB389</f>
        <v>32.119999999999997</v>
      </c>
      <c r="O319">
        <f>ROUND(ROUND(L319*Source!I1304, 6)*SmtRes!DA389, 2)</f>
        <v>979.85</v>
      </c>
      <c r="P319">
        <f>SmtRes!AG389</f>
        <v>0.1</v>
      </c>
      <c r="Q319">
        <f>SmtRes!DC389</f>
        <v>0.09</v>
      </c>
      <c r="R319">
        <f>ROUND(ROUND(Q319*Source!I1304, 6)*1, 2)</f>
        <v>2.92</v>
      </c>
      <c r="S319">
        <f>SmtRes!AC389</f>
        <v>2.4500000000000002</v>
      </c>
      <c r="T319">
        <f>ROUND(ROUND(Q319*Source!I1304, 6)*SmtRes!AK389, 2)</f>
        <v>71.599999999999994</v>
      </c>
      <c r="U319">
        <f>SmtRes!X389</f>
        <v>950854334</v>
      </c>
      <c r="V319">
        <v>1680068806</v>
      </c>
      <c r="W319">
        <v>-1121222194</v>
      </c>
    </row>
    <row r="320" spans="1:23" x14ac:dyDescent="0.2">
      <c r="A320">
        <f>Source!A1304</f>
        <v>17</v>
      </c>
      <c r="C320">
        <v>2</v>
      </c>
      <c r="D320">
        <v>0</v>
      </c>
      <c r="E320">
        <f>SmtRes!AV388</f>
        <v>0</v>
      </c>
      <c r="F320" t="str">
        <f>SmtRes!I388</f>
        <v>2.1-18-7</v>
      </c>
      <c r="G320" t="str">
        <f>SmtRes!K388</f>
        <v>Автомобили грузовые бортовые, грузоподъемность до 5 т</v>
      </c>
      <c r="H320" t="str">
        <f>SmtRes!O388</f>
        <v>маш.-ч.</v>
      </c>
      <c r="I320">
        <f>SmtRes!Y388*Source!I1304</f>
        <v>3.2430000000000003</v>
      </c>
      <c r="J320">
        <f>SmtRes!AO388</f>
        <v>1</v>
      </c>
      <c r="K320">
        <f>SmtRes!AF388</f>
        <v>76.81</v>
      </c>
      <c r="L320">
        <f>SmtRes!DB388</f>
        <v>7.68</v>
      </c>
      <c r="M320">
        <f>ROUND(ROUND(L320*Source!I1304, 6)*1, 2)</f>
        <v>249.06</v>
      </c>
      <c r="N320">
        <f>SmtRes!AB388</f>
        <v>721.25</v>
      </c>
      <c r="O320">
        <f>ROUND(ROUND(L320*Source!I1304, 6)*SmtRes!DA388, 2)</f>
        <v>2338.6999999999998</v>
      </c>
      <c r="P320">
        <f>SmtRes!AG388</f>
        <v>14.36</v>
      </c>
      <c r="Q320">
        <f>SmtRes!DC388</f>
        <v>1.44</v>
      </c>
      <c r="R320">
        <f>ROUND(ROUND(Q320*Source!I1304, 6)*1, 2)</f>
        <v>46.7</v>
      </c>
      <c r="S320">
        <f>SmtRes!AC388</f>
        <v>352.25</v>
      </c>
      <c r="T320">
        <f>ROUND(ROUND(Q320*Source!I1304, 6)*SmtRes!AK388, 2)</f>
        <v>1145.53</v>
      </c>
      <c r="U320">
        <f>SmtRes!X388</f>
        <v>-628430174</v>
      </c>
      <c r="V320">
        <v>-1989157500</v>
      </c>
      <c r="W320">
        <v>152859303</v>
      </c>
    </row>
    <row r="321" spans="1:23" x14ac:dyDescent="0.2">
      <c r="A321">
        <f>Source!A1304</f>
        <v>17</v>
      </c>
      <c r="C321">
        <v>2</v>
      </c>
      <c r="D321">
        <v>0</v>
      </c>
      <c r="E321">
        <f>SmtRes!AV387</f>
        <v>0</v>
      </c>
      <c r="F321" t="str">
        <f>SmtRes!I387</f>
        <v>2.1-17-168</v>
      </c>
      <c r="G321" t="str">
        <f>SmtRes!K387</f>
        <v>Укладчики полимерных покрытий на игровых и спортивных площадках, производительность 10-50 м2/ч</v>
      </c>
      <c r="H321" t="str">
        <f>SmtRes!O387</f>
        <v>маш.-ч.</v>
      </c>
      <c r="I321">
        <f>SmtRes!Y387*Source!I1304</f>
        <v>68.427300000000002</v>
      </c>
      <c r="J321">
        <f>SmtRes!AO387</f>
        <v>1</v>
      </c>
      <c r="K321">
        <f>SmtRes!AF387</f>
        <v>44</v>
      </c>
      <c r="L321">
        <f>SmtRes!DB387</f>
        <v>92.84</v>
      </c>
      <c r="M321">
        <f>ROUND(ROUND(L321*Source!I1304, 6)*1, 2)</f>
        <v>3010.8</v>
      </c>
      <c r="N321">
        <f>SmtRes!AB387</f>
        <v>535.48</v>
      </c>
      <c r="O321">
        <f>ROUND(ROUND(L321*Source!I1304, 6)*SmtRes!DA387, 2)</f>
        <v>36641.449999999997</v>
      </c>
      <c r="P321">
        <f>SmtRes!AG387</f>
        <v>15.44</v>
      </c>
      <c r="Q321">
        <f>SmtRes!DC387</f>
        <v>32.58</v>
      </c>
      <c r="R321">
        <f>ROUND(ROUND(Q321*Source!I1304, 6)*1, 2)</f>
        <v>1056.57</v>
      </c>
      <c r="S321">
        <f>SmtRes!AC387</f>
        <v>378.74</v>
      </c>
      <c r="T321">
        <f>ROUND(ROUND(Q321*Source!I1304, 6)*SmtRes!AK387, 2)</f>
        <v>25917.65</v>
      </c>
      <c r="U321">
        <f>SmtRes!X387</f>
        <v>506283845</v>
      </c>
      <c r="V321">
        <v>1186422742</v>
      </c>
      <c r="W321">
        <v>1834385349</v>
      </c>
    </row>
    <row r="322" spans="1:23" x14ac:dyDescent="0.2">
      <c r="A322">
        <f>Source!A1305</f>
        <v>18</v>
      </c>
      <c r="B322">
        <v>1305</v>
      </c>
      <c r="C322">
        <v>3</v>
      </c>
      <c r="D322">
        <f>Source!BI1305</f>
        <v>1</v>
      </c>
      <c r="E322">
        <f>Source!FS1305</f>
        <v>0</v>
      </c>
      <c r="F322" t="str">
        <f>Source!F1305</f>
        <v>1.1-1-3493</v>
      </c>
      <c r="G322" t="str">
        <f>Source!G1305</f>
        <v>Крошка каучуковая гранулированная, окрашенная в массе, фракция 2-3 мм</v>
      </c>
      <c r="H322" t="str">
        <f>Source!H1305</f>
        <v>кг</v>
      </c>
      <c r="I322">
        <f>Source!I1305</f>
        <v>23836.05</v>
      </c>
      <c r="J322">
        <v>1</v>
      </c>
      <c r="K322">
        <f>Source!AC1305</f>
        <v>17.18</v>
      </c>
      <c r="M322">
        <f>ROUND(K322*I322, 2)</f>
        <v>409503.34</v>
      </c>
      <c r="N322">
        <f>Source!AC1305*IF(Source!BC1305&lt;&gt; 0, Source!BC1305, 1)</f>
        <v>85.556400000000011</v>
      </c>
      <c r="O322">
        <f>ROUND(N322*I322, 2)</f>
        <v>2039326.63</v>
      </c>
      <c r="P322">
        <f>Source!AE1305</f>
        <v>0</v>
      </c>
      <c r="R322">
        <f>ROUND(P322*I322, 2)</f>
        <v>0</v>
      </c>
      <c r="S322">
        <f>Source!AE1305*IF(Source!BS1305&lt;&gt; 0, Source!BS1305, 1)</f>
        <v>0</v>
      </c>
      <c r="T322">
        <f>ROUND(S322*I322, 2)</f>
        <v>0</v>
      </c>
      <c r="U322">
        <f>Source!GF1305</f>
        <v>-1987235172</v>
      </c>
      <c r="V322">
        <v>-1227480816</v>
      </c>
      <c r="W322">
        <v>-1339022534</v>
      </c>
    </row>
    <row r="323" spans="1:23" x14ac:dyDescent="0.2">
      <c r="A323">
        <f>Source!A1338</f>
        <v>4</v>
      </c>
      <c r="B323">
        <v>1338</v>
      </c>
      <c r="G323" t="str">
        <f>Source!G1338</f>
        <v>54. Облицовка подпорной стенки мраморной штукатуркой</v>
      </c>
    </row>
    <row r="324" spans="1:23" x14ac:dyDescent="0.2">
      <c r="A324">
        <f>Source!A1342</f>
        <v>17</v>
      </c>
      <c r="C324">
        <v>3</v>
      </c>
      <c r="D324">
        <v>0</v>
      </c>
      <c r="E324">
        <f>SmtRes!AV403</f>
        <v>0</v>
      </c>
      <c r="F324" t="str">
        <f>SmtRes!I403</f>
        <v>9999990006</v>
      </c>
      <c r="G324" t="str">
        <f>SmtRes!K403</f>
        <v>Стоимость прочих материалов (ЭСН)</v>
      </c>
      <c r="H324" t="str">
        <f>SmtRes!O403</f>
        <v>руб.</v>
      </c>
      <c r="I324">
        <f>SmtRes!Y403*Source!I1342</f>
        <v>0.56399999999999995</v>
      </c>
      <c r="J324">
        <f>SmtRes!AO403</f>
        <v>1</v>
      </c>
      <c r="K324">
        <f>SmtRes!AE403</f>
        <v>1</v>
      </c>
      <c r="L324">
        <f>SmtRes!DB403</f>
        <v>1.41</v>
      </c>
      <c r="M324">
        <f>ROUND(ROUND(L324*Source!I1342, 6)*1, 2)</f>
        <v>0.56000000000000005</v>
      </c>
      <c r="N324">
        <f>SmtRes!AA403</f>
        <v>1</v>
      </c>
      <c r="O324">
        <f>ROUND(ROUND(L324*Source!I1342, 6)*SmtRes!DA403, 2)</f>
        <v>0.56000000000000005</v>
      </c>
      <c r="P324">
        <f>SmtRes!AG403</f>
        <v>0</v>
      </c>
      <c r="Q324">
        <f>SmtRes!DC403</f>
        <v>0</v>
      </c>
      <c r="R324">
        <f>ROUND(ROUND(Q324*Source!I1342, 6)*1, 2)</f>
        <v>0</v>
      </c>
      <c r="S324">
        <f>SmtRes!AC403</f>
        <v>0</v>
      </c>
      <c r="T324">
        <f>ROUND(ROUND(Q324*Source!I1342, 6)*SmtRes!AK403, 2)</f>
        <v>0</v>
      </c>
      <c r="U324">
        <f>SmtRes!X403</f>
        <v>-94250534</v>
      </c>
      <c r="V324">
        <v>-1341645062</v>
      </c>
      <c r="W324">
        <v>-1341645062</v>
      </c>
    </row>
    <row r="325" spans="1:23" x14ac:dyDescent="0.2">
      <c r="A325">
        <f>Source!A1342</f>
        <v>17</v>
      </c>
      <c r="C325">
        <v>2</v>
      </c>
      <c r="D325">
        <v>0</v>
      </c>
      <c r="E325">
        <f>SmtRes!AV399</f>
        <v>0</v>
      </c>
      <c r="F325" t="str">
        <f>SmtRes!I399</f>
        <v>9999990007</v>
      </c>
      <c r="G325" t="str">
        <f>SmtRes!K399</f>
        <v>Стоимость прочих машин (ЭСН)</v>
      </c>
      <c r="H325" t="str">
        <f>SmtRes!O399</f>
        <v>руб.</v>
      </c>
      <c r="I325">
        <f>SmtRes!Y399*Source!I1342</f>
        <v>7.7400000000000011</v>
      </c>
      <c r="J325">
        <f>SmtRes!AO399</f>
        <v>1</v>
      </c>
      <c r="K325">
        <f>SmtRes!AF399</f>
        <v>1</v>
      </c>
      <c r="L325">
        <f>SmtRes!DB399</f>
        <v>19.350000000000001</v>
      </c>
      <c r="M325">
        <f>ROUND(ROUND(L325*Source!I1342, 6)*1, 2)</f>
        <v>7.74</v>
      </c>
      <c r="N325">
        <f>SmtRes!AB399</f>
        <v>1.05</v>
      </c>
      <c r="O325">
        <f>ROUND(ROUND(L325*Source!I1342, 6)*SmtRes!DA399, 2)</f>
        <v>7.74</v>
      </c>
      <c r="P325">
        <f>SmtRes!AG399</f>
        <v>0</v>
      </c>
      <c r="Q325">
        <f>SmtRes!DC399</f>
        <v>0</v>
      </c>
      <c r="R325">
        <f>ROUND(ROUND(Q325*Source!I1342, 6)*1, 2)</f>
        <v>0</v>
      </c>
      <c r="S325">
        <f>SmtRes!AC399</f>
        <v>0</v>
      </c>
      <c r="T325">
        <f>ROUND(ROUND(Q325*Source!I1342, 6)*SmtRes!AK399, 2)</f>
        <v>0</v>
      </c>
      <c r="U325">
        <f>SmtRes!X399</f>
        <v>-1180195794</v>
      </c>
      <c r="V325">
        <v>54769220</v>
      </c>
      <c r="W325">
        <v>1832560717</v>
      </c>
    </row>
    <row r="326" spans="1:23" x14ac:dyDescent="0.2">
      <c r="A326">
        <f>Source!A1342</f>
        <v>17</v>
      </c>
      <c r="C326">
        <v>2</v>
      </c>
      <c r="D326">
        <v>0</v>
      </c>
      <c r="E326">
        <f>SmtRes!AV398</f>
        <v>0</v>
      </c>
      <c r="F326" t="str">
        <f>SmtRes!I398</f>
        <v>2.1-6-34</v>
      </c>
      <c r="G326" t="str">
        <f>SmtRes!K398</f>
        <v>Растворонасосы, производительность до 3 м3/ч</v>
      </c>
      <c r="H326" t="str">
        <f>SmtRes!O398</f>
        <v>маш.-ч.</v>
      </c>
      <c r="I326">
        <f>SmtRes!Y398*Source!I1342</f>
        <v>0.96</v>
      </c>
      <c r="J326">
        <f>SmtRes!AO398</f>
        <v>1</v>
      </c>
      <c r="K326">
        <f>SmtRes!AF398</f>
        <v>58.51</v>
      </c>
      <c r="L326">
        <f>SmtRes!DB398</f>
        <v>140.41999999999999</v>
      </c>
      <c r="M326">
        <f>ROUND(ROUND(L326*Source!I1342, 6)*1, 2)</f>
        <v>56.17</v>
      </c>
      <c r="N326">
        <f>SmtRes!AB398</f>
        <v>655.48</v>
      </c>
      <c r="O326">
        <f>ROUND(ROUND(L326*Source!I1342, 6)*SmtRes!DA398, 2)</f>
        <v>601</v>
      </c>
      <c r="P326">
        <f>SmtRes!AG398</f>
        <v>13.38</v>
      </c>
      <c r="Q326">
        <f>SmtRes!DC398</f>
        <v>32.11</v>
      </c>
      <c r="R326">
        <f>ROUND(ROUND(Q326*Source!I1342, 6)*1, 2)</f>
        <v>12.84</v>
      </c>
      <c r="S326">
        <f>SmtRes!AC398</f>
        <v>343.64</v>
      </c>
      <c r="T326">
        <f>ROUND(ROUND(Q326*Source!I1342, 6)*SmtRes!AK398, 2)</f>
        <v>315.06</v>
      </c>
      <c r="U326">
        <f>SmtRes!X398</f>
        <v>-888321550</v>
      </c>
      <c r="V326">
        <v>-1810871941</v>
      </c>
      <c r="W326">
        <v>14036318</v>
      </c>
    </row>
    <row r="327" spans="1:23" x14ac:dyDescent="0.2">
      <c r="A327">
        <f>Source!A1343</f>
        <v>18</v>
      </c>
      <c r="B327">
        <v>1343</v>
      </c>
      <c r="C327">
        <v>3</v>
      </c>
      <c r="D327">
        <f>Source!BI1343</f>
        <v>1</v>
      </c>
      <c r="E327">
        <f>Source!FS1343</f>
        <v>0</v>
      </c>
      <c r="F327" t="str">
        <f>Source!F1343</f>
        <v>1.1-1-118</v>
      </c>
      <c r="G327" t="str">
        <f>Source!G1343</f>
        <v>Вода</v>
      </c>
      <c r="H327" t="str">
        <f>Source!H1343</f>
        <v>м3</v>
      </c>
      <c r="I327">
        <f>Source!I1343</f>
        <v>5.7119999999999997E-2</v>
      </c>
      <c r="J327">
        <v>1</v>
      </c>
      <c r="K327">
        <f>Source!AC1343</f>
        <v>7.07</v>
      </c>
      <c r="M327">
        <f>ROUND(K327*I327, 2)</f>
        <v>0.4</v>
      </c>
      <c r="N327">
        <f>Source!AC1343*IF(Source!BC1343&lt;&gt; 0, Source!BC1343, 1)</f>
        <v>35.279300000000006</v>
      </c>
      <c r="O327">
        <f>ROUND(N327*I327, 2)</f>
        <v>2.02</v>
      </c>
      <c r="P327">
        <f>Source!AE1343</f>
        <v>0</v>
      </c>
      <c r="R327">
        <f>ROUND(P327*I327, 2)</f>
        <v>0</v>
      </c>
      <c r="S327">
        <f>Source!AE1343*IF(Source!BS1343&lt;&gt; 0, Source!BS1343, 1)</f>
        <v>0</v>
      </c>
      <c r="T327">
        <f>ROUND(S327*I327, 2)</f>
        <v>0</v>
      </c>
      <c r="U327">
        <f>Source!GF1343</f>
        <v>-862991314</v>
      </c>
      <c r="V327">
        <v>209219300</v>
      </c>
      <c r="W327">
        <v>639826957</v>
      </c>
    </row>
    <row r="328" spans="1:23" x14ac:dyDescent="0.2">
      <c r="A328">
        <f>Source!A1344</f>
        <v>18</v>
      </c>
      <c r="B328">
        <v>1344</v>
      </c>
      <c r="C328">
        <v>3</v>
      </c>
      <c r="D328">
        <f>Source!BI1344</f>
        <v>1</v>
      </c>
      <c r="E328">
        <f>Source!FS1344</f>
        <v>0</v>
      </c>
      <c r="F328" t="str">
        <f>Source!F1344</f>
        <v>1.3-2-153</v>
      </c>
      <c r="G328" t="str">
        <f>Source!G1344</f>
        <v>Смесь сухая крупнозернистая, цементная, штукатурная, ручного нанесения, для создания паропроницаемой, атмосферостойкой, моющейся декоративной штукатурки с шероховатой структурой</v>
      </c>
      <c r="H328" t="str">
        <f>Source!H1344</f>
        <v>т</v>
      </c>
      <c r="I328">
        <f>Source!I1344</f>
        <v>0.32640000000000002</v>
      </c>
      <c r="J328">
        <v>1</v>
      </c>
      <c r="K328">
        <f>Source!AC1344</f>
        <v>18737.86</v>
      </c>
      <c r="M328">
        <f>ROUND(K328*I328, 2)</f>
        <v>6116.04</v>
      </c>
      <c r="N328">
        <f>Source!AC1344*IF(Source!BC1344&lt;&gt; 0, Source!BC1344, 1)</f>
        <v>33540.769400000005</v>
      </c>
      <c r="O328">
        <f>ROUND(N328*I328, 2)</f>
        <v>10947.71</v>
      </c>
      <c r="P328">
        <f>Source!AE1344</f>
        <v>0</v>
      </c>
      <c r="R328">
        <f>ROUND(P328*I328, 2)</f>
        <v>0</v>
      </c>
      <c r="S328">
        <f>Source!AE1344*IF(Source!BS1344&lt;&gt; 0, Source!BS1344, 1)</f>
        <v>0</v>
      </c>
      <c r="T328">
        <f>ROUND(S328*I328, 2)</f>
        <v>0</v>
      </c>
      <c r="U328">
        <f>Source!GF1344</f>
        <v>1606119865</v>
      </c>
      <c r="V328">
        <v>611291608</v>
      </c>
      <c r="W328">
        <v>-465242969</v>
      </c>
    </row>
    <row r="329" spans="1:23" x14ac:dyDescent="0.2">
      <c r="A329">
        <f>Source!A1345</f>
        <v>18</v>
      </c>
      <c r="B329">
        <v>1345</v>
      </c>
      <c r="C329">
        <v>3</v>
      </c>
      <c r="D329">
        <f>Source!BI1345</f>
        <v>1</v>
      </c>
      <c r="E329">
        <f>Source!FS1345</f>
        <v>0</v>
      </c>
      <c r="F329" t="str">
        <f>Source!F1345</f>
        <v>1.3-2-13</v>
      </c>
      <c r="G329" t="str">
        <f>Source!G1345</f>
        <v>Растворы цементно-известковые, марка 75</v>
      </c>
      <c r="H329" t="str">
        <f>Source!H1345</f>
        <v>м3</v>
      </c>
      <c r="I329">
        <f>Source!I1345</f>
        <v>0.81599999999999984</v>
      </c>
      <c r="J329">
        <v>1</v>
      </c>
      <c r="K329">
        <f>Source!AC1345</f>
        <v>481.69</v>
      </c>
      <c r="M329">
        <f>ROUND(K329*I329, 2)</f>
        <v>393.06</v>
      </c>
      <c r="N329">
        <f>Source!AC1345*IF(Source!BC1345&lt;&gt; 0, Source!BC1345, 1)</f>
        <v>3222.5061000000001</v>
      </c>
      <c r="O329">
        <f>ROUND(N329*I329, 2)</f>
        <v>2629.56</v>
      </c>
      <c r="P329">
        <f>Source!AE1345</f>
        <v>0</v>
      </c>
      <c r="R329">
        <f>ROUND(P329*I329, 2)</f>
        <v>0</v>
      </c>
      <c r="S329">
        <f>Source!AE1345*IF(Source!BS1345&lt;&gt; 0, Source!BS1345, 1)</f>
        <v>0</v>
      </c>
      <c r="T329">
        <f>ROUND(S329*I329, 2)</f>
        <v>0</v>
      </c>
      <c r="U329">
        <f>Source!GF1345</f>
        <v>202608499</v>
      </c>
      <c r="V329">
        <v>426063702</v>
      </c>
      <c r="W329">
        <v>1528165081</v>
      </c>
    </row>
    <row r="330" spans="1:23" x14ac:dyDescent="0.2">
      <c r="A330">
        <f>Source!A1378</f>
        <v>4</v>
      </c>
      <c r="B330">
        <v>1378</v>
      </c>
      <c r="G330" t="str">
        <f>Source!G1378</f>
        <v>57. Гидроизоляция рулонная 1см</v>
      </c>
    </row>
    <row r="331" spans="1:23" x14ac:dyDescent="0.2">
      <c r="A331">
        <f>Source!A1412</f>
        <v>4</v>
      </c>
      <c r="B331">
        <v>1412</v>
      </c>
      <c r="G331" t="str">
        <f>Source!G1412</f>
        <v>58. Гидроизоляция рулонная 2 см</v>
      </c>
    </row>
    <row r="332" spans="1:23" x14ac:dyDescent="0.2">
      <c r="A332">
        <f>Source!A1446</f>
        <v>4</v>
      </c>
      <c r="B332">
        <v>1446</v>
      </c>
      <c r="G332" t="str">
        <f>Source!G1446</f>
        <v>59. Гидроизоляция обмазочная</v>
      </c>
    </row>
    <row r="333" spans="1:23" x14ac:dyDescent="0.2">
      <c r="A333">
        <f>Source!A1480</f>
        <v>4</v>
      </c>
      <c r="B333">
        <v>1480</v>
      </c>
      <c r="G333" t="str">
        <f>Source!G1480</f>
        <v>60. Установка поручней (м.п.)</v>
      </c>
    </row>
    <row r="334" spans="1:23" x14ac:dyDescent="0.2">
      <c r="A334">
        <v>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16"/>
  <sheetViews>
    <sheetView topLeftCell="A307" workbookViewId="0">
      <selection activeCell="A317" sqref="A317:XFD321"/>
    </sheetView>
  </sheetViews>
  <sheetFormatPr defaultRowHeight="12.75" x14ac:dyDescent="0.2"/>
  <cols>
    <col min="1" max="1" width="12.7109375" customWidth="1"/>
    <col min="2" max="2" width="40.7109375" customWidth="1"/>
    <col min="3" max="6" width="12.7109375" customWidth="1"/>
    <col min="15" max="15" width="103.7109375" hidden="1" customWidth="1"/>
    <col min="16" max="18" width="0" hidden="1" customWidth="1"/>
  </cols>
  <sheetData>
    <row r="2" spans="1:17" ht="16.5" x14ac:dyDescent="0.2">
      <c r="A2" s="130" t="s">
        <v>1056</v>
      </c>
      <c r="B2" s="131"/>
      <c r="C2" s="131"/>
      <c r="D2" s="131"/>
      <c r="E2" s="131"/>
      <c r="F2" s="131"/>
    </row>
    <row r="3" spans="1:17" ht="16.5" x14ac:dyDescent="0.2">
      <c r="A3" s="130" t="s">
        <v>1075</v>
      </c>
      <c r="B3" s="131"/>
      <c r="C3" s="131"/>
      <c r="D3" s="131"/>
      <c r="E3" s="131"/>
      <c r="F3" s="131"/>
    </row>
    <row r="4" spans="1:17" x14ac:dyDescent="0.2">
      <c r="A4" s="120" t="s">
        <v>1057</v>
      </c>
      <c r="B4" s="120" t="s">
        <v>1058</v>
      </c>
      <c r="C4" s="120" t="s">
        <v>961</v>
      </c>
      <c r="D4" s="120" t="s">
        <v>1059</v>
      </c>
      <c r="E4" s="137" t="s">
        <v>1060</v>
      </c>
      <c r="F4" s="138"/>
    </row>
    <row r="5" spans="1:17" x14ac:dyDescent="0.2">
      <c r="A5" s="136"/>
      <c r="B5" s="136"/>
      <c r="C5" s="136"/>
      <c r="D5" s="136"/>
      <c r="E5" s="139"/>
      <c r="F5" s="140"/>
    </row>
    <row r="6" spans="1:17" ht="14.25" x14ac:dyDescent="0.2">
      <c r="A6" s="121"/>
      <c r="B6" s="121"/>
      <c r="C6" s="121"/>
      <c r="D6" s="121"/>
      <c r="E6" s="20" t="s">
        <v>1061</v>
      </c>
      <c r="F6" s="20" t="s">
        <v>1062</v>
      </c>
    </row>
    <row r="7" spans="1:17" ht="14.25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</row>
    <row r="8" spans="1:17" ht="16.5" x14ac:dyDescent="0.2">
      <c r="A8" s="130" t="str">
        <f>CONCATENATE("Локальная смета: ",IF(Source!G22&lt;&gt;"Новая локальная смета", Source!G22, ""))</f>
        <v xml:space="preserve">Локальная смета: </v>
      </c>
      <c r="B8" s="131"/>
      <c r="C8" s="131"/>
      <c r="D8" s="131"/>
      <c r="E8" s="131"/>
      <c r="F8" s="131"/>
    </row>
    <row r="9" spans="1:17" ht="33" x14ac:dyDescent="0.2">
      <c r="A9" s="130" t="str">
        <f>CONCATENATE("Раздел: ",IF(Source!G26&lt;&gt;"Новый раздел", Source!G26, ""))</f>
        <v>Раздел: 1.1. Текущий ремонт мелкозернистого а/б покрытия (фрезеровка) -11416 м2</v>
      </c>
      <c r="B9" s="131"/>
      <c r="C9" s="131"/>
      <c r="D9" s="131"/>
      <c r="E9" s="131"/>
      <c r="F9" s="131"/>
      <c r="O9" s="84" t="s">
        <v>1063</v>
      </c>
    </row>
    <row r="10" spans="1:17" ht="14.25" x14ac:dyDescent="0.2">
      <c r="A10" s="132" t="s">
        <v>1064</v>
      </c>
      <c r="B10" s="133"/>
      <c r="C10" s="133"/>
      <c r="D10" s="133"/>
      <c r="E10" s="133"/>
      <c r="F10" s="133"/>
    </row>
    <row r="11" spans="1:17" ht="28.5" x14ac:dyDescent="0.2">
      <c r="A11" s="85" t="s">
        <v>649</v>
      </c>
      <c r="B11" s="42" t="s">
        <v>651</v>
      </c>
      <c r="C11" s="42" t="s">
        <v>652</v>
      </c>
      <c r="D11" s="43">
        <f>ROUND(SUMIF(RV_DATA!W8:'RV_DATA'!W43, 2007133442, RV_DATA!I8:'RV_DATA'!I43), 6)</f>
        <v>191.936274</v>
      </c>
      <c r="E11" s="72">
        <f>ROUND(RV_DATA!N14, 6)</f>
        <v>1176.23</v>
      </c>
      <c r="F11" s="72">
        <f>ROUND(SUMIF(RV_DATA!W8:'RV_DATA'!W43, 2007133442, RV_DATA!O8:'RV_DATA'!O43), 6)</f>
        <v>225767.37</v>
      </c>
      <c r="Q11">
        <v>2</v>
      </c>
    </row>
    <row r="12" spans="1:17" ht="71.25" x14ac:dyDescent="0.2">
      <c r="A12" s="85" t="s">
        <v>668</v>
      </c>
      <c r="B12" s="42" t="s">
        <v>670</v>
      </c>
      <c r="C12" s="42" t="s">
        <v>652</v>
      </c>
      <c r="D12" s="43">
        <f>ROUND(SUMIF(RV_DATA!W8:'RV_DATA'!W43, 868399420, RV_DATA!I8:'RV_DATA'!I43), 6)</f>
        <v>136.85843299999999</v>
      </c>
      <c r="E12" s="72">
        <f>ROUND(RV_DATA!N21, 6)</f>
        <v>772.42</v>
      </c>
      <c r="F12" s="72">
        <f>ROUND(SUMIF(RV_DATA!W8:'RV_DATA'!W43, 868399420, RV_DATA!O8:'RV_DATA'!O43), 6)</f>
        <v>100965.8</v>
      </c>
      <c r="Q12">
        <v>2</v>
      </c>
    </row>
    <row r="13" spans="1:17" ht="71.25" x14ac:dyDescent="0.2">
      <c r="A13" s="85" t="s">
        <v>653</v>
      </c>
      <c r="B13" s="42" t="s">
        <v>655</v>
      </c>
      <c r="C13" s="42" t="s">
        <v>652</v>
      </c>
      <c r="D13" s="43">
        <f>ROUND(SUMIF(RV_DATA!W8:'RV_DATA'!W43, 1732053836, RV_DATA!I8:'RV_DATA'!I43), 6)</f>
        <v>191.936274</v>
      </c>
      <c r="E13" s="72">
        <f>ROUND(RV_DATA!N13, 6)</f>
        <v>983.42</v>
      </c>
      <c r="F13" s="72">
        <f>ROUND(SUMIF(RV_DATA!W8:'RV_DATA'!W43, 1732053836, RV_DATA!O8:'RV_DATA'!O43), 6)</f>
        <v>188752.15</v>
      </c>
      <c r="Q13">
        <v>2</v>
      </c>
    </row>
    <row r="14" spans="1:17" ht="28.5" x14ac:dyDescent="0.2">
      <c r="A14" s="85" t="s">
        <v>680</v>
      </c>
      <c r="B14" s="42" t="s">
        <v>682</v>
      </c>
      <c r="C14" s="42" t="s">
        <v>652</v>
      </c>
      <c r="D14" s="43">
        <f>ROUND(SUMIF(RV_DATA!W8:'RV_DATA'!W43, 1752455861, RV_DATA!I8:'RV_DATA'!I43), 6)</f>
        <v>3.0361850000000001</v>
      </c>
      <c r="E14" s="72">
        <f>ROUND(RV_DATA!N29, 6)</f>
        <v>755.14</v>
      </c>
      <c r="F14" s="72">
        <f>ROUND(SUMIF(RV_DATA!W8:'RV_DATA'!W43, 1752455861, RV_DATA!O8:'RV_DATA'!O43), 6)</f>
        <v>2189.81</v>
      </c>
      <c r="Q14">
        <v>2</v>
      </c>
    </row>
    <row r="15" spans="1:17" ht="28.5" x14ac:dyDescent="0.2">
      <c r="A15" s="85" t="s">
        <v>683</v>
      </c>
      <c r="B15" s="42" t="s">
        <v>685</v>
      </c>
      <c r="C15" s="42" t="s">
        <v>652</v>
      </c>
      <c r="D15" s="43">
        <f>ROUND(SUMIF(RV_DATA!W8:'RV_DATA'!W43, -902618053, RV_DATA!I8:'RV_DATA'!I43), 6)</f>
        <v>5.4241950000000001</v>
      </c>
      <c r="E15" s="72">
        <f>ROUND(RV_DATA!N28, 6)</f>
        <v>1261.78</v>
      </c>
      <c r="F15" s="72">
        <f>ROUND(SUMIF(RV_DATA!W8:'RV_DATA'!W43, -902618053, RV_DATA!O8:'RV_DATA'!O43), 6)</f>
        <v>6537.06</v>
      </c>
      <c r="Q15">
        <v>2</v>
      </c>
    </row>
    <row r="16" spans="1:17" ht="14.25" x14ac:dyDescent="0.2">
      <c r="A16" s="85" t="s">
        <v>656</v>
      </c>
      <c r="B16" s="42" t="s">
        <v>658</v>
      </c>
      <c r="C16" s="42" t="s">
        <v>652</v>
      </c>
      <c r="D16" s="43">
        <f>ROUND(SUMIF(RV_DATA!W8:'RV_DATA'!W43, 174915510, RV_DATA!I8:'RV_DATA'!I43), 6)</f>
        <v>383.87254899999999</v>
      </c>
      <c r="E16" s="72">
        <f>ROUND(RV_DATA!N12, 6)</f>
        <v>6.16</v>
      </c>
      <c r="F16" s="72">
        <f>ROUND(SUMIF(RV_DATA!W8:'RV_DATA'!W43, 174915510, RV_DATA!O8:'RV_DATA'!O43), 6)</f>
        <v>2364.8200000000002</v>
      </c>
      <c r="Q16">
        <v>2</v>
      </c>
    </row>
    <row r="17" spans="1:17" ht="14.25" x14ac:dyDescent="0.2">
      <c r="A17" s="85" t="s">
        <v>656</v>
      </c>
      <c r="B17" s="42" t="s">
        <v>658</v>
      </c>
      <c r="C17" s="42" t="s">
        <v>652</v>
      </c>
      <c r="D17" s="43">
        <f>ROUND(SUMIF(RV_DATA!W8:'RV_DATA'!W43, -300787127, RV_DATA!I8:'RV_DATA'!I43), 6)</f>
        <v>205.488</v>
      </c>
      <c r="E17" s="72">
        <f>ROUND(RV_DATA!N20, 6)</f>
        <v>6.45</v>
      </c>
      <c r="F17" s="72">
        <f>ROUND(SUMIF(RV_DATA!W8:'RV_DATA'!W43, -300787127, RV_DATA!O8:'RV_DATA'!O43), 6)</f>
        <v>1266.22</v>
      </c>
      <c r="Q17">
        <v>2</v>
      </c>
    </row>
    <row r="18" spans="1:17" ht="42.75" x14ac:dyDescent="0.2">
      <c r="A18" s="85" t="s">
        <v>701</v>
      </c>
      <c r="B18" s="42" t="s">
        <v>703</v>
      </c>
      <c r="C18" s="42" t="s">
        <v>652</v>
      </c>
      <c r="D18" s="43">
        <f>ROUND(SUMIF(RV_DATA!W8:'RV_DATA'!W43, 318015134, RV_DATA!I8:'RV_DATA'!I43), 6)</f>
        <v>42.643040999999997</v>
      </c>
      <c r="E18" s="72">
        <f>ROUND(RV_DATA!N38, 6)</f>
        <v>1246.0899999999999</v>
      </c>
      <c r="F18" s="72">
        <f>ROUND(SUMIF(RV_DATA!W8:'RV_DATA'!W43, 318015134, RV_DATA!O8:'RV_DATA'!O43), 6)</f>
        <v>50754.83</v>
      </c>
      <c r="Q18">
        <v>2</v>
      </c>
    </row>
    <row r="19" spans="1:17" ht="42.75" x14ac:dyDescent="0.2">
      <c r="A19" s="85" t="s">
        <v>659</v>
      </c>
      <c r="B19" s="42" t="s">
        <v>661</v>
      </c>
      <c r="C19" s="42" t="s">
        <v>652</v>
      </c>
      <c r="D19" s="43">
        <f>ROUND(SUMIF(RV_DATA!W8:'RV_DATA'!W43, 251005999, RV_DATA!I8:'RV_DATA'!I43), 6)</f>
        <v>26.62782</v>
      </c>
      <c r="E19" s="72">
        <f>ROUND(RV_DATA!N11, 6)</f>
        <v>7831.99</v>
      </c>
      <c r="F19" s="72">
        <f>ROUND(SUMIF(RV_DATA!W8:'RV_DATA'!W43, 251005999, RV_DATA!O8:'RV_DATA'!O43), 6)</f>
        <v>208548.79</v>
      </c>
      <c r="Q19">
        <v>2</v>
      </c>
    </row>
    <row r="20" spans="1:17" ht="28.5" x14ac:dyDescent="0.2">
      <c r="A20" s="85" t="s">
        <v>686</v>
      </c>
      <c r="B20" s="42" t="s">
        <v>688</v>
      </c>
      <c r="C20" s="42" t="s">
        <v>652</v>
      </c>
      <c r="D20" s="43">
        <f>ROUND(SUMIF(RV_DATA!W8:'RV_DATA'!W43, -194771115, RV_DATA!I8:'RV_DATA'!I43), 6)</f>
        <v>51.683365999999999</v>
      </c>
      <c r="E20" s="72">
        <f>ROUND(RV_DATA!N27, 6)</f>
        <v>2040.36</v>
      </c>
      <c r="F20" s="72">
        <f>ROUND(SUMIF(RV_DATA!W8:'RV_DATA'!W43, -194771115, RV_DATA!O8:'RV_DATA'!O43), 6)</f>
        <v>100715.45</v>
      </c>
      <c r="Q20">
        <v>2</v>
      </c>
    </row>
    <row r="21" spans="1:17" ht="28.5" x14ac:dyDescent="0.2">
      <c r="A21" s="85" t="s">
        <v>704</v>
      </c>
      <c r="B21" s="42" t="s">
        <v>706</v>
      </c>
      <c r="C21" s="42" t="s">
        <v>652</v>
      </c>
      <c r="D21" s="43">
        <f>ROUND(SUMIF(RV_DATA!W8:'RV_DATA'!W43, 1301955392, RV_DATA!I8:'RV_DATA'!I43), 6)</f>
        <v>34.114432999999998</v>
      </c>
      <c r="E21" s="72">
        <f>ROUND(RV_DATA!N36, 6)</f>
        <v>3453.79</v>
      </c>
      <c r="F21" s="72">
        <f>ROUND(SUMIF(RV_DATA!W8:'RV_DATA'!W43, 1301955392, RV_DATA!O8:'RV_DATA'!O43), 6)</f>
        <v>112542.38</v>
      </c>
      <c r="Q21">
        <v>2</v>
      </c>
    </row>
    <row r="22" spans="1:17" ht="28.5" x14ac:dyDescent="0.2">
      <c r="A22" s="85" t="s">
        <v>689</v>
      </c>
      <c r="B22" s="42" t="s">
        <v>691</v>
      </c>
      <c r="C22" s="42" t="s">
        <v>652</v>
      </c>
      <c r="D22" s="43">
        <f>ROUND(SUMIF(RV_DATA!W8:'RV_DATA'!W43, 1343321629, RV_DATA!I8:'RV_DATA'!I43), 6)</f>
        <v>72.527283999999995</v>
      </c>
      <c r="E22" s="72">
        <f>ROUND(RV_DATA!N26, 6)</f>
        <v>1458.26</v>
      </c>
      <c r="F22" s="72">
        <f>ROUND(SUMIF(RV_DATA!W8:'RV_DATA'!W43, 1343321629, RV_DATA!O8:'RV_DATA'!O43), 6)</f>
        <v>101013.77</v>
      </c>
      <c r="Q22">
        <v>2</v>
      </c>
    </row>
    <row r="23" spans="1:17" ht="28.5" x14ac:dyDescent="0.2">
      <c r="A23" s="85" t="s">
        <v>692</v>
      </c>
      <c r="B23" s="42" t="s">
        <v>694</v>
      </c>
      <c r="C23" s="42" t="s">
        <v>652</v>
      </c>
      <c r="D23" s="43">
        <f>ROUND(SUMIF(RV_DATA!W8:'RV_DATA'!W43, 2118132017, RV_DATA!I8:'RV_DATA'!I43), 6)</f>
        <v>109.814359</v>
      </c>
      <c r="E23" s="72">
        <f>ROUND(RV_DATA!N25, 6)</f>
        <v>1900.58</v>
      </c>
      <c r="F23" s="72">
        <f>ROUND(SUMIF(RV_DATA!W8:'RV_DATA'!W43, 2118132017, RV_DATA!O8:'RV_DATA'!O43), 6)</f>
        <v>199342.3</v>
      </c>
      <c r="Q23">
        <v>2</v>
      </c>
    </row>
    <row r="24" spans="1:17" ht="28.5" x14ac:dyDescent="0.2">
      <c r="A24" s="85" t="s">
        <v>707</v>
      </c>
      <c r="B24" s="42" t="s">
        <v>709</v>
      </c>
      <c r="C24" s="42" t="s">
        <v>652</v>
      </c>
      <c r="D24" s="43">
        <f>ROUND(SUMIF(RV_DATA!W8:'RV_DATA'!W43, 1355537832, RV_DATA!I8:'RV_DATA'!I43), 6)</f>
        <v>42.643040999999997</v>
      </c>
      <c r="E24" s="72">
        <f>ROUND(RV_DATA!N34, 6)</f>
        <v>1270.6400000000001</v>
      </c>
      <c r="F24" s="72">
        <f>ROUND(SUMIF(RV_DATA!W8:'RV_DATA'!W43, 1355537832, RV_DATA!O8:'RV_DATA'!O43), 6)</f>
        <v>51757.3</v>
      </c>
      <c r="Q24">
        <v>2</v>
      </c>
    </row>
    <row r="25" spans="1:17" ht="28.5" x14ac:dyDescent="0.2">
      <c r="A25" s="85" t="s">
        <v>695</v>
      </c>
      <c r="B25" s="42" t="s">
        <v>697</v>
      </c>
      <c r="C25" s="42" t="s">
        <v>652</v>
      </c>
      <c r="D25" s="43">
        <f>ROUND(SUMIF(RV_DATA!W8:'RV_DATA'!W43, 159451704, RV_DATA!I8:'RV_DATA'!I43), 6)</f>
        <v>19.820485000000001</v>
      </c>
      <c r="E25" s="72">
        <f>ROUND(RV_DATA!N24, 6)</f>
        <v>1637.48</v>
      </c>
      <c r="F25" s="72">
        <f>ROUND(SUMIF(RV_DATA!W8:'RV_DATA'!W43, 159451704, RV_DATA!O8:'RV_DATA'!O43), 6)</f>
        <v>30998.51</v>
      </c>
      <c r="Q25">
        <v>2</v>
      </c>
    </row>
    <row r="26" spans="1:17" ht="28.5" x14ac:dyDescent="0.2">
      <c r="A26" s="85" t="s">
        <v>671</v>
      </c>
      <c r="B26" s="42" t="s">
        <v>673</v>
      </c>
      <c r="C26" s="42" t="s">
        <v>652</v>
      </c>
      <c r="D26" s="43">
        <f>ROUND(SUMIF(RV_DATA!W8:'RV_DATA'!W43, 559728352, RV_DATA!I8:'RV_DATA'!I43), 6)</f>
        <v>4.2467519999999999</v>
      </c>
      <c r="E26" s="72">
        <f>ROUND(RV_DATA!N19, 6)</f>
        <v>1539.38</v>
      </c>
      <c r="F26" s="72">
        <f>ROUND(SUMIF(RV_DATA!W8:'RV_DATA'!W43, 559728352, RV_DATA!O8:'RV_DATA'!O43), 6)</f>
        <v>6243.86</v>
      </c>
      <c r="Q26">
        <v>2</v>
      </c>
    </row>
    <row r="27" spans="1:17" ht="28.5" x14ac:dyDescent="0.2">
      <c r="A27" s="85" t="s">
        <v>710</v>
      </c>
      <c r="B27" s="42" t="s">
        <v>712</v>
      </c>
      <c r="C27" s="42" t="s">
        <v>652</v>
      </c>
      <c r="D27" s="43">
        <f>ROUND(SUMIF(RV_DATA!W8:'RV_DATA'!W43, 683088364, RV_DATA!I8:'RV_DATA'!I43), 6)</f>
        <v>34.114432999999998</v>
      </c>
      <c r="E27" s="72">
        <f>ROUND(RV_DATA!N33, 6)</f>
        <v>1541.62</v>
      </c>
      <c r="F27" s="72">
        <f>ROUND(SUMIF(RV_DATA!W8:'RV_DATA'!W43, 683088364, RV_DATA!O8:'RV_DATA'!O43), 6)</f>
        <v>50227.63</v>
      </c>
      <c r="Q27">
        <v>2</v>
      </c>
    </row>
    <row r="28" spans="1:17" ht="28.5" x14ac:dyDescent="0.2">
      <c r="A28" s="85" t="s">
        <v>713</v>
      </c>
      <c r="B28" s="42" t="s">
        <v>715</v>
      </c>
      <c r="C28" s="42" t="s">
        <v>652</v>
      </c>
      <c r="D28" s="43">
        <f>ROUND(SUMIF(RV_DATA!W8:'RV_DATA'!W43, 2037058038, RV_DATA!I8:'RV_DATA'!I43), 6)</f>
        <v>102.343298</v>
      </c>
      <c r="E28" s="72">
        <f>ROUND(RV_DATA!N32, 6)</f>
        <v>1589.31</v>
      </c>
      <c r="F28" s="72">
        <f>ROUND(SUMIF(RV_DATA!W8:'RV_DATA'!W43, 2037058038, RV_DATA!O8:'RV_DATA'!O43), 6)</f>
        <v>155357.64000000001</v>
      </c>
      <c r="Q28">
        <v>2</v>
      </c>
    </row>
    <row r="29" spans="1:17" ht="28.5" x14ac:dyDescent="0.2">
      <c r="A29" s="85" t="s">
        <v>662</v>
      </c>
      <c r="B29" s="42" t="s">
        <v>664</v>
      </c>
      <c r="C29" s="42" t="s">
        <v>652</v>
      </c>
      <c r="D29" s="43">
        <f>ROUND(SUMIF(RV_DATA!W8:'RV_DATA'!W43, -1886552964, RV_DATA!I8:'RV_DATA'!I43), 6)</f>
        <v>26.62782</v>
      </c>
      <c r="E29" s="72">
        <f>ROUND(RV_DATA!N10, 6)</f>
        <v>1426.79</v>
      </c>
      <c r="F29" s="72">
        <f>ROUND(SUMIF(RV_DATA!W8:'RV_DATA'!W43, -1886552964, RV_DATA!O8:'RV_DATA'!O43), 6)</f>
        <v>37994.43</v>
      </c>
      <c r="Q29">
        <v>2</v>
      </c>
    </row>
    <row r="30" spans="1:17" ht="14.25" x14ac:dyDescent="0.2">
      <c r="A30" s="85" t="s">
        <v>674</v>
      </c>
      <c r="B30" s="42" t="s">
        <v>675</v>
      </c>
      <c r="C30" s="42" t="s">
        <v>676</v>
      </c>
      <c r="D30" s="43">
        <f>ROUND(SUMIF(RV_DATA!W8:'RV_DATA'!W43, 1832560717, RV_DATA!I8:'RV_DATA'!I43), 6)</f>
        <v>10.192205</v>
      </c>
      <c r="E30" s="72">
        <f>ROUND(RV_DATA!N18, 6)</f>
        <v>1.05</v>
      </c>
      <c r="F30" s="72">
        <f>ROUND(SUMIF(RV_DATA!W8:'RV_DATA'!W43, 1832560717, RV_DATA!O8:'RV_DATA'!O43), 6)</f>
        <v>10.19</v>
      </c>
      <c r="Q30">
        <v>2</v>
      </c>
    </row>
    <row r="31" spans="1:17" ht="15" x14ac:dyDescent="0.25">
      <c r="A31" s="134" t="s">
        <v>1065</v>
      </c>
      <c r="B31" s="134"/>
      <c r="C31" s="134"/>
      <c r="D31" s="134"/>
      <c r="E31" s="135">
        <f>SUMIF(Q11:Q30, 2, F11:F30)</f>
        <v>1633350.3099999998</v>
      </c>
      <c r="F31" s="134"/>
    </row>
    <row r="32" spans="1:17" ht="14.25" x14ac:dyDescent="0.2">
      <c r="A32" s="132" t="s">
        <v>1066</v>
      </c>
      <c r="B32" s="133"/>
      <c r="C32" s="133"/>
      <c r="D32" s="133"/>
      <c r="E32" s="133"/>
      <c r="F32" s="133"/>
    </row>
    <row r="33" spans="1:17" ht="14.25" x14ac:dyDescent="0.2">
      <c r="A33" s="85" t="s">
        <v>467</v>
      </c>
      <c r="B33" s="42" t="s">
        <v>468</v>
      </c>
      <c r="C33" s="42" t="s">
        <v>66</v>
      </c>
      <c r="D33" s="43">
        <f>ROUND(SUMIF(RV_DATA!W8:'RV_DATA'!W43, -307160680, RV_DATA!I8:'RV_DATA'!I43), 6)</f>
        <v>113.724594</v>
      </c>
      <c r="E33" s="72">
        <f>ROUND(RV_DATA!N9, 6)</f>
        <v>35.28</v>
      </c>
      <c r="F33" s="72">
        <f>ROUND(SUMIF(RV_DATA!W8:'RV_DATA'!W43, -307160680, RV_DATA!O8:'RV_DATA'!O43), 6)</f>
        <v>4013.35</v>
      </c>
      <c r="Q33">
        <v>3</v>
      </c>
    </row>
    <row r="34" spans="1:17" ht="42.75" x14ac:dyDescent="0.2">
      <c r="A34" s="85" t="s">
        <v>64</v>
      </c>
      <c r="B34" s="42" t="s">
        <v>65</v>
      </c>
      <c r="C34" s="42" t="s">
        <v>66</v>
      </c>
      <c r="D34" s="43">
        <f>ROUND(SUMIF(RV_DATA!W8:'RV_DATA'!W43, 1682878819, RV_DATA!I8:'RV_DATA'!I43), 6)</f>
        <v>429.84185300000001</v>
      </c>
      <c r="E34" s="72">
        <f>ROUND(RV_DATA!N30, 6)</f>
        <v>1868.9286</v>
      </c>
      <c r="F34" s="72">
        <f>ROUND(SUMIF(RV_DATA!W8:'RV_DATA'!W43, 1682878819, RV_DATA!O8:'RV_DATA'!O43), 6)</f>
        <v>803343.73</v>
      </c>
      <c r="Q34">
        <v>3</v>
      </c>
    </row>
    <row r="35" spans="1:17" ht="42.75" x14ac:dyDescent="0.2">
      <c r="A35" s="85" t="s">
        <v>698</v>
      </c>
      <c r="B35" s="42" t="s">
        <v>700</v>
      </c>
      <c r="C35" s="42" t="s">
        <v>66</v>
      </c>
      <c r="D35" s="43">
        <f>ROUND(SUMIF(RV_DATA!W8:'RV_DATA'!W43, -1052006969, RV_DATA!I8:'RV_DATA'!I43), 6)</f>
        <v>39.231597999999998</v>
      </c>
      <c r="E35" s="72">
        <f>ROUND(RV_DATA!N22, 6)</f>
        <v>1979.65</v>
      </c>
      <c r="F35" s="72">
        <f>ROUND(SUMIF(RV_DATA!W8:'RV_DATA'!W43, -1052006969, RV_DATA!O8:'RV_DATA'!O43), 6)</f>
        <v>77664.91</v>
      </c>
      <c r="Q35">
        <v>3</v>
      </c>
    </row>
    <row r="36" spans="1:17" ht="28.5" x14ac:dyDescent="0.2">
      <c r="A36" s="85" t="s">
        <v>665</v>
      </c>
      <c r="B36" s="42" t="s">
        <v>667</v>
      </c>
      <c r="C36" s="42" t="s">
        <v>328</v>
      </c>
      <c r="D36" s="43">
        <f>ROUND(SUMIF(RV_DATA!W8:'RV_DATA'!W43, 1823871172, RV_DATA!I8:'RV_DATA'!I43), 6)</f>
        <v>266.27820000000003</v>
      </c>
      <c r="E36" s="72">
        <f>ROUND(RV_DATA!N8, 6)</f>
        <v>207.64</v>
      </c>
      <c r="F36" s="72">
        <f>ROUND(SUMIF(RV_DATA!W8:'RV_DATA'!W43, 1823871172, RV_DATA!O8:'RV_DATA'!O43), 6)</f>
        <v>55290.79</v>
      </c>
      <c r="Q36">
        <v>3</v>
      </c>
    </row>
    <row r="37" spans="1:17" ht="14.25" x14ac:dyDescent="0.2">
      <c r="A37" s="85" t="s">
        <v>716</v>
      </c>
      <c r="B37" s="42" t="s">
        <v>718</v>
      </c>
      <c r="C37" s="42" t="s">
        <v>51</v>
      </c>
      <c r="D37" s="43">
        <f>ROUND(SUMIF(RV_DATA!W8:'RV_DATA'!W43, 1430571790, RV_DATA!I8:'RV_DATA'!I43), 6)</f>
        <v>4.5485910000000001</v>
      </c>
      <c r="E37" s="72">
        <f>ROUND(RV_DATA!N31, 6)</f>
        <v>13171.88</v>
      </c>
      <c r="F37" s="72">
        <f>ROUND(SUMIF(RV_DATA!W8:'RV_DATA'!W43, 1430571790, RV_DATA!O8:'RV_DATA'!O43), 6)</f>
        <v>59908.5</v>
      </c>
      <c r="Q37">
        <v>3</v>
      </c>
    </row>
    <row r="38" spans="1:17" ht="42.75" x14ac:dyDescent="0.2">
      <c r="A38" s="85" t="s">
        <v>81</v>
      </c>
      <c r="B38" s="42" t="s">
        <v>82</v>
      </c>
      <c r="C38" s="42" t="s">
        <v>51</v>
      </c>
      <c r="D38" s="43">
        <f>ROUND(SUMIF(RV_DATA!W8:'RV_DATA'!W43, -1906368070, RV_DATA!I8:'RV_DATA'!I43), 6)</f>
        <v>1451.000542</v>
      </c>
      <c r="E38" s="72">
        <f>ROUND(RV_DATA!N40, 6)</f>
        <v>2623.1376</v>
      </c>
      <c r="F38" s="72">
        <f>ROUND(SUMIF(RV_DATA!W8:'RV_DATA'!W43, -1906368070, RV_DATA!O8:'RV_DATA'!O43), 6)</f>
        <v>3806174.08</v>
      </c>
      <c r="Q38">
        <v>3</v>
      </c>
    </row>
    <row r="39" spans="1:17" ht="15" x14ac:dyDescent="0.25">
      <c r="A39" s="134" t="s">
        <v>1067</v>
      </c>
      <c r="B39" s="134"/>
      <c r="C39" s="134"/>
      <c r="D39" s="134"/>
      <c r="E39" s="135">
        <f>SUMIF(Q33:Q38, 3, F33:F38)</f>
        <v>4806395.3600000003</v>
      </c>
      <c r="F39" s="134"/>
    </row>
    <row r="40" spans="1:17" ht="16.5" x14ac:dyDescent="0.2">
      <c r="A40" s="130" t="str">
        <f>CONCATENATE("Раздел: ",IF(Source!G75&lt;&gt;"Новый раздел", Source!G75, ""))</f>
        <v>Раздел: 3. А/б покрытие пешеходных тротуаров на существующее основание</v>
      </c>
      <c r="B40" s="131"/>
      <c r="C40" s="131"/>
      <c r="D40" s="131"/>
      <c r="E40" s="131"/>
      <c r="F40" s="131"/>
      <c r="O40" s="84" t="s">
        <v>1068</v>
      </c>
    </row>
    <row r="41" spans="1:17" ht="14.25" x14ac:dyDescent="0.2">
      <c r="A41" s="132" t="s">
        <v>1064</v>
      </c>
      <c r="B41" s="133"/>
      <c r="C41" s="133"/>
      <c r="D41" s="133"/>
      <c r="E41" s="133"/>
      <c r="F41" s="133"/>
    </row>
    <row r="42" spans="1:17" ht="71.25" x14ac:dyDescent="0.2">
      <c r="A42" s="85" t="s">
        <v>668</v>
      </c>
      <c r="B42" s="42" t="s">
        <v>670</v>
      </c>
      <c r="C42" s="42" t="s">
        <v>652</v>
      </c>
      <c r="D42" s="43">
        <f>ROUND(SUMIF(RV_DATA!W45:'RV_DATA'!W63, 868399420, RV_DATA!I45:'RV_DATA'!I63), 6)</f>
        <v>59.666249999999998</v>
      </c>
      <c r="E42" s="72">
        <f>ROUND(RV_DATA!N48, 6)</f>
        <v>772.42</v>
      </c>
      <c r="F42" s="72">
        <f>ROUND(SUMIF(RV_DATA!W45:'RV_DATA'!W63, 868399420, RV_DATA!O45:'RV_DATA'!O63), 6)</f>
        <v>44018.74</v>
      </c>
      <c r="Q42">
        <v>2</v>
      </c>
    </row>
    <row r="43" spans="1:17" ht="28.5" x14ac:dyDescent="0.2">
      <c r="A43" s="85" t="s">
        <v>680</v>
      </c>
      <c r="B43" s="42" t="s">
        <v>682</v>
      </c>
      <c r="C43" s="42" t="s">
        <v>652</v>
      </c>
      <c r="D43" s="43">
        <f>ROUND(SUMIF(RV_DATA!W45:'RV_DATA'!W63, 1752455861, RV_DATA!I45:'RV_DATA'!I63), 6)</f>
        <v>0.60689099999999996</v>
      </c>
      <c r="E43" s="72">
        <f>ROUND(RV_DATA!N59, 6)</f>
        <v>755.14</v>
      </c>
      <c r="F43" s="72">
        <f>ROUND(SUMIF(RV_DATA!W45:'RV_DATA'!W63, 1752455861, RV_DATA!O45:'RV_DATA'!O63), 6)</f>
        <v>437.71</v>
      </c>
      <c r="Q43">
        <v>2</v>
      </c>
    </row>
    <row r="44" spans="1:17" ht="28.5" x14ac:dyDescent="0.2">
      <c r="A44" s="85" t="s">
        <v>683</v>
      </c>
      <c r="B44" s="42" t="s">
        <v>685</v>
      </c>
      <c r="C44" s="42" t="s">
        <v>652</v>
      </c>
      <c r="D44" s="43">
        <f>ROUND(SUMIF(RV_DATA!W45:'RV_DATA'!W63, -902618053, RV_DATA!I45:'RV_DATA'!I63), 6)</f>
        <v>2.5162110000000002</v>
      </c>
      <c r="E44" s="72">
        <f>ROUND(RV_DATA!N51, 6)</f>
        <v>1261.78</v>
      </c>
      <c r="F44" s="72">
        <f>ROUND(SUMIF(RV_DATA!W45:'RV_DATA'!W63, -902618053, RV_DATA!O45:'RV_DATA'!O63), 6)</f>
        <v>3032.4</v>
      </c>
      <c r="Q44">
        <v>2</v>
      </c>
    </row>
    <row r="45" spans="1:17" ht="14.25" x14ac:dyDescent="0.2">
      <c r="A45" s="85" t="s">
        <v>656</v>
      </c>
      <c r="B45" s="42" t="s">
        <v>658</v>
      </c>
      <c r="C45" s="42" t="s">
        <v>652</v>
      </c>
      <c r="D45" s="43">
        <f>ROUND(SUMIF(RV_DATA!W45:'RV_DATA'!W63, -300787127, RV_DATA!I45:'RV_DATA'!I63), 6)</f>
        <v>119.3325</v>
      </c>
      <c r="E45" s="72">
        <f>ROUND(RV_DATA!N47, 6)</f>
        <v>6.45</v>
      </c>
      <c r="F45" s="72">
        <f>ROUND(SUMIF(RV_DATA!W45:'RV_DATA'!W63, -300787127, RV_DATA!O45:'RV_DATA'!O63), 6)</f>
        <v>735.33</v>
      </c>
      <c r="Q45">
        <v>2</v>
      </c>
    </row>
    <row r="46" spans="1:17" ht="28.5" x14ac:dyDescent="0.2">
      <c r="A46" s="85" t="s">
        <v>686</v>
      </c>
      <c r="B46" s="42" t="s">
        <v>688</v>
      </c>
      <c r="C46" s="42" t="s">
        <v>652</v>
      </c>
      <c r="D46" s="43">
        <f>ROUND(SUMIF(RV_DATA!W45:'RV_DATA'!W63, -194771115, RV_DATA!I45:'RV_DATA'!I63), 6)</f>
        <v>3.5117850000000002</v>
      </c>
      <c r="E46" s="72">
        <f>ROUND(RV_DATA!N57, 6)</f>
        <v>2040.36</v>
      </c>
      <c r="F46" s="72">
        <f>ROUND(SUMIF(RV_DATA!W45:'RV_DATA'!W63, -194771115, RV_DATA!O45:'RV_DATA'!O63), 6)</f>
        <v>6843.66</v>
      </c>
      <c r="Q46">
        <v>2</v>
      </c>
    </row>
    <row r="47" spans="1:17" ht="28.5" x14ac:dyDescent="0.2">
      <c r="A47" s="85" t="s">
        <v>689</v>
      </c>
      <c r="B47" s="42" t="s">
        <v>691</v>
      </c>
      <c r="C47" s="42" t="s">
        <v>652</v>
      </c>
      <c r="D47" s="43">
        <f>ROUND(SUMIF(RV_DATA!W45:'RV_DATA'!W63, 1343321629, RV_DATA!I45:'RV_DATA'!I63), 6)</f>
        <v>7.6781940000000004</v>
      </c>
      <c r="E47" s="72">
        <f>ROUND(RV_DATA!N56, 6)</f>
        <v>1458.26</v>
      </c>
      <c r="F47" s="72">
        <f>ROUND(SUMIF(RV_DATA!W45:'RV_DATA'!W63, 1343321629, RV_DATA!O45:'RV_DATA'!O63), 6)</f>
        <v>10694.14</v>
      </c>
      <c r="Q47">
        <v>2</v>
      </c>
    </row>
    <row r="48" spans="1:17" ht="28.5" x14ac:dyDescent="0.2">
      <c r="A48" s="85" t="s">
        <v>689</v>
      </c>
      <c r="B48" s="42" t="s">
        <v>691</v>
      </c>
      <c r="C48" s="42" t="s">
        <v>652</v>
      </c>
      <c r="D48" s="43">
        <f>ROUND(SUMIF(RV_DATA!W45:'RV_DATA'!W63, 1817474990, RV_DATA!I45:'RV_DATA'!I63), 6)</f>
        <v>16.138300000000001</v>
      </c>
      <c r="E48" s="72">
        <f>ROUND(RV_DATA!N62, 6)</f>
        <v>729.99</v>
      </c>
      <c r="F48" s="72">
        <f>ROUND(SUMIF(RV_DATA!W45:'RV_DATA'!W63, 1817474990, RV_DATA!O45:'RV_DATA'!O63), 6)</f>
        <v>11251.54</v>
      </c>
      <c r="Q48">
        <v>2</v>
      </c>
    </row>
    <row r="49" spans="1:17" ht="28.5" x14ac:dyDescent="0.2">
      <c r="A49" s="85" t="s">
        <v>692</v>
      </c>
      <c r="B49" s="42" t="s">
        <v>694</v>
      </c>
      <c r="C49" s="42" t="s">
        <v>652</v>
      </c>
      <c r="D49" s="43">
        <f>ROUND(SUMIF(RV_DATA!W45:'RV_DATA'!W63, 2118132017, RV_DATA!I45:'RV_DATA'!I63), 6)</f>
        <v>21.950361000000001</v>
      </c>
      <c r="E49" s="72">
        <f>ROUND(RV_DATA!N55, 6)</f>
        <v>1900.58</v>
      </c>
      <c r="F49" s="72">
        <f>ROUND(SUMIF(RV_DATA!W45:'RV_DATA'!W63, 2118132017, RV_DATA!O45:'RV_DATA'!O63), 6)</f>
        <v>39845.75</v>
      </c>
      <c r="Q49">
        <v>2</v>
      </c>
    </row>
    <row r="50" spans="1:17" ht="28.5" x14ac:dyDescent="0.2">
      <c r="A50" s="85" t="s">
        <v>695</v>
      </c>
      <c r="B50" s="42" t="s">
        <v>697</v>
      </c>
      <c r="C50" s="42" t="s">
        <v>652</v>
      </c>
      <c r="D50" s="43">
        <f>ROUND(SUMIF(RV_DATA!W45:'RV_DATA'!W63, 159451704, RV_DATA!I45:'RV_DATA'!I63), 6)</f>
        <v>3.9618389999999999</v>
      </c>
      <c r="E50" s="72">
        <f>ROUND(RV_DATA!N54, 6)</f>
        <v>1637.48</v>
      </c>
      <c r="F50" s="72">
        <f>ROUND(SUMIF(RV_DATA!W45:'RV_DATA'!W63, 159451704, RV_DATA!O45:'RV_DATA'!O63), 6)</f>
        <v>6196.17</v>
      </c>
      <c r="Q50">
        <v>2</v>
      </c>
    </row>
    <row r="51" spans="1:17" ht="28.5" x14ac:dyDescent="0.2">
      <c r="A51" s="85" t="s">
        <v>671</v>
      </c>
      <c r="B51" s="42" t="s">
        <v>673</v>
      </c>
      <c r="C51" s="42" t="s">
        <v>652</v>
      </c>
      <c r="D51" s="43">
        <f>ROUND(SUMIF(RV_DATA!W45:'RV_DATA'!W63, 559728352, RV_DATA!I45:'RV_DATA'!I63), 6)</f>
        <v>4.3982549999999998</v>
      </c>
      <c r="E51" s="72">
        <f>ROUND(RV_DATA!N46, 6)</f>
        <v>1539.38</v>
      </c>
      <c r="F51" s="72">
        <f>ROUND(SUMIF(RV_DATA!W45:'RV_DATA'!W63, 559728352, RV_DATA!O45:'RV_DATA'!O63), 6)</f>
        <v>6466.62</v>
      </c>
      <c r="Q51">
        <v>2</v>
      </c>
    </row>
    <row r="52" spans="1:17" ht="14.25" x14ac:dyDescent="0.2">
      <c r="A52" s="85" t="s">
        <v>674</v>
      </c>
      <c r="B52" s="42" t="s">
        <v>675</v>
      </c>
      <c r="C52" s="42" t="s">
        <v>676</v>
      </c>
      <c r="D52" s="43">
        <f>ROUND(SUMIF(RV_DATA!W45:'RV_DATA'!W63, 1832560717, RV_DATA!I45:'RV_DATA'!I63), 6)</f>
        <v>54.140586999999996</v>
      </c>
      <c r="E52" s="72">
        <f>ROUND(RV_DATA!N45, 6)</f>
        <v>1.05</v>
      </c>
      <c r="F52" s="72">
        <f>ROUND(SUMIF(RV_DATA!W45:'RV_DATA'!W63, 1832560717, RV_DATA!O45:'RV_DATA'!O63), 6)</f>
        <v>54.14</v>
      </c>
      <c r="Q52">
        <v>2</v>
      </c>
    </row>
    <row r="53" spans="1:17" ht="15" x14ac:dyDescent="0.25">
      <c r="A53" s="134" t="s">
        <v>1065</v>
      </c>
      <c r="B53" s="134"/>
      <c r="C53" s="134"/>
      <c r="D53" s="134"/>
      <c r="E53" s="135">
        <f>SUMIF(Q42:Q52, 2, F42:F52)</f>
        <v>129576.19999999998</v>
      </c>
      <c r="F53" s="134"/>
    </row>
    <row r="54" spans="1:17" ht="14.25" x14ac:dyDescent="0.2">
      <c r="A54" s="132" t="s">
        <v>1066</v>
      </c>
      <c r="B54" s="133"/>
      <c r="C54" s="133"/>
      <c r="D54" s="133"/>
      <c r="E54" s="133"/>
      <c r="F54" s="133"/>
    </row>
    <row r="55" spans="1:17" ht="14.25" x14ac:dyDescent="0.2">
      <c r="A55" s="85" t="s">
        <v>467</v>
      </c>
      <c r="B55" s="42" t="s">
        <v>468</v>
      </c>
      <c r="C55" s="42" t="s">
        <v>66</v>
      </c>
      <c r="D55" s="43">
        <f>ROUND(SUMIF(RV_DATA!W45:'RV_DATA'!W63, -307160680, RV_DATA!I45:'RV_DATA'!I63), 6)</f>
        <v>17.047499999999999</v>
      </c>
      <c r="E55" s="72">
        <f>ROUND(RV_DATA!N53, 6)</f>
        <v>35.28</v>
      </c>
      <c r="F55" s="72">
        <f>ROUND(SUMIF(RV_DATA!W45:'RV_DATA'!W63, -307160680, RV_DATA!O45:'RV_DATA'!O63), 6)</f>
        <v>601.41999999999996</v>
      </c>
      <c r="Q55">
        <v>3</v>
      </c>
    </row>
    <row r="56" spans="1:17" ht="42.75" x14ac:dyDescent="0.2">
      <c r="A56" s="85" t="s">
        <v>64</v>
      </c>
      <c r="B56" s="42" t="s">
        <v>65</v>
      </c>
      <c r="C56" s="42" t="s">
        <v>66</v>
      </c>
      <c r="D56" s="43">
        <f>ROUND(SUMIF(RV_DATA!W45:'RV_DATA'!W63, 1682878819, RV_DATA!I45:'RV_DATA'!I63), 6)</f>
        <v>85.919399999999996</v>
      </c>
      <c r="E56" s="72">
        <f>ROUND(RV_DATA!N60, 6)</f>
        <v>1868.9286</v>
      </c>
      <c r="F56" s="72">
        <f>ROUND(SUMIF(RV_DATA!W45:'RV_DATA'!W63, 1682878819, RV_DATA!O45:'RV_DATA'!O63), 6)</f>
        <v>160577.22</v>
      </c>
      <c r="Q56">
        <v>3</v>
      </c>
    </row>
    <row r="57" spans="1:17" ht="42.75" x14ac:dyDescent="0.2">
      <c r="A57" s="85" t="s">
        <v>698</v>
      </c>
      <c r="B57" s="42" t="s">
        <v>700</v>
      </c>
      <c r="C57" s="42" t="s">
        <v>66</v>
      </c>
      <c r="D57" s="43">
        <f>ROUND(SUMIF(RV_DATA!W45:'RV_DATA'!W63, -1052006969, RV_DATA!I45:'RV_DATA'!I63), 6)</f>
        <v>7.84185</v>
      </c>
      <c r="E57" s="72">
        <f>ROUND(RV_DATA!N52, 6)</f>
        <v>1979.65</v>
      </c>
      <c r="F57" s="72">
        <f>ROUND(SUMIF(RV_DATA!W45:'RV_DATA'!W63, -1052006969, RV_DATA!O45:'RV_DATA'!O63), 6)</f>
        <v>15524.13</v>
      </c>
      <c r="Q57">
        <v>3</v>
      </c>
    </row>
    <row r="58" spans="1:17" ht="28.5" x14ac:dyDescent="0.2">
      <c r="A58" s="85" t="s">
        <v>720</v>
      </c>
      <c r="B58" s="42" t="s">
        <v>722</v>
      </c>
      <c r="C58" s="42" t="s">
        <v>51</v>
      </c>
      <c r="D58" s="43">
        <f>ROUND(SUMIF(RV_DATA!W45:'RV_DATA'!W63, 314446494, RV_DATA!I45:'RV_DATA'!I63), 6)</f>
        <v>1.3637999999999999</v>
      </c>
      <c r="E58" s="72">
        <f>ROUND(RV_DATA!N61, 6)</f>
        <v>21711.040000000001</v>
      </c>
      <c r="F58" s="72">
        <f>ROUND(SUMIF(RV_DATA!W45:'RV_DATA'!W63, 314446494, RV_DATA!O45:'RV_DATA'!O63), 6)</f>
        <v>29609.96</v>
      </c>
      <c r="Q58">
        <v>3</v>
      </c>
    </row>
    <row r="59" spans="1:17" ht="28.5" x14ac:dyDescent="0.2">
      <c r="A59" s="85" t="s">
        <v>167</v>
      </c>
      <c r="B59" s="42" t="s">
        <v>168</v>
      </c>
      <c r="C59" s="42" t="s">
        <v>51</v>
      </c>
      <c r="D59" s="43">
        <f>ROUND(SUMIF(RV_DATA!W45:'RV_DATA'!W63, 1596233619, RV_DATA!I45:'RV_DATA'!I63), 6)</f>
        <v>347.76900000000001</v>
      </c>
      <c r="E59" s="72">
        <f>ROUND(RV_DATA!N63, 6)</f>
        <v>2619.9904000000001</v>
      </c>
      <c r="F59" s="72">
        <f>ROUND(SUMIF(RV_DATA!W45:'RV_DATA'!W63, 1596233619, RV_DATA!O45:'RV_DATA'!O63), 6)</f>
        <v>911151.44</v>
      </c>
      <c r="Q59">
        <v>3</v>
      </c>
    </row>
    <row r="60" spans="1:17" ht="15" x14ac:dyDescent="0.25">
      <c r="A60" s="134" t="s">
        <v>1067</v>
      </c>
      <c r="B60" s="134"/>
      <c r="C60" s="134"/>
      <c r="D60" s="134"/>
      <c r="E60" s="135">
        <f>SUMIF(Q55:Q59, 3, F55:F59)</f>
        <v>1117464.17</v>
      </c>
      <c r="F60" s="134"/>
    </row>
    <row r="61" spans="1:17" ht="16.5" x14ac:dyDescent="0.2">
      <c r="A61" s="130" t="str">
        <f>CONCATENATE("Раздел: ",IF(Source!G156&lt;&gt;"Новый раздел", Source!G156, ""))</f>
        <v>Раздел: 5.1. Установка дорожного бортового камня БР 100.30.15 с разборкой</v>
      </c>
      <c r="B61" s="131"/>
      <c r="C61" s="131"/>
      <c r="D61" s="131"/>
      <c r="E61" s="131"/>
      <c r="F61" s="131"/>
      <c r="O61" s="84" t="s">
        <v>1069</v>
      </c>
    </row>
    <row r="62" spans="1:17" ht="14.25" x14ac:dyDescent="0.2">
      <c r="A62" s="132" t="s">
        <v>1064</v>
      </c>
      <c r="B62" s="133"/>
      <c r="C62" s="133"/>
      <c r="D62" s="133"/>
      <c r="E62" s="133"/>
      <c r="F62" s="133"/>
    </row>
    <row r="63" spans="1:17" ht="28.5" x14ac:dyDescent="0.2">
      <c r="A63" s="85" t="s">
        <v>729</v>
      </c>
      <c r="B63" s="42" t="s">
        <v>731</v>
      </c>
      <c r="C63" s="42" t="s">
        <v>652</v>
      </c>
      <c r="D63" s="43">
        <f>ROUND(SUMIF(RV_DATA!W66:'RV_DATA'!W69, -213384332, RV_DATA!I66:'RV_DATA'!I69), 6)</f>
        <v>21.331700000000001</v>
      </c>
      <c r="E63" s="72">
        <f>ROUND(RV_DATA!N69, 6)</f>
        <v>1655.2</v>
      </c>
      <c r="F63" s="72">
        <f>ROUND(SUMIF(RV_DATA!W66:'RV_DATA'!W69, -213384332, RV_DATA!O66:'RV_DATA'!O69), 6)</f>
        <v>33724.07</v>
      </c>
      <c r="Q63">
        <v>2</v>
      </c>
    </row>
    <row r="64" spans="1:17" ht="15" x14ac:dyDescent="0.25">
      <c r="A64" s="134" t="s">
        <v>1065</v>
      </c>
      <c r="B64" s="134"/>
      <c r="C64" s="134"/>
      <c r="D64" s="134"/>
      <c r="E64" s="135">
        <f>SUMIF(Q63:Q63, 2, F63:F63)</f>
        <v>33724.07</v>
      </c>
      <c r="F64" s="134"/>
    </row>
    <row r="65" spans="1:17" ht="14.25" x14ac:dyDescent="0.2">
      <c r="A65" s="132" t="s">
        <v>1066</v>
      </c>
      <c r="B65" s="133"/>
      <c r="C65" s="133"/>
      <c r="D65" s="133"/>
      <c r="E65" s="133"/>
      <c r="F65" s="133"/>
    </row>
    <row r="66" spans="1:17" ht="57" x14ac:dyDescent="0.2">
      <c r="A66" s="85" t="s">
        <v>732</v>
      </c>
      <c r="B66" s="42" t="s">
        <v>734</v>
      </c>
      <c r="C66" s="42" t="s">
        <v>66</v>
      </c>
      <c r="D66" s="43">
        <f>ROUND(SUMIF(RV_DATA!W66:'RV_DATA'!W69, 1426214507, RV_DATA!I66:'RV_DATA'!I69), 6)</f>
        <v>206.32300000000001</v>
      </c>
      <c r="E66" s="72">
        <f>ROUND(RV_DATA!N68, 6)</f>
        <v>4233.4399999999996</v>
      </c>
      <c r="F66" s="72">
        <f>ROUND(SUMIF(RV_DATA!W66:'RV_DATA'!W69, 1426214507, RV_DATA!O66:'RV_DATA'!O69), 6)</f>
        <v>868246.86</v>
      </c>
      <c r="Q66">
        <v>3</v>
      </c>
    </row>
    <row r="67" spans="1:17" ht="14.25" x14ac:dyDescent="0.2">
      <c r="A67" s="85" t="s">
        <v>735</v>
      </c>
      <c r="B67" s="42" t="s">
        <v>737</v>
      </c>
      <c r="C67" s="42" t="s">
        <v>66</v>
      </c>
      <c r="D67" s="43">
        <f>ROUND(SUMIF(RV_DATA!W66:'RV_DATA'!W69, 1667023068, RV_DATA!I66:'RV_DATA'!I69), 6)</f>
        <v>2.0981999999999998</v>
      </c>
      <c r="E67" s="72">
        <f>ROUND(RV_DATA!N67, 6)</f>
        <v>3326.7</v>
      </c>
      <c r="F67" s="72">
        <f>ROUND(SUMIF(RV_DATA!W66:'RV_DATA'!W69, 1667023068, RV_DATA!O66:'RV_DATA'!O69), 6)</f>
        <v>6938.86</v>
      </c>
      <c r="Q67">
        <v>3</v>
      </c>
    </row>
    <row r="68" spans="1:17" ht="14.25" x14ac:dyDescent="0.2">
      <c r="A68" s="85" t="s">
        <v>738</v>
      </c>
      <c r="B68" s="42" t="s">
        <v>739</v>
      </c>
      <c r="C68" s="42" t="s">
        <v>676</v>
      </c>
      <c r="D68" s="43">
        <f>ROUND(SUMIF(RV_DATA!W66:'RV_DATA'!W69, 575082756, RV_DATA!I66:'RV_DATA'!I69), 6)</f>
        <v>4068.4097999999999</v>
      </c>
      <c r="E68" s="72">
        <f>ROUND(RV_DATA!N66, 6)</f>
        <v>1.01</v>
      </c>
      <c r="F68" s="72">
        <f>ROUND(SUMIF(RV_DATA!W66:'RV_DATA'!W69, 575082756, RV_DATA!O66:'RV_DATA'!O69), 6)</f>
        <v>4068.41</v>
      </c>
      <c r="Q68">
        <v>3</v>
      </c>
    </row>
    <row r="69" spans="1:17" ht="15" x14ac:dyDescent="0.25">
      <c r="A69" s="134" t="s">
        <v>1067</v>
      </c>
      <c r="B69" s="134"/>
      <c r="C69" s="134"/>
      <c r="D69" s="134"/>
      <c r="E69" s="135">
        <f>SUMIF(Q66:Q68, 3, F66:F68)</f>
        <v>879254.13</v>
      </c>
      <c r="F69" s="134"/>
    </row>
    <row r="70" spans="1:17" ht="33" x14ac:dyDescent="0.2">
      <c r="A70" s="130" t="str">
        <f>CONCATENATE("Раздел: ",IF(Source!G200&lt;&gt;"Новый раздел", Source!G200, ""))</f>
        <v>Раздел: 10.1. Устройство новых оснований площадок (детские, спортивные, воркаут)</v>
      </c>
      <c r="B70" s="131"/>
      <c r="C70" s="131"/>
      <c r="D70" s="131"/>
      <c r="E70" s="131"/>
      <c r="F70" s="131"/>
      <c r="O70" s="84" t="s">
        <v>1070</v>
      </c>
    </row>
    <row r="71" spans="1:17" ht="14.25" x14ac:dyDescent="0.2">
      <c r="A71" s="132" t="s">
        <v>1064</v>
      </c>
      <c r="B71" s="133"/>
      <c r="C71" s="133"/>
      <c r="D71" s="133"/>
      <c r="E71" s="133"/>
      <c r="F71" s="133"/>
    </row>
    <row r="72" spans="1:17" ht="42.75" x14ac:dyDescent="0.2">
      <c r="A72" s="85" t="s">
        <v>740</v>
      </c>
      <c r="B72" s="42" t="s">
        <v>742</v>
      </c>
      <c r="C72" s="42" t="s">
        <v>652</v>
      </c>
      <c r="D72" s="43">
        <f>ROUND(SUMIF(RV_DATA!W71:'RV_DATA'!W90, -1597920307, RV_DATA!I71:'RV_DATA'!I90), 6)</f>
        <v>48.880927999999997</v>
      </c>
      <c r="E72" s="72">
        <f>ROUND(RV_DATA!N72, 6)</f>
        <v>1916.45</v>
      </c>
      <c r="F72" s="72">
        <f>ROUND(SUMIF(RV_DATA!W71:'RV_DATA'!W90, -1597920307, RV_DATA!O71:'RV_DATA'!O90), 6)</f>
        <v>78588.800000000003</v>
      </c>
      <c r="Q72">
        <v>2</v>
      </c>
    </row>
    <row r="73" spans="1:17" ht="28.5" x14ac:dyDescent="0.2">
      <c r="A73" s="85" t="s">
        <v>749</v>
      </c>
      <c r="B73" s="42" t="s">
        <v>751</v>
      </c>
      <c r="C73" s="42" t="s">
        <v>652</v>
      </c>
      <c r="D73" s="43">
        <f>ROUND(SUMIF(RV_DATA!W71:'RV_DATA'!W90, -158017304, RV_DATA!I71:'RV_DATA'!I90), 6)</f>
        <v>11.431575</v>
      </c>
      <c r="E73" s="72">
        <f>ROUND(RV_DATA!N86, 6)</f>
        <v>989.31</v>
      </c>
      <c r="F73" s="72">
        <f>ROUND(SUMIF(RV_DATA!W71:'RV_DATA'!W90, -158017304, RV_DATA!O71:'RV_DATA'!O90), 6)</f>
        <v>10801.61</v>
      </c>
      <c r="Q73">
        <v>2</v>
      </c>
    </row>
    <row r="74" spans="1:17" ht="28.5" x14ac:dyDescent="0.2">
      <c r="A74" s="85" t="s">
        <v>743</v>
      </c>
      <c r="B74" s="42" t="s">
        <v>745</v>
      </c>
      <c r="C74" s="42" t="s">
        <v>652</v>
      </c>
      <c r="D74" s="43">
        <f>ROUND(SUMIF(RV_DATA!W71:'RV_DATA'!W90, -271111961, RV_DATA!I71:'RV_DATA'!I90), 6)</f>
        <v>12.221764</v>
      </c>
      <c r="E74" s="72">
        <f>ROUND(RV_DATA!N71, 6)</f>
        <v>1232.06</v>
      </c>
      <c r="F74" s="72">
        <f>ROUND(SUMIF(RV_DATA!W71:'RV_DATA'!W90, -271111961, RV_DATA!O71:'RV_DATA'!O90), 6)</f>
        <v>12632.58</v>
      </c>
      <c r="Q74">
        <v>2</v>
      </c>
    </row>
    <row r="75" spans="1:17" ht="28.5" x14ac:dyDescent="0.2">
      <c r="A75" s="85" t="s">
        <v>683</v>
      </c>
      <c r="B75" s="42" t="s">
        <v>685</v>
      </c>
      <c r="C75" s="42" t="s">
        <v>652</v>
      </c>
      <c r="D75" s="43">
        <f>ROUND(SUMIF(RV_DATA!W71:'RV_DATA'!W90, -902618053, RV_DATA!I71:'RV_DATA'!I90), 6)</f>
        <v>10.76676</v>
      </c>
      <c r="E75" s="72">
        <f>ROUND(RV_DATA!N78, 6)</f>
        <v>1261.78</v>
      </c>
      <c r="F75" s="72">
        <f>ROUND(SUMIF(RV_DATA!W71:'RV_DATA'!W90, -902618053, RV_DATA!O71:'RV_DATA'!O90), 6)</f>
        <v>12975.58</v>
      </c>
      <c r="Q75">
        <v>2</v>
      </c>
    </row>
    <row r="76" spans="1:17" ht="28.5" x14ac:dyDescent="0.2">
      <c r="A76" s="85" t="s">
        <v>723</v>
      </c>
      <c r="B76" s="42" t="s">
        <v>725</v>
      </c>
      <c r="C76" s="42" t="s">
        <v>652</v>
      </c>
      <c r="D76" s="43">
        <f>ROUND(SUMIF(RV_DATA!W71:'RV_DATA'!W90, 439731329, RV_DATA!I71:'RV_DATA'!I90), 6)</f>
        <v>10.76676</v>
      </c>
      <c r="E76" s="72">
        <f>ROUND(RV_DATA!N77, 6)</f>
        <v>445.02</v>
      </c>
      <c r="F76" s="72">
        <f>ROUND(SUMIF(RV_DATA!W71:'RV_DATA'!W90, 439731329, RV_DATA!O71:'RV_DATA'!O90), 6)</f>
        <v>4576.38</v>
      </c>
      <c r="Q76">
        <v>2</v>
      </c>
    </row>
    <row r="77" spans="1:17" ht="28.5" x14ac:dyDescent="0.2">
      <c r="A77" s="85" t="s">
        <v>686</v>
      </c>
      <c r="B77" s="42" t="s">
        <v>727</v>
      </c>
      <c r="C77" s="42" t="s">
        <v>652</v>
      </c>
      <c r="D77" s="43">
        <f>ROUND(SUMIF(RV_DATA!W71:'RV_DATA'!W90, 368907495, RV_DATA!I71:'RV_DATA'!I90), 6)</f>
        <v>8.642595</v>
      </c>
      <c r="E77" s="72">
        <f>ROUND(RV_DATA!N76, 6)</f>
        <v>1162.78</v>
      </c>
      <c r="F77" s="72">
        <f>ROUND(SUMIF(RV_DATA!W71:'RV_DATA'!W90, 368907495, RV_DATA!O71:'RV_DATA'!O90), 6)</f>
        <v>9598.5499999999993</v>
      </c>
      <c r="Q77">
        <v>2</v>
      </c>
    </row>
    <row r="78" spans="1:17" ht="28.5" x14ac:dyDescent="0.2">
      <c r="A78" s="85" t="s">
        <v>689</v>
      </c>
      <c r="B78" s="42" t="s">
        <v>691</v>
      </c>
      <c r="C78" s="42" t="s">
        <v>652</v>
      </c>
      <c r="D78" s="43">
        <f>ROUND(SUMIF(RV_DATA!W71:'RV_DATA'!W90, 1817474990, RV_DATA!I71:'RV_DATA'!I90), 6)</f>
        <v>57.903765</v>
      </c>
      <c r="E78" s="72">
        <f>ROUND(RV_DATA!N84, 6)</f>
        <v>729.99</v>
      </c>
      <c r="F78" s="72">
        <f>ROUND(SUMIF(RV_DATA!W71:'RV_DATA'!W90, 1817474990, RV_DATA!O71:'RV_DATA'!O90), 6)</f>
        <v>40371.120000000003</v>
      </c>
      <c r="Q78">
        <v>2</v>
      </c>
    </row>
    <row r="79" spans="1:17" ht="28.5" x14ac:dyDescent="0.2">
      <c r="A79" s="85" t="s">
        <v>692</v>
      </c>
      <c r="B79" s="42" t="s">
        <v>753</v>
      </c>
      <c r="C79" s="42" t="s">
        <v>652</v>
      </c>
      <c r="D79" s="43">
        <f>ROUND(SUMIF(RV_DATA!W71:'RV_DATA'!W90, 187435400, RV_DATA!I71:'RV_DATA'!I90), 6)</f>
        <v>71.021699999999996</v>
      </c>
      <c r="E79" s="72">
        <f>ROUND(RV_DATA!N83, 6)</f>
        <v>1037.05</v>
      </c>
      <c r="F79" s="72">
        <f>ROUND(SUMIF(RV_DATA!W71:'RV_DATA'!W90, 187435400, RV_DATA!O71:'RV_DATA'!O90), 6)</f>
        <v>70346.759999999995</v>
      </c>
      <c r="Q79">
        <v>2</v>
      </c>
    </row>
    <row r="80" spans="1:17" ht="28.5" x14ac:dyDescent="0.2">
      <c r="A80" s="85" t="s">
        <v>671</v>
      </c>
      <c r="B80" s="42" t="s">
        <v>673</v>
      </c>
      <c r="C80" s="42" t="s">
        <v>652</v>
      </c>
      <c r="D80" s="43">
        <f>ROUND(SUMIF(RV_DATA!W71:'RV_DATA'!W90, 559728352, RV_DATA!I71:'RV_DATA'!I90), 6)</f>
        <v>18.760755</v>
      </c>
      <c r="E80" s="72">
        <f>ROUND(RV_DATA!N75, 6)</f>
        <v>1539.38</v>
      </c>
      <c r="F80" s="72">
        <f>ROUND(SUMIF(RV_DATA!W71:'RV_DATA'!W90, 559728352, RV_DATA!O71:'RV_DATA'!O90), 6)</f>
        <v>27583.25</v>
      </c>
      <c r="Q80">
        <v>2</v>
      </c>
    </row>
    <row r="81" spans="1:17" ht="28.5" x14ac:dyDescent="0.2">
      <c r="A81" s="85" t="s">
        <v>713</v>
      </c>
      <c r="B81" s="42" t="s">
        <v>715</v>
      </c>
      <c r="C81" s="42" t="s">
        <v>652</v>
      </c>
      <c r="D81" s="43">
        <f>ROUND(SUMIF(RV_DATA!W71:'RV_DATA'!W90, 2049417949, RV_DATA!I71:'RV_DATA'!I90), 6)</f>
        <v>5.9022600000000001</v>
      </c>
      <c r="E81" s="72">
        <f>ROUND(RV_DATA!N74, 6)</f>
        <v>1593.61</v>
      </c>
      <c r="F81" s="72">
        <f>ROUND(SUMIF(RV_DATA!W71:'RV_DATA'!W90, 2049417949, RV_DATA!O71:'RV_DATA'!O90), 6)</f>
        <v>8983.6200000000008</v>
      </c>
      <c r="Q81">
        <v>2</v>
      </c>
    </row>
    <row r="82" spans="1:17" ht="15" x14ac:dyDescent="0.25">
      <c r="A82" s="134" t="s">
        <v>1065</v>
      </c>
      <c r="B82" s="134"/>
      <c r="C82" s="134"/>
      <c r="D82" s="134"/>
      <c r="E82" s="135">
        <f>SUMIF(Q72:Q81, 2, F72:F81)</f>
        <v>276458.25</v>
      </c>
      <c r="F82" s="134"/>
    </row>
    <row r="83" spans="1:17" ht="14.25" x14ac:dyDescent="0.2">
      <c r="A83" s="132" t="s">
        <v>1066</v>
      </c>
      <c r="B83" s="133"/>
      <c r="C83" s="133"/>
      <c r="D83" s="133"/>
      <c r="E83" s="133"/>
      <c r="F83" s="133"/>
    </row>
    <row r="84" spans="1:17" ht="14.25" x14ac:dyDescent="0.2">
      <c r="A84" s="85" t="s">
        <v>467</v>
      </c>
      <c r="B84" s="42" t="s">
        <v>468</v>
      </c>
      <c r="C84" s="42" t="s">
        <v>66</v>
      </c>
      <c r="D84" s="43">
        <f>ROUND(SUMIF(RV_DATA!W71:'RV_DATA'!W90, -1977920412, RV_DATA!I71:'RV_DATA'!I90), 6)</f>
        <v>66.481499999999997</v>
      </c>
      <c r="E84" s="72">
        <f>ROUND(RV_DATA!N73, 6)</f>
        <v>35.35</v>
      </c>
      <c r="F84" s="72">
        <f>ROUND(SUMIF(RV_DATA!W71:'RV_DATA'!W90, -1977920412, RV_DATA!O71:'RV_DATA'!O90), 6)</f>
        <v>2345.42</v>
      </c>
      <c r="Q84">
        <v>3</v>
      </c>
    </row>
    <row r="85" spans="1:17" ht="42.75" x14ac:dyDescent="0.2">
      <c r="A85" s="85" t="s">
        <v>64</v>
      </c>
      <c r="B85" s="42" t="s">
        <v>65</v>
      </c>
      <c r="C85" s="42" t="s">
        <v>66</v>
      </c>
      <c r="D85" s="43">
        <f>ROUND(SUMIF(RV_DATA!W71:'RV_DATA'!W90, 1682878819, RV_DATA!I71:'RV_DATA'!I90), 6)</f>
        <v>612.92700000000002</v>
      </c>
      <c r="E85" s="72">
        <f>ROUND(RV_DATA!N87, 6)</f>
        <v>1868.9286</v>
      </c>
      <c r="F85" s="72">
        <f>ROUND(SUMIF(RV_DATA!W71:'RV_DATA'!W90, 1682878819, RV_DATA!O71:'RV_DATA'!O90), 6)</f>
        <v>1145516.8</v>
      </c>
      <c r="Q85">
        <v>3</v>
      </c>
    </row>
    <row r="86" spans="1:17" ht="28.5" x14ac:dyDescent="0.2">
      <c r="A86" s="85" t="s">
        <v>720</v>
      </c>
      <c r="B86" s="42" t="s">
        <v>722</v>
      </c>
      <c r="C86" s="42" t="s">
        <v>51</v>
      </c>
      <c r="D86" s="43">
        <f>ROUND(SUMIF(RV_DATA!W71:'RV_DATA'!W90, 314446494, RV_DATA!I71:'RV_DATA'!I90), 6)</f>
        <v>1.9458</v>
      </c>
      <c r="E86" s="72">
        <f>ROUND(RV_DATA!N88, 6)</f>
        <v>21711.040000000001</v>
      </c>
      <c r="F86" s="72">
        <f>ROUND(SUMIF(RV_DATA!W71:'RV_DATA'!W90, 314446494, RV_DATA!O71:'RV_DATA'!O90), 6)</f>
        <v>42245.98</v>
      </c>
      <c r="Q86">
        <v>3</v>
      </c>
    </row>
    <row r="87" spans="1:17" ht="28.5" x14ac:dyDescent="0.2">
      <c r="A87" s="85" t="s">
        <v>190</v>
      </c>
      <c r="B87" s="42" t="s">
        <v>191</v>
      </c>
      <c r="C87" s="42" t="s">
        <v>66</v>
      </c>
      <c r="D87" s="43">
        <f>ROUND(SUMIF(RV_DATA!W71:'RV_DATA'!W90, 1615926593, RV_DATA!I71:'RV_DATA'!I90), 6)</f>
        <v>713.46</v>
      </c>
      <c r="E87" s="72">
        <f>ROUND(RV_DATA!N79, 6)</f>
        <v>552.24739999999997</v>
      </c>
      <c r="F87" s="72">
        <f>ROUND(SUMIF(RV_DATA!W71:'RV_DATA'!W90, 1615926593, RV_DATA!O71:'RV_DATA'!O90), 6)</f>
        <v>394006.43</v>
      </c>
      <c r="Q87">
        <v>3</v>
      </c>
    </row>
    <row r="88" spans="1:17" ht="28.5" x14ac:dyDescent="0.2">
      <c r="A88" s="85" t="s">
        <v>167</v>
      </c>
      <c r="B88" s="42" t="s">
        <v>168</v>
      </c>
      <c r="C88" s="42" t="s">
        <v>51</v>
      </c>
      <c r="D88" s="43">
        <f>ROUND(SUMIF(RV_DATA!W71:'RV_DATA'!W90, 1596233619, RV_DATA!I71:'RV_DATA'!I90), 6)</f>
        <v>418.18484999999998</v>
      </c>
      <c r="E88" s="72">
        <f>ROUND(RV_DATA!N90, 6)</f>
        <v>2619.9904000000001</v>
      </c>
      <c r="F88" s="72">
        <f>ROUND(SUMIF(RV_DATA!W71:'RV_DATA'!W90, 1596233619, RV_DATA!O71:'RV_DATA'!O90), 6)</f>
        <v>1095640.29</v>
      </c>
      <c r="Q88">
        <v>3</v>
      </c>
    </row>
    <row r="89" spans="1:17" ht="15" x14ac:dyDescent="0.25">
      <c r="A89" s="134" t="s">
        <v>1067</v>
      </c>
      <c r="B89" s="134"/>
      <c r="C89" s="134"/>
      <c r="D89" s="134"/>
      <c r="E89" s="135">
        <f>SUMIF(Q84:Q88, 3, F84:F88)</f>
        <v>2679754.92</v>
      </c>
      <c r="F89" s="134"/>
    </row>
    <row r="90" spans="1:17" ht="16.5" x14ac:dyDescent="0.2">
      <c r="A90" s="130" t="str">
        <f>CONCATENATE("Раздел: ",IF(Source!G247&lt;&gt;"Новый раздел", Source!G247, ""))</f>
        <v>Раздел: 11. Камень бетонный садовый 2093м</v>
      </c>
      <c r="B90" s="131"/>
      <c r="C90" s="131"/>
      <c r="D90" s="131"/>
      <c r="E90" s="131"/>
      <c r="F90" s="131"/>
    </row>
    <row r="91" spans="1:17" ht="14.25" x14ac:dyDescent="0.2">
      <c r="A91" s="132" t="s">
        <v>1064</v>
      </c>
      <c r="B91" s="133"/>
      <c r="C91" s="133"/>
      <c r="D91" s="133"/>
      <c r="E91" s="133"/>
      <c r="F91" s="133"/>
    </row>
    <row r="92" spans="1:17" ht="28.5" x14ac:dyDescent="0.2">
      <c r="A92" s="85" t="s">
        <v>680</v>
      </c>
      <c r="B92" s="42" t="s">
        <v>682</v>
      </c>
      <c r="C92" s="42" t="s">
        <v>652</v>
      </c>
      <c r="D92" s="43">
        <f>ROUND(SUMIF(RV_DATA!W92:'RV_DATA'!W106, 1752455861, RV_DATA!I92:'RV_DATA'!I106), 6)</f>
        <v>2.9302000000000001</v>
      </c>
      <c r="E92" s="72">
        <f>ROUND(RV_DATA!N105, 6)</f>
        <v>755.14</v>
      </c>
      <c r="F92" s="72">
        <f>ROUND(SUMIF(RV_DATA!W92:'RV_DATA'!W106, 1752455861, RV_DATA!O92:'RV_DATA'!O106), 6)</f>
        <v>2112.73</v>
      </c>
      <c r="Q92">
        <v>2</v>
      </c>
    </row>
    <row r="93" spans="1:17" ht="28.5" x14ac:dyDescent="0.2">
      <c r="A93" s="85" t="s">
        <v>683</v>
      </c>
      <c r="B93" s="42" t="s">
        <v>685</v>
      </c>
      <c r="C93" s="42" t="s">
        <v>652</v>
      </c>
      <c r="D93" s="43">
        <f>ROUND(SUMIF(RV_DATA!W92:'RV_DATA'!W106, -902618053, RV_DATA!I92:'RV_DATA'!I106), 6)</f>
        <v>0.69487600000000005</v>
      </c>
      <c r="E93" s="72">
        <f>ROUND(RV_DATA!N97, 6)</f>
        <v>1261.78</v>
      </c>
      <c r="F93" s="72">
        <f>ROUND(SUMIF(RV_DATA!W92:'RV_DATA'!W106, -902618053, RV_DATA!O92:'RV_DATA'!O106), 6)</f>
        <v>837.43</v>
      </c>
      <c r="Q93">
        <v>2</v>
      </c>
    </row>
    <row r="94" spans="1:17" ht="28.5" x14ac:dyDescent="0.2">
      <c r="A94" s="85" t="s">
        <v>729</v>
      </c>
      <c r="B94" s="42" t="s">
        <v>731</v>
      </c>
      <c r="C94" s="42" t="s">
        <v>652</v>
      </c>
      <c r="D94" s="43">
        <f>ROUND(SUMIF(RV_DATA!W92:'RV_DATA'!W106, -213384332, RV_DATA!I92:'RV_DATA'!I106), 6)</f>
        <v>2.9302000000000001</v>
      </c>
      <c r="E94" s="72">
        <f>ROUND(RV_DATA!N104, 6)</f>
        <v>1655.2</v>
      </c>
      <c r="F94" s="72">
        <f>ROUND(SUMIF(RV_DATA!W92:'RV_DATA'!W106, -213384332, RV_DATA!O92:'RV_DATA'!O106), 6)</f>
        <v>4632.32</v>
      </c>
      <c r="Q94">
        <v>2</v>
      </c>
    </row>
    <row r="95" spans="1:17" ht="28.5" x14ac:dyDescent="0.2">
      <c r="A95" s="85" t="s">
        <v>754</v>
      </c>
      <c r="B95" s="42" t="s">
        <v>756</v>
      </c>
      <c r="C95" s="42" t="s">
        <v>652</v>
      </c>
      <c r="D95" s="43">
        <f>ROUND(SUMIF(RV_DATA!W92:'RV_DATA'!W106, -788593992, RV_DATA!I92:'RV_DATA'!I106), 6)</f>
        <v>4.6045999999999996</v>
      </c>
      <c r="E95" s="72">
        <f>ROUND(RV_DATA!N103, 6)</f>
        <v>742.91</v>
      </c>
      <c r="F95" s="72">
        <f>ROUND(SUMIF(RV_DATA!W92:'RV_DATA'!W106, -788593992, RV_DATA!O92:'RV_DATA'!O106), 6)</f>
        <v>3267.24</v>
      </c>
      <c r="Q95">
        <v>2</v>
      </c>
    </row>
    <row r="96" spans="1:17" ht="28.5" x14ac:dyDescent="0.2">
      <c r="A96" s="85" t="s">
        <v>723</v>
      </c>
      <c r="B96" s="42" t="s">
        <v>725</v>
      </c>
      <c r="C96" s="42" t="s">
        <v>652</v>
      </c>
      <c r="D96" s="43">
        <f>ROUND(SUMIF(RV_DATA!W92:'RV_DATA'!W106, 439731329, RV_DATA!I92:'RV_DATA'!I106), 6)</f>
        <v>0.69487600000000005</v>
      </c>
      <c r="E96" s="72">
        <f>ROUND(RV_DATA!N96, 6)</f>
        <v>445.02</v>
      </c>
      <c r="F96" s="72">
        <f>ROUND(SUMIF(RV_DATA!W92:'RV_DATA'!W106, 439731329, RV_DATA!O92:'RV_DATA'!O106), 6)</f>
        <v>295.35000000000002</v>
      </c>
      <c r="Q96">
        <v>2</v>
      </c>
    </row>
    <row r="97" spans="1:17" ht="28.5" x14ac:dyDescent="0.2">
      <c r="A97" s="85" t="s">
        <v>686</v>
      </c>
      <c r="B97" s="42" t="s">
        <v>727</v>
      </c>
      <c r="C97" s="42" t="s">
        <v>652</v>
      </c>
      <c r="D97" s="43">
        <f>ROUND(SUMIF(RV_DATA!W92:'RV_DATA'!W106, 368907495, RV_DATA!I92:'RV_DATA'!I106), 6)</f>
        <v>0.27209</v>
      </c>
      <c r="E97" s="72">
        <f>ROUND(RV_DATA!N95, 6)</f>
        <v>1162.78</v>
      </c>
      <c r="F97" s="72">
        <f>ROUND(SUMIF(RV_DATA!W92:'RV_DATA'!W106, 368907495, RV_DATA!O92:'RV_DATA'!O106), 6)</f>
        <v>302.19</v>
      </c>
      <c r="Q97">
        <v>2</v>
      </c>
    </row>
    <row r="98" spans="1:17" ht="28.5" x14ac:dyDescent="0.2">
      <c r="A98" s="85" t="s">
        <v>671</v>
      </c>
      <c r="B98" s="42" t="s">
        <v>673</v>
      </c>
      <c r="C98" s="42" t="s">
        <v>652</v>
      </c>
      <c r="D98" s="43">
        <f>ROUND(SUMIF(RV_DATA!W92:'RV_DATA'!W106, 559728352, RV_DATA!I92:'RV_DATA'!I106), 6)</f>
        <v>0.64883000000000002</v>
      </c>
      <c r="E98" s="72">
        <f>ROUND(RV_DATA!N94, 6)</f>
        <v>1539.38</v>
      </c>
      <c r="F98" s="72">
        <f>ROUND(SUMIF(RV_DATA!W92:'RV_DATA'!W106, 559728352, RV_DATA!O92:'RV_DATA'!O106), 6)</f>
        <v>953.95</v>
      </c>
      <c r="Q98">
        <v>2</v>
      </c>
    </row>
    <row r="99" spans="1:17" ht="28.5" x14ac:dyDescent="0.2">
      <c r="A99" s="85" t="s">
        <v>713</v>
      </c>
      <c r="B99" s="42" t="s">
        <v>715</v>
      </c>
      <c r="C99" s="42" t="s">
        <v>652</v>
      </c>
      <c r="D99" s="43">
        <f>ROUND(SUMIF(RV_DATA!W92:'RV_DATA'!W106, 2049417949, RV_DATA!I92:'RV_DATA'!I106), 6)</f>
        <v>0.217672</v>
      </c>
      <c r="E99" s="72">
        <f>ROUND(RV_DATA!N93, 6)</f>
        <v>1593.61</v>
      </c>
      <c r="F99" s="72">
        <f>ROUND(SUMIF(RV_DATA!W92:'RV_DATA'!W106, 2049417949, RV_DATA!O92:'RV_DATA'!O106), 6)</f>
        <v>331.31</v>
      </c>
      <c r="Q99">
        <v>2</v>
      </c>
    </row>
    <row r="100" spans="1:17" ht="15" x14ac:dyDescent="0.25">
      <c r="A100" s="134" t="s">
        <v>1065</v>
      </c>
      <c r="B100" s="134"/>
      <c r="C100" s="134"/>
      <c r="D100" s="134"/>
      <c r="E100" s="135">
        <f>SUMIF(Q92:Q99, 2, F92:F99)</f>
        <v>12732.52</v>
      </c>
      <c r="F100" s="134"/>
    </row>
    <row r="101" spans="1:17" ht="14.25" x14ac:dyDescent="0.2">
      <c r="A101" s="132" t="s">
        <v>1066</v>
      </c>
      <c r="B101" s="133"/>
      <c r="C101" s="133"/>
      <c r="D101" s="133"/>
      <c r="E101" s="133"/>
      <c r="F101" s="133"/>
    </row>
    <row r="102" spans="1:17" ht="14.25" x14ac:dyDescent="0.2">
      <c r="A102" s="85" t="s">
        <v>467</v>
      </c>
      <c r="B102" s="42" t="s">
        <v>468</v>
      </c>
      <c r="C102" s="42" t="s">
        <v>66</v>
      </c>
      <c r="D102" s="43">
        <f>ROUND(SUMIF(RV_DATA!W92:'RV_DATA'!W106, -1977920412, RV_DATA!I92:'RV_DATA'!I106), 6)</f>
        <v>2.093</v>
      </c>
      <c r="E102" s="72">
        <f>ROUND(RV_DATA!N92, 6)</f>
        <v>35.35</v>
      </c>
      <c r="F102" s="72">
        <f>ROUND(SUMIF(RV_DATA!W92:'RV_DATA'!W106, -1977920412, RV_DATA!O92:'RV_DATA'!O106), 6)</f>
        <v>73.84</v>
      </c>
      <c r="Q102">
        <v>3</v>
      </c>
    </row>
    <row r="103" spans="1:17" ht="14.25" x14ac:dyDescent="0.2">
      <c r="A103" s="85" t="s">
        <v>757</v>
      </c>
      <c r="B103" s="42" t="s">
        <v>759</v>
      </c>
      <c r="C103" s="42" t="s">
        <v>51</v>
      </c>
      <c r="D103" s="43">
        <f>ROUND(SUMIF(RV_DATA!W92:'RV_DATA'!W106, -1460289249, RV_DATA!I92:'RV_DATA'!I106), 6)</f>
        <v>2.0930000000000001E-2</v>
      </c>
      <c r="E103" s="72">
        <f>ROUND(RV_DATA!N102, 6)</f>
        <v>52258.75</v>
      </c>
      <c r="F103" s="72">
        <f>ROUND(SUMIF(RV_DATA!W92:'RV_DATA'!W106, -1460289249, RV_DATA!O92:'RV_DATA'!O106), 6)</f>
        <v>1061.69</v>
      </c>
      <c r="Q103">
        <v>3</v>
      </c>
    </row>
    <row r="104" spans="1:17" ht="28.5" x14ac:dyDescent="0.2">
      <c r="A104" s="85" t="s">
        <v>760</v>
      </c>
      <c r="B104" s="42" t="s">
        <v>762</v>
      </c>
      <c r="C104" s="42" t="s">
        <v>66</v>
      </c>
      <c r="D104" s="43">
        <f>ROUND(SUMIF(RV_DATA!W92:'RV_DATA'!W106, 2084027107, RV_DATA!I92:'RV_DATA'!I106), 6)</f>
        <v>3.5581</v>
      </c>
      <c r="E104" s="72">
        <f>ROUND(RV_DATA!N101, 6)</f>
        <v>3126.47</v>
      </c>
      <c r="F104" s="72">
        <f>ROUND(SUMIF(RV_DATA!W92:'RV_DATA'!W106, 2084027107, RV_DATA!O92:'RV_DATA'!O106), 6)</f>
        <v>10800.46</v>
      </c>
      <c r="Q104">
        <v>3</v>
      </c>
    </row>
    <row r="105" spans="1:17" ht="28.5" x14ac:dyDescent="0.2">
      <c r="A105" s="85" t="s">
        <v>190</v>
      </c>
      <c r="B105" s="42" t="s">
        <v>191</v>
      </c>
      <c r="C105" s="42" t="s">
        <v>66</v>
      </c>
      <c r="D105" s="43">
        <f>ROUND(SUMIF(RV_DATA!W92:'RV_DATA'!W106, 1615926593, RV_DATA!I92:'RV_DATA'!I106), 6)</f>
        <v>46.045999999999999</v>
      </c>
      <c r="E105" s="72">
        <f>ROUND(RV_DATA!N98, 6)</f>
        <v>552.24739999999997</v>
      </c>
      <c r="F105" s="72">
        <f>ROUND(SUMIF(RV_DATA!W92:'RV_DATA'!W106, 1615926593, RV_DATA!O92:'RV_DATA'!O106), 6)</f>
        <v>25428.78</v>
      </c>
      <c r="Q105">
        <v>3</v>
      </c>
    </row>
    <row r="106" spans="1:17" ht="57" x14ac:dyDescent="0.2">
      <c r="A106" s="85" t="s">
        <v>732</v>
      </c>
      <c r="B106" s="42" t="s">
        <v>734</v>
      </c>
      <c r="C106" s="42" t="s">
        <v>66</v>
      </c>
      <c r="D106" s="43">
        <f>ROUND(SUMIF(RV_DATA!W92:'RV_DATA'!W106, 59352439, RV_DATA!I92:'RV_DATA'!I106), 6)</f>
        <v>100.464</v>
      </c>
      <c r="E106" s="72">
        <f>ROUND(RV_DATA!N100, 6)</f>
        <v>4334.4399999999996</v>
      </c>
      <c r="F106" s="72">
        <f>ROUND(SUMIF(RV_DATA!W92:'RV_DATA'!W106, 59352439, RV_DATA!O92:'RV_DATA'!O106), 6)</f>
        <v>422771.68</v>
      </c>
      <c r="Q106">
        <v>3</v>
      </c>
    </row>
    <row r="107" spans="1:17" ht="14.25" x14ac:dyDescent="0.2">
      <c r="A107" s="85" t="s">
        <v>735</v>
      </c>
      <c r="B107" s="42" t="s">
        <v>737</v>
      </c>
      <c r="C107" s="42" t="s">
        <v>66</v>
      </c>
      <c r="D107" s="43">
        <f>ROUND(SUMIF(RV_DATA!W92:'RV_DATA'!W106, -1170584268, RV_DATA!I92:'RV_DATA'!I106), 6)</f>
        <v>0.41860000000000003</v>
      </c>
      <c r="E107" s="72">
        <f>ROUND(RV_DATA!N99, 6)</f>
        <v>3406.06</v>
      </c>
      <c r="F107" s="72">
        <f>ROUND(SUMIF(RV_DATA!W92:'RV_DATA'!W106, -1170584268, RV_DATA!O92:'RV_DATA'!O106), 6)</f>
        <v>1383.82</v>
      </c>
      <c r="Q107">
        <v>3</v>
      </c>
    </row>
    <row r="108" spans="1:17" ht="28.5" x14ac:dyDescent="0.2">
      <c r="A108" s="85" t="s">
        <v>255</v>
      </c>
      <c r="B108" s="42" t="s">
        <v>256</v>
      </c>
      <c r="C108" s="42" t="s">
        <v>66</v>
      </c>
      <c r="D108" s="43">
        <f>ROUND(SUMIF(RV_DATA!W92:'RV_DATA'!W106, 1405395105, RV_DATA!I92:'RV_DATA'!I106), 6)</f>
        <v>29.536415999999999</v>
      </c>
      <c r="E108" s="72">
        <f>ROUND(RV_DATA!N106, 6)</f>
        <v>8516.9847000000009</v>
      </c>
      <c r="F108" s="72">
        <f>ROUND(SUMIF(RV_DATA!W92:'RV_DATA'!W106, 1405395105, RV_DATA!O92:'RV_DATA'!O106), 6)</f>
        <v>251561.2</v>
      </c>
      <c r="Q108">
        <v>3</v>
      </c>
    </row>
    <row r="109" spans="1:17" ht="15" x14ac:dyDescent="0.25">
      <c r="A109" s="134" t="s">
        <v>1067</v>
      </c>
      <c r="B109" s="134"/>
      <c r="C109" s="134"/>
      <c r="D109" s="134"/>
      <c r="E109" s="135">
        <f>SUMIF(Q102:Q108, 3, F102:F108)</f>
        <v>713081.47</v>
      </c>
      <c r="F109" s="134"/>
    </row>
    <row r="110" spans="1:17" ht="16.5" x14ac:dyDescent="0.2">
      <c r="A110" s="130" t="str">
        <f>CONCATENATE("Раздел: ",IF(Source!G326&lt;&gt;"Новый раздел", Source!G326, ""))</f>
        <v>Раздел: 20.2. Газон посевной 10см</v>
      </c>
      <c r="B110" s="131"/>
      <c r="C110" s="131"/>
      <c r="D110" s="131"/>
      <c r="E110" s="131"/>
      <c r="F110" s="131"/>
    </row>
    <row r="111" spans="1:17" ht="14.25" x14ac:dyDescent="0.2">
      <c r="A111" s="132" t="s">
        <v>1064</v>
      </c>
      <c r="B111" s="133"/>
      <c r="C111" s="133"/>
      <c r="D111" s="133"/>
      <c r="E111" s="133"/>
      <c r="F111" s="133"/>
    </row>
    <row r="112" spans="1:17" ht="42.75" x14ac:dyDescent="0.2">
      <c r="A112" s="85" t="s">
        <v>740</v>
      </c>
      <c r="B112" s="42" t="s">
        <v>742</v>
      </c>
      <c r="C112" s="42" t="s">
        <v>652</v>
      </c>
      <c r="D112" s="43">
        <f>ROUND(SUMIF(RV_DATA!W109:'RV_DATA'!W118, -1597920307, RV_DATA!I109:'RV_DATA'!I118), 6)</f>
        <v>101.541887</v>
      </c>
      <c r="E112" s="72">
        <f>ROUND(RV_DATA!N110, 6)</f>
        <v>1916.45</v>
      </c>
      <c r="F112" s="72">
        <f>ROUND(SUMIF(RV_DATA!W109:'RV_DATA'!W118, -1597920307, RV_DATA!O109:'RV_DATA'!O118), 6)</f>
        <v>163254.99</v>
      </c>
      <c r="Q112">
        <v>2</v>
      </c>
    </row>
    <row r="113" spans="1:17" ht="28.5" x14ac:dyDescent="0.2">
      <c r="A113" s="85" t="s">
        <v>743</v>
      </c>
      <c r="B113" s="42" t="s">
        <v>745</v>
      </c>
      <c r="C113" s="42" t="s">
        <v>652</v>
      </c>
      <c r="D113" s="43">
        <f>ROUND(SUMIF(RV_DATA!W109:'RV_DATA'!W118, -271111961, RV_DATA!I109:'RV_DATA'!I118), 6)</f>
        <v>25.388655</v>
      </c>
      <c r="E113" s="72">
        <f>ROUND(RV_DATA!N109, 6)</f>
        <v>1232.06</v>
      </c>
      <c r="F113" s="72">
        <f>ROUND(SUMIF(RV_DATA!W109:'RV_DATA'!W118, -271111961, RV_DATA!O109:'RV_DATA'!O118), 6)</f>
        <v>26242.06</v>
      </c>
      <c r="Q113">
        <v>2</v>
      </c>
    </row>
    <row r="114" spans="1:17" ht="28.5" x14ac:dyDescent="0.2">
      <c r="A114" s="85" t="s">
        <v>763</v>
      </c>
      <c r="B114" s="42" t="s">
        <v>765</v>
      </c>
      <c r="C114" s="42" t="s">
        <v>652</v>
      </c>
      <c r="D114" s="43">
        <f>ROUND(SUMIF(RV_DATA!W109:'RV_DATA'!W118, -412300078, RV_DATA!I109:'RV_DATA'!I118), 6)</f>
        <v>9.7942499999999999</v>
      </c>
      <c r="E114" s="72">
        <f>ROUND(RV_DATA!N114, 6)</f>
        <v>922.73</v>
      </c>
      <c r="F114" s="72">
        <f>ROUND(SUMIF(RV_DATA!W109:'RV_DATA'!W118, -412300078, RV_DATA!O109:'RV_DATA'!O118), 6)</f>
        <v>9042.99</v>
      </c>
      <c r="Q114">
        <v>2</v>
      </c>
    </row>
    <row r="115" spans="1:17" ht="14.25" x14ac:dyDescent="0.2">
      <c r="A115" s="85" t="s">
        <v>674</v>
      </c>
      <c r="B115" s="42" t="s">
        <v>675</v>
      </c>
      <c r="C115" s="42" t="s">
        <v>676</v>
      </c>
      <c r="D115" s="43">
        <f>ROUND(SUMIF(RV_DATA!W109:'RV_DATA'!W118, 54769220, RV_DATA!I109:'RV_DATA'!I118), 6)</f>
        <v>23.5062</v>
      </c>
      <c r="E115" s="72">
        <f>ROUND(RV_DATA!N113, 6)</f>
        <v>1</v>
      </c>
      <c r="F115" s="72">
        <f>ROUND(SUMIF(RV_DATA!W109:'RV_DATA'!W118, 54769220, RV_DATA!O109:'RV_DATA'!O118), 6)</f>
        <v>23.51</v>
      </c>
      <c r="Q115">
        <v>2</v>
      </c>
    </row>
    <row r="116" spans="1:17" ht="15" x14ac:dyDescent="0.25">
      <c r="A116" s="134" t="s">
        <v>1065</v>
      </c>
      <c r="B116" s="134"/>
      <c r="C116" s="134"/>
      <c r="D116" s="134"/>
      <c r="E116" s="135">
        <f>SUMIF(Q112:Q115, 2, F112:F115)</f>
        <v>198563.55</v>
      </c>
      <c r="F116" s="134"/>
    </row>
    <row r="117" spans="1:17" ht="14.25" x14ac:dyDescent="0.2">
      <c r="A117" s="132" t="s">
        <v>1066</v>
      </c>
      <c r="B117" s="133"/>
      <c r="C117" s="133"/>
      <c r="D117" s="133"/>
      <c r="E117" s="133"/>
      <c r="F117" s="133"/>
    </row>
    <row r="118" spans="1:17" ht="14.25" x14ac:dyDescent="0.2">
      <c r="A118" s="85" t="s">
        <v>467</v>
      </c>
      <c r="B118" s="42" t="s">
        <v>468</v>
      </c>
      <c r="C118" s="42" t="s">
        <v>66</v>
      </c>
      <c r="D118" s="43">
        <f>ROUND(SUMIF(RV_DATA!W109:'RV_DATA'!W118, -307160680, RV_DATA!I109:'RV_DATA'!I118), 6)</f>
        <v>2611.8000000000002</v>
      </c>
      <c r="E118" s="72">
        <f>ROUND(RV_DATA!N117, 6)</f>
        <v>35.28</v>
      </c>
      <c r="F118" s="72">
        <f>ROUND(SUMIF(RV_DATA!W109:'RV_DATA'!W118, -307160680, RV_DATA!O109:'RV_DATA'!O118), 6)</f>
        <v>92142.48</v>
      </c>
      <c r="Q118">
        <v>3</v>
      </c>
    </row>
    <row r="119" spans="1:17" ht="14.25" x14ac:dyDescent="0.2">
      <c r="A119" s="85" t="s">
        <v>280</v>
      </c>
      <c r="B119" s="42" t="s">
        <v>281</v>
      </c>
      <c r="C119" s="42" t="s">
        <v>66</v>
      </c>
      <c r="D119" s="43">
        <f>ROUND(SUMIF(RV_DATA!W109:'RV_DATA'!W118, -1509024175, RV_DATA!I109:'RV_DATA'!I118), 6)</f>
        <v>3917.7</v>
      </c>
      <c r="E119" s="72">
        <f>ROUND(RV_DATA!N115, 6)</f>
        <v>977.95439999999996</v>
      </c>
      <c r="F119" s="72">
        <f>ROUND(SUMIF(RV_DATA!W109:'RV_DATA'!W118, -1509024175, RV_DATA!O109:'RV_DATA'!O118), 6)</f>
        <v>3831331.95</v>
      </c>
      <c r="Q119">
        <v>3</v>
      </c>
    </row>
    <row r="120" spans="1:17" ht="28.5" x14ac:dyDescent="0.2">
      <c r="A120" s="85" t="s">
        <v>298</v>
      </c>
      <c r="B120" s="42" t="s">
        <v>299</v>
      </c>
      <c r="C120" s="42" t="s">
        <v>300</v>
      </c>
      <c r="D120" s="43">
        <f>ROUND(SUMIF(RV_DATA!W109:'RV_DATA'!W118, 1002300804, RV_DATA!I109:'RV_DATA'!I118), 6)</f>
        <v>1044.72</v>
      </c>
      <c r="E120" s="72">
        <f>ROUND(RV_DATA!N118, 6)</f>
        <v>106.5912</v>
      </c>
      <c r="F120" s="72">
        <f>ROUND(SUMIF(RV_DATA!W109:'RV_DATA'!W118, 1002300804, RV_DATA!O109:'RV_DATA'!O118), 6)</f>
        <v>111357.96</v>
      </c>
      <c r="Q120">
        <v>3</v>
      </c>
    </row>
    <row r="121" spans="1:17" ht="15" x14ac:dyDescent="0.25">
      <c r="A121" s="134" t="s">
        <v>1067</v>
      </c>
      <c r="B121" s="134"/>
      <c r="C121" s="134"/>
      <c r="D121" s="134"/>
      <c r="E121" s="135">
        <f>SUMIF(Q118:Q120, 3, F118:F120)</f>
        <v>4034832.39</v>
      </c>
      <c r="F121" s="134"/>
    </row>
    <row r="122" spans="1:17" ht="16.5" x14ac:dyDescent="0.2">
      <c r="A122" s="130" t="str">
        <f>CONCATENATE("Раздел: ",IF(Source!G376&lt;&gt;"Новый раздел", Source!G376, ""))</f>
        <v>Раздел: 21.1. Посадка кустарников (h=0,7 м)</v>
      </c>
      <c r="B122" s="131"/>
      <c r="C122" s="131"/>
      <c r="D122" s="131"/>
      <c r="E122" s="131"/>
      <c r="F122" s="131"/>
    </row>
    <row r="123" spans="1:17" ht="14.25" x14ac:dyDescent="0.2">
      <c r="A123" s="132" t="s">
        <v>1064</v>
      </c>
      <c r="B123" s="133"/>
      <c r="C123" s="133"/>
      <c r="D123" s="133"/>
      <c r="E123" s="133"/>
      <c r="F123" s="133"/>
    </row>
    <row r="124" spans="1:17" ht="42.75" x14ac:dyDescent="0.2">
      <c r="A124" s="85" t="s">
        <v>740</v>
      </c>
      <c r="B124" s="42" t="s">
        <v>742</v>
      </c>
      <c r="C124" s="42" t="s">
        <v>652</v>
      </c>
      <c r="D124" s="43">
        <f>ROUND(SUMIF(RV_DATA!W120:'RV_DATA'!W130, -1597920307, RV_DATA!I120:'RV_DATA'!I130), 6)</f>
        <v>27.784103000000002</v>
      </c>
      <c r="E124" s="72">
        <f>ROUND(RV_DATA!N121, 6)</f>
        <v>1916.45</v>
      </c>
      <c r="F124" s="72">
        <f>ROUND(SUMIF(RV_DATA!W120:'RV_DATA'!W130, -1597920307, RV_DATA!O120:'RV_DATA'!O130), 6)</f>
        <v>44670.17</v>
      </c>
      <c r="Q124">
        <v>2</v>
      </c>
    </row>
    <row r="125" spans="1:17" ht="28.5" x14ac:dyDescent="0.2">
      <c r="A125" s="85" t="s">
        <v>743</v>
      </c>
      <c r="B125" s="42" t="s">
        <v>745</v>
      </c>
      <c r="C125" s="42" t="s">
        <v>652</v>
      </c>
      <c r="D125" s="43">
        <f>ROUND(SUMIF(RV_DATA!W120:'RV_DATA'!W130, -271111961, RV_DATA!I120:'RV_DATA'!I130), 6)</f>
        <v>6.9468969999999999</v>
      </c>
      <c r="E125" s="72">
        <f>ROUND(RV_DATA!N120, 6)</f>
        <v>1232.06</v>
      </c>
      <c r="F125" s="72">
        <f>ROUND(SUMIF(RV_DATA!W120:'RV_DATA'!W130, -271111961, RV_DATA!O120:'RV_DATA'!O130), 6)</f>
        <v>7180.41</v>
      </c>
      <c r="Q125">
        <v>2</v>
      </c>
    </row>
    <row r="126" spans="1:17" ht="14.25" x14ac:dyDescent="0.2">
      <c r="A126" s="85" t="s">
        <v>766</v>
      </c>
      <c r="B126" s="42" t="s">
        <v>768</v>
      </c>
      <c r="C126" s="42" t="s">
        <v>652</v>
      </c>
      <c r="D126" s="43">
        <f>ROUND(SUMIF(RV_DATA!W120:'RV_DATA'!W130, -690271854, RV_DATA!I120:'RV_DATA'!I130), 6)</f>
        <v>22.12</v>
      </c>
      <c r="E126" s="72">
        <f>ROUND(RV_DATA!N124, 6)</f>
        <v>28.8</v>
      </c>
      <c r="F126" s="72">
        <f>ROUND(SUMIF(RV_DATA!W120:'RV_DATA'!W130, -690271854, RV_DATA!O120:'RV_DATA'!O130), 6)</f>
        <v>607.28</v>
      </c>
      <c r="Q126">
        <v>2</v>
      </c>
    </row>
    <row r="127" spans="1:17" ht="28.5" x14ac:dyDescent="0.2">
      <c r="A127" s="85" t="s">
        <v>763</v>
      </c>
      <c r="B127" s="42" t="s">
        <v>765</v>
      </c>
      <c r="C127" s="42" t="s">
        <v>652</v>
      </c>
      <c r="D127" s="43">
        <f>ROUND(SUMIF(RV_DATA!W120:'RV_DATA'!W130, -1165803611, RV_DATA!I120:'RV_DATA'!I130), 6)</f>
        <v>22.12</v>
      </c>
      <c r="E127" s="72">
        <f>ROUND(RV_DATA!N123, 6)</f>
        <v>966.1</v>
      </c>
      <c r="F127" s="72">
        <f>ROUND(SUMIF(RV_DATA!W120:'RV_DATA'!W130, -1165803611, RV_DATA!O120:'RV_DATA'!O130), 6)</f>
        <v>20412.84</v>
      </c>
      <c r="Q127">
        <v>2</v>
      </c>
    </row>
    <row r="128" spans="1:17" ht="28.5" x14ac:dyDescent="0.2">
      <c r="A128" s="85" t="s">
        <v>686</v>
      </c>
      <c r="B128" s="42" t="s">
        <v>727</v>
      </c>
      <c r="C128" s="42" t="s">
        <v>652</v>
      </c>
      <c r="D128" s="43">
        <f>ROUND(SUMIF(RV_DATA!W120:'RV_DATA'!W130, 368907495, RV_DATA!I120:'RV_DATA'!I130), 6)</f>
        <v>71.89</v>
      </c>
      <c r="E128" s="72">
        <f>ROUND(RV_DATA!N129, 6)</f>
        <v>1162.78</v>
      </c>
      <c r="F128" s="72">
        <f>ROUND(SUMIF(RV_DATA!W120:'RV_DATA'!W130, 368907495, RV_DATA!O120:'RV_DATA'!O130), 6)</f>
        <v>79837.990000000005</v>
      </c>
      <c r="Q128">
        <v>2</v>
      </c>
    </row>
    <row r="129" spans="1:17" ht="15" x14ac:dyDescent="0.25">
      <c r="A129" s="134" t="s">
        <v>1065</v>
      </c>
      <c r="B129" s="134"/>
      <c r="C129" s="134"/>
      <c r="D129" s="134"/>
      <c r="E129" s="135">
        <f>SUMIF(Q124:Q128, 2, F124:F128)</f>
        <v>152708.69</v>
      </c>
      <c r="F129" s="134"/>
    </row>
    <row r="130" spans="1:17" ht="14.25" x14ac:dyDescent="0.2">
      <c r="A130" s="132" t="s">
        <v>1066</v>
      </c>
      <c r="B130" s="133"/>
      <c r="C130" s="133"/>
      <c r="D130" s="133"/>
      <c r="E130" s="133"/>
      <c r="F130" s="133"/>
    </row>
    <row r="131" spans="1:17" ht="14.25" x14ac:dyDescent="0.2">
      <c r="A131" s="85" t="s">
        <v>467</v>
      </c>
      <c r="B131" s="42" t="s">
        <v>468</v>
      </c>
      <c r="C131" s="42" t="s">
        <v>66</v>
      </c>
      <c r="D131" s="43">
        <f>ROUND(SUMIF(RV_DATA!W120:'RV_DATA'!W130, -307160680, RV_DATA!I120:'RV_DATA'!I130), 6)</f>
        <v>295.85500000000002</v>
      </c>
      <c r="E131" s="72">
        <f>ROUND(RV_DATA!N128, 6)</f>
        <v>35.28</v>
      </c>
      <c r="F131" s="72">
        <f>ROUND(SUMIF(RV_DATA!W120:'RV_DATA'!W130, -307160680, RV_DATA!O120:'RV_DATA'!O130), 6)</f>
        <v>10430.799999999999</v>
      </c>
      <c r="Q131">
        <v>3</v>
      </c>
    </row>
    <row r="132" spans="1:17" ht="42.75" x14ac:dyDescent="0.2">
      <c r="A132" s="85" t="s">
        <v>326</v>
      </c>
      <c r="B132" s="42" t="s">
        <v>327</v>
      </c>
      <c r="C132" s="42" t="s">
        <v>328</v>
      </c>
      <c r="D132" s="43">
        <f>ROUND(SUMIF(RV_DATA!W120:'RV_DATA'!W130, 1592254851, RV_DATA!I120:'RV_DATA'!I130), 6)</f>
        <v>2765</v>
      </c>
      <c r="E132" s="72">
        <f>ROUND(RV_DATA!N130, 6)</f>
        <v>226.43899999999999</v>
      </c>
      <c r="F132" s="72">
        <f>ROUND(SUMIF(RV_DATA!W120:'RV_DATA'!W130, 1592254851, RV_DATA!O120:'RV_DATA'!O130), 6)</f>
        <v>626103.84</v>
      </c>
      <c r="Q132">
        <v>3</v>
      </c>
    </row>
    <row r="133" spans="1:17" ht="14.25" x14ac:dyDescent="0.2">
      <c r="A133" s="85" t="s">
        <v>280</v>
      </c>
      <c r="B133" s="42" t="s">
        <v>281</v>
      </c>
      <c r="C133" s="42" t="s">
        <v>66</v>
      </c>
      <c r="D133" s="43">
        <f>ROUND(SUMIF(RV_DATA!W120:'RV_DATA'!W130, -1509024175, RV_DATA!I120:'RV_DATA'!I130), 6)</f>
        <v>553</v>
      </c>
      <c r="E133" s="72">
        <f>ROUND(RV_DATA!N125, 6)</f>
        <v>977.95439999999996</v>
      </c>
      <c r="F133" s="72">
        <f>ROUND(SUMIF(RV_DATA!W120:'RV_DATA'!W130, -1509024175, RV_DATA!O120:'RV_DATA'!O130), 6)</f>
        <v>540808.78</v>
      </c>
      <c r="Q133">
        <v>3</v>
      </c>
    </row>
    <row r="134" spans="1:17" ht="14.25" x14ac:dyDescent="0.2">
      <c r="A134" s="85" t="s">
        <v>769</v>
      </c>
      <c r="B134" s="42" t="s">
        <v>771</v>
      </c>
      <c r="C134" s="42" t="s">
        <v>66</v>
      </c>
      <c r="D134" s="43">
        <f>ROUND(SUMIF(RV_DATA!W120:'RV_DATA'!W130, 907761472, RV_DATA!I120:'RV_DATA'!I130), 6)</f>
        <v>193.55</v>
      </c>
      <c r="E134" s="72">
        <f>ROUND(RV_DATA!N122, 6)</f>
        <v>933.13</v>
      </c>
      <c r="F134" s="72">
        <f>ROUND(SUMIF(RV_DATA!W120:'RV_DATA'!W130, 907761472, RV_DATA!O120:'RV_DATA'!O130), 6)</f>
        <v>180609.69</v>
      </c>
      <c r="Q134">
        <v>3</v>
      </c>
    </row>
    <row r="135" spans="1:17" ht="15" x14ac:dyDescent="0.25">
      <c r="A135" s="134" t="s">
        <v>1067</v>
      </c>
      <c r="B135" s="134"/>
      <c r="C135" s="134"/>
      <c r="D135" s="134"/>
      <c r="E135" s="135">
        <f>SUMIF(Q131:Q134, 3, F131:F134)</f>
        <v>1357953.1099999999</v>
      </c>
      <c r="F135" s="134"/>
    </row>
    <row r="136" spans="1:17" ht="16.5" x14ac:dyDescent="0.2">
      <c r="A136" s="130" t="str">
        <f>CONCATENATE("Раздел: ",IF(Source!G490&lt;&gt;"Новый раздел", Source!G490, ""))</f>
        <v>Раздел: 22.1 Посадка деревьев с комом 0,8х0,6 м, высотой от 3 м</v>
      </c>
      <c r="B136" s="131"/>
      <c r="C136" s="131"/>
      <c r="D136" s="131"/>
      <c r="E136" s="131"/>
      <c r="F136" s="131"/>
    </row>
    <row r="137" spans="1:17" ht="14.25" x14ac:dyDescent="0.2">
      <c r="A137" s="132" t="s">
        <v>1064</v>
      </c>
      <c r="B137" s="133"/>
      <c r="C137" s="133"/>
      <c r="D137" s="133"/>
      <c r="E137" s="133"/>
      <c r="F137" s="133"/>
    </row>
    <row r="138" spans="1:17" ht="42.75" x14ac:dyDescent="0.2">
      <c r="A138" s="85" t="s">
        <v>772</v>
      </c>
      <c r="B138" s="42" t="s">
        <v>774</v>
      </c>
      <c r="C138" s="42" t="s">
        <v>652</v>
      </c>
      <c r="D138" s="43">
        <f>ROUND(SUMIF(RV_DATA!W134:'RV_DATA'!W145, -120954021, RV_DATA!I134:'RV_DATA'!I145), 6)</f>
        <v>2.6352000000000002</v>
      </c>
      <c r="E138" s="72">
        <f>ROUND(RV_DATA!N135, 6)</f>
        <v>876.97</v>
      </c>
      <c r="F138" s="72">
        <f>ROUND(SUMIF(RV_DATA!W134:'RV_DATA'!W145, -120954021, RV_DATA!O134:'RV_DATA'!O145), 6)</f>
        <v>2207.2399999999998</v>
      </c>
      <c r="Q138">
        <v>2</v>
      </c>
    </row>
    <row r="139" spans="1:17" ht="42.75" x14ac:dyDescent="0.2">
      <c r="A139" s="85" t="s">
        <v>740</v>
      </c>
      <c r="B139" s="42" t="s">
        <v>742</v>
      </c>
      <c r="C139" s="42" t="s">
        <v>652</v>
      </c>
      <c r="D139" s="43">
        <f>ROUND(SUMIF(RV_DATA!W134:'RV_DATA'!W145, -1597920307, RV_DATA!I134:'RV_DATA'!I145), 6)</f>
        <v>2.9684699999999999</v>
      </c>
      <c r="E139" s="72">
        <f>ROUND(RV_DATA!N140, 6)</f>
        <v>1916.45</v>
      </c>
      <c r="F139" s="72">
        <f>ROUND(SUMIF(RV_DATA!W134:'RV_DATA'!W145, -1597920307, RV_DATA!O134:'RV_DATA'!O145), 6)</f>
        <v>4772.59</v>
      </c>
      <c r="Q139">
        <v>2</v>
      </c>
    </row>
    <row r="140" spans="1:17" ht="28.5" x14ac:dyDescent="0.2">
      <c r="A140" s="85" t="s">
        <v>743</v>
      </c>
      <c r="B140" s="42" t="s">
        <v>745</v>
      </c>
      <c r="C140" s="42" t="s">
        <v>652</v>
      </c>
      <c r="D140" s="43">
        <f>ROUND(SUMIF(RV_DATA!W134:'RV_DATA'!W145, -271111961, RV_DATA!I134:'RV_DATA'!I145), 6)</f>
        <v>0.74221099999999995</v>
      </c>
      <c r="E140" s="72">
        <f>ROUND(RV_DATA!N139, 6)</f>
        <v>1232.06</v>
      </c>
      <c r="F140" s="72">
        <f>ROUND(SUMIF(RV_DATA!W134:'RV_DATA'!W145, -271111961, RV_DATA!O134:'RV_DATA'!O145), 6)</f>
        <v>767.16</v>
      </c>
      <c r="Q140">
        <v>2</v>
      </c>
    </row>
    <row r="141" spans="1:17" ht="28.5" x14ac:dyDescent="0.2">
      <c r="A141" s="85" t="s">
        <v>729</v>
      </c>
      <c r="B141" s="42" t="s">
        <v>731</v>
      </c>
      <c r="C141" s="42" t="s">
        <v>652</v>
      </c>
      <c r="D141" s="43">
        <f>ROUND(SUMIF(RV_DATA!W134:'RV_DATA'!W145, -213384332, RV_DATA!I134:'RV_DATA'!I145), 6)</f>
        <v>16.347999999999999</v>
      </c>
      <c r="E141" s="72">
        <f>ROUND(RV_DATA!N144, 6)</f>
        <v>1655.2</v>
      </c>
      <c r="F141" s="72">
        <f>ROUND(SUMIF(RV_DATA!W134:'RV_DATA'!W145, -213384332, RV_DATA!O134:'RV_DATA'!O145), 6)</f>
        <v>25844.94</v>
      </c>
      <c r="Q141">
        <v>2</v>
      </c>
    </row>
    <row r="142" spans="1:17" ht="28.5" x14ac:dyDescent="0.2">
      <c r="A142" s="85" t="s">
        <v>686</v>
      </c>
      <c r="B142" s="42" t="s">
        <v>727</v>
      </c>
      <c r="C142" s="42" t="s">
        <v>652</v>
      </c>
      <c r="D142" s="43">
        <f>ROUND(SUMIF(RV_DATA!W134:'RV_DATA'!W145, 368907495, RV_DATA!I134:'RV_DATA'!I145), 6)</f>
        <v>7.4420000000000002</v>
      </c>
      <c r="E142" s="72">
        <f>ROUND(RV_DATA!N143, 6)</f>
        <v>1162.78</v>
      </c>
      <c r="F142" s="72">
        <f>ROUND(SUMIF(RV_DATA!W134:'RV_DATA'!W145, 368907495, RV_DATA!O134:'RV_DATA'!O145), 6)</f>
        <v>8264.59</v>
      </c>
      <c r="Q142">
        <v>2</v>
      </c>
    </row>
    <row r="143" spans="1:17" ht="15" x14ac:dyDescent="0.25">
      <c r="A143" s="134" t="s">
        <v>1065</v>
      </c>
      <c r="B143" s="134"/>
      <c r="C143" s="134"/>
      <c r="D143" s="134"/>
      <c r="E143" s="135">
        <f>SUMIF(Q138:Q142, 2, F138:F142)</f>
        <v>41856.520000000004</v>
      </c>
      <c r="F143" s="134"/>
    </row>
    <row r="144" spans="1:17" ht="14.25" x14ac:dyDescent="0.2">
      <c r="A144" s="132" t="s">
        <v>1066</v>
      </c>
      <c r="B144" s="133"/>
      <c r="C144" s="133"/>
      <c r="D144" s="133"/>
      <c r="E144" s="133"/>
      <c r="F144" s="133"/>
    </row>
    <row r="145" spans="1:17" ht="14.25" x14ac:dyDescent="0.2">
      <c r="A145" s="85" t="s">
        <v>467</v>
      </c>
      <c r="B145" s="42" t="s">
        <v>468</v>
      </c>
      <c r="C145" s="42" t="s">
        <v>66</v>
      </c>
      <c r="D145" s="43">
        <f>ROUND(SUMIF(RV_DATA!W134:'RV_DATA'!W145, -307160680, RV_DATA!I134:'RV_DATA'!I145), 6)</f>
        <v>31.72</v>
      </c>
      <c r="E145" s="72">
        <f>ROUND(RV_DATA!N142, 6)</f>
        <v>35.28</v>
      </c>
      <c r="F145" s="72">
        <f>ROUND(SUMIF(RV_DATA!W134:'RV_DATA'!W145, -307160680, RV_DATA!O134:'RV_DATA'!O145), 6)</f>
        <v>1118.94</v>
      </c>
      <c r="Q145">
        <v>3</v>
      </c>
    </row>
    <row r="146" spans="1:17" ht="71.25" x14ac:dyDescent="0.2">
      <c r="A146" s="85" t="s">
        <v>352</v>
      </c>
      <c r="B146" s="42" t="s">
        <v>353</v>
      </c>
      <c r="C146" s="42" t="s">
        <v>328</v>
      </c>
      <c r="D146" s="43">
        <f>ROUND(SUMIF(RV_DATA!W134:'RV_DATA'!W145, -1237106391, RV_DATA!I134:'RV_DATA'!I145), 6)</f>
        <v>122</v>
      </c>
      <c r="E146" s="72">
        <f>ROUND(RV_DATA!N145, 6)</f>
        <v>6829.1629999999996</v>
      </c>
      <c r="F146" s="72">
        <f>ROUND(SUMIF(RV_DATA!W134:'RV_DATA'!W145, -1237106391, RV_DATA!O134:'RV_DATA'!O145), 6)</f>
        <v>833157.89</v>
      </c>
      <c r="Q146">
        <v>3</v>
      </c>
    </row>
    <row r="147" spans="1:17" ht="14.25" x14ac:dyDescent="0.2">
      <c r="A147" s="85" t="s">
        <v>280</v>
      </c>
      <c r="B147" s="42" t="s">
        <v>281</v>
      </c>
      <c r="C147" s="42" t="s">
        <v>66</v>
      </c>
      <c r="D147" s="43">
        <f>ROUND(SUMIF(RV_DATA!W134:'RV_DATA'!W145, -1509024175, RV_DATA!I134:'RV_DATA'!I145), 6)</f>
        <v>75.64</v>
      </c>
      <c r="E147" s="72">
        <f>ROUND(RV_DATA!N136, 6)</f>
        <v>977.95439999999996</v>
      </c>
      <c r="F147" s="72">
        <f>ROUND(SUMIF(RV_DATA!W134:'RV_DATA'!W145, -1509024175, RV_DATA!O134:'RV_DATA'!O145), 6)</f>
        <v>73972.47</v>
      </c>
      <c r="Q147">
        <v>3</v>
      </c>
    </row>
    <row r="148" spans="1:17" ht="14.25" x14ac:dyDescent="0.2">
      <c r="A148" s="85" t="s">
        <v>769</v>
      </c>
      <c r="B148" s="42" t="s">
        <v>771</v>
      </c>
      <c r="C148" s="42" t="s">
        <v>66</v>
      </c>
      <c r="D148" s="43">
        <f>ROUND(SUMIF(RV_DATA!W134:'RV_DATA'!W145, 907761472, RV_DATA!I134:'RV_DATA'!I145), 6)</f>
        <v>25.62</v>
      </c>
      <c r="E148" s="72">
        <f>ROUND(RV_DATA!N134, 6)</f>
        <v>933.13</v>
      </c>
      <c r="F148" s="72">
        <f>ROUND(SUMIF(RV_DATA!W134:'RV_DATA'!W145, 907761472, RV_DATA!O134:'RV_DATA'!O145), 6)</f>
        <v>23906.83</v>
      </c>
      <c r="Q148">
        <v>3</v>
      </c>
    </row>
    <row r="149" spans="1:17" ht="14.25" x14ac:dyDescent="0.2">
      <c r="A149" s="85" t="s">
        <v>738</v>
      </c>
      <c r="B149" s="42" t="s">
        <v>739</v>
      </c>
      <c r="C149" s="42" t="s">
        <v>676</v>
      </c>
      <c r="D149" s="43">
        <f>ROUND(SUMIF(RV_DATA!W134:'RV_DATA'!W145, -1341645062, RV_DATA!I134:'RV_DATA'!I145), 6)</f>
        <v>264.74</v>
      </c>
      <c r="E149" s="72">
        <f>ROUND(RV_DATA!N141, 6)</f>
        <v>1</v>
      </c>
      <c r="F149" s="72">
        <f>ROUND(SUMIF(RV_DATA!W134:'RV_DATA'!W145, -1341645062, RV_DATA!O134:'RV_DATA'!O145), 6)</f>
        <v>264.74</v>
      </c>
      <c r="Q149">
        <v>3</v>
      </c>
    </row>
    <row r="150" spans="1:17" ht="15" x14ac:dyDescent="0.25">
      <c r="A150" s="134" t="s">
        <v>1067</v>
      </c>
      <c r="B150" s="134"/>
      <c r="C150" s="134"/>
      <c r="D150" s="134"/>
      <c r="E150" s="135">
        <f>SUMIF(Q145:Q149, 3, F145:F149)</f>
        <v>932420.86999999988</v>
      </c>
      <c r="F150" s="134"/>
    </row>
    <row r="151" spans="1:17" ht="16.5" x14ac:dyDescent="0.2">
      <c r="A151" s="130" t="str">
        <f>CONCATENATE("Раздел: ",IF(Source!G570&lt;&gt;"Новый раздел", Source!G570, ""))</f>
        <v>Раздел: 23.1. Устройство цветников (многолетники)</v>
      </c>
      <c r="B151" s="131"/>
      <c r="C151" s="131"/>
      <c r="D151" s="131"/>
      <c r="E151" s="131"/>
      <c r="F151" s="131"/>
    </row>
    <row r="152" spans="1:17" ht="14.25" x14ac:dyDescent="0.2">
      <c r="A152" s="132" t="s">
        <v>1066</v>
      </c>
      <c r="B152" s="133"/>
      <c r="C152" s="133"/>
      <c r="D152" s="133"/>
      <c r="E152" s="133"/>
      <c r="F152" s="133"/>
    </row>
    <row r="153" spans="1:17" ht="14.25" x14ac:dyDescent="0.2">
      <c r="A153" s="85" t="s">
        <v>467</v>
      </c>
      <c r="B153" s="42" t="s">
        <v>468</v>
      </c>
      <c r="C153" s="42" t="s">
        <v>66</v>
      </c>
      <c r="D153" s="43">
        <f>ROUND(SUMIF(RV_DATA!W148:'RV_DATA'!W162, -307160680, RV_DATA!I148:'RV_DATA'!I162), 6)</f>
        <v>84.6</v>
      </c>
      <c r="E153" s="72">
        <f>ROUND(RV_DATA!N153, 6)</f>
        <v>35.28</v>
      </c>
      <c r="F153" s="72">
        <f>ROUND(SUMIF(RV_DATA!W148:'RV_DATA'!W162, -307160680, RV_DATA!O148:'RV_DATA'!O162), 6)</f>
        <v>2984.62</v>
      </c>
      <c r="Q153">
        <v>3</v>
      </c>
    </row>
    <row r="154" spans="1:17" ht="28.5" x14ac:dyDescent="0.2">
      <c r="A154" s="85" t="s">
        <v>775</v>
      </c>
      <c r="B154" s="42" t="s">
        <v>777</v>
      </c>
      <c r="C154" s="42" t="s">
        <v>66</v>
      </c>
      <c r="D154" s="43">
        <f>ROUND(SUMIF(RV_DATA!W148:'RV_DATA'!W162, -583748106, RV_DATA!I148:'RV_DATA'!I162), 6)</f>
        <v>2.9610000000000001E-2</v>
      </c>
      <c r="E154" s="72">
        <f>ROUND(RV_DATA!N152, 6)</f>
        <v>5467.39</v>
      </c>
      <c r="F154" s="72">
        <f>ROUND(SUMIF(RV_DATA!W148:'RV_DATA'!W162, -583748106, RV_DATA!O148:'RV_DATA'!O162), 6)</f>
        <v>161.88999999999999</v>
      </c>
      <c r="Q154">
        <v>3</v>
      </c>
    </row>
    <row r="155" spans="1:17" ht="28.5" x14ac:dyDescent="0.2">
      <c r="A155" s="85" t="s">
        <v>379</v>
      </c>
      <c r="B155" s="42" t="s">
        <v>380</v>
      </c>
      <c r="C155" s="42" t="s">
        <v>328</v>
      </c>
      <c r="D155" s="43">
        <f>ROUND(SUMIF(RV_DATA!W148:'RV_DATA'!W162, -5940246, RV_DATA!I148:'RV_DATA'!I162), 6)</f>
        <v>3976.2</v>
      </c>
      <c r="E155" s="72">
        <f>ROUND(RV_DATA!N159, 6)</f>
        <v>43.7072</v>
      </c>
      <c r="F155" s="72">
        <f>ROUND(SUMIF(RV_DATA!W148:'RV_DATA'!W162, -5940246, RV_DATA!O148:'RV_DATA'!O162), 6)</f>
        <v>173788.57</v>
      </c>
      <c r="Q155">
        <v>3</v>
      </c>
    </row>
    <row r="156" spans="1:17" ht="28.5" x14ac:dyDescent="0.2">
      <c r="A156" s="85" t="s">
        <v>374</v>
      </c>
      <c r="B156" s="42" t="s">
        <v>375</v>
      </c>
      <c r="C156" s="42" t="s">
        <v>328</v>
      </c>
      <c r="D156" s="43">
        <f>ROUND(SUMIF(RV_DATA!W148:'RV_DATA'!W162, 769333840, RV_DATA!I148:'RV_DATA'!I162), 6)</f>
        <v>2256</v>
      </c>
      <c r="E156" s="72">
        <f>ROUND(RV_DATA!N154, 6)</f>
        <v>56.246400000000001</v>
      </c>
      <c r="F156" s="72">
        <f>ROUND(SUMIF(RV_DATA!W148:'RV_DATA'!W162, 769333840, RV_DATA!O148:'RV_DATA'!O162), 6)</f>
        <v>126891.88</v>
      </c>
      <c r="Q156">
        <v>3</v>
      </c>
    </row>
    <row r="157" spans="1:17" ht="14.25" x14ac:dyDescent="0.2">
      <c r="A157" s="85" t="s">
        <v>280</v>
      </c>
      <c r="B157" s="42" t="s">
        <v>281</v>
      </c>
      <c r="C157" s="42" t="s">
        <v>66</v>
      </c>
      <c r="D157" s="43">
        <f>ROUND(SUMIF(RV_DATA!W148:'RV_DATA'!W162, -1509024175, RV_DATA!I148:'RV_DATA'!I162), 6)</f>
        <v>112.8</v>
      </c>
      <c r="E157" s="72">
        <f>ROUND(RV_DATA!N148, 6)</f>
        <v>977.95439999999996</v>
      </c>
      <c r="F157" s="72">
        <f>ROUND(SUMIF(RV_DATA!W148:'RV_DATA'!W162, -1509024175, RV_DATA!O148:'RV_DATA'!O162), 6)</f>
        <v>110313.26</v>
      </c>
      <c r="Q157">
        <v>3</v>
      </c>
    </row>
    <row r="158" spans="1:17" ht="14.25" x14ac:dyDescent="0.2">
      <c r="A158" s="85" t="s">
        <v>769</v>
      </c>
      <c r="B158" s="42" t="s">
        <v>771</v>
      </c>
      <c r="C158" s="42" t="s">
        <v>66</v>
      </c>
      <c r="D158" s="43">
        <f>ROUND(SUMIF(RV_DATA!W148:'RV_DATA'!W162, 907761472, RV_DATA!I148:'RV_DATA'!I162), 6)</f>
        <v>5.64</v>
      </c>
      <c r="E158" s="72">
        <f>ROUND(RV_DATA!N151, 6)</f>
        <v>933.13</v>
      </c>
      <c r="F158" s="72">
        <f>ROUND(SUMIF(RV_DATA!W148:'RV_DATA'!W162, 907761472, RV_DATA!O148:'RV_DATA'!O162), 6)</f>
        <v>5262.84</v>
      </c>
      <c r="Q158">
        <v>3</v>
      </c>
    </row>
    <row r="159" spans="1:17" ht="14.25" x14ac:dyDescent="0.2">
      <c r="A159" s="85" t="s">
        <v>738</v>
      </c>
      <c r="B159" s="42" t="s">
        <v>739</v>
      </c>
      <c r="C159" s="42" t="s">
        <v>676</v>
      </c>
      <c r="D159" s="43">
        <f>ROUND(SUMIF(RV_DATA!W148:'RV_DATA'!W162, -1341645062, RV_DATA!I148:'RV_DATA'!I162), 6)</f>
        <v>25.267199999999999</v>
      </c>
      <c r="E159" s="72">
        <f>ROUND(RV_DATA!N150, 6)</f>
        <v>1</v>
      </c>
      <c r="F159" s="72">
        <f>ROUND(SUMIF(RV_DATA!W148:'RV_DATA'!W162, -1341645062, RV_DATA!O148:'RV_DATA'!O162), 6)</f>
        <v>25.26</v>
      </c>
      <c r="Q159">
        <v>3</v>
      </c>
    </row>
    <row r="160" spans="1:17" ht="15" x14ac:dyDescent="0.25">
      <c r="A160" s="134" t="s">
        <v>1067</v>
      </c>
      <c r="B160" s="134"/>
      <c r="C160" s="134"/>
      <c r="D160" s="134"/>
      <c r="E160" s="135">
        <f>SUMIF(Q153:Q159, 3, F153:F159)</f>
        <v>419428.32000000007</v>
      </c>
      <c r="F160" s="134"/>
    </row>
    <row r="161" spans="1:17" ht="33" x14ac:dyDescent="0.2">
      <c r="A161" s="130" t="str">
        <f>CONCATENATE("Раздел: ",IF(Source!G650&lt;&gt;"Новый раздел", Source!G650, ""))</f>
        <v>Раздел: 27.1. Капитальный ремонт пешеходного покрытия из бетонной плитки 1503 м2</v>
      </c>
      <c r="B161" s="131"/>
      <c r="C161" s="131"/>
      <c r="D161" s="131"/>
      <c r="E161" s="131"/>
      <c r="F161" s="131"/>
      <c r="O161" s="84" t="s">
        <v>1071</v>
      </c>
    </row>
    <row r="162" spans="1:17" ht="14.25" x14ac:dyDescent="0.2">
      <c r="A162" s="132" t="s">
        <v>1064</v>
      </c>
      <c r="B162" s="133"/>
      <c r="C162" s="133"/>
      <c r="D162" s="133"/>
      <c r="E162" s="133"/>
      <c r="F162" s="133"/>
    </row>
    <row r="163" spans="1:17" ht="42.75" x14ac:dyDescent="0.2">
      <c r="A163" s="85" t="s">
        <v>740</v>
      </c>
      <c r="B163" s="42" t="s">
        <v>742</v>
      </c>
      <c r="C163" s="42" t="s">
        <v>652</v>
      </c>
      <c r="D163" s="43">
        <f>ROUND(SUMIF(RV_DATA!W165:'RV_DATA'!W190, -1597920307, RV_DATA!I165:'RV_DATA'!I190), 6)</f>
        <v>23.193732000000001</v>
      </c>
      <c r="E163" s="72">
        <f>ROUND(RV_DATA!N166, 6)</f>
        <v>1916.45</v>
      </c>
      <c r="F163" s="72">
        <f>ROUND(SUMIF(RV_DATA!W165:'RV_DATA'!W190, -1597920307, RV_DATA!O165:'RV_DATA'!O190), 6)</f>
        <v>37289.96</v>
      </c>
      <c r="Q163">
        <v>2</v>
      </c>
    </row>
    <row r="164" spans="1:17" ht="28.5" x14ac:dyDescent="0.2">
      <c r="A164" s="85" t="s">
        <v>749</v>
      </c>
      <c r="B164" s="42" t="s">
        <v>751</v>
      </c>
      <c r="C164" s="42" t="s">
        <v>652</v>
      </c>
      <c r="D164" s="43">
        <f>ROUND(SUMIF(RV_DATA!W165:'RV_DATA'!W190, -158017304, RV_DATA!I165:'RV_DATA'!I190), 6)</f>
        <v>4.2384599999999999</v>
      </c>
      <c r="E164" s="72">
        <f>ROUND(RV_DATA!N180, 6)</f>
        <v>989.31</v>
      </c>
      <c r="F164" s="72">
        <f>ROUND(SUMIF(RV_DATA!W165:'RV_DATA'!W190, -158017304, RV_DATA!O165:'RV_DATA'!O190), 6)</f>
        <v>4004.89</v>
      </c>
      <c r="Q164">
        <v>2</v>
      </c>
    </row>
    <row r="165" spans="1:17" ht="28.5" x14ac:dyDescent="0.2">
      <c r="A165" s="85" t="s">
        <v>743</v>
      </c>
      <c r="B165" s="42" t="s">
        <v>745</v>
      </c>
      <c r="C165" s="42" t="s">
        <v>652</v>
      </c>
      <c r="D165" s="43">
        <f>ROUND(SUMIF(RV_DATA!W165:'RV_DATA'!W190, -271111961, RV_DATA!I165:'RV_DATA'!I190), 6)</f>
        <v>5.7991599999999996</v>
      </c>
      <c r="E165" s="72">
        <f>ROUND(RV_DATA!N165, 6)</f>
        <v>1232.06</v>
      </c>
      <c r="F165" s="72">
        <f>ROUND(SUMIF(RV_DATA!W165:'RV_DATA'!W190, -271111961, RV_DATA!O165:'RV_DATA'!O190), 6)</f>
        <v>5994.09</v>
      </c>
      <c r="Q165">
        <v>2</v>
      </c>
    </row>
    <row r="166" spans="1:17" ht="28.5" x14ac:dyDescent="0.2">
      <c r="A166" s="85" t="s">
        <v>778</v>
      </c>
      <c r="B166" s="42" t="s">
        <v>780</v>
      </c>
      <c r="C166" s="42" t="s">
        <v>652</v>
      </c>
      <c r="D166" s="43">
        <f>ROUND(SUMIF(RV_DATA!W165:'RV_DATA'!W190, -1643900566, RV_DATA!I165:'RV_DATA'!I190), 6)</f>
        <v>49.298400000000001</v>
      </c>
      <c r="E166" s="72">
        <f>ROUND(RV_DATA!N187, 6)</f>
        <v>94.59</v>
      </c>
      <c r="F166" s="72">
        <f>ROUND(SUMIF(RV_DATA!W165:'RV_DATA'!W190, -1643900566, RV_DATA!O165:'RV_DATA'!O190), 6)</f>
        <v>4663.3599999999997</v>
      </c>
      <c r="Q166">
        <v>2</v>
      </c>
    </row>
    <row r="167" spans="1:17" ht="28.5" x14ac:dyDescent="0.2">
      <c r="A167" s="85" t="s">
        <v>680</v>
      </c>
      <c r="B167" s="42" t="s">
        <v>682</v>
      </c>
      <c r="C167" s="42" t="s">
        <v>652</v>
      </c>
      <c r="D167" s="43">
        <f>ROUND(SUMIF(RV_DATA!W165:'RV_DATA'!W190, 152859303, RV_DATA!I165:'RV_DATA'!I190), 6)</f>
        <v>12.174300000000001</v>
      </c>
      <c r="E167" s="72">
        <f>ROUND(RV_DATA!N186, 6)</f>
        <v>721.25</v>
      </c>
      <c r="F167" s="72">
        <f>ROUND(SUMIF(RV_DATA!W165:'RV_DATA'!W190, 152859303, RV_DATA!O165:'RV_DATA'!O190), 6)</f>
        <v>8781.2099999999991</v>
      </c>
      <c r="Q167">
        <v>2</v>
      </c>
    </row>
    <row r="168" spans="1:17" ht="28.5" x14ac:dyDescent="0.2">
      <c r="A168" s="85" t="s">
        <v>683</v>
      </c>
      <c r="B168" s="42" t="s">
        <v>685</v>
      </c>
      <c r="C168" s="42" t="s">
        <v>652</v>
      </c>
      <c r="D168" s="43">
        <f>ROUND(SUMIF(RV_DATA!W165:'RV_DATA'!W190, -902618053, RV_DATA!I165:'RV_DATA'!I190), 6)</f>
        <v>4.98996</v>
      </c>
      <c r="E168" s="72">
        <f>ROUND(RV_DATA!N172, 6)</f>
        <v>1261.78</v>
      </c>
      <c r="F168" s="72">
        <f>ROUND(SUMIF(RV_DATA!W165:'RV_DATA'!W190, -902618053, RV_DATA!O165:'RV_DATA'!O190), 6)</f>
        <v>6013.66</v>
      </c>
      <c r="Q168">
        <v>2</v>
      </c>
    </row>
    <row r="169" spans="1:17" ht="28.5" x14ac:dyDescent="0.2">
      <c r="A169" s="85" t="s">
        <v>781</v>
      </c>
      <c r="B169" s="42" t="s">
        <v>783</v>
      </c>
      <c r="C169" s="42" t="s">
        <v>652</v>
      </c>
      <c r="D169" s="43">
        <f>ROUND(SUMIF(RV_DATA!W165:'RV_DATA'!W190, 1236502341, RV_DATA!I165:'RV_DATA'!I190), 6)</f>
        <v>26.152200000000001</v>
      </c>
      <c r="E169" s="72">
        <f>ROUND(RV_DATA!N185, 6)</f>
        <v>4.57</v>
      </c>
      <c r="F169" s="72">
        <f>ROUND(SUMIF(RV_DATA!W165:'RV_DATA'!W190, 1236502341, RV_DATA!O165:'RV_DATA'!O190), 6)</f>
        <v>119.52</v>
      </c>
      <c r="Q169">
        <v>2</v>
      </c>
    </row>
    <row r="170" spans="1:17" ht="28.5" x14ac:dyDescent="0.2">
      <c r="A170" s="85" t="s">
        <v>729</v>
      </c>
      <c r="B170" s="42" t="s">
        <v>731</v>
      </c>
      <c r="C170" s="42" t="s">
        <v>652</v>
      </c>
      <c r="D170" s="43">
        <f>ROUND(SUMIF(RV_DATA!W165:'RV_DATA'!W190, -677660134, RV_DATA!I165:'RV_DATA'!I190), 6)</f>
        <v>12.174300000000001</v>
      </c>
      <c r="E170" s="72">
        <f>ROUND(RV_DATA!N184, 6)</f>
        <v>1580.9</v>
      </c>
      <c r="F170" s="72">
        <f>ROUND(SUMIF(RV_DATA!W165:'RV_DATA'!W190, -677660134, RV_DATA!O165:'RV_DATA'!O190), 6)</f>
        <v>19245.95</v>
      </c>
      <c r="Q170">
        <v>2</v>
      </c>
    </row>
    <row r="171" spans="1:17" ht="28.5" x14ac:dyDescent="0.2">
      <c r="A171" s="85" t="s">
        <v>723</v>
      </c>
      <c r="B171" s="42" t="s">
        <v>725</v>
      </c>
      <c r="C171" s="42" t="s">
        <v>652</v>
      </c>
      <c r="D171" s="43">
        <f>ROUND(SUMIF(RV_DATA!W165:'RV_DATA'!W190, 439731329, RV_DATA!I165:'RV_DATA'!I190), 6)</f>
        <v>4.98996</v>
      </c>
      <c r="E171" s="72">
        <f>ROUND(RV_DATA!N171, 6)</f>
        <v>445.02</v>
      </c>
      <c r="F171" s="72">
        <f>ROUND(SUMIF(RV_DATA!W165:'RV_DATA'!W190, 439731329, RV_DATA!O165:'RV_DATA'!O190), 6)</f>
        <v>2120.9699999999998</v>
      </c>
      <c r="Q171">
        <v>2</v>
      </c>
    </row>
    <row r="172" spans="1:17" ht="28.5" x14ac:dyDescent="0.2">
      <c r="A172" s="85" t="s">
        <v>686</v>
      </c>
      <c r="B172" s="42" t="s">
        <v>727</v>
      </c>
      <c r="C172" s="42" t="s">
        <v>652</v>
      </c>
      <c r="D172" s="43">
        <f>ROUND(SUMIF(RV_DATA!W165:'RV_DATA'!W190, 368907495, RV_DATA!I165:'RV_DATA'!I190), 6)</f>
        <v>3.5951759999999999</v>
      </c>
      <c r="E172" s="72">
        <f>ROUND(RV_DATA!N170, 6)</f>
        <v>1162.78</v>
      </c>
      <c r="F172" s="72">
        <f>ROUND(SUMIF(RV_DATA!W165:'RV_DATA'!W190, 368907495, RV_DATA!O165:'RV_DATA'!O190), 6)</f>
        <v>3992.84</v>
      </c>
      <c r="Q172">
        <v>2</v>
      </c>
    </row>
    <row r="173" spans="1:17" ht="28.5" x14ac:dyDescent="0.2">
      <c r="A173" s="85" t="s">
        <v>689</v>
      </c>
      <c r="B173" s="42" t="s">
        <v>691</v>
      </c>
      <c r="C173" s="42" t="s">
        <v>652</v>
      </c>
      <c r="D173" s="43">
        <f>ROUND(SUMIF(RV_DATA!W165:'RV_DATA'!W190, 1817474990, RV_DATA!I165:'RV_DATA'!I190), 6)</f>
        <v>12.931812000000001</v>
      </c>
      <c r="E173" s="72">
        <f>ROUND(RV_DATA!N178, 6)</f>
        <v>729.99</v>
      </c>
      <c r="F173" s="72">
        <f>ROUND(SUMIF(RV_DATA!W165:'RV_DATA'!W190, 1817474990, RV_DATA!O165:'RV_DATA'!O190), 6)</f>
        <v>9016.33</v>
      </c>
      <c r="Q173">
        <v>2</v>
      </c>
    </row>
    <row r="174" spans="1:17" ht="28.5" x14ac:dyDescent="0.2">
      <c r="A174" s="85" t="s">
        <v>692</v>
      </c>
      <c r="B174" s="42" t="s">
        <v>753</v>
      </c>
      <c r="C174" s="42" t="s">
        <v>652</v>
      </c>
      <c r="D174" s="43">
        <f>ROUND(SUMIF(RV_DATA!W165:'RV_DATA'!W190, 187435400, RV_DATA!I165:'RV_DATA'!I190), 6)</f>
        <v>26.332560000000001</v>
      </c>
      <c r="E174" s="72">
        <f>ROUND(RV_DATA!N177, 6)</f>
        <v>1037.05</v>
      </c>
      <c r="F174" s="72">
        <f>ROUND(SUMIF(RV_DATA!W165:'RV_DATA'!W190, 187435400, RV_DATA!O165:'RV_DATA'!O190), 6)</f>
        <v>26082.32</v>
      </c>
      <c r="Q174">
        <v>2</v>
      </c>
    </row>
    <row r="175" spans="1:17" ht="28.5" x14ac:dyDescent="0.2">
      <c r="A175" s="85" t="s">
        <v>671</v>
      </c>
      <c r="B175" s="42" t="s">
        <v>673</v>
      </c>
      <c r="C175" s="42" t="s">
        <v>652</v>
      </c>
      <c r="D175" s="43">
        <f>ROUND(SUMIF(RV_DATA!W165:'RV_DATA'!W190, 559728352, RV_DATA!I165:'RV_DATA'!I190), 6)</f>
        <v>7.8877439999999996</v>
      </c>
      <c r="E175" s="72">
        <f>ROUND(RV_DATA!N169, 6)</f>
        <v>1539.38</v>
      </c>
      <c r="F175" s="72">
        <f>ROUND(SUMIF(RV_DATA!W165:'RV_DATA'!W190, 559728352, RV_DATA!O165:'RV_DATA'!O190), 6)</f>
        <v>11597.06</v>
      </c>
      <c r="Q175">
        <v>2</v>
      </c>
    </row>
    <row r="176" spans="1:17" ht="28.5" x14ac:dyDescent="0.2">
      <c r="A176" s="85" t="s">
        <v>713</v>
      </c>
      <c r="B176" s="42" t="s">
        <v>715</v>
      </c>
      <c r="C176" s="42" t="s">
        <v>652</v>
      </c>
      <c r="D176" s="43">
        <f>ROUND(SUMIF(RV_DATA!W165:'RV_DATA'!W190, 2049417949, RV_DATA!I165:'RV_DATA'!I190), 6)</f>
        <v>2.5009920000000001</v>
      </c>
      <c r="E176" s="72">
        <f>ROUND(RV_DATA!N168, 6)</f>
        <v>1593.61</v>
      </c>
      <c r="F176" s="72">
        <f>ROUND(SUMIF(RV_DATA!W165:'RV_DATA'!W190, 2049417949, RV_DATA!O165:'RV_DATA'!O190), 6)</f>
        <v>3806.67</v>
      </c>
      <c r="Q176">
        <v>2</v>
      </c>
    </row>
    <row r="177" spans="1:17" ht="14.25" x14ac:dyDescent="0.2">
      <c r="A177" s="85" t="s">
        <v>674</v>
      </c>
      <c r="B177" s="42" t="s">
        <v>675</v>
      </c>
      <c r="C177" s="42" t="s">
        <v>676</v>
      </c>
      <c r="D177" s="43">
        <f>ROUND(SUMIF(RV_DATA!W165:'RV_DATA'!W190, 54769220, RV_DATA!I165:'RV_DATA'!I190), 6)</f>
        <v>0.15029999999999999</v>
      </c>
      <c r="E177" s="72">
        <f>ROUND(RV_DATA!N183, 6)</f>
        <v>1</v>
      </c>
      <c r="F177" s="72">
        <f>ROUND(SUMIF(RV_DATA!W165:'RV_DATA'!W190, 54769220, RV_DATA!O165:'RV_DATA'!O190), 6)</f>
        <v>0.15</v>
      </c>
      <c r="Q177">
        <v>2</v>
      </c>
    </row>
    <row r="178" spans="1:17" ht="15" x14ac:dyDescent="0.25">
      <c r="A178" s="134" t="s">
        <v>1065</v>
      </c>
      <c r="B178" s="134"/>
      <c r="C178" s="134"/>
      <c r="D178" s="134"/>
      <c r="E178" s="135">
        <f>SUMIF(Q163:Q177, 2, F163:F177)</f>
        <v>142728.98000000001</v>
      </c>
      <c r="F178" s="134"/>
    </row>
    <row r="179" spans="1:17" ht="14.25" x14ac:dyDescent="0.2">
      <c r="A179" s="132" t="s">
        <v>1066</v>
      </c>
      <c r="B179" s="133"/>
      <c r="C179" s="133"/>
      <c r="D179" s="133"/>
      <c r="E179" s="133"/>
      <c r="F179" s="133"/>
    </row>
    <row r="180" spans="1:17" ht="14.25" x14ac:dyDescent="0.2">
      <c r="A180" s="85" t="s">
        <v>467</v>
      </c>
      <c r="B180" s="42" t="s">
        <v>468</v>
      </c>
      <c r="C180" s="42" t="s">
        <v>66</v>
      </c>
      <c r="D180" s="43">
        <f>ROUND(SUMIF(RV_DATA!W165:'RV_DATA'!W190, -1977920412, RV_DATA!I165:'RV_DATA'!I190), 6)</f>
        <v>27.655200000000001</v>
      </c>
      <c r="E180" s="72">
        <f>ROUND(RV_DATA!N167, 6)</f>
        <v>35.35</v>
      </c>
      <c r="F180" s="72">
        <f>ROUND(SUMIF(RV_DATA!W165:'RV_DATA'!W190, -1977920412, RV_DATA!O165:'RV_DATA'!O190), 6)</f>
        <v>975.66</v>
      </c>
      <c r="Q180">
        <v>3</v>
      </c>
    </row>
    <row r="181" spans="1:17" ht="42.75" x14ac:dyDescent="0.2">
      <c r="A181" s="85" t="s">
        <v>64</v>
      </c>
      <c r="B181" s="42" t="s">
        <v>65</v>
      </c>
      <c r="C181" s="42" t="s">
        <v>66</v>
      </c>
      <c r="D181" s="43">
        <f>ROUND(SUMIF(RV_DATA!W165:'RV_DATA'!W190, 1682878819, RV_DATA!I165:'RV_DATA'!I190), 6)</f>
        <v>227.25360000000001</v>
      </c>
      <c r="E181" s="72">
        <f>ROUND(RV_DATA!N181, 6)</f>
        <v>1868.9286</v>
      </c>
      <c r="F181" s="72">
        <f>ROUND(SUMIF(RV_DATA!W165:'RV_DATA'!W190, 1682878819, RV_DATA!O165:'RV_DATA'!O190), 6)</f>
        <v>424720.75</v>
      </c>
      <c r="Q181">
        <v>3</v>
      </c>
    </row>
    <row r="182" spans="1:17" ht="28.5" x14ac:dyDescent="0.2">
      <c r="A182" s="85" t="s">
        <v>190</v>
      </c>
      <c r="B182" s="42" t="s">
        <v>191</v>
      </c>
      <c r="C182" s="42" t="s">
        <v>66</v>
      </c>
      <c r="D182" s="43">
        <f>ROUND(SUMIF(RV_DATA!W165:'RV_DATA'!W190, 1615926593, RV_DATA!I165:'RV_DATA'!I190), 6)</f>
        <v>330.66</v>
      </c>
      <c r="E182" s="72">
        <f>ROUND(RV_DATA!N173, 6)</f>
        <v>552.24739999999997</v>
      </c>
      <c r="F182" s="72">
        <f>ROUND(SUMIF(RV_DATA!W165:'RV_DATA'!W190, 1615926593, RV_DATA!O165:'RV_DATA'!O190), 6)</f>
        <v>182606.13</v>
      </c>
      <c r="Q182">
        <v>3</v>
      </c>
    </row>
    <row r="183" spans="1:17" ht="28.5" x14ac:dyDescent="0.2">
      <c r="A183" s="85" t="s">
        <v>190</v>
      </c>
      <c r="B183" s="42" t="s">
        <v>191</v>
      </c>
      <c r="C183" s="42" t="s">
        <v>66</v>
      </c>
      <c r="D183" s="43">
        <f>ROUND(SUMIF(RV_DATA!W165:'RV_DATA'!W190, -2014781051, RV_DATA!I165:'RV_DATA'!I190), 6)</f>
        <v>3.1562999999999999</v>
      </c>
      <c r="E183" s="72">
        <f>ROUND(RV_DATA!N182, 6)</f>
        <v>552.25</v>
      </c>
      <c r="F183" s="72">
        <f>ROUND(SUMIF(RV_DATA!W165:'RV_DATA'!W190, -2014781051, RV_DATA!O165:'RV_DATA'!O190), 6)</f>
        <v>1743.22</v>
      </c>
      <c r="Q183">
        <v>3</v>
      </c>
    </row>
    <row r="184" spans="1:17" ht="57" x14ac:dyDescent="0.2">
      <c r="A184" s="85" t="s">
        <v>414</v>
      </c>
      <c r="B184" s="42" t="s">
        <v>415</v>
      </c>
      <c r="C184" s="42" t="s">
        <v>51</v>
      </c>
      <c r="D184" s="43">
        <f>ROUND(SUMIF(RV_DATA!W165:'RV_DATA'!W190, 1537784488, RV_DATA!I165:'RV_DATA'!I190), 6)</f>
        <v>33.817500000000003</v>
      </c>
      <c r="E184" s="72">
        <f>ROUND(RV_DATA!N190, 6)</f>
        <v>3186.9499000000001</v>
      </c>
      <c r="F184" s="72">
        <f>ROUND(SUMIF(RV_DATA!W165:'RV_DATA'!W190, 1537784488, RV_DATA!O165:'RV_DATA'!O190), 6)</f>
        <v>107774.68</v>
      </c>
      <c r="Q184">
        <v>3</v>
      </c>
    </row>
    <row r="185" spans="1:17" ht="28.5" x14ac:dyDescent="0.2">
      <c r="A185" s="85" t="s">
        <v>409</v>
      </c>
      <c r="B185" s="42" t="s">
        <v>410</v>
      </c>
      <c r="C185" s="42" t="s">
        <v>411</v>
      </c>
      <c r="D185" s="43">
        <f>ROUND(SUMIF(RV_DATA!W165:'RV_DATA'!W190, 1632561054, RV_DATA!I165:'RV_DATA'!I190), 6)</f>
        <v>1503</v>
      </c>
      <c r="E185" s="72">
        <f>ROUND(RV_DATA!N189, 6)</f>
        <v>915.47889999999995</v>
      </c>
      <c r="F185" s="72">
        <f>ROUND(SUMIF(RV_DATA!W165:'RV_DATA'!W190, 1632561054, RV_DATA!O165:'RV_DATA'!O190), 6)</f>
        <v>1375964.79</v>
      </c>
      <c r="Q185">
        <v>3</v>
      </c>
    </row>
    <row r="186" spans="1:17" ht="28.5" x14ac:dyDescent="0.2">
      <c r="A186" s="85" t="s">
        <v>405</v>
      </c>
      <c r="B186" s="42" t="s">
        <v>406</v>
      </c>
      <c r="C186" s="42" t="s">
        <v>328</v>
      </c>
      <c r="D186" s="43">
        <f>ROUND(SUMIF(RV_DATA!W165:'RV_DATA'!W190, -977104737, RV_DATA!I165:'RV_DATA'!I190), 6)</f>
        <v>51.101999999999997</v>
      </c>
      <c r="E186" s="72">
        <f>ROUND(RV_DATA!N188, 6)</f>
        <v>739.91579999999999</v>
      </c>
      <c r="F186" s="72">
        <f>ROUND(SUMIF(RV_DATA!W165:'RV_DATA'!W190, -977104737, RV_DATA!O165:'RV_DATA'!O190), 6)</f>
        <v>37811.18</v>
      </c>
      <c r="Q186">
        <v>3</v>
      </c>
    </row>
    <row r="187" spans="1:17" ht="15" x14ac:dyDescent="0.25">
      <c r="A187" s="134" t="s">
        <v>1067</v>
      </c>
      <c r="B187" s="134"/>
      <c r="C187" s="134"/>
      <c r="D187" s="134"/>
      <c r="E187" s="135">
        <f>SUMIF(Q180:Q186, 3, F180:F186)</f>
        <v>2131596.41</v>
      </c>
      <c r="F187" s="134"/>
    </row>
    <row r="188" spans="1:17" ht="16.5" x14ac:dyDescent="0.2">
      <c r="A188" s="130" t="str">
        <f>CONCATENATE("Раздел: ",IF(Source!G699&lt;&gt;"Новый раздел", Source!G699, ""))</f>
        <v>Раздел: 28. Камень бортовой садовый</v>
      </c>
      <c r="B188" s="131"/>
      <c r="C188" s="131"/>
      <c r="D188" s="131"/>
      <c r="E188" s="131"/>
      <c r="F188" s="131"/>
    </row>
    <row r="189" spans="1:17" ht="14.25" x14ac:dyDescent="0.2">
      <c r="A189" s="132" t="s">
        <v>1064</v>
      </c>
      <c r="B189" s="133"/>
      <c r="C189" s="133"/>
      <c r="D189" s="133"/>
      <c r="E189" s="133"/>
      <c r="F189" s="133"/>
    </row>
    <row r="190" spans="1:17" ht="28.5" x14ac:dyDescent="0.2">
      <c r="A190" s="85" t="s">
        <v>784</v>
      </c>
      <c r="B190" s="42" t="s">
        <v>786</v>
      </c>
      <c r="C190" s="42" t="s">
        <v>652</v>
      </c>
      <c r="D190" s="43">
        <f>ROUND(SUMIF(RV_DATA!W192:'RV_DATA'!W207, -689561037, RV_DATA!I192:'RV_DATA'!I207), 6)</f>
        <v>7.1762009999999998</v>
      </c>
      <c r="E190" s="72">
        <f>ROUND(RV_DATA!N192, 6)</f>
        <v>577.04</v>
      </c>
      <c r="F190" s="72">
        <f>ROUND(SUMIF(RV_DATA!W192:'RV_DATA'!W207, -689561037, RV_DATA!O192:'RV_DATA'!O207), 6)</f>
        <v>3956.02</v>
      </c>
      <c r="Q190">
        <v>2</v>
      </c>
    </row>
    <row r="191" spans="1:17" ht="28.5" x14ac:dyDescent="0.2">
      <c r="A191" s="85" t="s">
        <v>680</v>
      </c>
      <c r="B191" s="42" t="s">
        <v>682</v>
      </c>
      <c r="C191" s="42" t="s">
        <v>652</v>
      </c>
      <c r="D191" s="43">
        <f>ROUND(SUMIF(RV_DATA!W192:'RV_DATA'!W207, 1752455861, RV_DATA!I192:'RV_DATA'!I207), 6)</f>
        <v>1.7654000000000001</v>
      </c>
      <c r="E191" s="72">
        <f>ROUND(RV_DATA!N206, 6)</f>
        <v>755.14</v>
      </c>
      <c r="F191" s="72">
        <f>ROUND(SUMIF(RV_DATA!W192:'RV_DATA'!W207, 1752455861, RV_DATA!O192:'RV_DATA'!O207), 6)</f>
        <v>1272.8800000000001</v>
      </c>
      <c r="Q191">
        <v>2</v>
      </c>
    </row>
    <row r="192" spans="1:17" ht="28.5" x14ac:dyDescent="0.2">
      <c r="A192" s="85" t="s">
        <v>683</v>
      </c>
      <c r="B192" s="42" t="s">
        <v>685</v>
      </c>
      <c r="C192" s="42" t="s">
        <v>652</v>
      </c>
      <c r="D192" s="43">
        <f>ROUND(SUMIF(RV_DATA!W192:'RV_DATA'!W207, -902618053, RV_DATA!I192:'RV_DATA'!I207), 6)</f>
        <v>0.41865200000000002</v>
      </c>
      <c r="E192" s="72">
        <f>ROUND(RV_DATA!N198, 6)</f>
        <v>1261.78</v>
      </c>
      <c r="F192" s="72">
        <f>ROUND(SUMIF(RV_DATA!W192:'RV_DATA'!W207, -902618053, RV_DATA!O192:'RV_DATA'!O207), 6)</f>
        <v>504.54</v>
      </c>
      <c r="Q192">
        <v>2</v>
      </c>
    </row>
    <row r="193" spans="1:17" ht="28.5" x14ac:dyDescent="0.2">
      <c r="A193" s="85" t="s">
        <v>729</v>
      </c>
      <c r="B193" s="42" t="s">
        <v>731</v>
      </c>
      <c r="C193" s="42" t="s">
        <v>652</v>
      </c>
      <c r="D193" s="43">
        <f>ROUND(SUMIF(RV_DATA!W192:'RV_DATA'!W207, -213384332, RV_DATA!I192:'RV_DATA'!I207), 6)</f>
        <v>1.7654000000000001</v>
      </c>
      <c r="E193" s="72">
        <f>ROUND(RV_DATA!N205, 6)</f>
        <v>1655.2</v>
      </c>
      <c r="F193" s="72">
        <f>ROUND(SUMIF(RV_DATA!W192:'RV_DATA'!W207, -213384332, RV_DATA!O192:'RV_DATA'!O207), 6)</f>
        <v>2790.9</v>
      </c>
      <c r="Q193">
        <v>2</v>
      </c>
    </row>
    <row r="194" spans="1:17" ht="28.5" x14ac:dyDescent="0.2">
      <c r="A194" s="85" t="s">
        <v>754</v>
      </c>
      <c r="B194" s="42" t="s">
        <v>756</v>
      </c>
      <c r="C194" s="42" t="s">
        <v>652</v>
      </c>
      <c r="D194" s="43">
        <f>ROUND(SUMIF(RV_DATA!W192:'RV_DATA'!W207, -788593992, RV_DATA!I192:'RV_DATA'!I207), 6)</f>
        <v>2.7742</v>
      </c>
      <c r="E194" s="72">
        <f>ROUND(RV_DATA!N204, 6)</f>
        <v>742.91</v>
      </c>
      <c r="F194" s="72">
        <f>ROUND(SUMIF(RV_DATA!W192:'RV_DATA'!W207, -788593992, RV_DATA!O192:'RV_DATA'!O207), 6)</f>
        <v>1968.46</v>
      </c>
      <c r="Q194">
        <v>2</v>
      </c>
    </row>
    <row r="195" spans="1:17" ht="28.5" x14ac:dyDescent="0.2">
      <c r="A195" s="85" t="s">
        <v>723</v>
      </c>
      <c r="B195" s="42" t="s">
        <v>725</v>
      </c>
      <c r="C195" s="42" t="s">
        <v>652</v>
      </c>
      <c r="D195" s="43">
        <f>ROUND(SUMIF(RV_DATA!W192:'RV_DATA'!W207, 439731329, RV_DATA!I192:'RV_DATA'!I207), 6)</f>
        <v>0.41865200000000002</v>
      </c>
      <c r="E195" s="72">
        <f>ROUND(RV_DATA!N197, 6)</f>
        <v>445.02</v>
      </c>
      <c r="F195" s="72">
        <f>ROUND(SUMIF(RV_DATA!W192:'RV_DATA'!W207, 439731329, RV_DATA!O192:'RV_DATA'!O207), 6)</f>
        <v>177.95</v>
      </c>
      <c r="Q195">
        <v>2</v>
      </c>
    </row>
    <row r="196" spans="1:17" ht="28.5" x14ac:dyDescent="0.2">
      <c r="A196" s="85" t="s">
        <v>686</v>
      </c>
      <c r="B196" s="42" t="s">
        <v>727</v>
      </c>
      <c r="C196" s="42" t="s">
        <v>652</v>
      </c>
      <c r="D196" s="43">
        <f>ROUND(SUMIF(RV_DATA!W192:'RV_DATA'!W207, 368907495, RV_DATA!I192:'RV_DATA'!I207), 6)</f>
        <v>0.16392999999999999</v>
      </c>
      <c r="E196" s="72">
        <f>ROUND(RV_DATA!N196, 6)</f>
        <v>1162.78</v>
      </c>
      <c r="F196" s="72">
        <f>ROUND(SUMIF(RV_DATA!W192:'RV_DATA'!W207, 368907495, RV_DATA!O192:'RV_DATA'!O207), 6)</f>
        <v>182.06</v>
      </c>
      <c r="Q196">
        <v>2</v>
      </c>
    </row>
    <row r="197" spans="1:17" ht="28.5" x14ac:dyDescent="0.2">
      <c r="A197" s="85" t="s">
        <v>671</v>
      </c>
      <c r="B197" s="42" t="s">
        <v>673</v>
      </c>
      <c r="C197" s="42" t="s">
        <v>652</v>
      </c>
      <c r="D197" s="43">
        <f>ROUND(SUMIF(RV_DATA!W192:'RV_DATA'!W207, 559728352, RV_DATA!I192:'RV_DATA'!I207), 6)</f>
        <v>0.39090999999999998</v>
      </c>
      <c r="E197" s="72">
        <f>ROUND(RV_DATA!N195, 6)</f>
        <v>1539.38</v>
      </c>
      <c r="F197" s="72">
        <f>ROUND(SUMIF(RV_DATA!W192:'RV_DATA'!W207, 559728352, RV_DATA!O192:'RV_DATA'!O207), 6)</f>
        <v>574.74</v>
      </c>
      <c r="Q197">
        <v>2</v>
      </c>
    </row>
    <row r="198" spans="1:17" ht="28.5" x14ac:dyDescent="0.2">
      <c r="A198" s="85" t="s">
        <v>713</v>
      </c>
      <c r="B198" s="42" t="s">
        <v>715</v>
      </c>
      <c r="C198" s="42" t="s">
        <v>652</v>
      </c>
      <c r="D198" s="43">
        <f>ROUND(SUMIF(RV_DATA!W192:'RV_DATA'!W207, 2049417949, RV_DATA!I192:'RV_DATA'!I207), 6)</f>
        <v>0.13114400000000001</v>
      </c>
      <c r="E198" s="72">
        <f>ROUND(RV_DATA!N194, 6)</f>
        <v>1593.61</v>
      </c>
      <c r="F198" s="72">
        <f>ROUND(SUMIF(RV_DATA!W192:'RV_DATA'!W207, 2049417949, RV_DATA!O192:'RV_DATA'!O207), 6)</f>
        <v>199.61</v>
      </c>
      <c r="Q198">
        <v>2</v>
      </c>
    </row>
    <row r="199" spans="1:17" ht="15" x14ac:dyDescent="0.25">
      <c r="A199" s="134" t="s">
        <v>1065</v>
      </c>
      <c r="B199" s="134"/>
      <c r="C199" s="134"/>
      <c r="D199" s="134"/>
      <c r="E199" s="135">
        <f>SUMIF(Q190:Q198, 2, F190:F198)</f>
        <v>11627.16</v>
      </c>
      <c r="F199" s="134"/>
    </row>
    <row r="200" spans="1:17" ht="14.25" x14ac:dyDescent="0.2">
      <c r="A200" s="132" t="s">
        <v>1066</v>
      </c>
      <c r="B200" s="133"/>
      <c r="C200" s="133"/>
      <c r="D200" s="133"/>
      <c r="E200" s="133"/>
      <c r="F200" s="133"/>
    </row>
    <row r="201" spans="1:17" ht="14.25" x14ac:dyDescent="0.2">
      <c r="A201" s="85" t="s">
        <v>467</v>
      </c>
      <c r="B201" s="42" t="s">
        <v>468</v>
      </c>
      <c r="C201" s="42" t="s">
        <v>66</v>
      </c>
      <c r="D201" s="43">
        <f>ROUND(SUMIF(RV_DATA!W192:'RV_DATA'!W207, -1977920412, RV_DATA!I192:'RV_DATA'!I207), 6)</f>
        <v>1.2609999999999999</v>
      </c>
      <c r="E201" s="72">
        <f>ROUND(RV_DATA!N193, 6)</f>
        <v>35.35</v>
      </c>
      <c r="F201" s="72">
        <f>ROUND(SUMIF(RV_DATA!W192:'RV_DATA'!W207, -1977920412, RV_DATA!O192:'RV_DATA'!O207), 6)</f>
        <v>44.49</v>
      </c>
      <c r="Q201">
        <v>3</v>
      </c>
    </row>
    <row r="202" spans="1:17" ht="14.25" x14ac:dyDescent="0.2">
      <c r="A202" s="85" t="s">
        <v>757</v>
      </c>
      <c r="B202" s="42" t="s">
        <v>759</v>
      </c>
      <c r="C202" s="42" t="s">
        <v>51</v>
      </c>
      <c r="D202" s="43">
        <f>ROUND(SUMIF(RV_DATA!W192:'RV_DATA'!W207, -1460289249, RV_DATA!I192:'RV_DATA'!I207), 6)</f>
        <v>1.261E-2</v>
      </c>
      <c r="E202" s="72">
        <f>ROUND(RV_DATA!N203, 6)</f>
        <v>52258.75</v>
      </c>
      <c r="F202" s="72">
        <f>ROUND(SUMIF(RV_DATA!W192:'RV_DATA'!W207, -1460289249, RV_DATA!O192:'RV_DATA'!O207), 6)</f>
        <v>639.65</v>
      </c>
      <c r="Q202">
        <v>3</v>
      </c>
    </row>
    <row r="203" spans="1:17" ht="28.5" x14ac:dyDescent="0.2">
      <c r="A203" s="85" t="s">
        <v>760</v>
      </c>
      <c r="B203" s="42" t="s">
        <v>762</v>
      </c>
      <c r="C203" s="42" t="s">
        <v>66</v>
      </c>
      <c r="D203" s="43">
        <f>ROUND(SUMIF(RV_DATA!W192:'RV_DATA'!W207, 2084027107, RV_DATA!I192:'RV_DATA'!I207), 6)</f>
        <v>2.1436999999999999</v>
      </c>
      <c r="E203" s="72">
        <f>ROUND(RV_DATA!N202, 6)</f>
        <v>3126.47</v>
      </c>
      <c r="F203" s="72">
        <f>ROUND(SUMIF(RV_DATA!W192:'RV_DATA'!W207, 2084027107, RV_DATA!O192:'RV_DATA'!O207), 6)</f>
        <v>6507.11</v>
      </c>
      <c r="Q203">
        <v>3</v>
      </c>
    </row>
    <row r="204" spans="1:17" ht="28.5" x14ac:dyDescent="0.2">
      <c r="A204" s="85" t="s">
        <v>190</v>
      </c>
      <c r="B204" s="42" t="s">
        <v>191</v>
      </c>
      <c r="C204" s="42" t="s">
        <v>66</v>
      </c>
      <c r="D204" s="43">
        <f>ROUND(SUMIF(RV_DATA!W192:'RV_DATA'!W207, 1615926593, RV_DATA!I192:'RV_DATA'!I207), 6)</f>
        <v>27.742000000000001</v>
      </c>
      <c r="E204" s="72">
        <f>ROUND(RV_DATA!N199, 6)</f>
        <v>552.24739999999997</v>
      </c>
      <c r="F204" s="72">
        <f>ROUND(SUMIF(RV_DATA!W192:'RV_DATA'!W207, 1615926593, RV_DATA!O192:'RV_DATA'!O207), 6)</f>
        <v>15320.45</v>
      </c>
      <c r="Q204">
        <v>3</v>
      </c>
    </row>
    <row r="205" spans="1:17" ht="57" x14ac:dyDescent="0.2">
      <c r="A205" s="85" t="s">
        <v>732</v>
      </c>
      <c r="B205" s="42" t="s">
        <v>734</v>
      </c>
      <c r="C205" s="42" t="s">
        <v>66</v>
      </c>
      <c r="D205" s="43">
        <f>ROUND(SUMIF(RV_DATA!W192:'RV_DATA'!W207, 59352439, RV_DATA!I192:'RV_DATA'!I207), 6)</f>
        <v>60.527999999999999</v>
      </c>
      <c r="E205" s="72">
        <f>ROUND(RV_DATA!N201, 6)</f>
        <v>4334.4399999999996</v>
      </c>
      <c r="F205" s="72">
        <f>ROUND(SUMIF(RV_DATA!W192:'RV_DATA'!W207, 59352439, RV_DATA!O192:'RV_DATA'!O207), 6)</f>
        <v>254713.37</v>
      </c>
      <c r="Q205">
        <v>3</v>
      </c>
    </row>
    <row r="206" spans="1:17" ht="14.25" x14ac:dyDescent="0.2">
      <c r="A206" s="85" t="s">
        <v>735</v>
      </c>
      <c r="B206" s="42" t="s">
        <v>737</v>
      </c>
      <c r="C206" s="42" t="s">
        <v>66</v>
      </c>
      <c r="D206" s="43">
        <f>ROUND(SUMIF(RV_DATA!W192:'RV_DATA'!W207, -1170584268, RV_DATA!I192:'RV_DATA'!I207), 6)</f>
        <v>0.25219999999999998</v>
      </c>
      <c r="E206" s="72">
        <f>ROUND(RV_DATA!N200, 6)</f>
        <v>3406.06</v>
      </c>
      <c r="F206" s="72">
        <f>ROUND(SUMIF(RV_DATA!W192:'RV_DATA'!W207, -1170584268, RV_DATA!O192:'RV_DATA'!O207), 6)</f>
        <v>833.73</v>
      </c>
      <c r="Q206">
        <v>3</v>
      </c>
    </row>
    <row r="207" spans="1:17" ht="28.5" x14ac:dyDescent="0.2">
      <c r="A207" s="85" t="s">
        <v>255</v>
      </c>
      <c r="B207" s="42" t="s">
        <v>256</v>
      </c>
      <c r="C207" s="42" t="s">
        <v>66</v>
      </c>
      <c r="D207" s="43">
        <f>ROUND(SUMIF(RV_DATA!W192:'RV_DATA'!W207, 1405395105, RV_DATA!I192:'RV_DATA'!I207), 6)</f>
        <v>20.175999999999998</v>
      </c>
      <c r="E207" s="72">
        <f>ROUND(RV_DATA!N207, 6)</f>
        <v>8516.9847000000009</v>
      </c>
      <c r="F207" s="72">
        <f>ROUND(SUMIF(RV_DATA!W192:'RV_DATA'!W207, 1405395105, RV_DATA!O192:'RV_DATA'!O207), 6)</f>
        <v>171838.68</v>
      </c>
      <c r="Q207">
        <v>3</v>
      </c>
    </row>
    <row r="208" spans="1:17" ht="15" x14ac:dyDescent="0.25">
      <c r="A208" s="134" t="s">
        <v>1067</v>
      </c>
      <c r="B208" s="134"/>
      <c r="C208" s="134"/>
      <c r="D208" s="134"/>
      <c r="E208" s="135">
        <f>SUMIF(Q201:Q207, 3, F201:F207)</f>
        <v>449897.48</v>
      </c>
      <c r="F208" s="134"/>
    </row>
    <row r="209" spans="1:17" ht="16.5" x14ac:dyDescent="0.2">
      <c r="A209" s="130" t="str">
        <f>CONCATENATE("Раздел: ",IF(Source!G778&lt;&gt;"Новый раздел", Source!G778, ""))</f>
        <v>Раздел: 30.2. Окраска подпорной стенки по штукатурке с расчисткой</v>
      </c>
      <c r="B209" s="131"/>
      <c r="C209" s="131"/>
      <c r="D209" s="131"/>
      <c r="E209" s="131"/>
      <c r="F209" s="131"/>
    </row>
    <row r="210" spans="1:17" ht="14.25" x14ac:dyDescent="0.2">
      <c r="A210" s="132" t="s">
        <v>1064</v>
      </c>
      <c r="B210" s="133"/>
      <c r="C210" s="133"/>
      <c r="D210" s="133"/>
      <c r="E210" s="133"/>
      <c r="F210" s="133"/>
    </row>
    <row r="211" spans="1:17" ht="28.5" x14ac:dyDescent="0.2">
      <c r="A211" s="85" t="s">
        <v>680</v>
      </c>
      <c r="B211" s="42" t="s">
        <v>682</v>
      </c>
      <c r="C211" s="42" t="s">
        <v>652</v>
      </c>
      <c r="D211" s="43">
        <f>ROUND(SUMIF(RV_DATA!W210:'RV_DATA'!W225, 1752455861, RV_DATA!I210:'RV_DATA'!I225), 6)</f>
        <v>0.22</v>
      </c>
      <c r="E211" s="72">
        <f>ROUND(RV_DATA!N224, 6)</f>
        <v>755.14</v>
      </c>
      <c r="F211" s="72">
        <f>ROUND(SUMIF(RV_DATA!W210:'RV_DATA'!W225, 1752455861, RV_DATA!O210:'RV_DATA'!O225), 6)</f>
        <v>158.69</v>
      </c>
      <c r="Q211">
        <v>2</v>
      </c>
    </row>
    <row r="212" spans="1:17" ht="28.5" x14ac:dyDescent="0.2">
      <c r="A212" s="85" t="s">
        <v>792</v>
      </c>
      <c r="B212" s="42" t="s">
        <v>794</v>
      </c>
      <c r="C212" s="42" t="s">
        <v>652</v>
      </c>
      <c r="D212" s="43">
        <f>ROUND(SUMIF(RV_DATA!W210:'RV_DATA'!W225, 644248027, RV_DATA!I210:'RV_DATA'!I225), 6)</f>
        <v>0.42</v>
      </c>
      <c r="E212" s="72">
        <f>ROUND(RV_DATA!N223, 6)</f>
        <v>20.5</v>
      </c>
      <c r="F212" s="72">
        <f>ROUND(SUMIF(RV_DATA!W210:'RV_DATA'!W225, 644248027, RV_DATA!O210:'RV_DATA'!O225), 6)</f>
        <v>8.26</v>
      </c>
      <c r="Q212">
        <v>2</v>
      </c>
    </row>
    <row r="213" spans="1:17" ht="28.5" x14ac:dyDescent="0.2">
      <c r="A213" s="85" t="s">
        <v>789</v>
      </c>
      <c r="B213" s="42" t="s">
        <v>791</v>
      </c>
      <c r="C213" s="42" t="s">
        <v>652</v>
      </c>
      <c r="D213" s="43">
        <f>ROUND(SUMIF(RV_DATA!W210:'RV_DATA'!W225, 14036318, RV_DATA!I210:'RV_DATA'!I225), 6)</f>
        <v>0.72</v>
      </c>
      <c r="E213" s="72">
        <f>ROUND(RV_DATA!N214, 6)</f>
        <v>655.48</v>
      </c>
      <c r="F213" s="72">
        <f>ROUND(SUMIF(RV_DATA!W210:'RV_DATA'!W225, 14036318, RV_DATA!O210:'RV_DATA'!O225), 6)</f>
        <v>450.75</v>
      </c>
      <c r="Q213">
        <v>2</v>
      </c>
    </row>
    <row r="214" spans="1:17" ht="14.25" x14ac:dyDescent="0.2">
      <c r="A214" s="85" t="s">
        <v>674</v>
      </c>
      <c r="B214" s="42" t="s">
        <v>675</v>
      </c>
      <c r="C214" s="42" t="s">
        <v>676</v>
      </c>
      <c r="D214" s="43">
        <f>ROUND(SUMIF(RV_DATA!W210:'RV_DATA'!W225, 54769220, RV_DATA!I210:'RV_DATA'!I225), 6)</f>
        <v>0</v>
      </c>
      <c r="E214" s="72">
        <f>ROUND(RV_DATA!N210, 6)</f>
        <v>1</v>
      </c>
      <c r="F214" s="72">
        <f>ROUND(SUMIF(RV_DATA!W210:'RV_DATA'!W225, 54769220, RV_DATA!O210:'RV_DATA'!O225), 6)</f>
        <v>0</v>
      </c>
      <c r="Q214">
        <v>2</v>
      </c>
    </row>
    <row r="215" spans="1:17" ht="14.25" x14ac:dyDescent="0.2">
      <c r="A215" s="85" t="s">
        <v>674</v>
      </c>
      <c r="B215" s="42" t="s">
        <v>675</v>
      </c>
      <c r="C215" s="42" t="s">
        <v>676</v>
      </c>
      <c r="D215" s="43">
        <f>ROUND(SUMIF(RV_DATA!W210:'RV_DATA'!W225, 1832560717, RV_DATA!I210:'RV_DATA'!I225), 6)</f>
        <v>4.9139999999999997</v>
      </c>
      <c r="E215" s="72">
        <f>ROUND(RV_DATA!N213, 6)</f>
        <v>1.05</v>
      </c>
      <c r="F215" s="72">
        <f>ROUND(SUMIF(RV_DATA!W210:'RV_DATA'!W225, 1832560717, RV_DATA!O210:'RV_DATA'!O225), 6)</f>
        <v>4.91</v>
      </c>
      <c r="Q215">
        <v>2</v>
      </c>
    </row>
    <row r="216" spans="1:17" ht="15" x14ac:dyDescent="0.25">
      <c r="A216" s="134" t="s">
        <v>1065</v>
      </c>
      <c r="B216" s="134"/>
      <c r="C216" s="134"/>
      <c r="D216" s="134"/>
      <c r="E216" s="135">
        <f>SUMIF(Q211:Q215, 2, F211:F215)</f>
        <v>622.61</v>
      </c>
      <c r="F216" s="134"/>
    </row>
    <row r="217" spans="1:17" ht="14.25" x14ac:dyDescent="0.2">
      <c r="A217" s="132" t="s">
        <v>1066</v>
      </c>
      <c r="B217" s="133"/>
      <c r="C217" s="133"/>
      <c r="D217" s="133"/>
      <c r="E217" s="133"/>
      <c r="F217" s="133"/>
    </row>
    <row r="218" spans="1:17" ht="14.25" x14ac:dyDescent="0.2">
      <c r="A218" s="85" t="s">
        <v>795</v>
      </c>
      <c r="B218" s="42" t="s">
        <v>797</v>
      </c>
      <c r="C218" s="42" t="s">
        <v>300</v>
      </c>
      <c r="D218" s="43">
        <f>ROUND(SUMIF(RV_DATA!W210:'RV_DATA'!W225, -1693555147, RV_DATA!I210:'RV_DATA'!I225), 6)</f>
        <v>0.82</v>
      </c>
      <c r="E218" s="72">
        <f>ROUND(RV_DATA!N222, 6)</f>
        <v>51</v>
      </c>
      <c r="F218" s="72">
        <f>ROUND(SUMIF(RV_DATA!W210:'RV_DATA'!W225, -1693555147, RV_DATA!O210:'RV_DATA'!O225), 6)</f>
        <v>41.69</v>
      </c>
      <c r="Q218">
        <v>3</v>
      </c>
    </row>
    <row r="219" spans="1:17" ht="14.25" x14ac:dyDescent="0.2">
      <c r="A219" s="85" t="s">
        <v>467</v>
      </c>
      <c r="B219" s="42" t="s">
        <v>468</v>
      </c>
      <c r="C219" s="42" t="s">
        <v>66</v>
      </c>
      <c r="D219" s="43">
        <f>ROUND(SUMIF(RV_DATA!W210:'RV_DATA'!W225, 639826957, RV_DATA!I210:'RV_DATA'!I225), 6)</f>
        <v>3.1752000000000002E-2</v>
      </c>
      <c r="E219" s="72">
        <f>ROUND(RV_DATA!N215, 6)</f>
        <v>35.279299999999999</v>
      </c>
      <c r="F219" s="72">
        <f>ROUND(SUMIF(RV_DATA!W210:'RV_DATA'!W225, 639826957, RV_DATA!O210:'RV_DATA'!O225), 6)</f>
        <v>1.1200000000000001</v>
      </c>
      <c r="Q219">
        <v>3</v>
      </c>
    </row>
    <row r="220" spans="1:17" ht="28.5" x14ac:dyDescent="0.2">
      <c r="A220" s="85" t="s">
        <v>798</v>
      </c>
      <c r="B220" s="42" t="s">
        <v>800</v>
      </c>
      <c r="C220" s="42" t="s">
        <v>51</v>
      </c>
      <c r="D220" s="43">
        <f>ROUND(SUMIF(RV_DATA!W210:'RV_DATA'!W225, -1499963125, RV_DATA!I210:'RV_DATA'!I225), 6)</f>
        <v>2.4E-2</v>
      </c>
      <c r="E220" s="72">
        <f>ROUND(RV_DATA!N221, 6)</f>
        <v>107405.83</v>
      </c>
      <c r="F220" s="72">
        <f>ROUND(SUMIF(RV_DATA!W210:'RV_DATA'!W225, -1499963125, RV_DATA!O210:'RV_DATA'!O225), 6)</f>
        <v>2569.9699999999998</v>
      </c>
      <c r="Q220">
        <v>3</v>
      </c>
    </row>
    <row r="221" spans="1:17" ht="14.25" x14ac:dyDescent="0.2">
      <c r="A221" s="85" t="s">
        <v>801</v>
      </c>
      <c r="B221" s="42" t="s">
        <v>803</v>
      </c>
      <c r="C221" s="42" t="s">
        <v>51</v>
      </c>
      <c r="D221" s="43">
        <f>ROUND(SUMIF(RV_DATA!W210:'RV_DATA'!W225, -1237673601, RV_DATA!I210:'RV_DATA'!I225), 6)</f>
        <v>0.03</v>
      </c>
      <c r="E221" s="72">
        <f>ROUND(RV_DATA!N220, 6)</f>
        <v>98764.12</v>
      </c>
      <c r="F221" s="72">
        <f>ROUND(SUMIF(RV_DATA!W210:'RV_DATA'!W225, -1237673601, RV_DATA!O210:'RV_DATA'!O225), 6)</f>
        <v>2954.1</v>
      </c>
      <c r="Q221">
        <v>3</v>
      </c>
    </row>
    <row r="222" spans="1:17" ht="28.5" x14ac:dyDescent="0.2">
      <c r="A222" s="85" t="s">
        <v>486</v>
      </c>
      <c r="B222" s="42" t="s">
        <v>487</v>
      </c>
      <c r="C222" s="42" t="s">
        <v>51</v>
      </c>
      <c r="D222" s="43">
        <f>ROUND(SUMIF(RV_DATA!W210:'RV_DATA'!W225, 1964103796, RV_DATA!I210:'RV_DATA'!I225), 6)</f>
        <v>0.11799999999999999</v>
      </c>
      <c r="E222" s="72">
        <f>ROUND(RV_DATA!N225, 6)</f>
        <v>85532.884000000005</v>
      </c>
      <c r="F222" s="72">
        <f>ROUND(SUMIF(RV_DATA!W210:'RV_DATA'!W225, 1964103796, RV_DATA!O210:'RV_DATA'!O225), 6)</f>
        <v>10092.879999999999</v>
      </c>
      <c r="Q222">
        <v>3</v>
      </c>
    </row>
    <row r="223" spans="1:17" ht="14.25" x14ac:dyDescent="0.2">
      <c r="A223" s="85" t="s">
        <v>804</v>
      </c>
      <c r="B223" s="42" t="s">
        <v>806</v>
      </c>
      <c r="C223" s="42" t="s">
        <v>51</v>
      </c>
      <c r="D223" s="43">
        <f>ROUND(SUMIF(RV_DATA!W210:'RV_DATA'!W225, 1413420176, RV_DATA!I210:'RV_DATA'!I225), 6)</f>
        <v>4.8000000000000001E-4</v>
      </c>
      <c r="E223" s="72">
        <f>ROUND(RV_DATA!N219, 6)</f>
        <v>1826.94</v>
      </c>
      <c r="F223" s="72">
        <f>ROUND(SUMIF(RV_DATA!W210:'RV_DATA'!W225, 1413420176, RV_DATA!O210:'RV_DATA'!O225), 6)</f>
        <v>0.83</v>
      </c>
      <c r="Q223">
        <v>3</v>
      </c>
    </row>
    <row r="224" spans="1:17" ht="14.25" x14ac:dyDescent="0.2">
      <c r="A224" s="85" t="s">
        <v>807</v>
      </c>
      <c r="B224" s="42" t="s">
        <v>809</v>
      </c>
      <c r="C224" s="42" t="s">
        <v>51</v>
      </c>
      <c r="D224" s="43">
        <f>ROUND(SUMIF(RV_DATA!W210:'RV_DATA'!W225, 1773437602, RV_DATA!I210:'RV_DATA'!I225), 6)</f>
        <v>0.02</v>
      </c>
      <c r="E224" s="72">
        <f>ROUND(RV_DATA!N218, 6)</f>
        <v>38849.29</v>
      </c>
      <c r="F224" s="72">
        <f>ROUND(SUMIF(RV_DATA!W210:'RV_DATA'!W225, 1773437602, RV_DATA!O210:'RV_DATA'!O225), 6)</f>
        <v>774.66</v>
      </c>
      <c r="Q224">
        <v>3</v>
      </c>
    </row>
    <row r="225" spans="1:17" ht="28.5" x14ac:dyDescent="0.2">
      <c r="A225" s="85" t="s">
        <v>475</v>
      </c>
      <c r="B225" s="42" t="s">
        <v>476</v>
      </c>
      <c r="C225" s="42" t="s">
        <v>66</v>
      </c>
      <c r="D225" s="43">
        <f>ROUND(SUMIF(RV_DATA!W210:'RV_DATA'!W225, 1528165081, RV_DATA!I210:'RV_DATA'!I225), 6)</f>
        <v>0.4536</v>
      </c>
      <c r="E225" s="72">
        <f>ROUND(RV_DATA!N217, 6)</f>
        <v>3222.5061000000001</v>
      </c>
      <c r="F225" s="72">
        <f>ROUND(SUMIF(RV_DATA!W210:'RV_DATA'!W225, 1528165081, RV_DATA!O210:'RV_DATA'!O225), 6)</f>
        <v>1461.73</v>
      </c>
      <c r="Q225">
        <v>3</v>
      </c>
    </row>
    <row r="226" spans="1:17" ht="71.25" x14ac:dyDescent="0.2">
      <c r="A226" s="85" t="s">
        <v>471</v>
      </c>
      <c r="B226" s="42" t="s">
        <v>472</v>
      </c>
      <c r="C226" s="42" t="s">
        <v>51</v>
      </c>
      <c r="D226" s="43">
        <f>ROUND(SUMIF(RV_DATA!W210:'RV_DATA'!W225, -160088777, RV_DATA!I210:'RV_DATA'!I225), 6)</f>
        <v>0.18143999999999999</v>
      </c>
      <c r="E226" s="72">
        <f>ROUND(RV_DATA!N216, 6)</f>
        <v>4939.9120000000003</v>
      </c>
      <c r="F226" s="72">
        <f>ROUND(SUMIF(RV_DATA!W210:'RV_DATA'!W225, -160088777, RV_DATA!O210:'RV_DATA'!O225), 6)</f>
        <v>896.3</v>
      </c>
      <c r="Q226">
        <v>3</v>
      </c>
    </row>
    <row r="227" spans="1:17" ht="14.25" x14ac:dyDescent="0.2">
      <c r="A227" s="85" t="s">
        <v>738</v>
      </c>
      <c r="B227" s="42" t="s">
        <v>739</v>
      </c>
      <c r="C227" s="42" t="s">
        <v>676</v>
      </c>
      <c r="D227" s="43">
        <f>ROUND(SUMIF(RV_DATA!W210:'RV_DATA'!W225, -1341645062, RV_DATA!I210:'RV_DATA'!I225), 6)</f>
        <v>0.42299999999999999</v>
      </c>
      <c r="E227" s="72">
        <f>ROUND(RV_DATA!N212, 6)</f>
        <v>1</v>
      </c>
      <c r="F227" s="72">
        <f>ROUND(SUMIF(RV_DATA!W210:'RV_DATA'!W225, -1341645062, RV_DATA!O210:'RV_DATA'!O225), 6)</f>
        <v>0.42</v>
      </c>
      <c r="Q227">
        <v>3</v>
      </c>
    </row>
    <row r="228" spans="1:17" ht="15" x14ac:dyDescent="0.25">
      <c r="A228" s="134" t="s">
        <v>1067</v>
      </c>
      <c r="B228" s="134"/>
      <c r="C228" s="134"/>
      <c r="D228" s="134"/>
      <c r="E228" s="135">
        <f>SUMIF(Q218:Q227, 3, F218:F227)</f>
        <v>18793.699999999997</v>
      </c>
      <c r="F228" s="134"/>
    </row>
    <row r="229" spans="1:17" ht="16.5" x14ac:dyDescent="0.2">
      <c r="A229" s="130" t="str">
        <f>CONCATENATE("Раздел: ",IF(Source!G859&lt;&gt;"Новый раздел", Source!G859, ""))</f>
        <v>Раздел: 31.5. Накрывные элементы на подпорные стены (природный камень)</v>
      </c>
      <c r="B229" s="131"/>
      <c r="C229" s="131"/>
      <c r="D229" s="131"/>
      <c r="E229" s="131"/>
      <c r="F229" s="131"/>
      <c r="O229" s="84" t="s">
        <v>1072</v>
      </c>
    </row>
    <row r="230" spans="1:17" ht="14.25" x14ac:dyDescent="0.2">
      <c r="A230" s="132" t="s">
        <v>1064</v>
      </c>
      <c r="B230" s="133"/>
      <c r="C230" s="133"/>
      <c r="D230" s="133"/>
      <c r="E230" s="133"/>
      <c r="F230" s="133"/>
    </row>
    <row r="231" spans="1:17" ht="14.25" x14ac:dyDescent="0.2">
      <c r="A231" s="85" t="s">
        <v>674</v>
      </c>
      <c r="B231" s="42" t="s">
        <v>675</v>
      </c>
      <c r="C231" s="42" t="s">
        <v>676</v>
      </c>
      <c r="D231" s="43">
        <f>ROUND(SUMIF(RV_DATA!W228:'RV_DATA'!W231, 1832560717, RV_DATA!I228:'RV_DATA'!I231), 6)</f>
        <v>91.447999999999993</v>
      </c>
      <c r="E231" s="72">
        <f>ROUND(RV_DATA!N230, 6)</f>
        <v>1.05</v>
      </c>
      <c r="F231" s="72">
        <f>ROUND(SUMIF(RV_DATA!W228:'RV_DATA'!W231, 1832560717, RV_DATA!O228:'RV_DATA'!O231), 6)</f>
        <v>91.45</v>
      </c>
      <c r="Q231">
        <v>2</v>
      </c>
    </row>
    <row r="232" spans="1:17" ht="15" x14ac:dyDescent="0.25">
      <c r="A232" s="134" t="s">
        <v>1065</v>
      </c>
      <c r="B232" s="134"/>
      <c r="C232" s="134"/>
      <c r="D232" s="134"/>
      <c r="E232" s="135">
        <f>SUMIF(Q231:Q231, 2, F231:F231)</f>
        <v>91.45</v>
      </c>
      <c r="F232" s="134"/>
    </row>
    <row r="233" spans="1:17" ht="14.25" x14ac:dyDescent="0.2">
      <c r="A233" s="132" t="s">
        <v>1066</v>
      </c>
      <c r="B233" s="133"/>
      <c r="C233" s="133"/>
      <c r="D233" s="133"/>
      <c r="E233" s="133"/>
      <c r="F233" s="133"/>
    </row>
    <row r="234" spans="1:17" ht="42.75" x14ac:dyDescent="0.2">
      <c r="A234" s="85" t="s">
        <v>498</v>
      </c>
      <c r="B234" s="42" t="s">
        <v>499</v>
      </c>
      <c r="C234" s="42" t="s">
        <v>411</v>
      </c>
      <c r="D234" s="43">
        <f>ROUND(SUMIF(RV_DATA!W228:'RV_DATA'!W231, 1396751574, RV_DATA!I228:'RV_DATA'!I231), 6)</f>
        <v>40</v>
      </c>
      <c r="E234" s="72">
        <f>ROUND(RV_DATA!N231, 6)</f>
        <v>4198.2024000000001</v>
      </c>
      <c r="F234" s="72">
        <f>ROUND(SUMIF(RV_DATA!W228:'RV_DATA'!W231, 1396751574, RV_DATA!O228:'RV_DATA'!O231), 6)</f>
        <v>167928.1</v>
      </c>
      <c r="Q234">
        <v>3</v>
      </c>
    </row>
    <row r="235" spans="1:17" ht="14.25" x14ac:dyDescent="0.2">
      <c r="A235" s="85" t="s">
        <v>810</v>
      </c>
      <c r="B235" s="42" t="s">
        <v>812</v>
      </c>
      <c r="C235" s="42" t="s">
        <v>66</v>
      </c>
      <c r="D235" s="43">
        <f>ROUND(SUMIF(RV_DATA!W228:'RV_DATA'!W231, 115370701, RV_DATA!I228:'RV_DATA'!I231), 6)</f>
        <v>0.84399999999999997</v>
      </c>
      <c r="E235" s="72">
        <f>ROUND(RV_DATA!N229, 6)</f>
        <v>3410.2</v>
      </c>
      <c r="F235" s="72">
        <f>ROUND(SUMIF(RV_DATA!W228:'RV_DATA'!W231, 115370701, RV_DATA!O228:'RV_DATA'!O231), 6)</f>
        <v>2878.22</v>
      </c>
      <c r="Q235">
        <v>3</v>
      </c>
    </row>
    <row r="236" spans="1:17" ht="14.25" x14ac:dyDescent="0.2">
      <c r="A236" s="85" t="s">
        <v>738</v>
      </c>
      <c r="B236" s="42" t="s">
        <v>739</v>
      </c>
      <c r="C236" s="42" t="s">
        <v>676</v>
      </c>
      <c r="D236" s="43">
        <f>ROUND(SUMIF(RV_DATA!W228:'RV_DATA'!W231, -1341645062, RV_DATA!I228:'RV_DATA'!I231), 6)</f>
        <v>2.2679999999999998</v>
      </c>
      <c r="E236" s="72">
        <f>ROUND(RV_DATA!N228, 6)</f>
        <v>1</v>
      </c>
      <c r="F236" s="72">
        <f>ROUND(SUMIF(RV_DATA!W228:'RV_DATA'!W231, -1341645062, RV_DATA!O228:'RV_DATA'!O231), 6)</f>
        <v>2.27</v>
      </c>
      <c r="Q236">
        <v>3</v>
      </c>
    </row>
    <row r="237" spans="1:17" ht="15" x14ac:dyDescent="0.25">
      <c r="A237" s="134" t="s">
        <v>1067</v>
      </c>
      <c r="B237" s="134"/>
      <c r="C237" s="134"/>
      <c r="D237" s="134"/>
      <c r="E237" s="135">
        <f>SUMIF(Q234:Q236, 3, F234:F236)</f>
        <v>170808.59</v>
      </c>
      <c r="F237" s="134"/>
    </row>
    <row r="238" spans="1:17" ht="16.5" x14ac:dyDescent="0.2">
      <c r="A238" s="130" t="str">
        <f>CONCATENATE("Раздел: ",IF(Source!G999&lt;&gt;"Новый раздел", Source!G999, ""))</f>
        <v>Раздел: 36. Установка ограждения детской площадки 1,2 м</v>
      </c>
      <c r="B238" s="131"/>
      <c r="C238" s="131"/>
      <c r="D238" s="131"/>
      <c r="E238" s="131"/>
      <c r="F238" s="131"/>
    </row>
    <row r="239" spans="1:17" ht="14.25" x14ac:dyDescent="0.2">
      <c r="A239" s="132" t="s">
        <v>1064</v>
      </c>
      <c r="B239" s="133"/>
      <c r="C239" s="133"/>
      <c r="D239" s="133"/>
      <c r="E239" s="133"/>
      <c r="F239" s="133"/>
    </row>
    <row r="240" spans="1:17" ht="28.5" x14ac:dyDescent="0.2">
      <c r="A240" s="85" t="s">
        <v>840</v>
      </c>
      <c r="B240" s="42" t="s">
        <v>842</v>
      </c>
      <c r="C240" s="42" t="s">
        <v>652</v>
      </c>
      <c r="D240" s="43">
        <f>ROUND(SUMIF(RV_DATA!W236:'RV_DATA'!W265, 1674436797, RV_DATA!I236:'RV_DATA'!I265), 6)</f>
        <v>10.281601999999999</v>
      </c>
      <c r="E240" s="72">
        <f>ROUND(RV_DATA!N260, 6)</f>
        <v>111.89</v>
      </c>
      <c r="F240" s="72">
        <f>ROUND(SUMIF(RV_DATA!W236:'RV_DATA'!W265, 1674436797, RV_DATA!O236:'RV_DATA'!O265), 6)</f>
        <v>1098.83</v>
      </c>
      <c r="Q240">
        <v>2</v>
      </c>
    </row>
    <row r="241" spans="1:17" ht="14.25" x14ac:dyDescent="0.2">
      <c r="A241" s="85" t="s">
        <v>813</v>
      </c>
      <c r="B241" s="42" t="s">
        <v>815</v>
      </c>
      <c r="C241" s="42" t="s">
        <v>652</v>
      </c>
      <c r="D241" s="43">
        <f>ROUND(SUMIF(RV_DATA!W236:'RV_DATA'!W265, -1413904308, RV_DATA!I236:'RV_DATA'!I265), 6)</f>
        <v>72.647400000000005</v>
      </c>
      <c r="E241" s="72">
        <f>ROUND(RV_DATA!N240, 6)</f>
        <v>351.7</v>
      </c>
      <c r="F241" s="72">
        <f>ROUND(SUMIF(RV_DATA!W236:'RV_DATA'!W265, -1413904308, RV_DATA!O236:'RV_DATA'!O265), 6)</f>
        <v>24417.86</v>
      </c>
      <c r="Q241">
        <v>2</v>
      </c>
    </row>
    <row r="242" spans="1:17" ht="14.25" x14ac:dyDescent="0.2">
      <c r="A242" s="85" t="s">
        <v>816</v>
      </c>
      <c r="B242" s="42" t="s">
        <v>818</v>
      </c>
      <c r="C242" s="42" t="s">
        <v>652</v>
      </c>
      <c r="D242" s="43">
        <f>ROUND(SUMIF(RV_DATA!W236:'RV_DATA'!W265, -2118093117, RV_DATA!I236:'RV_DATA'!I265), 6)</f>
        <v>1.7649999999999999</v>
      </c>
      <c r="E242" s="72">
        <f>ROUND(RV_DATA!N239, 6)</f>
        <v>6.74</v>
      </c>
      <c r="F242" s="72">
        <f>ROUND(SUMIF(RV_DATA!W236:'RV_DATA'!W265, -2118093117, RV_DATA!O236:'RV_DATA'!O265), 6)</f>
        <v>10.43</v>
      </c>
      <c r="Q242">
        <v>2</v>
      </c>
    </row>
    <row r="243" spans="1:17" ht="28.5" x14ac:dyDescent="0.2">
      <c r="A243" s="85" t="s">
        <v>680</v>
      </c>
      <c r="B243" s="42" t="s">
        <v>682</v>
      </c>
      <c r="C243" s="42" t="s">
        <v>652</v>
      </c>
      <c r="D243" s="43">
        <f>ROUND(SUMIF(RV_DATA!W236:'RV_DATA'!W265, 1752455861, RV_DATA!I236:'RV_DATA'!I265), 6)</f>
        <v>9.1789179999999995</v>
      </c>
      <c r="E243" s="72">
        <f>ROUND(RV_DATA!N245, 6)</f>
        <v>755.14</v>
      </c>
      <c r="F243" s="72">
        <f>ROUND(SUMIF(RV_DATA!W236:'RV_DATA'!W265, 1752455861, RV_DATA!O236:'RV_DATA'!O265), 6)</f>
        <v>6636.63</v>
      </c>
      <c r="Q243">
        <v>2</v>
      </c>
    </row>
    <row r="244" spans="1:17" ht="14.25" x14ac:dyDescent="0.2">
      <c r="A244" s="85" t="s">
        <v>819</v>
      </c>
      <c r="B244" s="42" t="s">
        <v>821</v>
      </c>
      <c r="C244" s="42" t="s">
        <v>652</v>
      </c>
      <c r="D244" s="43">
        <f>ROUND(SUMIF(RV_DATA!W236:'RV_DATA'!W265, -377984653, RV_DATA!I236:'RV_DATA'!I265), 6)</f>
        <v>44.125</v>
      </c>
      <c r="E244" s="72">
        <f>ROUND(RV_DATA!N238, 6)</f>
        <v>6.17</v>
      </c>
      <c r="F244" s="72">
        <f>ROUND(SUMIF(RV_DATA!W236:'RV_DATA'!W265, -377984653, RV_DATA!O236:'RV_DATA'!O265), 6)</f>
        <v>302.64</v>
      </c>
      <c r="Q244">
        <v>2</v>
      </c>
    </row>
    <row r="245" spans="1:17" ht="14.25" x14ac:dyDescent="0.2">
      <c r="A245" s="85" t="s">
        <v>831</v>
      </c>
      <c r="B245" s="42" t="s">
        <v>833</v>
      </c>
      <c r="C245" s="42" t="s">
        <v>652</v>
      </c>
      <c r="D245" s="43">
        <f>ROUND(SUMIF(RV_DATA!W236:'RV_DATA'!W265, -2089416598, RV_DATA!I236:'RV_DATA'!I265), 6)</f>
        <v>57.6096</v>
      </c>
      <c r="E245" s="72">
        <f>ROUND(RV_DATA!N248, 6)</f>
        <v>688.11</v>
      </c>
      <c r="F245" s="72">
        <f>ROUND(SUMIF(RV_DATA!W236:'RV_DATA'!W265, -2089416598, RV_DATA!O236:'RV_DATA'!O265), 6)</f>
        <v>37856.449999999997</v>
      </c>
      <c r="Q245">
        <v>2</v>
      </c>
    </row>
    <row r="246" spans="1:17" ht="28.5" x14ac:dyDescent="0.2">
      <c r="A246" s="85" t="s">
        <v>754</v>
      </c>
      <c r="B246" s="42" t="s">
        <v>756</v>
      </c>
      <c r="C246" s="42" t="s">
        <v>652</v>
      </c>
      <c r="D246" s="43">
        <f>ROUND(SUMIF(RV_DATA!W236:'RV_DATA'!W265, -788593992, RV_DATA!I236:'RV_DATA'!I265), 6)</f>
        <v>9.1799999999999998E-4</v>
      </c>
      <c r="E246" s="72">
        <f>ROUND(RV_DATA!N264, 6)</f>
        <v>742.91</v>
      </c>
      <c r="F246" s="72">
        <f>ROUND(SUMIF(RV_DATA!W236:'RV_DATA'!W265, -788593992, RV_DATA!O236:'RV_DATA'!O265), 6)</f>
        <v>0.65</v>
      </c>
      <c r="Q246">
        <v>2</v>
      </c>
    </row>
    <row r="247" spans="1:17" ht="14.25" x14ac:dyDescent="0.2">
      <c r="A247" s="85" t="s">
        <v>674</v>
      </c>
      <c r="B247" s="42" t="s">
        <v>675</v>
      </c>
      <c r="C247" s="42" t="s">
        <v>676</v>
      </c>
      <c r="D247" s="43">
        <f>ROUND(SUMIF(RV_DATA!W236:'RV_DATA'!W265, 1832560717, RV_DATA!I236:'RV_DATA'!I265), 6)</f>
        <v>22.150203000000001</v>
      </c>
      <c r="E247" s="72">
        <f>ROUND(RV_DATA!N254, 6)</f>
        <v>1.05</v>
      </c>
      <c r="F247" s="72">
        <f>ROUND(SUMIF(RV_DATA!W236:'RV_DATA'!W265, 1832560717, RV_DATA!O236:'RV_DATA'!O265), 6)</f>
        <v>22.15</v>
      </c>
      <c r="Q247">
        <v>2</v>
      </c>
    </row>
    <row r="248" spans="1:17" ht="15" x14ac:dyDescent="0.25">
      <c r="A248" s="134" t="s">
        <v>1065</v>
      </c>
      <c r="B248" s="134"/>
      <c r="C248" s="134"/>
      <c r="D248" s="134"/>
      <c r="E248" s="135">
        <f>SUMIF(Q240:Q247, 2, F240:F247)</f>
        <v>70345.639999999985</v>
      </c>
      <c r="F248" s="134"/>
    </row>
    <row r="249" spans="1:17" ht="14.25" x14ac:dyDescent="0.2">
      <c r="A249" s="132" t="s">
        <v>1066</v>
      </c>
      <c r="B249" s="133"/>
      <c r="C249" s="133"/>
      <c r="D249" s="133"/>
      <c r="E249" s="133"/>
      <c r="F249" s="133"/>
    </row>
    <row r="250" spans="1:17" ht="42.75" x14ac:dyDescent="0.2">
      <c r="A250" s="85" t="s">
        <v>530</v>
      </c>
      <c r="B250" s="42" t="s">
        <v>531</v>
      </c>
      <c r="C250" s="42" t="s">
        <v>51</v>
      </c>
      <c r="D250" s="43">
        <f>ROUND(SUMIF(RV_DATA!W236:'RV_DATA'!W265, -1587361586, RV_DATA!I236:'RV_DATA'!I265), 6)</f>
        <v>5.9219280000000003</v>
      </c>
      <c r="E250" s="72">
        <f>ROUND(RV_DATA!N252, 6)</f>
        <v>24948.1872</v>
      </c>
      <c r="F250" s="72">
        <f>ROUND(SUMIF(RV_DATA!W236:'RV_DATA'!W265, -1587361586, RV_DATA!O236:'RV_DATA'!O265), 6)</f>
        <v>147741.37</v>
      </c>
      <c r="Q250">
        <v>3</v>
      </c>
    </row>
    <row r="251" spans="1:17" ht="14.25" x14ac:dyDescent="0.2">
      <c r="A251" s="85" t="s">
        <v>467</v>
      </c>
      <c r="B251" s="42" t="s">
        <v>468</v>
      </c>
      <c r="C251" s="42" t="s">
        <v>66</v>
      </c>
      <c r="D251" s="43">
        <f>ROUND(SUMIF(RV_DATA!W236:'RV_DATA'!W265, -1977920412, RV_DATA!I236:'RV_DATA'!I265), 6)</f>
        <v>2.7181000000000002</v>
      </c>
      <c r="E251" s="72">
        <f>ROUND(RV_DATA!N244, 6)</f>
        <v>35.35</v>
      </c>
      <c r="F251" s="72">
        <f>ROUND(SUMIF(RV_DATA!W236:'RV_DATA'!W265, -1977920412, RV_DATA!O236:'RV_DATA'!O265), 6)</f>
        <v>95.12</v>
      </c>
      <c r="Q251">
        <v>3</v>
      </c>
    </row>
    <row r="252" spans="1:17" ht="42.75" x14ac:dyDescent="0.2">
      <c r="A252" s="85" t="s">
        <v>828</v>
      </c>
      <c r="B252" s="42" t="s">
        <v>830</v>
      </c>
      <c r="C252" s="42" t="s">
        <v>51</v>
      </c>
      <c r="D252" s="43">
        <f>ROUND(SUMIF(RV_DATA!W236:'RV_DATA'!W265, 691610743, RV_DATA!I236:'RV_DATA'!I265), 6)</f>
        <v>3.7770999999999999</v>
      </c>
      <c r="E252" s="72">
        <f>ROUND(RV_DATA!N243, 6)</f>
        <v>4327.6000000000004</v>
      </c>
      <c r="F252" s="72">
        <f>ROUND(SUMIF(RV_DATA!W236:'RV_DATA'!W265, 691610743, RV_DATA!O236:'RV_DATA'!O265), 6)</f>
        <v>16311.71</v>
      </c>
      <c r="Q252">
        <v>3</v>
      </c>
    </row>
    <row r="253" spans="1:17" ht="28.5" x14ac:dyDescent="0.2">
      <c r="A253" s="85" t="s">
        <v>834</v>
      </c>
      <c r="B253" s="42" t="s">
        <v>836</v>
      </c>
      <c r="C253" s="42" t="s">
        <v>51</v>
      </c>
      <c r="D253" s="43">
        <f>ROUND(SUMIF(RV_DATA!W236:'RV_DATA'!W265, 366972017, RV_DATA!I236:'RV_DATA'!I265), 6)</f>
        <v>0.25416</v>
      </c>
      <c r="E253" s="72">
        <f>ROUND(RV_DATA!N247, 6)</f>
        <v>87987.62</v>
      </c>
      <c r="F253" s="72">
        <f>ROUND(SUMIF(RV_DATA!W236:'RV_DATA'!W265, 366972017, RV_DATA!O236:'RV_DATA'!O265), 6)</f>
        <v>22343.72</v>
      </c>
      <c r="Q253">
        <v>3</v>
      </c>
    </row>
    <row r="254" spans="1:17" ht="28.5" x14ac:dyDescent="0.2">
      <c r="A254" s="85" t="s">
        <v>846</v>
      </c>
      <c r="B254" s="42" t="s">
        <v>848</v>
      </c>
      <c r="C254" s="42" t="s">
        <v>300</v>
      </c>
      <c r="D254" s="43">
        <f>ROUND(SUMIF(RV_DATA!W236:'RV_DATA'!W265, -961979854, RV_DATA!I236:'RV_DATA'!I265), 6)</f>
        <v>0.82620000000000005</v>
      </c>
      <c r="E254" s="72">
        <f>ROUND(RV_DATA!N263, 6)</f>
        <v>50.23</v>
      </c>
      <c r="F254" s="72">
        <f>ROUND(SUMIF(RV_DATA!W236:'RV_DATA'!W265, -961979854, RV_DATA!O236:'RV_DATA'!O265), 6)</f>
        <v>41.5</v>
      </c>
      <c r="Q254">
        <v>3</v>
      </c>
    </row>
    <row r="255" spans="1:17" ht="57" x14ac:dyDescent="0.2">
      <c r="A255" s="85" t="s">
        <v>526</v>
      </c>
      <c r="B255" s="42" t="s">
        <v>527</v>
      </c>
      <c r="C255" s="42" t="s">
        <v>51</v>
      </c>
      <c r="D255" s="43">
        <f>ROUND(SUMIF(RV_DATA!W236:'RV_DATA'!W265, 911771265, RV_DATA!I236:'RV_DATA'!I265), 6)</f>
        <v>4.3207199999999997</v>
      </c>
      <c r="E255" s="72">
        <f>ROUND(RV_DATA!N251, 6)</f>
        <v>42166.009599999998</v>
      </c>
      <c r="F255" s="72">
        <f>ROUND(SUMIF(RV_DATA!W236:'RV_DATA'!W265, 911771265, RV_DATA!O236:'RV_DATA'!O265), 6)</f>
        <v>182187.51999999999</v>
      </c>
      <c r="Q255">
        <v>3</v>
      </c>
    </row>
    <row r="256" spans="1:17" ht="57" x14ac:dyDescent="0.2">
      <c r="A256" s="85" t="s">
        <v>513</v>
      </c>
      <c r="B256" s="42" t="s">
        <v>514</v>
      </c>
      <c r="C256" s="42" t="s">
        <v>51</v>
      </c>
      <c r="D256" s="43">
        <f>ROUND(SUMIF(RV_DATA!W236:'RV_DATA'!W265, 2141277888, RV_DATA!I236:'RV_DATA'!I265), 6)</f>
        <v>3.83711</v>
      </c>
      <c r="E256" s="72">
        <f>ROUND(RV_DATA!N241, 6)</f>
        <v>35883.243000000002</v>
      </c>
      <c r="F256" s="72">
        <f>ROUND(SUMIF(RV_DATA!W236:'RV_DATA'!W265, 2141277888, RV_DATA!O236:'RV_DATA'!O265), 6)</f>
        <v>137687.95000000001</v>
      </c>
      <c r="Q256">
        <v>3</v>
      </c>
    </row>
    <row r="257" spans="1:17" ht="14.25" x14ac:dyDescent="0.2">
      <c r="A257" s="85" t="s">
        <v>544</v>
      </c>
      <c r="B257" s="42" t="s">
        <v>545</v>
      </c>
      <c r="C257" s="42" t="s">
        <v>300</v>
      </c>
      <c r="D257" s="43">
        <f>ROUND(SUMIF(RV_DATA!W236:'RV_DATA'!W265, -118334387, RV_DATA!I236:'RV_DATA'!I265), 6)</f>
        <v>82.620019999999997</v>
      </c>
      <c r="E257" s="72">
        <f>ROUND(RV_DATA!N261, 6)</f>
        <v>82.439099999999996</v>
      </c>
      <c r="F257" s="72">
        <f>ROUND(SUMIF(RV_DATA!W236:'RV_DATA'!W265, -118334387, RV_DATA!O236:'RV_DATA'!O265), 6)</f>
        <v>6811.12</v>
      </c>
      <c r="Q257">
        <v>3</v>
      </c>
    </row>
    <row r="258" spans="1:17" ht="14.25" x14ac:dyDescent="0.2">
      <c r="A258" s="85" t="s">
        <v>822</v>
      </c>
      <c r="B258" s="42" t="s">
        <v>824</v>
      </c>
      <c r="C258" s="42" t="s">
        <v>66</v>
      </c>
      <c r="D258" s="43">
        <f>ROUND(SUMIF(RV_DATA!W236:'RV_DATA'!W265, -922655990, RV_DATA!I236:'RV_DATA'!I265), 6)</f>
        <v>0.23721600000000001</v>
      </c>
      <c r="E258" s="72">
        <f>ROUND(RV_DATA!N237, 6)</f>
        <v>48.8</v>
      </c>
      <c r="F258" s="72">
        <f>ROUND(SUMIF(RV_DATA!W236:'RV_DATA'!W265, -922655990, RV_DATA!O236:'RV_DATA'!O265), 6)</f>
        <v>11.63</v>
      </c>
      <c r="Q258">
        <v>3</v>
      </c>
    </row>
    <row r="259" spans="1:17" ht="14.25" x14ac:dyDescent="0.2">
      <c r="A259" s="85" t="s">
        <v>843</v>
      </c>
      <c r="B259" s="42" t="s">
        <v>845</v>
      </c>
      <c r="C259" s="42" t="s">
        <v>51</v>
      </c>
      <c r="D259" s="43">
        <f>ROUND(SUMIF(RV_DATA!W236:'RV_DATA'!W265, 387696430, RV_DATA!I236:'RV_DATA'!I265), 6)</f>
        <v>1.3769999999999999E-2</v>
      </c>
      <c r="E259" s="72">
        <f>ROUND(RV_DATA!N258, 6)</f>
        <v>38388.92</v>
      </c>
      <c r="F259" s="72">
        <f>ROUND(SUMIF(RV_DATA!W236:'RV_DATA'!W265, 387696430, RV_DATA!O236:'RV_DATA'!O265), 6)</f>
        <v>528.87</v>
      </c>
      <c r="Q259">
        <v>3</v>
      </c>
    </row>
    <row r="260" spans="1:17" ht="28.5" x14ac:dyDescent="0.2">
      <c r="A260" s="85" t="s">
        <v>190</v>
      </c>
      <c r="B260" s="42" t="s">
        <v>191</v>
      </c>
      <c r="C260" s="42" t="s">
        <v>66</v>
      </c>
      <c r="D260" s="43">
        <f>ROUND(SUMIF(RV_DATA!W236:'RV_DATA'!W265, 642758561, RV_DATA!I236:'RV_DATA'!I265), 6)</f>
        <v>10.5547</v>
      </c>
      <c r="E260" s="72">
        <f>ROUND(RV_DATA!N242, 6)</f>
        <v>553.35</v>
      </c>
      <c r="F260" s="72">
        <f>ROUND(SUMIF(RV_DATA!W236:'RV_DATA'!W265, 642758561, RV_DATA!O236:'RV_DATA'!O265), 6)</f>
        <v>5828.43</v>
      </c>
      <c r="Q260">
        <v>3</v>
      </c>
    </row>
    <row r="261" spans="1:17" ht="14.25" x14ac:dyDescent="0.2">
      <c r="A261" s="85" t="s">
        <v>825</v>
      </c>
      <c r="B261" s="42" t="s">
        <v>827</v>
      </c>
      <c r="C261" s="42" t="s">
        <v>66</v>
      </c>
      <c r="D261" s="43">
        <f>ROUND(SUMIF(RV_DATA!W236:'RV_DATA'!W265, 908231741, RV_DATA!I236:'RV_DATA'!I265), 6)</f>
        <v>0.11719599999999999</v>
      </c>
      <c r="E261" s="72">
        <f>ROUND(RV_DATA!N236, 6)</f>
        <v>90.39</v>
      </c>
      <c r="F261" s="72">
        <f>ROUND(SUMIF(RV_DATA!W236:'RV_DATA'!W265, 908231741, RV_DATA!O236:'RV_DATA'!O265), 6)</f>
        <v>11.23</v>
      </c>
      <c r="Q261">
        <v>3</v>
      </c>
    </row>
    <row r="262" spans="1:17" ht="14.25" x14ac:dyDescent="0.2">
      <c r="A262" s="85" t="s">
        <v>807</v>
      </c>
      <c r="B262" s="42" t="s">
        <v>809</v>
      </c>
      <c r="C262" s="42" t="s">
        <v>51</v>
      </c>
      <c r="D262" s="43">
        <f>ROUND(SUMIF(RV_DATA!W236:'RV_DATA'!W265, 2001301121, RV_DATA!I236:'RV_DATA'!I265), 6)</f>
        <v>1.36E-4</v>
      </c>
      <c r="E262" s="72">
        <f>ROUND(RV_DATA!N262, 6)</f>
        <v>38733.089999999997</v>
      </c>
      <c r="F262" s="72">
        <f>ROUND(SUMIF(RV_DATA!W236:'RV_DATA'!W265, 2001301121, RV_DATA!O236:'RV_DATA'!O265), 6)</f>
        <v>5.26</v>
      </c>
      <c r="Q262">
        <v>3</v>
      </c>
    </row>
    <row r="263" spans="1:17" ht="28.5" x14ac:dyDescent="0.2">
      <c r="A263" s="85" t="s">
        <v>837</v>
      </c>
      <c r="B263" s="42" t="s">
        <v>839</v>
      </c>
      <c r="C263" s="42" t="s">
        <v>328</v>
      </c>
      <c r="D263" s="43">
        <f>ROUND(SUMIF(RV_DATA!W236:'RV_DATA'!W265, 538595047, RV_DATA!I236:'RV_DATA'!I265), 6)</f>
        <v>6.7775999999999996</v>
      </c>
      <c r="E263" s="72">
        <f>ROUND(RV_DATA!N246, 6)</f>
        <v>42.83</v>
      </c>
      <c r="F263" s="72">
        <f>ROUND(SUMIF(RV_DATA!W236:'RV_DATA'!W265, 538595047, RV_DATA!O236:'RV_DATA'!O265), 6)</f>
        <v>278.56</v>
      </c>
      <c r="Q263">
        <v>3</v>
      </c>
    </row>
    <row r="264" spans="1:17" ht="15" x14ac:dyDescent="0.25">
      <c r="A264" s="134" t="s">
        <v>1067</v>
      </c>
      <c r="B264" s="134"/>
      <c r="C264" s="134"/>
      <c r="D264" s="134"/>
      <c r="E264" s="135">
        <f>SUMIF(Q250:Q263, 3, F250:F263)</f>
        <v>519883.98999999993</v>
      </c>
      <c r="F264" s="134"/>
    </row>
    <row r="265" spans="1:17" ht="16.5" x14ac:dyDescent="0.2">
      <c r="A265" s="130" t="str">
        <f>CONCATENATE("Раздел: ",IF(Source!G1147&lt;&gt;"Новый раздел", Source!G1147, ""))</f>
        <v>Раздел: 41. Установка информационных и дорожных знаков</v>
      </c>
      <c r="B265" s="131"/>
      <c r="C265" s="131"/>
      <c r="D265" s="131"/>
      <c r="E265" s="131"/>
      <c r="F265" s="131"/>
    </row>
    <row r="266" spans="1:17" ht="14.25" x14ac:dyDescent="0.2">
      <c r="A266" s="132" t="s">
        <v>1064</v>
      </c>
      <c r="B266" s="133"/>
      <c r="C266" s="133"/>
      <c r="D266" s="133"/>
      <c r="E266" s="133"/>
      <c r="F266" s="133"/>
    </row>
    <row r="267" spans="1:17" ht="28.5" x14ac:dyDescent="0.2">
      <c r="A267" s="85" t="s">
        <v>849</v>
      </c>
      <c r="B267" s="42" t="s">
        <v>851</v>
      </c>
      <c r="C267" s="42" t="s">
        <v>652</v>
      </c>
      <c r="D267" s="43">
        <f>ROUND(SUMIF(RV_DATA!W270:'RV_DATA'!W277, 2079271295, RV_DATA!I270:'RV_DATA'!I277), 6)</f>
        <v>2.2000000000000002</v>
      </c>
      <c r="E267" s="72">
        <f>ROUND(RV_DATA!N271, 6)</f>
        <v>1342.86</v>
      </c>
      <c r="F267" s="72">
        <f>ROUND(SUMIF(RV_DATA!W270:'RV_DATA'!W277, 2079271295, RV_DATA!O270:'RV_DATA'!O277), 6)</f>
        <v>2821.68</v>
      </c>
      <c r="Q267">
        <v>2</v>
      </c>
    </row>
    <row r="268" spans="1:17" ht="15" x14ac:dyDescent="0.25">
      <c r="A268" s="134" t="s">
        <v>1065</v>
      </c>
      <c r="B268" s="134"/>
      <c r="C268" s="134"/>
      <c r="D268" s="134"/>
      <c r="E268" s="135">
        <f>SUMIF(Q267:Q267, 2, F267:F267)</f>
        <v>2821.68</v>
      </c>
      <c r="F268" s="134"/>
    </row>
    <row r="269" spans="1:17" ht="14.25" x14ac:dyDescent="0.2">
      <c r="A269" s="132" t="s">
        <v>1066</v>
      </c>
      <c r="B269" s="133"/>
      <c r="C269" s="133"/>
      <c r="D269" s="133"/>
      <c r="E269" s="133"/>
      <c r="F269" s="133"/>
    </row>
    <row r="270" spans="1:17" ht="28.5" x14ac:dyDescent="0.2">
      <c r="A270" s="85" t="s">
        <v>852</v>
      </c>
      <c r="B270" s="42" t="s">
        <v>854</v>
      </c>
      <c r="C270" s="42" t="s">
        <v>51</v>
      </c>
      <c r="D270" s="43">
        <f>ROUND(SUMIF(RV_DATA!W270:'RV_DATA'!W277, -443616964, RV_DATA!I270:'RV_DATA'!I277), 6)</f>
        <v>9.5999999999999992E-3</v>
      </c>
      <c r="E270" s="72">
        <f>ROUND(RV_DATA!N270, 6)</f>
        <v>94042.25</v>
      </c>
      <c r="F270" s="72">
        <f>ROUND(SUMIF(RV_DATA!W270:'RV_DATA'!W277, -443616964, RV_DATA!O270:'RV_DATA'!O277), 6)</f>
        <v>902.8</v>
      </c>
      <c r="Q270">
        <v>3</v>
      </c>
    </row>
    <row r="271" spans="1:17" ht="28.5" x14ac:dyDescent="0.2">
      <c r="A271" s="85" t="s">
        <v>567</v>
      </c>
      <c r="B271" s="42" t="s">
        <v>568</v>
      </c>
      <c r="C271" s="42" t="s">
        <v>569</v>
      </c>
      <c r="D271" s="43">
        <f>ROUND(SUMIF(RV_DATA!W270:'RV_DATA'!W277, 599233532, RV_DATA!I270:'RV_DATA'!I277), 6)</f>
        <v>30</v>
      </c>
      <c r="E271" s="72">
        <f>ROUND(RV_DATA!N273, 6)</f>
        <v>513.16639999999995</v>
      </c>
      <c r="F271" s="72">
        <f>ROUND(SUMIF(RV_DATA!W270:'RV_DATA'!W277, 599233532, RV_DATA!O270:'RV_DATA'!O277), 6)</f>
        <v>15394.99</v>
      </c>
      <c r="Q271">
        <v>3</v>
      </c>
    </row>
    <row r="272" spans="1:17" ht="28.5" x14ac:dyDescent="0.2">
      <c r="A272" s="85" t="s">
        <v>572</v>
      </c>
      <c r="B272" s="42" t="s">
        <v>573</v>
      </c>
      <c r="C272" s="42" t="s">
        <v>328</v>
      </c>
      <c r="D272" s="43">
        <f>ROUND(SUMIF(RV_DATA!W270:'RV_DATA'!W277, -698957023, RV_DATA!I270:'RV_DATA'!I277), 6)</f>
        <v>40</v>
      </c>
      <c r="E272" s="72">
        <f>ROUND(RV_DATA!N274, 6)</f>
        <v>55.317599999999999</v>
      </c>
      <c r="F272" s="72">
        <f>ROUND(SUMIF(RV_DATA!W270:'RV_DATA'!W277, -698957023, RV_DATA!O270:'RV_DATA'!O277), 6)</f>
        <v>2212.6999999999998</v>
      </c>
      <c r="Q272">
        <v>3</v>
      </c>
    </row>
    <row r="273" spans="1:17" ht="28.5" x14ac:dyDescent="0.2">
      <c r="A273" s="85" t="s">
        <v>572</v>
      </c>
      <c r="B273" s="42" t="s">
        <v>573</v>
      </c>
      <c r="C273" s="42" t="s">
        <v>328</v>
      </c>
      <c r="D273" s="43">
        <f>ROUND(SUMIF(RV_DATA!W270:'RV_DATA'!W277, -112955785, RV_DATA!I270:'RV_DATA'!I277), 6)</f>
        <v>20</v>
      </c>
      <c r="E273" s="72">
        <f>ROUND(RV_DATA!N275, 6)</f>
        <v>55.32</v>
      </c>
      <c r="F273" s="72">
        <f>ROUND(SUMIF(RV_DATA!W270:'RV_DATA'!W277, -112955785, RV_DATA!O270:'RV_DATA'!O277), 6)</f>
        <v>1106.3499999999999</v>
      </c>
      <c r="Q273">
        <v>3</v>
      </c>
    </row>
    <row r="274" spans="1:17" ht="42.75" x14ac:dyDescent="0.2">
      <c r="A274" s="85" t="s">
        <v>563</v>
      </c>
      <c r="B274" s="42" t="s">
        <v>564</v>
      </c>
      <c r="C274" s="42" t="s">
        <v>328</v>
      </c>
      <c r="D274" s="43">
        <f>ROUND(SUMIF(RV_DATA!W270:'RV_DATA'!W277, 2080073401, RV_DATA!I270:'RV_DATA'!I277), 6)</f>
        <v>40</v>
      </c>
      <c r="E274" s="72">
        <f>ROUND(RV_DATA!N272, 6)</f>
        <v>814.9248</v>
      </c>
      <c r="F274" s="72">
        <f>ROUND(SUMIF(RV_DATA!W270:'RV_DATA'!W277, 2080073401, RV_DATA!O270:'RV_DATA'!O277), 6)</f>
        <v>32597</v>
      </c>
      <c r="Q274">
        <v>3</v>
      </c>
    </row>
    <row r="275" spans="1:17" ht="15" x14ac:dyDescent="0.25">
      <c r="A275" s="134" t="s">
        <v>1067</v>
      </c>
      <c r="B275" s="134"/>
      <c r="C275" s="134"/>
      <c r="D275" s="134"/>
      <c r="E275" s="135">
        <f>SUMIF(Q270:Q274, 3, F270:F274)</f>
        <v>52213.84</v>
      </c>
      <c r="F275" s="134"/>
    </row>
    <row r="276" spans="1:17" ht="16.5" x14ac:dyDescent="0.2">
      <c r="A276" s="130" t="str">
        <f>CONCATENATE("Раздел: ",IF(Source!G1190&lt;&gt;"Новый раздел", Source!G1190, ""))</f>
        <v>Раздел: 42. Установка ИДН  (3,5м)</v>
      </c>
      <c r="B276" s="131"/>
      <c r="C276" s="131"/>
      <c r="D276" s="131"/>
      <c r="E276" s="131"/>
      <c r="F276" s="131"/>
    </row>
    <row r="277" spans="1:17" ht="14.25" x14ac:dyDescent="0.2">
      <c r="A277" s="132" t="s">
        <v>1064</v>
      </c>
      <c r="B277" s="133"/>
      <c r="C277" s="133"/>
      <c r="D277" s="133"/>
      <c r="E277" s="133"/>
      <c r="F277" s="133"/>
    </row>
    <row r="278" spans="1:17" ht="28.5" x14ac:dyDescent="0.2">
      <c r="A278" s="85" t="s">
        <v>680</v>
      </c>
      <c r="B278" s="42" t="s">
        <v>682</v>
      </c>
      <c r="C278" s="42" t="s">
        <v>652</v>
      </c>
      <c r="D278" s="43">
        <f>ROUND(SUMIF(RV_DATA!W279:'RV_DATA'!W293, 1752455861, RV_DATA!I279:'RV_DATA'!I293), 6)</f>
        <v>0.67500000000000004</v>
      </c>
      <c r="E278" s="72">
        <f>ROUND(RV_DATA!N285, 6)</f>
        <v>755.14</v>
      </c>
      <c r="F278" s="72">
        <f>ROUND(SUMIF(RV_DATA!W279:'RV_DATA'!W293, 1752455861, RV_DATA!O279:'RV_DATA'!O293), 6)</f>
        <v>487.63</v>
      </c>
      <c r="Q278">
        <v>2</v>
      </c>
    </row>
    <row r="279" spans="1:17" ht="28.5" x14ac:dyDescent="0.2">
      <c r="A279" s="85" t="s">
        <v>855</v>
      </c>
      <c r="B279" s="42" t="s">
        <v>857</v>
      </c>
      <c r="C279" s="42" t="s">
        <v>652</v>
      </c>
      <c r="D279" s="43">
        <f>ROUND(SUMIF(RV_DATA!W279:'RV_DATA'!W293, 1948072077, RV_DATA!I279:'RV_DATA'!I293), 6)</f>
        <v>52.2</v>
      </c>
      <c r="E279" s="72">
        <f>ROUND(RV_DATA!N284, 6)</f>
        <v>9.4600000000000009</v>
      </c>
      <c r="F279" s="72">
        <f>ROUND(SUMIF(RV_DATA!W279:'RV_DATA'!W293, 1948072077, RV_DATA!O279:'RV_DATA'!O293), 6)</f>
        <v>471.73</v>
      </c>
      <c r="Q279">
        <v>2</v>
      </c>
    </row>
    <row r="280" spans="1:17" ht="14.25" x14ac:dyDescent="0.2">
      <c r="A280" s="85" t="s">
        <v>858</v>
      </c>
      <c r="B280" s="42" t="s">
        <v>860</v>
      </c>
      <c r="C280" s="42" t="s">
        <v>652</v>
      </c>
      <c r="D280" s="43">
        <f>ROUND(SUMIF(RV_DATA!W279:'RV_DATA'!W293, -990741413, RV_DATA!I279:'RV_DATA'!I293), 6)</f>
        <v>7.92</v>
      </c>
      <c r="E280" s="72">
        <f>ROUND(RV_DATA!N283, 6)</f>
        <v>6.16</v>
      </c>
      <c r="F280" s="72">
        <f>ROUND(SUMIF(RV_DATA!W279:'RV_DATA'!W293, -990741413, RV_DATA!O279:'RV_DATA'!O293), 6)</f>
        <v>45.54</v>
      </c>
      <c r="Q280">
        <v>2</v>
      </c>
    </row>
    <row r="281" spans="1:17" ht="15" x14ac:dyDescent="0.25">
      <c r="A281" s="134" t="s">
        <v>1065</v>
      </c>
      <c r="B281" s="134"/>
      <c r="C281" s="134"/>
      <c r="D281" s="134"/>
      <c r="E281" s="135">
        <f>SUMIF(Q278:Q280, 2, F278:F280)</f>
        <v>1004.9</v>
      </c>
      <c r="F281" s="134"/>
    </row>
    <row r="282" spans="1:17" ht="14.25" x14ac:dyDescent="0.2">
      <c r="A282" s="132" t="s">
        <v>1066</v>
      </c>
      <c r="B282" s="133"/>
      <c r="C282" s="133"/>
      <c r="D282" s="133"/>
      <c r="E282" s="133"/>
      <c r="F282" s="133"/>
    </row>
    <row r="283" spans="1:17" ht="42.75" x14ac:dyDescent="0.2">
      <c r="A283" s="85" t="s">
        <v>590</v>
      </c>
      <c r="B283" s="42" t="s">
        <v>591</v>
      </c>
      <c r="C283" s="42" t="s">
        <v>328</v>
      </c>
      <c r="D283" s="43">
        <f>ROUND(SUMIF(RV_DATA!W279:'RV_DATA'!W293, -1733298309, RV_DATA!I279:'RV_DATA'!I293), 6)</f>
        <v>60</v>
      </c>
      <c r="E283" s="72">
        <f>ROUND(RV_DATA!N286, 6)</f>
        <v>1528.1507999999999</v>
      </c>
      <c r="F283" s="72">
        <f>ROUND(SUMIF(RV_DATA!W279:'RV_DATA'!W293, -1733298309, RV_DATA!O279:'RV_DATA'!O293), 6)</f>
        <v>91689.05</v>
      </c>
      <c r="Q283">
        <v>3</v>
      </c>
    </row>
    <row r="284" spans="1:17" ht="42.75" x14ac:dyDescent="0.2">
      <c r="A284" s="85" t="s">
        <v>598</v>
      </c>
      <c r="B284" s="42" t="s">
        <v>599</v>
      </c>
      <c r="C284" s="42" t="s">
        <v>328</v>
      </c>
      <c r="D284" s="43">
        <f>ROUND(SUMIF(RV_DATA!W279:'RV_DATA'!W293, -730179058, RV_DATA!I279:'RV_DATA'!I293), 6)</f>
        <v>20</v>
      </c>
      <c r="E284" s="72">
        <f>ROUND(RV_DATA!N293, 6)</f>
        <v>713.02499999999998</v>
      </c>
      <c r="F284" s="72">
        <f>ROUND(SUMIF(RV_DATA!W279:'RV_DATA'!W293, -730179058, RV_DATA!O279:'RV_DATA'!O293), 6)</f>
        <v>14260.5</v>
      </c>
      <c r="Q284">
        <v>3</v>
      </c>
    </row>
    <row r="285" spans="1:17" ht="28.5" x14ac:dyDescent="0.2">
      <c r="A285" s="85" t="s">
        <v>861</v>
      </c>
      <c r="B285" s="42" t="s">
        <v>863</v>
      </c>
      <c r="C285" s="42" t="s">
        <v>300</v>
      </c>
      <c r="D285" s="43">
        <f>ROUND(SUMIF(RV_DATA!W279:'RV_DATA'!W293, 1720427074, RV_DATA!I279:'RV_DATA'!I293), 6)</f>
        <v>28.601099999999999</v>
      </c>
      <c r="E285" s="72">
        <f>ROUND(RV_DATA!N282, 6)</f>
        <v>280.94</v>
      </c>
      <c r="F285" s="72">
        <f>ROUND(SUMIF(RV_DATA!W279:'RV_DATA'!W293, 1720427074, RV_DATA!O279:'RV_DATA'!O293), 6)</f>
        <v>7987.5</v>
      </c>
      <c r="Q285">
        <v>3</v>
      </c>
    </row>
    <row r="286" spans="1:17" ht="42.75" x14ac:dyDescent="0.2">
      <c r="A286" s="85" t="s">
        <v>864</v>
      </c>
      <c r="B286" s="42" t="s">
        <v>866</v>
      </c>
      <c r="C286" s="42" t="s">
        <v>328</v>
      </c>
      <c r="D286" s="43">
        <f>ROUND(SUMIF(RV_DATA!W279:'RV_DATA'!W293, -1683334093, RV_DATA!I279:'RV_DATA'!I293), 6)</f>
        <v>48.444749999999999</v>
      </c>
      <c r="E286" s="72">
        <f>ROUND(RV_DATA!N281, 6)</f>
        <v>1006.64</v>
      </c>
      <c r="F286" s="72">
        <f>ROUND(SUMIF(RV_DATA!W279:'RV_DATA'!W293, -1683334093, RV_DATA!O279:'RV_DATA'!O293), 6)</f>
        <v>48475.65</v>
      </c>
      <c r="Q286">
        <v>3</v>
      </c>
    </row>
    <row r="287" spans="1:17" ht="57" x14ac:dyDescent="0.2">
      <c r="A287" s="85" t="s">
        <v>867</v>
      </c>
      <c r="B287" s="42" t="s">
        <v>869</v>
      </c>
      <c r="C287" s="42" t="s">
        <v>328</v>
      </c>
      <c r="D287" s="43">
        <f>ROUND(SUMIF(RV_DATA!W279:'RV_DATA'!W293, -1948157840, RV_DATA!I279:'RV_DATA'!I293), 6)</f>
        <v>726.66629999999998</v>
      </c>
      <c r="E287" s="72">
        <f>ROUND(RV_DATA!N280, 6)</f>
        <v>26.21</v>
      </c>
      <c r="F287" s="72">
        <f>ROUND(SUMIF(RV_DATA!W279:'RV_DATA'!W293, -1948157840, RV_DATA!O279:'RV_DATA'!O293), 6)</f>
        <v>18933.55</v>
      </c>
      <c r="Q287">
        <v>3</v>
      </c>
    </row>
    <row r="288" spans="1:17" ht="14.25" x14ac:dyDescent="0.2">
      <c r="A288" s="85" t="s">
        <v>738</v>
      </c>
      <c r="B288" s="42" t="s">
        <v>739</v>
      </c>
      <c r="C288" s="42" t="s">
        <v>676</v>
      </c>
      <c r="D288" s="43">
        <f>ROUND(SUMIF(RV_DATA!W279:'RV_DATA'!W293, 575082756, RV_DATA!I279:'RV_DATA'!I293), 6)</f>
        <v>0.27</v>
      </c>
      <c r="E288" s="72">
        <f>ROUND(RV_DATA!N279, 6)</f>
        <v>1.01</v>
      </c>
      <c r="F288" s="72">
        <f>ROUND(SUMIF(RV_DATA!W279:'RV_DATA'!W293, 575082756, RV_DATA!O279:'RV_DATA'!O293), 6)</f>
        <v>0.27</v>
      </c>
      <c r="Q288">
        <v>3</v>
      </c>
    </row>
    <row r="289" spans="1:17" ht="15" x14ac:dyDescent="0.25">
      <c r="A289" s="134" t="s">
        <v>1067</v>
      </c>
      <c r="B289" s="134"/>
      <c r="C289" s="134"/>
      <c r="D289" s="134"/>
      <c r="E289" s="135">
        <f>SUMIF(Q283:Q288, 3, F283:F288)</f>
        <v>181346.52</v>
      </c>
      <c r="F289" s="134"/>
    </row>
    <row r="290" spans="1:17" ht="33" x14ac:dyDescent="0.2">
      <c r="A290" s="130" t="str">
        <f>CONCATENATE("Раздел: ",IF(Source!G1298&lt;&gt;"Новый раздел", Source!G1298, ""))</f>
        <v>Раздел: 47. Устройство покрытия на детской площадке для детей от 5 лет 4 см (3 см - резина, 1 см - EPDM)</v>
      </c>
      <c r="B290" s="131"/>
      <c r="C290" s="131"/>
      <c r="D290" s="131"/>
      <c r="E290" s="131"/>
      <c r="F290" s="131"/>
      <c r="O290" s="84" t="s">
        <v>1073</v>
      </c>
    </row>
    <row r="291" spans="1:17" ht="14.25" x14ac:dyDescent="0.2">
      <c r="A291" s="132" t="s">
        <v>1064</v>
      </c>
      <c r="B291" s="133"/>
      <c r="C291" s="133"/>
      <c r="D291" s="133"/>
      <c r="E291" s="133"/>
      <c r="F291" s="133"/>
    </row>
    <row r="292" spans="1:17" ht="42.75" x14ac:dyDescent="0.2">
      <c r="A292" s="85" t="s">
        <v>870</v>
      </c>
      <c r="B292" s="42" t="s">
        <v>872</v>
      </c>
      <c r="C292" s="42" t="s">
        <v>652</v>
      </c>
      <c r="D292" s="43">
        <f>ROUND(SUMIF(RV_DATA!W297:'RV_DATA'!W322, 1834385349, RV_DATA!I297:'RV_DATA'!I322), 6)</f>
        <v>266.57459999999998</v>
      </c>
      <c r="E292" s="72">
        <f>ROUND(RV_DATA!N305, 6)</f>
        <v>535.48</v>
      </c>
      <c r="F292" s="72">
        <f>ROUND(SUMIF(RV_DATA!W297:'RV_DATA'!W322, 1834385349, RV_DATA!O297:'RV_DATA'!O322), 6)</f>
        <v>142745.37</v>
      </c>
      <c r="Q292">
        <v>2</v>
      </c>
    </row>
    <row r="293" spans="1:17" ht="28.5" x14ac:dyDescent="0.2">
      <c r="A293" s="85" t="s">
        <v>680</v>
      </c>
      <c r="B293" s="42" t="s">
        <v>682</v>
      </c>
      <c r="C293" s="42" t="s">
        <v>652</v>
      </c>
      <c r="D293" s="43">
        <f>ROUND(SUMIF(RV_DATA!W297:'RV_DATA'!W322, 152859303, RV_DATA!I297:'RV_DATA'!I322), 6)</f>
        <v>12.972</v>
      </c>
      <c r="E293" s="72">
        <f>ROUND(RV_DATA!N304, 6)</f>
        <v>721.25</v>
      </c>
      <c r="F293" s="72">
        <f>ROUND(SUMIF(RV_DATA!W297:'RV_DATA'!W322, 152859303, RV_DATA!O297:'RV_DATA'!O322), 6)</f>
        <v>9366.9699999999993</v>
      </c>
      <c r="Q293">
        <v>2</v>
      </c>
    </row>
    <row r="294" spans="1:17" ht="14.25" x14ac:dyDescent="0.2">
      <c r="A294" s="85" t="s">
        <v>873</v>
      </c>
      <c r="B294" s="42" t="s">
        <v>875</v>
      </c>
      <c r="C294" s="42" t="s">
        <v>652</v>
      </c>
      <c r="D294" s="43">
        <f>ROUND(SUMIF(RV_DATA!W297:'RV_DATA'!W322, -1121222194, RV_DATA!I297:'RV_DATA'!I322), 6)</f>
        <v>60.968400000000003</v>
      </c>
      <c r="E294" s="72">
        <f>ROUND(RV_DATA!N303, 6)</f>
        <v>32.119999999999997</v>
      </c>
      <c r="F294" s="72">
        <f>ROUND(SUMIF(RV_DATA!W297:'RV_DATA'!W322, -1121222194, RV_DATA!O297:'RV_DATA'!O322), 6)</f>
        <v>1959.7</v>
      </c>
      <c r="Q294">
        <v>2</v>
      </c>
    </row>
    <row r="295" spans="1:17" ht="28.5" x14ac:dyDescent="0.2">
      <c r="A295" s="85" t="s">
        <v>876</v>
      </c>
      <c r="B295" s="42" t="s">
        <v>878</v>
      </c>
      <c r="C295" s="42" t="s">
        <v>652</v>
      </c>
      <c r="D295" s="43">
        <f>ROUND(SUMIF(RV_DATA!W297:'RV_DATA'!W322, -324285623, RV_DATA!I297:'RV_DATA'!I322), 6)</f>
        <v>0.64859999999999995</v>
      </c>
      <c r="E295" s="72">
        <f>ROUND(RV_DATA!N302, 6)</f>
        <v>620.52</v>
      </c>
      <c r="F295" s="72">
        <f>ROUND(SUMIF(RV_DATA!W297:'RV_DATA'!W322, -324285623, RV_DATA!O297:'RV_DATA'!O322), 6)</f>
        <v>403.22</v>
      </c>
      <c r="Q295">
        <v>2</v>
      </c>
    </row>
    <row r="296" spans="1:17" ht="28.5" x14ac:dyDescent="0.2">
      <c r="A296" s="85" t="s">
        <v>879</v>
      </c>
      <c r="B296" s="42" t="s">
        <v>881</v>
      </c>
      <c r="C296" s="42" t="s">
        <v>652</v>
      </c>
      <c r="D296" s="43">
        <f>ROUND(SUMIF(RV_DATA!W297:'RV_DATA'!W322, -1313029091, RV_DATA!I297:'RV_DATA'!I322), 6)</f>
        <v>266.57459999999998</v>
      </c>
      <c r="E296" s="72">
        <f>ROUND(RV_DATA!N301, 6)</f>
        <v>466.63</v>
      </c>
      <c r="F296" s="72">
        <f>ROUND(SUMIF(RV_DATA!W297:'RV_DATA'!W322, -1313029091, RV_DATA!O297:'RV_DATA'!O322), 6)</f>
        <v>124398.59</v>
      </c>
      <c r="Q296">
        <v>2</v>
      </c>
    </row>
    <row r="297" spans="1:17" ht="14.25" x14ac:dyDescent="0.2">
      <c r="A297" s="85" t="s">
        <v>674</v>
      </c>
      <c r="B297" s="42" t="s">
        <v>675</v>
      </c>
      <c r="C297" s="42" t="s">
        <v>676</v>
      </c>
      <c r="D297" s="43">
        <f>ROUND(SUMIF(RV_DATA!W297:'RV_DATA'!W322, 54769220, RV_DATA!I297:'RV_DATA'!I322), 6)</f>
        <v>3.2429999999999999</v>
      </c>
      <c r="E297" s="72">
        <f>ROUND(RV_DATA!N308, 6)</f>
        <v>1</v>
      </c>
      <c r="F297" s="72">
        <f>ROUND(SUMIF(RV_DATA!W297:'RV_DATA'!W322, 54769220, RV_DATA!O297:'RV_DATA'!O322), 6)</f>
        <v>3.24</v>
      </c>
      <c r="Q297">
        <v>2</v>
      </c>
    </row>
    <row r="298" spans="1:17" ht="15" x14ac:dyDescent="0.25">
      <c r="A298" s="134" t="s">
        <v>1065</v>
      </c>
      <c r="B298" s="134"/>
      <c r="C298" s="134"/>
      <c r="D298" s="134"/>
      <c r="E298" s="135">
        <f>SUMIF(Q292:Q297, 2, F292:F297)</f>
        <v>278877.08999999997</v>
      </c>
      <c r="F298" s="134"/>
    </row>
    <row r="299" spans="1:17" ht="14.25" x14ac:dyDescent="0.2">
      <c r="A299" s="132" t="s">
        <v>1066</v>
      </c>
      <c r="B299" s="133"/>
      <c r="C299" s="133"/>
      <c r="D299" s="133"/>
      <c r="E299" s="133"/>
      <c r="F299" s="133"/>
    </row>
    <row r="300" spans="1:17" ht="14.25" x14ac:dyDescent="0.2">
      <c r="A300" s="85" t="s">
        <v>882</v>
      </c>
      <c r="B300" s="42" t="s">
        <v>884</v>
      </c>
      <c r="C300" s="42" t="s">
        <v>51</v>
      </c>
      <c r="D300" s="43">
        <f>ROUND(SUMIF(RV_DATA!W297:'RV_DATA'!W322, -755734467, RV_DATA!I297:'RV_DATA'!I322), 6)</f>
        <v>0.20430899999999999</v>
      </c>
      <c r="E300" s="72">
        <f>ROUND(RV_DATA!N300, 6)</f>
        <v>349096.93</v>
      </c>
      <c r="F300" s="72">
        <f>ROUND(SUMIF(RV_DATA!W297:'RV_DATA'!W322, -755734467, RV_DATA!O297:'RV_DATA'!O322), 6)</f>
        <v>71331.759999999995</v>
      </c>
      <c r="Q300">
        <v>3</v>
      </c>
    </row>
    <row r="301" spans="1:17" ht="57" x14ac:dyDescent="0.2">
      <c r="A301" s="85" t="s">
        <v>885</v>
      </c>
      <c r="B301" s="42" t="s">
        <v>887</v>
      </c>
      <c r="C301" s="42" t="s">
        <v>300</v>
      </c>
      <c r="D301" s="43">
        <f>ROUND(SUMIF(RV_DATA!W297:'RV_DATA'!W322, -507477228, RV_DATA!I297:'RV_DATA'!I322), 6)</f>
        <v>29284.29</v>
      </c>
      <c r="E301" s="72">
        <f>ROUND(RV_DATA!N299, 6)</f>
        <v>188.83</v>
      </c>
      <c r="F301" s="72">
        <f>ROUND(SUMIF(RV_DATA!W297:'RV_DATA'!W322, -507477228, RV_DATA!O297:'RV_DATA'!O322), 6)</f>
        <v>5529873.4199999999</v>
      </c>
      <c r="Q301">
        <v>3</v>
      </c>
    </row>
    <row r="302" spans="1:17" ht="28.5" x14ac:dyDescent="0.2">
      <c r="A302" s="85" t="s">
        <v>611</v>
      </c>
      <c r="B302" s="42" t="s">
        <v>612</v>
      </c>
      <c r="C302" s="42" t="s">
        <v>300</v>
      </c>
      <c r="D302" s="43">
        <f>ROUND(SUMIF(RV_DATA!W297:'RV_DATA'!W322, 1266083808, RV_DATA!I297:'RV_DATA'!I322), 6)</f>
        <v>71410.86</v>
      </c>
      <c r="E302" s="72">
        <f>ROUND(RV_DATA!N306, 6)</f>
        <v>17.544599999999999</v>
      </c>
      <c r="F302" s="72">
        <f>ROUND(SUMIF(RV_DATA!W297:'RV_DATA'!W322, 1266083808, RV_DATA!O297:'RV_DATA'!O322), 6)</f>
        <v>1252874.98</v>
      </c>
      <c r="Q302">
        <v>3</v>
      </c>
    </row>
    <row r="303" spans="1:17" ht="28.5" x14ac:dyDescent="0.2">
      <c r="A303" s="85" t="s">
        <v>622</v>
      </c>
      <c r="B303" s="42" t="s">
        <v>623</v>
      </c>
      <c r="C303" s="42" t="s">
        <v>300</v>
      </c>
      <c r="D303" s="43">
        <f>ROUND(SUMIF(RV_DATA!W297:'RV_DATA'!W322, -1339022534, RV_DATA!I297:'RV_DATA'!I322), 6)</f>
        <v>23836.05</v>
      </c>
      <c r="E303" s="72">
        <f>ROUND(RV_DATA!N322, 6)</f>
        <v>85.556399999999996</v>
      </c>
      <c r="F303" s="72">
        <f>ROUND(SUMIF(RV_DATA!W297:'RV_DATA'!W322, -1339022534, RV_DATA!O297:'RV_DATA'!O322), 6)</f>
        <v>2039326.63</v>
      </c>
      <c r="Q303">
        <v>3</v>
      </c>
    </row>
    <row r="304" spans="1:17" ht="28.5" x14ac:dyDescent="0.2">
      <c r="A304" s="85" t="s">
        <v>888</v>
      </c>
      <c r="B304" s="42" t="s">
        <v>890</v>
      </c>
      <c r="C304" s="42" t="s">
        <v>411</v>
      </c>
      <c r="D304" s="43">
        <f>ROUND(SUMIF(RV_DATA!W297:'RV_DATA'!W322, 570592423, RV_DATA!I297:'RV_DATA'!I322), 6)</f>
        <v>363.21600000000001</v>
      </c>
      <c r="E304" s="72">
        <f>ROUND(RV_DATA!N298, 6)</f>
        <v>8.7799999999999994</v>
      </c>
      <c r="F304" s="72">
        <f>ROUND(SUMIF(RV_DATA!W297:'RV_DATA'!W322, 570592423, RV_DATA!O297:'RV_DATA'!O322), 6)</f>
        <v>3191.12</v>
      </c>
      <c r="Q304">
        <v>3</v>
      </c>
    </row>
    <row r="305" spans="1:17" ht="14.25" x14ac:dyDescent="0.2">
      <c r="A305" s="85" t="s">
        <v>738</v>
      </c>
      <c r="B305" s="42" t="s">
        <v>739</v>
      </c>
      <c r="C305" s="42" t="s">
        <v>676</v>
      </c>
      <c r="D305" s="43">
        <f>ROUND(SUMIF(RV_DATA!W297:'RV_DATA'!W322, -1341645062, RV_DATA!I297:'RV_DATA'!I322), 6)</f>
        <v>0.64859999999999995</v>
      </c>
      <c r="E305" s="72">
        <f>ROUND(RV_DATA!N297, 6)</f>
        <v>1</v>
      </c>
      <c r="F305" s="72">
        <f>ROUND(SUMIF(RV_DATA!W297:'RV_DATA'!W322, -1341645062, RV_DATA!O297:'RV_DATA'!O322), 6)</f>
        <v>0.64</v>
      </c>
      <c r="Q305">
        <v>3</v>
      </c>
    </row>
    <row r="306" spans="1:17" ht="15" x14ac:dyDescent="0.25">
      <c r="A306" s="134" t="s">
        <v>1067</v>
      </c>
      <c r="B306" s="134"/>
      <c r="C306" s="134"/>
      <c r="D306" s="134"/>
      <c r="E306" s="135">
        <f>SUMIF(Q300:Q305, 3, F300:F305)</f>
        <v>8896598.5499999989</v>
      </c>
      <c r="F306" s="134"/>
    </row>
    <row r="307" spans="1:17" ht="16.5" x14ac:dyDescent="0.2">
      <c r="A307" s="130" t="str">
        <f>CONCATENATE("Раздел: ",IF(Source!G1340&lt;&gt;"Новый раздел", Source!G1340, ""))</f>
        <v>Раздел: 54. Облицовка подпорной стенки мраморной штукатуркой</v>
      </c>
      <c r="B307" s="131"/>
      <c r="C307" s="131"/>
      <c r="D307" s="131"/>
      <c r="E307" s="131"/>
      <c r="F307" s="131"/>
    </row>
    <row r="308" spans="1:17" ht="14.25" x14ac:dyDescent="0.2">
      <c r="A308" s="132" t="s">
        <v>1064</v>
      </c>
      <c r="B308" s="133"/>
      <c r="C308" s="133"/>
      <c r="D308" s="133"/>
      <c r="E308" s="133"/>
      <c r="F308" s="133"/>
    </row>
    <row r="309" spans="1:17" ht="28.5" x14ac:dyDescent="0.2">
      <c r="A309" s="85" t="s">
        <v>789</v>
      </c>
      <c r="B309" s="42" t="s">
        <v>791</v>
      </c>
      <c r="C309" s="42" t="s">
        <v>652</v>
      </c>
      <c r="D309" s="43">
        <f>ROUND(SUMIF(RV_DATA!W324:'RV_DATA'!W329, 14036318, RV_DATA!I324:'RV_DATA'!I329), 6)</f>
        <v>0.96</v>
      </c>
      <c r="E309" s="72">
        <f>ROUND(RV_DATA!N326, 6)</f>
        <v>655.48</v>
      </c>
      <c r="F309" s="72">
        <f>ROUND(SUMIF(RV_DATA!W324:'RV_DATA'!W329, 14036318, RV_DATA!O324:'RV_DATA'!O329), 6)</f>
        <v>601</v>
      </c>
      <c r="Q309">
        <v>2</v>
      </c>
    </row>
    <row r="310" spans="1:17" ht="14.25" x14ac:dyDescent="0.2">
      <c r="A310" s="85" t="s">
        <v>674</v>
      </c>
      <c r="B310" s="42" t="s">
        <v>675</v>
      </c>
      <c r="C310" s="42" t="s">
        <v>676</v>
      </c>
      <c r="D310" s="43">
        <f>ROUND(SUMIF(RV_DATA!W324:'RV_DATA'!W329, 1832560717, RV_DATA!I324:'RV_DATA'!I329), 6)</f>
        <v>7.74</v>
      </c>
      <c r="E310" s="72">
        <f>ROUND(RV_DATA!N325, 6)</f>
        <v>1.05</v>
      </c>
      <c r="F310" s="72">
        <f>ROUND(SUMIF(RV_DATA!W324:'RV_DATA'!W329, 1832560717, RV_DATA!O324:'RV_DATA'!O329), 6)</f>
        <v>7.74</v>
      </c>
      <c r="Q310">
        <v>2</v>
      </c>
    </row>
    <row r="311" spans="1:17" ht="15" x14ac:dyDescent="0.25">
      <c r="A311" s="134" t="s">
        <v>1065</v>
      </c>
      <c r="B311" s="134"/>
      <c r="C311" s="134"/>
      <c r="D311" s="134"/>
      <c r="E311" s="135">
        <f>SUMIF(Q309:Q310, 2, F309:F310)</f>
        <v>608.74</v>
      </c>
      <c r="F311" s="134"/>
    </row>
    <row r="312" spans="1:17" ht="14.25" x14ac:dyDescent="0.2">
      <c r="A312" s="132" t="s">
        <v>1066</v>
      </c>
      <c r="B312" s="133"/>
      <c r="C312" s="133"/>
      <c r="D312" s="133"/>
      <c r="E312" s="133"/>
      <c r="F312" s="133"/>
    </row>
    <row r="313" spans="1:17" ht="14.25" x14ac:dyDescent="0.2">
      <c r="A313" s="85" t="s">
        <v>467</v>
      </c>
      <c r="B313" s="42" t="s">
        <v>468</v>
      </c>
      <c r="C313" s="42" t="s">
        <v>66</v>
      </c>
      <c r="D313" s="43">
        <f>ROUND(SUMIF(RV_DATA!W324:'RV_DATA'!W329, 639826957, RV_DATA!I324:'RV_DATA'!I329), 6)</f>
        <v>5.7119999999999997E-2</v>
      </c>
      <c r="E313" s="72">
        <f>ROUND(RV_DATA!N327, 6)</f>
        <v>35.279299999999999</v>
      </c>
      <c r="F313" s="72">
        <f>ROUND(SUMIF(RV_DATA!W324:'RV_DATA'!W329, 639826957, RV_DATA!O324:'RV_DATA'!O329), 6)</f>
        <v>2.02</v>
      </c>
      <c r="Q313">
        <v>3</v>
      </c>
    </row>
    <row r="314" spans="1:17" ht="28.5" x14ac:dyDescent="0.2">
      <c r="A314" s="85" t="s">
        <v>475</v>
      </c>
      <c r="B314" s="42" t="s">
        <v>476</v>
      </c>
      <c r="C314" s="42" t="s">
        <v>66</v>
      </c>
      <c r="D314" s="43">
        <f>ROUND(SUMIF(RV_DATA!W324:'RV_DATA'!W329, 1528165081, RV_DATA!I324:'RV_DATA'!I329), 6)</f>
        <v>0.81599999999999995</v>
      </c>
      <c r="E314" s="72">
        <f>ROUND(RV_DATA!N329, 6)</f>
        <v>3222.5061000000001</v>
      </c>
      <c r="F314" s="72">
        <f>ROUND(SUMIF(RV_DATA!W324:'RV_DATA'!W329, 1528165081, RV_DATA!O324:'RV_DATA'!O329), 6)</f>
        <v>2629.56</v>
      </c>
      <c r="Q314">
        <v>3</v>
      </c>
    </row>
    <row r="315" spans="1:17" ht="85.5" x14ac:dyDescent="0.2">
      <c r="A315" s="85" t="s">
        <v>632</v>
      </c>
      <c r="B315" s="42" t="s">
        <v>633</v>
      </c>
      <c r="C315" s="42" t="s">
        <v>51</v>
      </c>
      <c r="D315" s="43">
        <f>ROUND(SUMIF(RV_DATA!W324:'RV_DATA'!W329, -465242969, RV_DATA!I324:'RV_DATA'!I329), 6)</f>
        <v>0.32640000000000002</v>
      </c>
      <c r="E315" s="72">
        <f>ROUND(RV_DATA!N328, 6)</f>
        <v>33540.769399999997</v>
      </c>
      <c r="F315" s="72">
        <f>ROUND(SUMIF(RV_DATA!W324:'RV_DATA'!W329, -465242969, RV_DATA!O324:'RV_DATA'!O329), 6)</f>
        <v>10947.71</v>
      </c>
      <c r="Q315">
        <v>3</v>
      </c>
    </row>
    <row r="316" spans="1:17" ht="14.25" x14ac:dyDescent="0.2">
      <c r="A316" s="85" t="s">
        <v>738</v>
      </c>
      <c r="B316" s="42" t="s">
        <v>739</v>
      </c>
      <c r="C316" s="42" t="s">
        <v>676</v>
      </c>
      <c r="D316" s="43">
        <f>ROUND(SUMIF(RV_DATA!W324:'RV_DATA'!W329, -1341645062, RV_DATA!I324:'RV_DATA'!I329), 6)</f>
        <v>0.56399999999999995</v>
      </c>
      <c r="E316" s="72">
        <f>ROUND(RV_DATA!N324, 6)</f>
        <v>1</v>
      </c>
      <c r="F316" s="72">
        <f>ROUND(SUMIF(RV_DATA!W324:'RV_DATA'!W329, -1341645062, RV_DATA!O324:'RV_DATA'!O329), 6)</f>
        <v>0.56000000000000005</v>
      </c>
      <c r="Q316">
        <v>3</v>
      </c>
    </row>
  </sheetData>
  <sortState ref="A329:R332">
    <sortCondition ref="A329"/>
  </sortState>
  <mergeCells count="129">
    <mergeCell ref="A2:F2"/>
    <mergeCell ref="A3:F3"/>
    <mergeCell ref="A4:A6"/>
    <mergeCell ref="B4:B6"/>
    <mergeCell ref="C4:C6"/>
    <mergeCell ref="D4:D6"/>
    <mergeCell ref="E4:F5"/>
    <mergeCell ref="A39:D39"/>
    <mergeCell ref="E39:F39"/>
    <mergeCell ref="A40:F40"/>
    <mergeCell ref="A41:F41"/>
    <mergeCell ref="A53:D53"/>
    <mergeCell ref="E53:F53"/>
    <mergeCell ref="A8:F8"/>
    <mergeCell ref="A9:F9"/>
    <mergeCell ref="A10:F10"/>
    <mergeCell ref="A31:D31"/>
    <mergeCell ref="E31:F31"/>
    <mergeCell ref="A32:F32"/>
    <mergeCell ref="A64:D64"/>
    <mergeCell ref="E64:F64"/>
    <mergeCell ref="A65:F65"/>
    <mergeCell ref="A69:D69"/>
    <mergeCell ref="E69:F69"/>
    <mergeCell ref="A70:F70"/>
    <mergeCell ref="A54:F54"/>
    <mergeCell ref="A60:D60"/>
    <mergeCell ref="E60:F60"/>
    <mergeCell ref="A61:F61"/>
    <mergeCell ref="A62:F62"/>
    <mergeCell ref="A90:F90"/>
    <mergeCell ref="A91:F91"/>
    <mergeCell ref="A100:D100"/>
    <mergeCell ref="E100:F100"/>
    <mergeCell ref="A101:F101"/>
    <mergeCell ref="A109:D109"/>
    <mergeCell ref="E109:F109"/>
    <mergeCell ref="A71:F71"/>
    <mergeCell ref="A82:D82"/>
    <mergeCell ref="E82:F82"/>
    <mergeCell ref="A83:F83"/>
    <mergeCell ref="A89:D89"/>
    <mergeCell ref="E89:F89"/>
    <mergeCell ref="A121:D121"/>
    <mergeCell ref="E121:F121"/>
    <mergeCell ref="A122:F122"/>
    <mergeCell ref="A123:F123"/>
    <mergeCell ref="A129:D129"/>
    <mergeCell ref="E129:F129"/>
    <mergeCell ref="A110:F110"/>
    <mergeCell ref="A111:F111"/>
    <mergeCell ref="A116:D116"/>
    <mergeCell ref="E116:F116"/>
    <mergeCell ref="A117:F117"/>
    <mergeCell ref="A137:F137"/>
    <mergeCell ref="A143:D143"/>
    <mergeCell ref="E143:F143"/>
    <mergeCell ref="A144:F144"/>
    <mergeCell ref="A150:D150"/>
    <mergeCell ref="E150:F150"/>
    <mergeCell ref="A130:F130"/>
    <mergeCell ref="A135:D135"/>
    <mergeCell ref="E135:F135"/>
    <mergeCell ref="A136:F136"/>
    <mergeCell ref="A161:F161"/>
    <mergeCell ref="A162:F162"/>
    <mergeCell ref="A178:D178"/>
    <mergeCell ref="E178:F178"/>
    <mergeCell ref="A179:F179"/>
    <mergeCell ref="A187:D187"/>
    <mergeCell ref="E187:F187"/>
    <mergeCell ref="A151:F151"/>
    <mergeCell ref="A152:F152"/>
    <mergeCell ref="A160:D160"/>
    <mergeCell ref="E160:F160"/>
    <mergeCell ref="A209:F209"/>
    <mergeCell ref="A210:F210"/>
    <mergeCell ref="A216:D216"/>
    <mergeCell ref="E216:F216"/>
    <mergeCell ref="A217:F217"/>
    <mergeCell ref="A188:F188"/>
    <mergeCell ref="A189:F189"/>
    <mergeCell ref="A199:D199"/>
    <mergeCell ref="E199:F199"/>
    <mergeCell ref="A200:F200"/>
    <mergeCell ref="A208:D208"/>
    <mergeCell ref="E208:F208"/>
    <mergeCell ref="A233:F233"/>
    <mergeCell ref="A237:D237"/>
    <mergeCell ref="E237:F237"/>
    <mergeCell ref="A228:D228"/>
    <mergeCell ref="E228:F228"/>
    <mergeCell ref="A229:F229"/>
    <mergeCell ref="A230:F230"/>
    <mergeCell ref="A232:D232"/>
    <mergeCell ref="E232:F232"/>
    <mergeCell ref="A265:F265"/>
    <mergeCell ref="A266:F266"/>
    <mergeCell ref="A268:D268"/>
    <mergeCell ref="E268:F268"/>
    <mergeCell ref="A238:F238"/>
    <mergeCell ref="A239:F239"/>
    <mergeCell ref="A248:D248"/>
    <mergeCell ref="E248:F248"/>
    <mergeCell ref="A249:F249"/>
    <mergeCell ref="A264:D264"/>
    <mergeCell ref="E264:F264"/>
    <mergeCell ref="A282:F282"/>
    <mergeCell ref="A289:D289"/>
    <mergeCell ref="E289:F289"/>
    <mergeCell ref="A290:F290"/>
    <mergeCell ref="A269:F269"/>
    <mergeCell ref="A275:D275"/>
    <mergeCell ref="E275:F275"/>
    <mergeCell ref="A276:F276"/>
    <mergeCell ref="A277:F277"/>
    <mergeCell ref="A281:D281"/>
    <mergeCell ref="E281:F281"/>
    <mergeCell ref="A307:F307"/>
    <mergeCell ref="A308:F308"/>
    <mergeCell ref="A311:D311"/>
    <mergeCell ref="E311:F311"/>
    <mergeCell ref="A312:F312"/>
    <mergeCell ref="A291:F291"/>
    <mergeCell ref="A298:D298"/>
    <mergeCell ref="E298:F298"/>
    <mergeCell ref="A299:F299"/>
    <mergeCell ref="A306:D306"/>
    <mergeCell ref="E306:F306"/>
  </mergeCells>
  <pageMargins left="0.6" right="0.4" top="0.65" bottom="0.4" header="0.4" footer="0.4"/>
  <pageSetup paperSize="9" scale="96" fitToHeight="0" orientation="portrait" verticalDpi="0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584"/>
  <sheetViews>
    <sheetView topLeftCell="A769" workbookViewId="0">
      <selection activeCell="I783" sqref="I78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35366</v>
      </c>
      <c r="M1">
        <v>10</v>
      </c>
      <c r="N1">
        <v>11</v>
      </c>
      <c r="O1">
        <v>0</v>
      </c>
      <c r="P1">
        <v>0</v>
      </c>
      <c r="Q1">
        <v>6</v>
      </c>
    </row>
    <row r="12" spans="1:133" x14ac:dyDescent="0.2">
      <c r="A12" s="1">
        <v>1</v>
      </c>
      <c r="B12" s="1">
        <v>1579</v>
      </c>
      <c r="C12" s="1">
        <v>0</v>
      </c>
      <c r="D12" s="1">
        <f>ROW(A1544)</f>
        <v>1544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157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16785416</v>
      </c>
      <c r="CI12" s="1" t="s">
        <v>3</v>
      </c>
      <c r="CJ12" s="1" t="s">
        <v>3</v>
      </c>
      <c r="CK12" s="1">
        <v>58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B1544</f>
        <v>1579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объект_(Копия)</v>
      </c>
      <c r="G18" s="2" t="str">
        <f t="shared" si="0"/>
        <v>5.03.2021_КВАРТАЛ Таганка  без грунта</v>
      </c>
      <c r="H18" s="2"/>
      <c r="I18" s="2"/>
      <c r="J18" s="2"/>
      <c r="K18" s="2"/>
      <c r="L18" s="2"/>
      <c r="M18" s="2"/>
      <c r="N18" s="2"/>
      <c r="O18" s="2">
        <f t="shared" ref="O18:AT18" si="1">O1544</f>
        <v>40803235.710000001</v>
      </c>
      <c r="P18" s="2">
        <f t="shared" si="1"/>
        <v>28115563.460000001</v>
      </c>
      <c r="Q18" s="2">
        <f t="shared" si="1"/>
        <v>2984277.57</v>
      </c>
      <c r="R18" s="2">
        <f t="shared" si="1"/>
        <v>1288867.77</v>
      </c>
      <c r="S18" s="2">
        <f t="shared" si="1"/>
        <v>9703394.6799999997</v>
      </c>
      <c r="T18" s="2">
        <f t="shared" si="1"/>
        <v>0</v>
      </c>
      <c r="U18" s="2">
        <f t="shared" si="1"/>
        <v>35964.222826878162</v>
      </c>
      <c r="V18" s="2">
        <f t="shared" si="1"/>
        <v>0</v>
      </c>
      <c r="W18" s="2">
        <f t="shared" si="1"/>
        <v>0</v>
      </c>
      <c r="X18" s="2">
        <f t="shared" si="1"/>
        <v>9693116.6199999992</v>
      </c>
      <c r="Y18" s="2">
        <f t="shared" si="1"/>
        <v>4458728.57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56978603.32</v>
      </c>
      <c r="AS18" s="2">
        <f t="shared" si="1"/>
        <v>56978603.32</v>
      </c>
      <c r="AT18" s="2">
        <f t="shared" si="1"/>
        <v>0</v>
      </c>
      <c r="AU18" s="2">
        <f t="shared" ref="AU18:BZ18" si="2">AU1544</f>
        <v>0</v>
      </c>
      <c r="AV18" s="2">
        <f t="shared" si="2"/>
        <v>28115563.460000001</v>
      </c>
      <c r="AW18" s="2">
        <f t="shared" si="2"/>
        <v>28115563.460000001</v>
      </c>
      <c r="AX18" s="2">
        <f t="shared" si="2"/>
        <v>0</v>
      </c>
      <c r="AY18" s="2">
        <f t="shared" si="2"/>
        <v>28115563.460000001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CA1544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DG1544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EM1544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FS1544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ROW(A1514)</f>
        <v>1514</v>
      </c>
      <c r="E20" s="1"/>
      <c r="F20" s="1" t="s">
        <v>12</v>
      </c>
      <c r="G20" s="1" t="s">
        <v>12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</row>
    <row r="22" spans="1:245" x14ac:dyDescent="0.2">
      <c r="A22" s="2">
        <v>52</v>
      </c>
      <c r="B22" s="2">
        <f t="shared" ref="B22:G22" si="7">B1514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Новая локальная смета</v>
      </c>
      <c r="H22" s="2"/>
      <c r="I22" s="2"/>
      <c r="J22" s="2"/>
      <c r="K22" s="2"/>
      <c r="L22" s="2"/>
      <c r="M22" s="2"/>
      <c r="N22" s="2"/>
      <c r="O22" s="2">
        <f t="shared" ref="O22:AT22" si="8">O1514</f>
        <v>40803235.710000001</v>
      </c>
      <c r="P22" s="2">
        <f t="shared" si="8"/>
        <v>28115563.460000001</v>
      </c>
      <c r="Q22" s="2">
        <f t="shared" si="8"/>
        <v>2984277.57</v>
      </c>
      <c r="R22" s="2">
        <f t="shared" si="8"/>
        <v>1288867.77</v>
      </c>
      <c r="S22" s="2">
        <f t="shared" si="8"/>
        <v>9703394.6799999997</v>
      </c>
      <c r="T22" s="2">
        <f t="shared" si="8"/>
        <v>0</v>
      </c>
      <c r="U22" s="2">
        <f t="shared" si="8"/>
        <v>35964.222826878162</v>
      </c>
      <c r="V22" s="2">
        <f t="shared" si="8"/>
        <v>0</v>
      </c>
      <c r="W22" s="2">
        <f t="shared" si="8"/>
        <v>0</v>
      </c>
      <c r="X22" s="2">
        <f t="shared" si="8"/>
        <v>9693116.6199999992</v>
      </c>
      <c r="Y22" s="2">
        <f t="shared" si="8"/>
        <v>4458728.57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56978603.32</v>
      </c>
      <c r="AS22" s="2">
        <f t="shared" si="8"/>
        <v>56978603.32</v>
      </c>
      <c r="AT22" s="2">
        <f t="shared" si="8"/>
        <v>0</v>
      </c>
      <c r="AU22" s="2">
        <f t="shared" ref="AU22:BZ22" si="9">AU1514</f>
        <v>0</v>
      </c>
      <c r="AV22" s="2">
        <f t="shared" si="9"/>
        <v>28115563.460000001</v>
      </c>
      <c r="AW22" s="2">
        <f t="shared" si="9"/>
        <v>28115563.460000001</v>
      </c>
      <c r="AX22" s="2">
        <f t="shared" si="9"/>
        <v>0</v>
      </c>
      <c r="AY22" s="2">
        <f t="shared" si="9"/>
        <v>28115563.460000001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CA1514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DG1514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EM1514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FS1514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ROW(A42)</f>
        <v>42</v>
      </c>
      <c r="E24" s="1"/>
      <c r="F24" s="1" t="s">
        <v>13</v>
      </c>
      <c r="G24" s="1" t="s">
        <v>14</v>
      </c>
      <c r="H24" s="1" t="s">
        <v>3</v>
      </c>
      <c r="I24" s="1">
        <v>0</v>
      </c>
      <c r="J24" s="1"/>
      <c r="K24" s="1">
        <v>-1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B42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1.1. Текущий ремонт мелкозернистого а/б покрытия (фрезеровка) -11416 м2</v>
      </c>
      <c r="H26" s="2"/>
      <c r="I26" s="2"/>
      <c r="J26" s="2"/>
      <c r="K26" s="2"/>
      <c r="L26" s="2"/>
      <c r="M26" s="2"/>
      <c r="N26" s="2"/>
      <c r="O26" s="2">
        <f t="shared" ref="O26:AT26" si="15">O42</f>
        <v>7039877.7400000002</v>
      </c>
      <c r="P26" s="2">
        <f t="shared" si="15"/>
        <v>4806441.46</v>
      </c>
      <c r="Q26" s="2">
        <f t="shared" si="15"/>
        <v>1633118.25</v>
      </c>
      <c r="R26" s="2">
        <f t="shared" si="15"/>
        <v>543444.24</v>
      </c>
      <c r="S26" s="2">
        <f t="shared" si="15"/>
        <v>600318.03</v>
      </c>
      <c r="T26" s="2">
        <f t="shared" si="15"/>
        <v>0</v>
      </c>
      <c r="U26" s="2">
        <f t="shared" si="15"/>
        <v>2156.0584762312001</v>
      </c>
      <c r="V26" s="2">
        <f t="shared" si="15"/>
        <v>0</v>
      </c>
      <c r="W26" s="2">
        <f t="shared" si="15"/>
        <v>0</v>
      </c>
      <c r="X26" s="2">
        <f t="shared" si="15"/>
        <v>647711.59</v>
      </c>
      <c r="Y26" s="2">
        <f t="shared" si="15"/>
        <v>267561.53000000003</v>
      </c>
      <c r="Z26" s="2">
        <f t="shared" si="15"/>
        <v>0</v>
      </c>
      <c r="AA26" s="2">
        <f t="shared" si="15"/>
        <v>0</v>
      </c>
      <c r="AB26" s="2">
        <f t="shared" si="15"/>
        <v>7039877.7400000002</v>
      </c>
      <c r="AC26" s="2">
        <f t="shared" si="15"/>
        <v>4806441.46</v>
      </c>
      <c r="AD26" s="2">
        <f t="shared" si="15"/>
        <v>1633118.25</v>
      </c>
      <c r="AE26" s="2">
        <f t="shared" si="15"/>
        <v>543444.24</v>
      </c>
      <c r="AF26" s="2">
        <f t="shared" si="15"/>
        <v>600318.03</v>
      </c>
      <c r="AG26" s="2">
        <f t="shared" si="15"/>
        <v>0</v>
      </c>
      <c r="AH26" s="2">
        <f t="shared" si="15"/>
        <v>2156.0584762312001</v>
      </c>
      <c r="AI26" s="2">
        <f t="shared" si="15"/>
        <v>0</v>
      </c>
      <c r="AJ26" s="2">
        <f t="shared" si="15"/>
        <v>0</v>
      </c>
      <c r="AK26" s="2">
        <f t="shared" si="15"/>
        <v>647711.59</v>
      </c>
      <c r="AL26" s="2">
        <f t="shared" si="15"/>
        <v>267561.53000000003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8808358.3100000005</v>
      </c>
      <c r="AS26" s="2">
        <f t="shared" si="15"/>
        <v>8808358.3100000005</v>
      </c>
      <c r="AT26" s="2">
        <f t="shared" si="15"/>
        <v>0</v>
      </c>
      <c r="AU26" s="2">
        <f t="shared" ref="AU26:BZ26" si="16">AU42</f>
        <v>0</v>
      </c>
      <c r="AV26" s="2">
        <f t="shared" si="16"/>
        <v>4806441.46</v>
      </c>
      <c r="AW26" s="2">
        <f t="shared" si="16"/>
        <v>4806441.46</v>
      </c>
      <c r="AX26" s="2">
        <f t="shared" si="16"/>
        <v>0</v>
      </c>
      <c r="AY26" s="2">
        <f t="shared" si="16"/>
        <v>4806441.46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CA42</f>
        <v>8808358.3100000005</v>
      </c>
      <c r="CB26" s="2">
        <f t="shared" si="17"/>
        <v>8808358.3100000005</v>
      </c>
      <c r="CC26" s="2">
        <f t="shared" si="17"/>
        <v>0</v>
      </c>
      <c r="CD26" s="2">
        <f t="shared" si="17"/>
        <v>0</v>
      </c>
      <c r="CE26" s="2">
        <f t="shared" si="17"/>
        <v>4806441.46</v>
      </c>
      <c r="CF26" s="2">
        <f t="shared" si="17"/>
        <v>4806441.46</v>
      </c>
      <c r="CG26" s="2">
        <f t="shared" si="17"/>
        <v>0</v>
      </c>
      <c r="CH26" s="2">
        <f t="shared" si="17"/>
        <v>4806441.46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DG42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EM42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FS42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>
        <v>17</v>
      </c>
      <c r="B28">
        <v>1</v>
      </c>
      <c r="C28">
        <f>ROW(SmtRes!A8)</f>
        <v>8</v>
      </c>
      <c r="D28">
        <f>ROW(EtalonRes!A8)</f>
        <v>8</v>
      </c>
      <c r="E28" t="s">
        <v>15</v>
      </c>
      <c r="F28" t="s">
        <v>16</v>
      </c>
      <c r="G28" t="s">
        <v>17</v>
      </c>
      <c r="H28" t="s">
        <v>18</v>
      </c>
      <c r="I28">
        <f>ROUND((100-100/6*2*0.2-0.033333)*11416/100/100,5)</f>
        <v>106.51128</v>
      </c>
      <c r="J28">
        <v>0</v>
      </c>
      <c r="O28">
        <f t="shared" ref="O28:O40" si="21">ROUND(CP28,2)</f>
        <v>357430.86</v>
      </c>
      <c r="P28">
        <f t="shared" ref="P28:P40" si="22">ROUND((ROUND((AC28*AW28*I28),2)*BC28),2)</f>
        <v>56344.27</v>
      </c>
      <c r="Q28">
        <f t="shared" ref="Q28:Q40" si="23">(ROUND((ROUND(((ET28)*AV28*I28),2)*BB28),2)+ROUND((ROUND(((AE28-(EU28))*AV28*I28),2)*BS28),2))</f>
        <v>276814.40000000002</v>
      </c>
      <c r="R28">
        <f t="shared" ref="R28:R40" si="24">ROUND((ROUND((AE28*AV28*I28),2)*BS28),2)</f>
        <v>53665.26</v>
      </c>
      <c r="S28">
        <f t="shared" ref="S28:S40" si="25">ROUND((ROUND((AF28*AV28*I28),2)*BA28),2)</f>
        <v>24272.19</v>
      </c>
      <c r="T28">
        <f t="shared" ref="T28:T40" si="26">ROUND(CU28*I28,2)</f>
        <v>0</v>
      </c>
      <c r="U28">
        <f t="shared" ref="U28:U40" si="27">CV28*I28</f>
        <v>84.143911200000005</v>
      </c>
      <c r="V28">
        <f t="shared" ref="V28:V40" si="28">CW28*I28</f>
        <v>0</v>
      </c>
      <c r="W28">
        <f t="shared" ref="W28:W40" si="29">ROUND(CX28*I28,2)</f>
        <v>0</v>
      </c>
      <c r="X28">
        <f t="shared" ref="X28:X40" si="30">ROUND(CY28,2)</f>
        <v>27184.85</v>
      </c>
      <c r="Y28">
        <f t="shared" ref="Y28:Y40" si="31">ROUND(CZ28,2)</f>
        <v>9951.6</v>
      </c>
      <c r="AA28">
        <v>33989672</v>
      </c>
      <c r="AB28">
        <f t="shared" ref="AB28:AB40" si="32">ROUND((AC28+AD28+AF28),6)</f>
        <v>592.76</v>
      </c>
      <c r="AC28">
        <f t="shared" ref="AC28:AC40" si="33">ROUND((ES28),6)</f>
        <v>139.21</v>
      </c>
      <c r="AD28">
        <f t="shared" ref="AD28:AD40" si="34">ROUND((((ET28)-(EU28))+AE28),6)</f>
        <v>444.26</v>
      </c>
      <c r="AE28">
        <f t="shared" ref="AE28:AE40" si="35">ROUND((EU28),6)</f>
        <v>20.54</v>
      </c>
      <c r="AF28">
        <f t="shared" ref="AF28:AF40" si="36">ROUND((EV28),6)</f>
        <v>9.2899999999999991</v>
      </c>
      <c r="AG28">
        <f t="shared" ref="AG28:AG40" si="37">ROUND((AP28),6)</f>
        <v>0</v>
      </c>
      <c r="AH28">
        <f t="shared" ref="AH28:AH40" si="38">(EW28)</f>
        <v>0.79</v>
      </c>
      <c r="AI28">
        <f t="shared" ref="AI28:AI40" si="39">(EX28)</f>
        <v>0</v>
      </c>
      <c r="AJ28">
        <f t="shared" ref="AJ28:AJ40" si="40">(AS28)</f>
        <v>0</v>
      </c>
      <c r="AK28">
        <v>592.76</v>
      </c>
      <c r="AL28">
        <v>139.21</v>
      </c>
      <c r="AM28">
        <v>444.26</v>
      </c>
      <c r="AN28">
        <v>20.54</v>
      </c>
      <c r="AO28">
        <v>9.2899999999999991</v>
      </c>
      <c r="AP28">
        <v>0</v>
      </c>
      <c r="AQ28">
        <v>0.79</v>
      </c>
      <c r="AR28">
        <v>0</v>
      </c>
      <c r="AS28">
        <v>0</v>
      </c>
      <c r="AT28">
        <v>112</v>
      </c>
      <c r="AU28">
        <v>41</v>
      </c>
      <c r="AV28">
        <v>1</v>
      </c>
      <c r="AW28">
        <v>1</v>
      </c>
      <c r="AZ28">
        <v>1</v>
      </c>
      <c r="BA28">
        <v>24.53</v>
      </c>
      <c r="BB28">
        <v>5.85</v>
      </c>
      <c r="BC28">
        <v>3.8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1</v>
      </c>
      <c r="BJ28" t="s">
        <v>19</v>
      </c>
      <c r="BM28">
        <v>1729</v>
      </c>
      <c r="BN28">
        <v>0</v>
      </c>
      <c r="BO28" t="s">
        <v>16</v>
      </c>
      <c r="BP28">
        <v>1</v>
      </c>
      <c r="BQ28">
        <v>60</v>
      </c>
      <c r="BR28">
        <v>0</v>
      </c>
      <c r="BS28">
        <v>24.53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112</v>
      </c>
      <c r="CA28">
        <v>41</v>
      </c>
      <c r="CE28">
        <v>30</v>
      </c>
      <c r="CF28">
        <v>0</v>
      </c>
      <c r="CG28">
        <v>0</v>
      </c>
      <c r="CM28">
        <v>0</v>
      </c>
      <c r="CN28" t="s">
        <v>3</v>
      </c>
      <c r="CO28">
        <v>0</v>
      </c>
      <c r="CP28">
        <f t="shared" ref="CP28:CP40" si="41">(P28+Q28+S28)</f>
        <v>357430.86000000004</v>
      </c>
      <c r="CQ28">
        <f t="shared" ref="CQ28:CQ40" si="42">ROUND((ROUND((AC28*AW28*1),2)*BC28),2)</f>
        <v>529</v>
      </c>
      <c r="CR28">
        <f t="shared" ref="CR28:CR40" si="43">(ROUND((ROUND(((ET28)*AV28*1),2)*BB28),2)+ROUND((ROUND(((AE28-(EU28))*AV28*1),2)*BS28),2))</f>
        <v>2598.92</v>
      </c>
      <c r="CS28">
        <f t="shared" ref="CS28:CS40" si="44">ROUND((ROUND((AE28*AV28*1),2)*BS28),2)</f>
        <v>503.85</v>
      </c>
      <c r="CT28">
        <f t="shared" ref="CT28:CT40" si="45">ROUND((ROUND((AF28*AV28*1),2)*BA28),2)</f>
        <v>227.88</v>
      </c>
      <c r="CU28">
        <f t="shared" ref="CU28:CU40" si="46">AG28</f>
        <v>0</v>
      </c>
      <c r="CV28">
        <f t="shared" ref="CV28:CV40" si="47">(AH28*AV28)</f>
        <v>0.79</v>
      </c>
      <c r="CW28">
        <f t="shared" ref="CW28:CW40" si="48">AI28</f>
        <v>0</v>
      </c>
      <c r="CX28">
        <f t="shared" ref="CX28:CX40" si="49">AJ28</f>
        <v>0</v>
      </c>
      <c r="CY28">
        <f t="shared" ref="CY28:CY40" si="50">S28*(BZ28/100)</f>
        <v>27184.852800000001</v>
      </c>
      <c r="CZ28">
        <f t="shared" ref="CZ28:CZ40" si="51">S28*(CA28/100)</f>
        <v>9951.5978999999988</v>
      </c>
      <c r="DC28" t="s">
        <v>3</v>
      </c>
      <c r="DD28" t="s">
        <v>3</v>
      </c>
      <c r="DE28" t="s">
        <v>3</v>
      </c>
      <c r="DF28" t="s">
        <v>3</v>
      </c>
      <c r="DG28" t="s">
        <v>3</v>
      </c>
      <c r="DH28" t="s">
        <v>3</v>
      </c>
      <c r="DI28" t="s">
        <v>3</v>
      </c>
      <c r="DJ28" t="s">
        <v>3</v>
      </c>
      <c r="DK28" t="s">
        <v>3</v>
      </c>
      <c r="DL28" t="s">
        <v>3</v>
      </c>
      <c r="DM28" t="s">
        <v>3</v>
      </c>
      <c r="DN28">
        <v>140</v>
      </c>
      <c r="DO28">
        <v>79</v>
      </c>
      <c r="DP28">
        <v>1</v>
      </c>
      <c r="DQ28">
        <v>1</v>
      </c>
      <c r="DU28">
        <v>1005</v>
      </c>
      <c r="DV28" t="s">
        <v>18</v>
      </c>
      <c r="DW28" t="s">
        <v>18</v>
      </c>
      <c r="DX28">
        <v>100</v>
      </c>
      <c r="EE28">
        <v>33799368</v>
      </c>
      <c r="EF28">
        <v>60</v>
      </c>
      <c r="EG28" t="s">
        <v>20</v>
      </c>
      <c r="EH28">
        <v>0</v>
      </c>
      <c r="EI28" t="s">
        <v>3</v>
      </c>
      <c r="EJ28">
        <v>1</v>
      </c>
      <c r="EK28">
        <v>1729</v>
      </c>
      <c r="EL28" t="s">
        <v>21</v>
      </c>
      <c r="EM28" t="s">
        <v>22</v>
      </c>
      <c r="EO28" t="s">
        <v>3</v>
      </c>
      <c r="EQ28">
        <v>131072</v>
      </c>
      <c r="ER28">
        <v>592.76</v>
      </c>
      <c r="ES28">
        <v>139.21</v>
      </c>
      <c r="ET28">
        <v>444.26</v>
      </c>
      <c r="EU28">
        <v>20.54</v>
      </c>
      <c r="EV28">
        <v>9.2899999999999991</v>
      </c>
      <c r="EW28">
        <v>0.79</v>
      </c>
      <c r="EX28">
        <v>0</v>
      </c>
      <c r="EY28">
        <v>0</v>
      </c>
      <c r="FQ28">
        <v>0</v>
      </c>
      <c r="FR28">
        <f t="shared" ref="FR28:FR40" si="52">ROUND(IF(AND(BH28=3,BI28=3),P28,0),2)</f>
        <v>0</v>
      </c>
      <c r="FS28">
        <v>0</v>
      </c>
      <c r="FX28">
        <v>140</v>
      </c>
      <c r="FY28">
        <v>79</v>
      </c>
      <c r="GA28" t="s">
        <v>3</v>
      </c>
      <c r="GD28">
        <v>0</v>
      </c>
      <c r="GF28">
        <v>-1487189265</v>
      </c>
      <c r="GG28">
        <v>2</v>
      </c>
      <c r="GH28">
        <v>1</v>
      </c>
      <c r="GI28">
        <v>2</v>
      </c>
      <c r="GJ28">
        <v>0</v>
      </c>
      <c r="GK28">
        <f>ROUND(R28*(R12)/100,2)</f>
        <v>84254.46</v>
      </c>
      <c r="GL28">
        <f t="shared" ref="GL28:GL40" si="53">ROUND(IF(AND(BH28=3,BI28=3,FS28&lt;&gt;0),P28,0),2)</f>
        <v>0</v>
      </c>
      <c r="GM28">
        <f t="shared" ref="GM28:GM40" si="54">ROUND(O28+X28+Y28+GK28,2)+GX28</f>
        <v>478821.77</v>
      </c>
      <c r="GN28">
        <f t="shared" ref="GN28:GN40" si="55">IF(OR(BI28=0,BI28=1),ROUND(O28+X28+Y28+GK28,2),0)</f>
        <v>478821.77</v>
      </c>
      <c r="GO28">
        <f t="shared" ref="GO28:GO40" si="56">IF(BI28=2,ROUND(O28+X28+Y28+GK28,2),0)</f>
        <v>0</v>
      </c>
      <c r="GP28">
        <f t="shared" ref="GP28:GP40" si="57">IF(BI28=4,ROUND(O28+X28+Y28+GK28,2)+GX28,0)</f>
        <v>0</v>
      </c>
      <c r="GR28">
        <v>0</v>
      </c>
      <c r="GS28">
        <v>3</v>
      </c>
      <c r="GT28">
        <v>0</v>
      </c>
      <c r="GU28" t="s">
        <v>3</v>
      </c>
      <c r="GV28">
        <f t="shared" ref="GV28:GV40" si="58">ROUND((GT28),6)</f>
        <v>0</v>
      </c>
      <c r="GW28">
        <v>1</v>
      </c>
      <c r="GX28">
        <f t="shared" ref="GX28:GX40" si="59">ROUND(HC28*I28,2)</f>
        <v>0</v>
      </c>
      <c r="HA28">
        <v>0</v>
      </c>
      <c r="HB28">
        <v>0</v>
      </c>
      <c r="HC28">
        <f t="shared" ref="HC28:HC40" si="60">GV28*GW28</f>
        <v>0</v>
      </c>
      <c r="IK28">
        <v>0</v>
      </c>
    </row>
    <row r="29" spans="1:245" x14ac:dyDescent="0.2">
      <c r="A29">
        <v>17</v>
      </c>
      <c r="B29">
        <v>1</v>
      </c>
      <c r="C29">
        <f>ROW(SmtRes!A12)</f>
        <v>12</v>
      </c>
      <c r="D29">
        <f>ROW(EtalonRes!A12)</f>
        <v>12</v>
      </c>
      <c r="E29" t="s">
        <v>23</v>
      </c>
      <c r="F29" t="s">
        <v>24</v>
      </c>
      <c r="G29" t="s">
        <v>25</v>
      </c>
      <c r="H29" t="s">
        <v>26</v>
      </c>
      <c r="I29">
        <f>ROUND((100/6*2/100-0.033333)*2*11416/100,5)</f>
        <v>68.496080000000006</v>
      </c>
      <c r="J29">
        <v>0</v>
      </c>
      <c r="O29">
        <f t="shared" si="21"/>
        <v>591452.92000000004</v>
      </c>
      <c r="P29">
        <f t="shared" si="22"/>
        <v>0</v>
      </c>
      <c r="Q29">
        <f t="shared" si="23"/>
        <v>386652.2</v>
      </c>
      <c r="R29">
        <f t="shared" si="24"/>
        <v>174254.5</v>
      </c>
      <c r="S29">
        <f t="shared" si="25"/>
        <v>204800.72</v>
      </c>
      <c r="T29">
        <f t="shared" si="26"/>
        <v>0</v>
      </c>
      <c r="U29">
        <f t="shared" si="27"/>
        <v>734.2779776000001</v>
      </c>
      <c r="V29">
        <f t="shared" si="28"/>
        <v>0</v>
      </c>
      <c r="W29">
        <f t="shared" si="29"/>
        <v>0</v>
      </c>
      <c r="X29">
        <f t="shared" si="30"/>
        <v>229376.81</v>
      </c>
      <c r="Y29">
        <f t="shared" si="31"/>
        <v>83968.3</v>
      </c>
      <c r="AA29">
        <v>33989672</v>
      </c>
      <c r="AB29">
        <f t="shared" si="32"/>
        <v>782.11</v>
      </c>
      <c r="AC29">
        <f t="shared" si="33"/>
        <v>0</v>
      </c>
      <c r="AD29">
        <f t="shared" si="34"/>
        <v>660.22</v>
      </c>
      <c r="AE29">
        <f t="shared" si="35"/>
        <v>103.71</v>
      </c>
      <c r="AF29">
        <f t="shared" si="36"/>
        <v>121.89</v>
      </c>
      <c r="AG29">
        <f t="shared" si="37"/>
        <v>0</v>
      </c>
      <c r="AH29">
        <f t="shared" si="38"/>
        <v>10.72</v>
      </c>
      <c r="AI29">
        <f t="shared" si="39"/>
        <v>0</v>
      </c>
      <c r="AJ29">
        <f t="shared" si="40"/>
        <v>0</v>
      </c>
      <c r="AK29">
        <v>782.11</v>
      </c>
      <c r="AL29">
        <v>0</v>
      </c>
      <c r="AM29">
        <v>660.22</v>
      </c>
      <c r="AN29">
        <v>103.71</v>
      </c>
      <c r="AO29">
        <v>121.89</v>
      </c>
      <c r="AP29">
        <v>0</v>
      </c>
      <c r="AQ29">
        <v>10.72</v>
      </c>
      <c r="AR29">
        <v>0</v>
      </c>
      <c r="AS29">
        <v>0</v>
      </c>
      <c r="AT29">
        <v>112</v>
      </c>
      <c r="AU29">
        <v>41</v>
      </c>
      <c r="AV29">
        <v>1</v>
      </c>
      <c r="AW29">
        <v>1</v>
      </c>
      <c r="AZ29">
        <v>1</v>
      </c>
      <c r="BA29">
        <v>24.53</v>
      </c>
      <c r="BB29">
        <v>8.5500000000000007</v>
      </c>
      <c r="BC29">
        <v>1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27</v>
      </c>
      <c r="BM29">
        <v>1729</v>
      </c>
      <c r="BN29">
        <v>0</v>
      </c>
      <c r="BO29" t="s">
        <v>24</v>
      </c>
      <c r="BP29">
        <v>1</v>
      </c>
      <c r="BQ29">
        <v>60</v>
      </c>
      <c r="BR29">
        <v>0</v>
      </c>
      <c r="BS29">
        <v>24.53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112</v>
      </c>
      <c r="CA29">
        <v>41</v>
      </c>
      <c r="CE29">
        <v>30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41"/>
        <v>591452.92000000004</v>
      </c>
      <c r="CQ29">
        <f t="shared" si="42"/>
        <v>0</v>
      </c>
      <c r="CR29">
        <f t="shared" si="43"/>
        <v>5644.88</v>
      </c>
      <c r="CS29">
        <f t="shared" si="44"/>
        <v>2544.0100000000002</v>
      </c>
      <c r="CT29">
        <f t="shared" si="45"/>
        <v>2989.96</v>
      </c>
      <c r="CU29">
        <f t="shared" si="46"/>
        <v>0</v>
      </c>
      <c r="CV29">
        <f t="shared" si="47"/>
        <v>10.72</v>
      </c>
      <c r="CW29">
        <f t="shared" si="48"/>
        <v>0</v>
      </c>
      <c r="CX29">
        <f t="shared" si="49"/>
        <v>0</v>
      </c>
      <c r="CY29">
        <f t="shared" si="50"/>
        <v>229376.80640000003</v>
      </c>
      <c r="CZ29">
        <f t="shared" si="51"/>
        <v>83968.295199999993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140</v>
      </c>
      <c r="DO29">
        <v>79</v>
      </c>
      <c r="DP29">
        <v>1</v>
      </c>
      <c r="DQ29">
        <v>1</v>
      </c>
      <c r="DU29">
        <v>1013</v>
      </c>
      <c r="DV29" t="s">
        <v>26</v>
      </c>
      <c r="DW29" t="s">
        <v>26</v>
      </c>
      <c r="DX29">
        <v>1</v>
      </c>
      <c r="EE29">
        <v>33799368</v>
      </c>
      <c r="EF29">
        <v>60</v>
      </c>
      <c r="EG29" t="s">
        <v>20</v>
      </c>
      <c r="EH29">
        <v>0</v>
      </c>
      <c r="EI29" t="s">
        <v>3</v>
      </c>
      <c r="EJ29">
        <v>1</v>
      </c>
      <c r="EK29">
        <v>1729</v>
      </c>
      <c r="EL29" t="s">
        <v>21</v>
      </c>
      <c r="EM29" t="s">
        <v>22</v>
      </c>
      <c r="EO29" t="s">
        <v>3</v>
      </c>
      <c r="EQ29">
        <v>131072</v>
      </c>
      <c r="ER29">
        <v>782.11</v>
      </c>
      <c r="ES29">
        <v>0</v>
      </c>
      <c r="ET29">
        <v>660.22</v>
      </c>
      <c r="EU29">
        <v>103.71</v>
      </c>
      <c r="EV29">
        <v>121.89</v>
      </c>
      <c r="EW29">
        <v>10.72</v>
      </c>
      <c r="EX29">
        <v>0</v>
      </c>
      <c r="EY29">
        <v>0</v>
      </c>
      <c r="FQ29">
        <v>0</v>
      </c>
      <c r="FR29">
        <f t="shared" si="52"/>
        <v>0</v>
      </c>
      <c r="FS29">
        <v>0</v>
      </c>
      <c r="FX29">
        <v>140</v>
      </c>
      <c r="FY29">
        <v>79</v>
      </c>
      <c r="GA29" t="s">
        <v>3</v>
      </c>
      <c r="GD29">
        <v>0</v>
      </c>
      <c r="GF29">
        <v>-476824095</v>
      </c>
      <c r="GG29">
        <v>2</v>
      </c>
      <c r="GH29">
        <v>1</v>
      </c>
      <c r="GI29">
        <v>2</v>
      </c>
      <c r="GJ29">
        <v>0</v>
      </c>
      <c r="GK29">
        <f>ROUND(R29*(R12)/100,2)</f>
        <v>273579.57</v>
      </c>
      <c r="GL29">
        <f t="shared" si="53"/>
        <v>0</v>
      </c>
      <c r="GM29">
        <f t="shared" si="54"/>
        <v>1178377.6000000001</v>
      </c>
      <c r="GN29">
        <f t="shared" si="55"/>
        <v>1178377.6000000001</v>
      </c>
      <c r="GO29">
        <f t="shared" si="56"/>
        <v>0</v>
      </c>
      <c r="GP29">
        <f t="shared" si="57"/>
        <v>0</v>
      </c>
      <c r="GR29">
        <v>0</v>
      </c>
      <c r="GS29">
        <v>3</v>
      </c>
      <c r="GT29">
        <v>0</v>
      </c>
      <c r="GU29" t="s">
        <v>3</v>
      </c>
      <c r="GV29">
        <f t="shared" si="58"/>
        <v>0</v>
      </c>
      <c r="GW29">
        <v>1</v>
      </c>
      <c r="GX29">
        <f t="shared" si="59"/>
        <v>0</v>
      </c>
      <c r="HA29">
        <v>0</v>
      </c>
      <c r="HB29">
        <v>0</v>
      </c>
      <c r="HC29">
        <f t="shared" si="60"/>
        <v>0</v>
      </c>
      <c r="IK29">
        <v>0</v>
      </c>
    </row>
    <row r="30" spans="1:245" x14ac:dyDescent="0.2">
      <c r="A30">
        <v>17</v>
      </c>
      <c r="B30">
        <v>1</v>
      </c>
      <c r="C30">
        <f>ROW(SmtRes!A17)</f>
        <v>17</v>
      </c>
      <c r="D30">
        <f>ROW(EtalonRes!A17)</f>
        <v>17</v>
      </c>
      <c r="E30" t="s">
        <v>28</v>
      </c>
      <c r="F30" t="s">
        <v>29</v>
      </c>
      <c r="G30" t="s">
        <v>30</v>
      </c>
      <c r="H30" t="s">
        <v>31</v>
      </c>
      <c r="I30">
        <f>ROUND((11416/100*0.06*0.2*100)*2/100,9)</f>
        <v>2.7398400000000001</v>
      </c>
      <c r="J30">
        <v>0</v>
      </c>
      <c r="O30">
        <f t="shared" si="21"/>
        <v>196861.36</v>
      </c>
      <c r="P30">
        <f t="shared" si="22"/>
        <v>0</v>
      </c>
      <c r="Q30">
        <f t="shared" si="23"/>
        <v>83417.22</v>
      </c>
      <c r="R30">
        <f t="shared" si="24"/>
        <v>49413.48</v>
      </c>
      <c r="S30">
        <f t="shared" si="25"/>
        <v>113444.14</v>
      </c>
      <c r="T30">
        <f t="shared" si="26"/>
        <v>0</v>
      </c>
      <c r="U30">
        <f t="shared" si="27"/>
        <v>424.67520000000002</v>
      </c>
      <c r="V30">
        <f t="shared" si="28"/>
        <v>0</v>
      </c>
      <c r="W30">
        <f t="shared" si="29"/>
        <v>0</v>
      </c>
      <c r="X30">
        <f t="shared" si="30"/>
        <v>77142.02</v>
      </c>
      <c r="Y30">
        <f t="shared" si="31"/>
        <v>46512.1</v>
      </c>
      <c r="AA30">
        <v>33989672</v>
      </c>
      <c r="AB30">
        <f t="shared" si="32"/>
        <v>4401.5</v>
      </c>
      <c r="AC30">
        <f t="shared" si="33"/>
        <v>0</v>
      </c>
      <c r="AD30">
        <f t="shared" si="34"/>
        <v>2713.55</v>
      </c>
      <c r="AE30">
        <f t="shared" si="35"/>
        <v>735.23</v>
      </c>
      <c r="AF30">
        <f t="shared" si="36"/>
        <v>1687.95</v>
      </c>
      <c r="AG30">
        <f t="shared" si="37"/>
        <v>0</v>
      </c>
      <c r="AH30">
        <f t="shared" si="38"/>
        <v>155</v>
      </c>
      <c r="AI30">
        <f t="shared" si="39"/>
        <v>0</v>
      </c>
      <c r="AJ30">
        <f t="shared" si="40"/>
        <v>0</v>
      </c>
      <c r="AK30">
        <v>4401.5</v>
      </c>
      <c r="AL30">
        <v>0</v>
      </c>
      <c r="AM30">
        <v>2713.55</v>
      </c>
      <c r="AN30">
        <v>735.23</v>
      </c>
      <c r="AO30">
        <v>1687.95</v>
      </c>
      <c r="AP30">
        <v>0</v>
      </c>
      <c r="AQ30">
        <v>155</v>
      </c>
      <c r="AR30">
        <v>0</v>
      </c>
      <c r="AS30">
        <v>0</v>
      </c>
      <c r="AT30">
        <v>68</v>
      </c>
      <c r="AU30">
        <v>41</v>
      </c>
      <c r="AV30">
        <v>1</v>
      </c>
      <c r="AW30">
        <v>1</v>
      </c>
      <c r="AZ30">
        <v>1</v>
      </c>
      <c r="BA30">
        <v>24.53</v>
      </c>
      <c r="BB30">
        <v>11.22</v>
      </c>
      <c r="BC30">
        <v>1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1</v>
      </c>
      <c r="BJ30" t="s">
        <v>32</v>
      </c>
      <c r="BM30">
        <v>674</v>
      </c>
      <c r="BN30">
        <v>0</v>
      </c>
      <c r="BO30" t="s">
        <v>29</v>
      </c>
      <c r="BP30">
        <v>1</v>
      </c>
      <c r="BQ30">
        <v>60</v>
      </c>
      <c r="BR30">
        <v>0</v>
      </c>
      <c r="BS30">
        <v>24.53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68</v>
      </c>
      <c r="CA30">
        <v>41</v>
      </c>
      <c r="CE30">
        <v>30</v>
      </c>
      <c r="CF30">
        <v>0</v>
      </c>
      <c r="CG30">
        <v>0</v>
      </c>
      <c r="CM30">
        <v>0</v>
      </c>
      <c r="CN30" t="s">
        <v>3</v>
      </c>
      <c r="CO30">
        <v>0</v>
      </c>
      <c r="CP30">
        <f t="shared" si="41"/>
        <v>196861.36</v>
      </c>
      <c r="CQ30">
        <f t="shared" si="42"/>
        <v>0</v>
      </c>
      <c r="CR30">
        <f t="shared" si="43"/>
        <v>30446.03</v>
      </c>
      <c r="CS30">
        <f t="shared" si="44"/>
        <v>18035.189999999999</v>
      </c>
      <c r="CT30">
        <f t="shared" si="45"/>
        <v>41405.410000000003</v>
      </c>
      <c r="CU30">
        <f t="shared" si="46"/>
        <v>0</v>
      </c>
      <c r="CV30">
        <f t="shared" si="47"/>
        <v>155</v>
      </c>
      <c r="CW30">
        <f t="shared" si="48"/>
        <v>0</v>
      </c>
      <c r="CX30">
        <f t="shared" si="49"/>
        <v>0</v>
      </c>
      <c r="CY30">
        <f t="shared" si="50"/>
        <v>77142.015200000009</v>
      </c>
      <c r="CZ30">
        <f t="shared" si="51"/>
        <v>46512.097399999999</v>
      </c>
      <c r="DC30" t="s">
        <v>3</v>
      </c>
      <c r="DD30" t="s">
        <v>3</v>
      </c>
      <c r="DE30" t="s">
        <v>3</v>
      </c>
      <c r="DF30" t="s">
        <v>3</v>
      </c>
      <c r="DG30" t="s">
        <v>3</v>
      </c>
      <c r="DH30" t="s">
        <v>3</v>
      </c>
      <c r="DI30" t="s">
        <v>3</v>
      </c>
      <c r="DJ30" t="s">
        <v>3</v>
      </c>
      <c r="DK30" t="s">
        <v>3</v>
      </c>
      <c r="DL30" t="s">
        <v>3</v>
      </c>
      <c r="DM30" t="s">
        <v>3</v>
      </c>
      <c r="DN30">
        <v>80</v>
      </c>
      <c r="DO30">
        <v>55</v>
      </c>
      <c r="DP30">
        <v>1</v>
      </c>
      <c r="DQ30">
        <v>1</v>
      </c>
      <c r="DU30">
        <v>1007</v>
      </c>
      <c r="DV30" t="s">
        <v>31</v>
      </c>
      <c r="DW30" t="s">
        <v>31</v>
      </c>
      <c r="DX30">
        <v>100</v>
      </c>
      <c r="EE30">
        <v>33798313</v>
      </c>
      <c r="EF30">
        <v>60</v>
      </c>
      <c r="EG30" t="s">
        <v>20</v>
      </c>
      <c r="EH30">
        <v>0</v>
      </c>
      <c r="EI30" t="s">
        <v>3</v>
      </c>
      <c r="EJ30">
        <v>1</v>
      </c>
      <c r="EK30">
        <v>674</v>
      </c>
      <c r="EL30" t="s">
        <v>33</v>
      </c>
      <c r="EM30" t="s">
        <v>34</v>
      </c>
      <c r="EO30" t="s">
        <v>3</v>
      </c>
      <c r="EQ30">
        <v>131072</v>
      </c>
      <c r="ER30">
        <v>4401.5</v>
      </c>
      <c r="ES30">
        <v>0</v>
      </c>
      <c r="ET30">
        <v>2713.55</v>
      </c>
      <c r="EU30">
        <v>735.23</v>
      </c>
      <c r="EV30">
        <v>1687.95</v>
      </c>
      <c r="EW30">
        <v>155</v>
      </c>
      <c r="EX30">
        <v>0</v>
      </c>
      <c r="EY30">
        <v>0</v>
      </c>
      <c r="FQ30">
        <v>0</v>
      </c>
      <c r="FR30">
        <f t="shared" si="52"/>
        <v>0</v>
      </c>
      <c r="FS30">
        <v>0</v>
      </c>
      <c r="FX30">
        <v>80</v>
      </c>
      <c r="FY30">
        <v>55</v>
      </c>
      <c r="GA30" t="s">
        <v>3</v>
      </c>
      <c r="GD30">
        <v>0</v>
      </c>
      <c r="GF30">
        <v>462798223</v>
      </c>
      <c r="GG30">
        <v>2</v>
      </c>
      <c r="GH30">
        <v>1</v>
      </c>
      <c r="GI30">
        <v>2</v>
      </c>
      <c r="GJ30">
        <v>0</v>
      </c>
      <c r="GK30">
        <f>ROUND(R30*(R12)/100,2)</f>
        <v>77579.16</v>
      </c>
      <c r="GL30">
        <f t="shared" si="53"/>
        <v>0</v>
      </c>
      <c r="GM30">
        <f t="shared" si="54"/>
        <v>398094.64</v>
      </c>
      <c r="GN30">
        <f t="shared" si="55"/>
        <v>398094.64</v>
      </c>
      <c r="GO30">
        <f t="shared" si="56"/>
        <v>0</v>
      </c>
      <c r="GP30">
        <f t="shared" si="57"/>
        <v>0</v>
      </c>
      <c r="GR30">
        <v>0</v>
      </c>
      <c r="GS30">
        <v>3</v>
      </c>
      <c r="GT30">
        <v>0</v>
      </c>
      <c r="GU30" t="s">
        <v>3</v>
      </c>
      <c r="GV30">
        <f t="shared" si="58"/>
        <v>0</v>
      </c>
      <c r="GW30">
        <v>1</v>
      </c>
      <c r="GX30">
        <f t="shared" si="59"/>
        <v>0</v>
      </c>
      <c r="HA30">
        <v>0</v>
      </c>
      <c r="HB30">
        <v>0</v>
      </c>
      <c r="HC30">
        <f t="shared" si="60"/>
        <v>0</v>
      </c>
      <c r="IK30">
        <v>0</v>
      </c>
    </row>
    <row r="31" spans="1:245" x14ac:dyDescent="0.2">
      <c r="A31">
        <v>17</v>
      </c>
      <c r="B31">
        <v>1</v>
      </c>
      <c r="C31">
        <f>ROW(SmtRes!A18)</f>
        <v>18</v>
      </c>
      <c r="D31">
        <f>ROW(EtalonRes!A18)</f>
        <v>18</v>
      </c>
      <c r="E31" t="s">
        <v>35</v>
      </c>
      <c r="F31" t="s">
        <v>36</v>
      </c>
      <c r="G31" t="s">
        <v>37</v>
      </c>
      <c r="H31" t="s">
        <v>38</v>
      </c>
      <c r="I31">
        <f>ROUND(I30*100*2.4*0.1,9)</f>
        <v>65.756159999999994</v>
      </c>
      <c r="J31">
        <v>0</v>
      </c>
      <c r="O31">
        <f t="shared" si="21"/>
        <v>15516.94</v>
      </c>
      <c r="P31">
        <f t="shared" si="22"/>
        <v>0</v>
      </c>
      <c r="Q31">
        <f t="shared" si="23"/>
        <v>0</v>
      </c>
      <c r="R31">
        <f t="shared" si="24"/>
        <v>0</v>
      </c>
      <c r="S31">
        <f t="shared" si="25"/>
        <v>15516.94</v>
      </c>
      <c r="T31">
        <f t="shared" si="26"/>
        <v>0</v>
      </c>
      <c r="U31">
        <f t="shared" si="27"/>
        <v>67.071283199999996</v>
      </c>
      <c r="V31">
        <f t="shared" si="28"/>
        <v>0</v>
      </c>
      <c r="W31">
        <f t="shared" si="29"/>
        <v>0</v>
      </c>
      <c r="X31">
        <f t="shared" si="30"/>
        <v>11327.37</v>
      </c>
      <c r="Y31">
        <f t="shared" si="31"/>
        <v>6361.95</v>
      </c>
      <c r="AA31">
        <v>33989672</v>
      </c>
      <c r="AB31">
        <f t="shared" si="32"/>
        <v>9.6199999999999992</v>
      </c>
      <c r="AC31">
        <f t="shared" si="33"/>
        <v>0</v>
      </c>
      <c r="AD31">
        <f t="shared" si="34"/>
        <v>0</v>
      </c>
      <c r="AE31">
        <f t="shared" si="35"/>
        <v>0</v>
      </c>
      <c r="AF31">
        <f t="shared" si="36"/>
        <v>9.6199999999999992</v>
      </c>
      <c r="AG31">
        <f t="shared" si="37"/>
        <v>0</v>
      </c>
      <c r="AH31">
        <f t="shared" si="38"/>
        <v>1.02</v>
      </c>
      <c r="AI31">
        <f t="shared" si="39"/>
        <v>0</v>
      </c>
      <c r="AJ31">
        <f t="shared" si="40"/>
        <v>0</v>
      </c>
      <c r="AK31">
        <v>9.6199999999999992</v>
      </c>
      <c r="AL31">
        <v>0</v>
      </c>
      <c r="AM31">
        <v>0</v>
      </c>
      <c r="AN31">
        <v>0</v>
      </c>
      <c r="AO31">
        <v>9.6199999999999992</v>
      </c>
      <c r="AP31">
        <v>0</v>
      </c>
      <c r="AQ31">
        <v>1.02</v>
      </c>
      <c r="AR31">
        <v>0</v>
      </c>
      <c r="AS31">
        <v>0</v>
      </c>
      <c r="AT31">
        <v>73</v>
      </c>
      <c r="AU31">
        <v>41</v>
      </c>
      <c r="AV31">
        <v>1</v>
      </c>
      <c r="AW31">
        <v>1</v>
      </c>
      <c r="AZ31">
        <v>1</v>
      </c>
      <c r="BA31">
        <v>24.53</v>
      </c>
      <c r="BB31">
        <v>1</v>
      </c>
      <c r="BC31">
        <v>1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39</v>
      </c>
      <c r="BM31">
        <v>682</v>
      </c>
      <c r="BN31">
        <v>0</v>
      </c>
      <c r="BO31" t="s">
        <v>36</v>
      </c>
      <c r="BP31">
        <v>1</v>
      </c>
      <c r="BQ31">
        <v>60</v>
      </c>
      <c r="BR31">
        <v>0</v>
      </c>
      <c r="BS31">
        <v>24.53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73</v>
      </c>
      <c r="CA31">
        <v>41</v>
      </c>
      <c r="CE31">
        <v>30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41"/>
        <v>15516.94</v>
      </c>
      <c r="CQ31">
        <f t="shared" si="42"/>
        <v>0</v>
      </c>
      <c r="CR31">
        <f t="shared" si="43"/>
        <v>0</v>
      </c>
      <c r="CS31">
        <f t="shared" si="44"/>
        <v>0</v>
      </c>
      <c r="CT31">
        <f t="shared" si="45"/>
        <v>235.98</v>
      </c>
      <c r="CU31">
        <f t="shared" si="46"/>
        <v>0</v>
      </c>
      <c r="CV31">
        <f t="shared" si="47"/>
        <v>1.02</v>
      </c>
      <c r="CW31">
        <f t="shared" si="48"/>
        <v>0</v>
      </c>
      <c r="CX31">
        <f t="shared" si="49"/>
        <v>0</v>
      </c>
      <c r="CY31">
        <f t="shared" si="50"/>
        <v>11327.3662</v>
      </c>
      <c r="CZ31">
        <f t="shared" si="51"/>
        <v>6361.9453999999996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91</v>
      </c>
      <c r="DO31">
        <v>70</v>
      </c>
      <c r="DP31">
        <v>1</v>
      </c>
      <c r="DQ31">
        <v>1</v>
      </c>
      <c r="DU31">
        <v>1013</v>
      </c>
      <c r="DV31" t="s">
        <v>38</v>
      </c>
      <c r="DW31" t="s">
        <v>38</v>
      </c>
      <c r="DX31">
        <v>1</v>
      </c>
      <c r="EE31">
        <v>33798321</v>
      </c>
      <c r="EF31">
        <v>60</v>
      </c>
      <c r="EG31" t="s">
        <v>20</v>
      </c>
      <c r="EH31">
        <v>0</v>
      </c>
      <c r="EI31" t="s">
        <v>3</v>
      </c>
      <c r="EJ31">
        <v>1</v>
      </c>
      <c r="EK31">
        <v>682</v>
      </c>
      <c r="EL31" t="s">
        <v>40</v>
      </c>
      <c r="EM31" t="s">
        <v>41</v>
      </c>
      <c r="EO31" t="s">
        <v>3</v>
      </c>
      <c r="EQ31">
        <v>131072</v>
      </c>
      <c r="ER31">
        <v>9.6199999999999992</v>
      </c>
      <c r="ES31">
        <v>0</v>
      </c>
      <c r="ET31">
        <v>0</v>
      </c>
      <c r="EU31">
        <v>0</v>
      </c>
      <c r="EV31">
        <v>9.6199999999999992</v>
      </c>
      <c r="EW31">
        <v>1.02</v>
      </c>
      <c r="EX31">
        <v>0</v>
      </c>
      <c r="EY31">
        <v>0</v>
      </c>
      <c r="FQ31">
        <v>0</v>
      </c>
      <c r="FR31">
        <f t="shared" si="52"/>
        <v>0</v>
      </c>
      <c r="FS31">
        <v>0</v>
      </c>
      <c r="FX31">
        <v>91</v>
      </c>
      <c r="FY31">
        <v>70</v>
      </c>
      <c r="GA31" t="s">
        <v>3</v>
      </c>
      <c r="GD31">
        <v>0</v>
      </c>
      <c r="GF31">
        <v>903638064</v>
      </c>
      <c r="GG31">
        <v>2</v>
      </c>
      <c r="GH31">
        <v>1</v>
      </c>
      <c r="GI31">
        <v>2</v>
      </c>
      <c r="GJ31">
        <v>0</v>
      </c>
      <c r="GK31">
        <f>ROUND(R31*(R12)/100,2)</f>
        <v>0</v>
      </c>
      <c r="GL31">
        <f t="shared" si="53"/>
        <v>0</v>
      </c>
      <c r="GM31">
        <f t="shared" si="54"/>
        <v>33206.26</v>
      </c>
      <c r="GN31">
        <f t="shared" si="55"/>
        <v>33206.26</v>
      </c>
      <c r="GO31">
        <f t="shared" si="56"/>
        <v>0</v>
      </c>
      <c r="GP31">
        <f t="shared" si="57"/>
        <v>0</v>
      </c>
      <c r="GR31">
        <v>0</v>
      </c>
      <c r="GS31">
        <v>3</v>
      </c>
      <c r="GT31">
        <v>0</v>
      </c>
      <c r="GU31" t="s">
        <v>3</v>
      </c>
      <c r="GV31">
        <f t="shared" si="58"/>
        <v>0</v>
      </c>
      <c r="GW31">
        <v>1</v>
      </c>
      <c r="GX31">
        <f t="shared" si="59"/>
        <v>0</v>
      </c>
      <c r="HA31">
        <v>0</v>
      </c>
      <c r="HB31">
        <v>0</v>
      </c>
      <c r="HC31">
        <f t="shared" si="60"/>
        <v>0</v>
      </c>
      <c r="IK31">
        <v>0</v>
      </c>
    </row>
    <row r="32" spans="1:245" x14ac:dyDescent="0.2">
      <c r="A32">
        <v>17</v>
      </c>
      <c r="B32">
        <v>1</v>
      </c>
      <c r="C32">
        <f>ROW(SmtRes!A19)</f>
        <v>19</v>
      </c>
      <c r="D32">
        <f>ROW(EtalonRes!A19)</f>
        <v>19</v>
      </c>
      <c r="E32" t="s">
        <v>42</v>
      </c>
      <c r="F32" t="s">
        <v>43</v>
      </c>
      <c r="G32" t="s">
        <v>44</v>
      </c>
      <c r="H32" t="s">
        <v>38</v>
      </c>
      <c r="I32">
        <v>0</v>
      </c>
      <c r="J32">
        <v>0</v>
      </c>
      <c r="O32">
        <f t="shared" si="21"/>
        <v>0</v>
      </c>
      <c r="P32">
        <f t="shared" si="22"/>
        <v>0</v>
      </c>
      <c r="Q32">
        <f t="shared" si="23"/>
        <v>0</v>
      </c>
      <c r="R32">
        <f t="shared" si="24"/>
        <v>0</v>
      </c>
      <c r="S32">
        <f t="shared" si="25"/>
        <v>0</v>
      </c>
      <c r="T32">
        <f t="shared" si="26"/>
        <v>0</v>
      </c>
      <c r="U32">
        <f t="shared" si="27"/>
        <v>0</v>
      </c>
      <c r="V32">
        <f t="shared" si="28"/>
        <v>0</v>
      </c>
      <c r="W32">
        <f t="shared" si="29"/>
        <v>0</v>
      </c>
      <c r="X32">
        <f t="shared" si="30"/>
        <v>0</v>
      </c>
      <c r="Y32">
        <f t="shared" si="31"/>
        <v>0</v>
      </c>
      <c r="AA32">
        <v>33989672</v>
      </c>
      <c r="AB32">
        <f t="shared" si="32"/>
        <v>8.86</v>
      </c>
      <c r="AC32">
        <f t="shared" si="33"/>
        <v>0</v>
      </c>
      <c r="AD32">
        <f t="shared" si="34"/>
        <v>8.86</v>
      </c>
      <c r="AE32">
        <f t="shared" si="35"/>
        <v>1.48</v>
      </c>
      <c r="AF32">
        <f t="shared" si="36"/>
        <v>0</v>
      </c>
      <c r="AG32">
        <f t="shared" si="37"/>
        <v>0</v>
      </c>
      <c r="AH32">
        <f t="shared" si="38"/>
        <v>0</v>
      </c>
      <c r="AI32">
        <f t="shared" si="39"/>
        <v>0</v>
      </c>
      <c r="AJ32">
        <f t="shared" si="40"/>
        <v>0</v>
      </c>
      <c r="AK32">
        <v>8.86</v>
      </c>
      <c r="AL32">
        <v>0</v>
      </c>
      <c r="AM32">
        <v>8.86</v>
      </c>
      <c r="AN32">
        <v>1.48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73</v>
      </c>
      <c r="AU32">
        <v>41</v>
      </c>
      <c r="AV32">
        <v>1</v>
      </c>
      <c r="AW32">
        <v>1</v>
      </c>
      <c r="AZ32">
        <v>1</v>
      </c>
      <c r="BA32">
        <v>24.53</v>
      </c>
      <c r="BB32">
        <v>8.83</v>
      </c>
      <c r="BC32">
        <v>1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1</v>
      </c>
      <c r="BJ32" t="s">
        <v>45</v>
      </c>
      <c r="BM32">
        <v>658</v>
      </c>
      <c r="BN32">
        <v>0</v>
      </c>
      <c r="BO32" t="s">
        <v>43</v>
      </c>
      <c r="BP32">
        <v>1</v>
      </c>
      <c r="BQ32">
        <v>60</v>
      </c>
      <c r="BR32">
        <v>0</v>
      </c>
      <c r="BS32">
        <v>24.53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73</v>
      </c>
      <c r="CA32">
        <v>41</v>
      </c>
      <c r="CE32">
        <v>30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si="41"/>
        <v>0</v>
      </c>
      <c r="CQ32">
        <f t="shared" si="42"/>
        <v>0</v>
      </c>
      <c r="CR32">
        <f t="shared" si="43"/>
        <v>78.23</v>
      </c>
      <c r="CS32">
        <f t="shared" si="44"/>
        <v>36.299999999999997</v>
      </c>
      <c r="CT32">
        <f t="shared" si="45"/>
        <v>0</v>
      </c>
      <c r="CU32">
        <f t="shared" si="46"/>
        <v>0</v>
      </c>
      <c r="CV32">
        <f t="shared" si="47"/>
        <v>0</v>
      </c>
      <c r="CW32">
        <f t="shared" si="48"/>
        <v>0</v>
      </c>
      <c r="CX32">
        <f t="shared" si="49"/>
        <v>0</v>
      </c>
      <c r="CY32">
        <f t="shared" si="50"/>
        <v>0</v>
      </c>
      <c r="CZ32">
        <f t="shared" si="51"/>
        <v>0</v>
      </c>
      <c r="DC32" t="s">
        <v>3</v>
      </c>
      <c r="DD32" t="s">
        <v>3</v>
      </c>
      <c r="DE32" t="s">
        <v>3</v>
      </c>
      <c r="DF32" t="s">
        <v>3</v>
      </c>
      <c r="DG32" t="s">
        <v>3</v>
      </c>
      <c r="DH32" t="s">
        <v>3</v>
      </c>
      <c r="DI32" t="s">
        <v>3</v>
      </c>
      <c r="DJ32" t="s">
        <v>3</v>
      </c>
      <c r="DK32" t="s">
        <v>3</v>
      </c>
      <c r="DL32" t="s">
        <v>3</v>
      </c>
      <c r="DM32" t="s">
        <v>3</v>
      </c>
      <c r="DN32">
        <v>91</v>
      </c>
      <c r="DO32">
        <v>70</v>
      </c>
      <c r="DP32">
        <v>1</v>
      </c>
      <c r="DQ32">
        <v>1</v>
      </c>
      <c r="DU32">
        <v>1013</v>
      </c>
      <c r="DV32" t="s">
        <v>38</v>
      </c>
      <c r="DW32" t="s">
        <v>38</v>
      </c>
      <c r="DX32">
        <v>1</v>
      </c>
      <c r="EE32">
        <v>33798297</v>
      </c>
      <c r="EF32">
        <v>60</v>
      </c>
      <c r="EG32" t="s">
        <v>20</v>
      </c>
      <c r="EH32">
        <v>0</v>
      </c>
      <c r="EI32" t="s">
        <v>3</v>
      </c>
      <c r="EJ32">
        <v>1</v>
      </c>
      <c r="EK32">
        <v>658</v>
      </c>
      <c r="EL32" t="s">
        <v>46</v>
      </c>
      <c r="EM32" t="s">
        <v>47</v>
      </c>
      <c r="EO32" t="s">
        <v>3</v>
      </c>
      <c r="EQ32">
        <v>131072</v>
      </c>
      <c r="ER32">
        <v>8.86</v>
      </c>
      <c r="ES32">
        <v>0</v>
      </c>
      <c r="ET32">
        <v>8.86</v>
      </c>
      <c r="EU32">
        <v>1.48</v>
      </c>
      <c r="EV32">
        <v>0</v>
      </c>
      <c r="EW32">
        <v>0</v>
      </c>
      <c r="EX32">
        <v>0</v>
      </c>
      <c r="EY32">
        <v>0</v>
      </c>
      <c r="FQ32">
        <v>0</v>
      </c>
      <c r="FR32">
        <f t="shared" si="52"/>
        <v>0</v>
      </c>
      <c r="FS32">
        <v>0</v>
      </c>
      <c r="FX32">
        <v>91</v>
      </c>
      <c r="FY32">
        <v>70</v>
      </c>
      <c r="GA32" t="s">
        <v>3</v>
      </c>
      <c r="GD32">
        <v>0</v>
      </c>
      <c r="GF32">
        <v>-1983005167</v>
      </c>
      <c r="GG32">
        <v>2</v>
      </c>
      <c r="GH32">
        <v>1</v>
      </c>
      <c r="GI32">
        <v>2</v>
      </c>
      <c r="GJ32">
        <v>0</v>
      </c>
      <c r="GK32">
        <f>ROUND(R32*(R12)/100,2)</f>
        <v>0</v>
      </c>
      <c r="GL32">
        <f t="shared" si="53"/>
        <v>0</v>
      </c>
      <c r="GM32">
        <f t="shared" si="54"/>
        <v>0</v>
      </c>
      <c r="GN32">
        <f t="shared" si="55"/>
        <v>0</v>
      </c>
      <c r="GO32">
        <f t="shared" si="56"/>
        <v>0</v>
      </c>
      <c r="GP32">
        <f t="shared" si="57"/>
        <v>0</v>
      </c>
      <c r="GR32">
        <v>0</v>
      </c>
      <c r="GS32">
        <v>3</v>
      </c>
      <c r="GT32">
        <v>0</v>
      </c>
      <c r="GU32" t="s">
        <v>3</v>
      </c>
      <c r="GV32">
        <f t="shared" si="58"/>
        <v>0</v>
      </c>
      <c r="GW32">
        <v>1</v>
      </c>
      <c r="GX32">
        <f t="shared" si="59"/>
        <v>0</v>
      </c>
      <c r="HA32">
        <v>0</v>
      </c>
      <c r="HB32">
        <v>0</v>
      </c>
      <c r="HC32">
        <f t="shared" si="60"/>
        <v>0</v>
      </c>
      <c r="IK32">
        <v>0</v>
      </c>
    </row>
    <row r="33" spans="1:245" x14ac:dyDescent="0.2">
      <c r="A33">
        <v>17</v>
      </c>
      <c r="B33">
        <v>1</v>
      </c>
      <c r="C33">
        <f>ROW(SmtRes!A20)</f>
        <v>20</v>
      </c>
      <c r="D33">
        <f>ROW(EtalonRes!A20)</f>
        <v>20</v>
      </c>
      <c r="E33" t="s">
        <v>48</v>
      </c>
      <c r="F33" t="s">
        <v>49</v>
      </c>
      <c r="G33" t="s">
        <v>50</v>
      </c>
      <c r="H33" t="s">
        <v>51</v>
      </c>
      <c r="I33">
        <v>0</v>
      </c>
      <c r="J33">
        <v>0</v>
      </c>
      <c r="O33">
        <f t="shared" si="21"/>
        <v>0</v>
      </c>
      <c r="P33">
        <f t="shared" si="22"/>
        <v>0</v>
      </c>
      <c r="Q33">
        <f t="shared" si="23"/>
        <v>0</v>
      </c>
      <c r="R33">
        <f t="shared" si="24"/>
        <v>0</v>
      </c>
      <c r="S33">
        <f t="shared" si="25"/>
        <v>0</v>
      </c>
      <c r="T33">
        <f t="shared" si="26"/>
        <v>0</v>
      </c>
      <c r="U33">
        <f t="shared" si="27"/>
        <v>0</v>
      </c>
      <c r="V33">
        <f t="shared" si="28"/>
        <v>0</v>
      </c>
      <c r="W33">
        <f t="shared" si="29"/>
        <v>0</v>
      </c>
      <c r="X33">
        <f t="shared" si="30"/>
        <v>0</v>
      </c>
      <c r="Y33">
        <f t="shared" si="31"/>
        <v>0</v>
      </c>
      <c r="AA33">
        <v>33989672</v>
      </c>
      <c r="AB33">
        <f t="shared" si="32"/>
        <v>56.8</v>
      </c>
      <c r="AC33">
        <f t="shared" si="33"/>
        <v>0</v>
      </c>
      <c r="AD33">
        <f t="shared" si="34"/>
        <v>56.8</v>
      </c>
      <c r="AE33">
        <f t="shared" si="35"/>
        <v>0</v>
      </c>
      <c r="AF33">
        <f t="shared" si="36"/>
        <v>0</v>
      </c>
      <c r="AG33">
        <f t="shared" si="37"/>
        <v>0</v>
      </c>
      <c r="AH33">
        <f t="shared" si="38"/>
        <v>0</v>
      </c>
      <c r="AI33">
        <f t="shared" si="39"/>
        <v>0</v>
      </c>
      <c r="AJ33">
        <f t="shared" si="40"/>
        <v>0</v>
      </c>
      <c r="AK33">
        <v>56.8</v>
      </c>
      <c r="AL33">
        <v>0</v>
      </c>
      <c r="AM33">
        <v>56.8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93</v>
      </c>
      <c r="AU33">
        <v>64</v>
      </c>
      <c r="AV33">
        <v>1</v>
      </c>
      <c r="AW33">
        <v>1</v>
      </c>
      <c r="AZ33">
        <v>1</v>
      </c>
      <c r="BA33">
        <v>1</v>
      </c>
      <c r="BB33">
        <v>10.11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4</v>
      </c>
      <c r="BJ33" t="s">
        <v>52</v>
      </c>
      <c r="BM33">
        <v>1113</v>
      </c>
      <c r="BN33">
        <v>0</v>
      </c>
      <c r="BO33" t="s">
        <v>49</v>
      </c>
      <c r="BP33">
        <v>1</v>
      </c>
      <c r="BQ33">
        <v>150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93</v>
      </c>
      <c r="CA33">
        <v>64</v>
      </c>
      <c r="CE33">
        <v>30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41"/>
        <v>0</v>
      </c>
      <c r="CQ33">
        <f t="shared" si="42"/>
        <v>0</v>
      </c>
      <c r="CR33">
        <f t="shared" si="43"/>
        <v>574.25</v>
      </c>
      <c r="CS33">
        <f t="shared" si="44"/>
        <v>0</v>
      </c>
      <c r="CT33">
        <f t="shared" si="45"/>
        <v>0</v>
      </c>
      <c r="CU33">
        <f t="shared" si="46"/>
        <v>0</v>
      </c>
      <c r="CV33">
        <f t="shared" si="47"/>
        <v>0</v>
      </c>
      <c r="CW33">
        <f t="shared" si="48"/>
        <v>0</v>
      </c>
      <c r="CX33">
        <f t="shared" si="49"/>
        <v>0</v>
      </c>
      <c r="CY33">
        <f t="shared" si="50"/>
        <v>0</v>
      </c>
      <c r="CZ33">
        <f t="shared" si="51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1009</v>
      </c>
      <c r="DV33" t="s">
        <v>51</v>
      </c>
      <c r="DW33" t="s">
        <v>51</v>
      </c>
      <c r="DX33">
        <v>1000</v>
      </c>
      <c r="EE33">
        <v>33798752</v>
      </c>
      <c r="EF33">
        <v>150</v>
      </c>
      <c r="EG33" t="s">
        <v>53</v>
      </c>
      <c r="EH33">
        <v>0</v>
      </c>
      <c r="EI33" t="s">
        <v>3</v>
      </c>
      <c r="EJ33">
        <v>4</v>
      </c>
      <c r="EK33">
        <v>1113</v>
      </c>
      <c r="EL33" t="s">
        <v>54</v>
      </c>
      <c r="EM33" t="s">
        <v>55</v>
      </c>
      <c r="EO33" t="s">
        <v>3</v>
      </c>
      <c r="EQ33">
        <v>131072</v>
      </c>
      <c r="ER33">
        <v>56.8</v>
      </c>
      <c r="ES33">
        <v>0</v>
      </c>
      <c r="ET33">
        <v>56.8</v>
      </c>
      <c r="EU33">
        <v>0</v>
      </c>
      <c r="EV33">
        <v>0</v>
      </c>
      <c r="EW33">
        <v>0</v>
      </c>
      <c r="EX33">
        <v>0</v>
      </c>
      <c r="EY33">
        <v>0</v>
      </c>
      <c r="FQ33">
        <v>0</v>
      </c>
      <c r="FR33">
        <f t="shared" si="52"/>
        <v>0</v>
      </c>
      <c r="FS33">
        <v>0</v>
      </c>
      <c r="FX33">
        <v>0</v>
      </c>
      <c r="FY33">
        <v>0</v>
      </c>
      <c r="GA33" t="s">
        <v>3</v>
      </c>
      <c r="GD33">
        <v>0</v>
      </c>
      <c r="GF33">
        <v>-915290513</v>
      </c>
      <c r="GG33">
        <v>2</v>
      </c>
      <c r="GH33">
        <v>1</v>
      </c>
      <c r="GI33">
        <v>2</v>
      </c>
      <c r="GJ33">
        <v>0</v>
      </c>
      <c r="GK33">
        <f>ROUND(R33*(R12)/100,2)</f>
        <v>0</v>
      </c>
      <c r="GL33">
        <f t="shared" si="53"/>
        <v>0</v>
      </c>
      <c r="GM33">
        <f t="shared" si="54"/>
        <v>0</v>
      </c>
      <c r="GN33">
        <f t="shared" si="55"/>
        <v>0</v>
      </c>
      <c r="GO33">
        <f t="shared" si="56"/>
        <v>0</v>
      </c>
      <c r="GP33">
        <f t="shared" si="57"/>
        <v>0</v>
      </c>
      <c r="GR33">
        <v>0</v>
      </c>
      <c r="GS33">
        <v>3</v>
      </c>
      <c r="GT33">
        <v>0</v>
      </c>
      <c r="GU33" t="s">
        <v>3</v>
      </c>
      <c r="GV33">
        <f t="shared" si="58"/>
        <v>0</v>
      </c>
      <c r="GW33">
        <v>1</v>
      </c>
      <c r="GX33">
        <f t="shared" si="59"/>
        <v>0</v>
      </c>
      <c r="HA33">
        <v>0</v>
      </c>
      <c r="HB33">
        <v>0</v>
      </c>
      <c r="HC33">
        <f t="shared" si="60"/>
        <v>0</v>
      </c>
      <c r="IK33">
        <v>0</v>
      </c>
    </row>
    <row r="34" spans="1:245" x14ac:dyDescent="0.2">
      <c r="A34">
        <v>17</v>
      </c>
      <c r="B34">
        <v>1</v>
      </c>
      <c r="C34">
        <f>ROW(SmtRes!A30)</f>
        <v>30</v>
      </c>
      <c r="D34">
        <f>ROW(EtalonRes!A30)</f>
        <v>30</v>
      </c>
      <c r="E34" t="s">
        <v>56</v>
      </c>
      <c r="F34" t="s">
        <v>57</v>
      </c>
      <c r="G34" t="s">
        <v>58</v>
      </c>
      <c r="H34" t="s">
        <v>59</v>
      </c>
      <c r="I34">
        <f>ROUND((11416/1000*0.9961*1*100*0.3)/100,9)</f>
        <v>3.4114432799999999</v>
      </c>
      <c r="J34">
        <v>0</v>
      </c>
      <c r="O34">
        <f t="shared" si="21"/>
        <v>484776.46</v>
      </c>
      <c r="P34">
        <f t="shared" si="22"/>
        <v>80670.92</v>
      </c>
      <c r="Q34">
        <f t="shared" si="23"/>
        <v>326676.34999999998</v>
      </c>
      <c r="R34">
        <f t="shared" si="24"/>
        <v>82901.83</v>
      </c>
      <c r="S34">
        <f t="shared" si="25"/>
        <v>77429.19</v>
      </c>
      <c r="T34">
        <f t="shared" si="26"/>
        <v>0</v>
      </c>
      <c r="U34">
        <f t="shared" si="27"/>
        <v>297.78488391119998</v>
      </c>
      <c r="V34">
        <f t="shared" si="28"/>
        <v>0</v>
      </c>
      <c r="W34">
        <f t="shared" si="29"/>
        <v>0</v>
      </c>
      <c r="X34">
        <f t="shared" si="30"/>
        <v>86720.69</v>
      </c>
      <c r="Y34">
        <f t="shared" si="31"/>
        <v>31745.97</v>
      </c>
      <c r="AA34">
        <v>33989672</v>
      </c>
      <c r="AB34">
        <f t="shared" si="32"/>
        <v>14208.6</v>
      </c>
      <c r="AC34">
        <f t="shared" si="33"/>
        <v>2083.4499999999998</v>
      </c>
      <c r="AD34">
        <f t="shared" si="34"/>
        <v>11199.88</v>
      </c>
      <c r="AE34">
        <f t="shared" si="35"/>
        <v>990.67</v>
      </c>
      <c r="AF34">
        <f t="shared" si="36"/>
        <v>925.27</v>
      </c>
      <c r="AG34">
        <f t="shared" si="37"/>
        <v>0</v>
      </c>
      <c r="AH34">
        <f t="shared" si="38"/>
        <v>87.29</v>
      </c>
      <c r="AI34">
        <f t="shared" si="39"/>
        <v>0</v>
      </c>
      <c r="AJ34">
        <f t="shared" si="40"/>
        <v>0</v>
      </c>
      <c r="AK34">
        <v>14208.6</v>
      </c>
      <c r="AL34">
        <v>2083.4499999999998</v>
      </c>
      <c r="AM34">
        <v>11199.88</v>
      </c>
      <c r="AN34">
        <v>990.67</v>
      </c>
      <c r="AO34">
        <v>925.27</v>
      </c>
      <c r="AP34">
        <v>0</v>
      </c>
      <c r="AQ34">
        <v>87.29</v>
      </c>
      <c r="AR34">
        <v>0</v>
      </c>
      <c r="AS34">
        <v>0</v>
      </c>
      <c r="AT34">
        <v>112</v>
      </c>
      <c r="AU34">
        <v>41</v>
      </c>
      <c r="AV34">
        <v>1</v>
      </c>
      <c r="AW34">
        <v>1</v>
      </c>
      <c r="AZ34">
        <v>1</v>
      </c>
      <c r="BA34">
        <v>24.53</v>
      </c>
      <c r="BB34">
        <v>8.5500000000000007</v>
      </c>
      <c r="BC34">
        <v>11.35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1</v>
      </c>
      <c r="BJ34" t="s">
        <v>60</v>
      </c>
      <c r="BM34">
        <v>663</v>
      </c>
      <c r="BN34">
        <v>0</v>
      </c>
      <c r="BO34" t="s">
        <v>57</v>
      </c>
      <c r="BP34">
        <v>1</v>
      </c>
      <c r="BQ34">
        <v>60</v>
      </c>
      <c r="BR34">
        <v>0</v>
      </c>
      <c r="BS34">
        <v>24.53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112</v>
      </c>
      <c r="CA34">
        <v>41</v>
      </c>
      <c r="CE34">
        <v>30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41"/>
        <v>484776.45999999996</v>
      </c>
      <c r="CQ34">
        <f t="shared" si="42"/>
        <v>23647.16</v>
      </c>
      <c r="CR34">
        <f t="shared" si="43"/>
        <v>95758.97</v>
      </c>
      <c r="CS34">
        <f t="shared" si="44"/>
        <v>24301.14</v>
      </c>
      <c r="CT34">
        <f t="shared" si="45"/>
        <v>22696.87</v>
      </c>
      <c r="CU34">
        <f t="shared" si="46"/>
        <v>0</v>
      </c>
      <c r="CV34">
        <f t="shared" si="47"/>
        <v>87.29</v>
      </c>
      <c r="CW34">
        <f t="shared" si="48"/>
        <v>0</v>
      </c>
      <c r="CX34">
        <f t="shared" si="49"/>
        <v>0</v>
      </c>
      <c r="CY34">
        <f t="shared" si="50"/>
        <v>86720.692800000004</v>
      </c>
      <c r="CZ34">
        <f t="shared" si="51"/>
        <v>31745.9679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140</v>
      </c>
      <c r="DO34">
        <v>79</v>
      </c>
      <c r="DP34">
        <v>1</v>
      </c>
      <c r="DQ34">
        <v>1</v>
      </c>
      <c r="DU34">
        <v>1013</v>
      </c>
      <c r="DV34" t="s">
        <v>59</v>
      </c>
      <c r="DW34" t="s">
        <v>59</v>
      </c>
      <c r="DX34">
        <v>1</v>
      </c>
      <c r="EE34">
        <v>33798302</v>
      </c>
      <c r="EF34">
        <v>60</v>
      </c>
      <c r="EG34" t="s">
        <v>20</v>
      </c>
      <c r="EH34">
        <v>0</v>
      </c>
      <c r="EI34" t="s">
        <v>3</v>
      </c>
      <c r="EJ34">
        <v>1</v>
      </c>
      <c r="EK34">
        <v>663</v>
      </c>
      <c r="EL34" t="s">
        <v>61</v>
      </c>
      <c r="EM34" t="s">
        <v>62</v>
      </c>
      <c r="EO34" t="s">
        <v>3</v>
      </c>
      <c r="EQ34">
        <v>0</v>
      </c>
      <c r="ER34">
        <v>14208.6</v>
      </c>
      <c r="ES34">
        <v>2083.4499999999998</v>
      </c>
      <c r="ET34">
        <v>11199.88</v>
      </c>
      <c r="EU34">
        <v>990.67</v>
      </c>
      <c r="EV34">
        <v>925.27</v>
      </c>
      <c r="EW34">
        <v>87.29</v>
      </c>
      <c r="EX34">
        <v>0</v>
      </c>
      <c r="EY34">
        <v>0</v>
      </c>
      <c r="FQ34">
        <v>0</v>
      </c>
      <c r="FR34">
        <f t="shared" si="52"/>
        <v>0</v>
      </c>
      <c r="FS34">
        <v>0</v>
      </c>
      <c r="FX34">
        <v>140</v>
      </c>
      <c r="FY34">
        <v>79</v>
      </c>
      <c r="GA34" t="s">
        <v>3</v>
      </c>
      <c r="GD34">
        <v>0</v>
      </c>
      <c r="GF34">
        <v>64358437</v>
      </c>
      <c r="GG34">
        <v>2</v>
      </c>
      <c r="GH34">
        <v>1</v>
      </c>
      <c r="GI34">
        <v>2</v>
      </c>
      <c r="GJ34">
        <v>0</v>
      </c>
      <c r="GK34">
        <f>ROUND(R34*(R12)/100,2)</f>
        <v>130155.87</v>
      </c>
      <c r="GL34">
        <f t="shared" si="53"/>
        <v>0</v>
      </c>
      <c r="GM34">
        <f t="shared" si="54"/>
        <v>733398.99</v>
      </c>
      <c r="GN34">
        <f t="shared" si="55"/>
        <v>733398.99</v>
      </c>
      <c r="GO34">
        <f t="shared" si="56"/>
        <v>0</v>
      </c>
      <c r="GP34">
        <f t="shared" si="57"/>
        <v>0</v>
      </c>
      <c r="GR34">
        <v>0</v>
      </c>
      <c r="GS34">
        <v>3</v>
      </c>
      <c r="GT34">
        <v>0</v>
      </c>
      <c r="GU34" t="s">
        <v>3</v>
      </c>
      <c r="GV34">
        <f t="shared" si="58"/>
        <v>0</v>
      </c>
      <c r="GW34">
        <v>1</v>
      </c>
      <c r="GX34">
        <f t="shared" si="59"/>
        <v>0</v>
      </c>
      <c r="HA34">
        <v>0</v>
      </c>
      <c r="HB34">
        <v>0</v>
      </c>
      <c r="HC34">
        <f t="shared" si="60"/>
        <v>0</v>
      </c>
      <c r="IK34">
        <v>0</v>
      </c>
    </row>
    <row r="35" spans="1:245" x14ac:dyDescent="0.2">
      <c r="A35">
        <v>18</v>
      </c>
      <c r="B35">
        <v>1</v>
      </c>
      <c r="C35">
        <v>29</v>
      </c>
      <c r="E35" t="s">
        <v>63</v>
      </c>
      <c r="F35" t="s">
        <v>64</v>
      </c>
      <c r="G35" t="s">
        <v>65</v>
      </c>
      <c r="H35" t="s">
        <v>66</v>
      </c>
      <c r="I35">
        <f>I34*J35</f>
        <v>429.84185300000001</v>
      </c>
      <c r="J35">
        <v>125.99999991792332</v>
      </c>
      <c r="O35">
        <f t="shared" si="21"/>
        <v>803343.71</v>
      </c>
      <c r="P35">
        <f t="shared" si="22"/>
        <v>803343.71</v>
      </c>
      <c r="Q35">
        <f t="shared" si="23"/>
        <v>0</v>
      </c>
      <c r="R35">
        <f t="shared" si="24"/>
        <v>0</v>
      </c>
      <c r="S35">
        <f t="shared" si="25"/>
        <v>0</v>
      </c>
      <c r="T35">
        <f t="shared" si="26"/>
        <v>0</v>
      </c>
      <c r="U35">
        <f t="shared" si="27"/>
        <v>0</v>
      </c>
      <c r="V35">
        <f t="shared" si="28"/>
        <v>0</v>
      </c>
      <c r="W35">
        <f t="shared" si="29"/>
        <v>0</v>
      </c>
      <c r="X35">
        <f t="shared" si="30"/>
        <v>0</v>
      </c>
      <c r="Y35">
        <f t="shared" si="31"/>
        <v>0</v>
      </c>
      <c r="AA35">
        <v>33989672</v>
      </c>
      <c r="AB35">
        <f t="shared" si="32"/>
        <v>173.37</v>
      </c>
      <c r="AC35">
        <f t="shared" si="33"/>
        <v>173.37</v>
      </c>
      <c r="AD35">
        <f t="shared" si="34"/>
        <v>0</v>
      </c>
      <c r="AE35">
        <f t="shared" si="35"/>
        <v>0</v>
      </c>
      <c r="AF35">
        <f t="shared" si="36"/>
        <v>0</v>
      </c>
      <c r="AG35">
        <f t="shared" si="37"/>
        <v>0</v>
      </c>
      <c r="AH35">
        <f t="shared" si="38"/>
        <v>0</v>
      </c>
      <c r="AI35">
        <f t="shared" si="39"/>
        <v>0</v>
      </c>
      <c r="AJ35">
        <f t="shared" si="40"/>
        <v>0</v>
      </c>
      <c r="AK35">
        <v>173.37</v>
      </c>
      <c r="AL35">
        <v>173.37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10.78</v>
      </c>
      <c r="BD35" t="s">
        <v>3</v>
      </c>
      <c r="BE35" t="s">
        <v>3</v>
      </c>
      <c r="BF35" t="s">
        <v>3</v>
      </c>
      <c r="BG35" t="s">
        <v>3</v>
      </c>
      <c r="BH35">
        <v>3</v>
      </c>
      <c r="BI35">
        <v>1</v>
      </c>
      <c r="BJ35" t="s">
        <v>67</v>
      </c>
      <c r="BM35">
        <v>663</v>
      </c>
      <c r="BN35">
        <v>0</v>
      </c>
      <c r="BO35" t="s">
        <v>64</v>
      </c>
      <c r="BP35">
        <v>1</v>
      </c>
      <c r="BQ35">
        <v>60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0</v>
      </c>
      <c r="CA35">
        <v>0</v>
      </c>
      <c r="CE35">
        <v>30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41"/>
        <v>803343.71</v>
      </c>
      <c r="CQ35">
        <f t="shared" si="42"/>
        <v>1868.93</v>
      </c>
      <c r="CR35">
        <f t="shared" si="43"/>
        <v>0</v>
      </c>
      <c r="CS35">
        <f t="shared" si="44"/>
        <v>0</v>
      </c>
      <c r="CT35">
        <f t="shared" si="45"/>
        <v>0</v>
      </c>
      <c r="CU35">
        <f t="shared" si="46"/>
        <v>0</v>
      </c>
      <c r="CV35">
        <f t="shared" si="47"/>
        <v>0</v>
      </c>
      <c r="CW35">
        <f t="shared" si="48"/>
        <v>0</v>
      </c>
      <c r="CX35">
        <f t="shared" si="49"/>
        <v>0</v>
      </c>
      <c r="CY35">
        <f t="shared" si="50"/>
        <v>0</v>
      </c>
      <c r="CZ35">
        <f t="shared" si="51"/>
        <v>0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140</v>
      </c>
      <c r="DO35">
        <v>79</v>
      </c>
      <c r="DP35">
        <v>1</v>
      </c>
      <c r="DQ35">
        <v>1</v>
      </c>
      <c r="DU35">
        <v>1007</v>
      </c>
      <c r="DV35" t="s">
        <v>66</v>
      </c>
      <c r="DW35" t="s">
        <v>66</v>
      </c>
      <c r="DX35">
        <v>1</v>
      </c>
      <c r="EE35">
        <v>33798302</v>
      </c>
      <c r="EF35">
        <v>60</v>
      </c>
      <c r="EG35" t="s">
        <v>20</v>
      </c>
      <c r="EH35">
        <v>0</v>
      </c>
      <c r="EI35" t="s">
        <v>3</v>
      </c>
      <c r="EJ35">
        <v>1</v>
      </c>
      <c r="EK35">
        <v>663</v>
      </c>
      <c r="EL35" t="s">
        <v>61</v>
      </c>
      <c r="EM35" t="s">
        <v>62</v>
      </c>
      <c r="EO35" t="s">
        <v>3</v>
      </c>
      <c r="EQ35">
        <v>0</v>
      </c>
      <c r="ER35">
        <v>173.37</v>
      </c>
      <c r="ES35">
        <v>173.37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52"/>
        <v>0</v>
      </c>
      <c r="FS35">
        <v>0</v>
      </c>
      <c r="FX35">
        <v>140</v>
      </c>
      <c r="FY35">
        <v>79</v>
      </c>
      <c r="GA35" t="s">
        <v>3</v>
      </c>
      <c r="GD35">
        <v>0</v>
      </c>
      <c r="GF35">
        <v>-820942871</v>
      </c>
      <c r="GG35">
        <v>2</v>
      </c>
      <c r="GH35">
        <v>1</v>
      </c>
      <c r="GI35">
        <v>2</v>
      </c>
      <c r="GJ35">
        <v>0</v>
      </c>
      <c r="GK35">
        <f>ROUND(R35*(R12)/100,2)</f>
        <v>0</v>
      </c>
      <c r="GL35">
        <f t="shared" si="53"/>
        <v>0</v>
      </c>
      <c r="GM35">
        <f t="shared" si="54"/>
        <v>803343.71</v>
      </c>
      <c r="GN35">
        <f t="shared" si="55"/>
        <v>803343.71</v>
      </c>
      <c r="GO35">
        <f t="shared" si="56"/>
        <v>0</v>
      </c>
      <c r="GP35">
        <f t="shared" si="57"/>
        <v>0</v>
      </c>
      <c r="GR35">
        <v>0</v>
      </c>
      <c r="GS35">
        <v>3</v>
      </c>
      <c r="GT35">
        <v>0</v>
      </c>
      <c r="GU35" t="s">
        <v>3</v>
      </c>
      <c r="GV35">
        <f t="shared" si="58"/>
        <v>0</v>
      </c>
      <c r="GW35">
        <v>1</v>
      </c>
      <c r="GX35">
        <f t="shared" si="59"/>
        <v>0</v>
      </c>
      <c r="HA35">
        <v>0</v>
      </c>
      <c r="HB35">
        <v>0</v>
      </c>
      <c r="HC35">
        <f t="shared" si="60"/>
        <v>0</v>
      </c>
      <c r="IK35">
        <v>0</v>
      </c>
    </row>
    <row r="36" spans="1:245" x14ac:dyDescent="0.2">
      <c r="A36">
        <v>17</v>
      </c>
      <c r="B36">
        <v>1</v>
      </c>
      <c r="C36">
        <f>ROW(SmtRes!A31)</f>
        <v>31</v>
      </c>
      <c r="D36">
        <f>ROW(EtalonRes!A31)</f>
        <v>31</v>
      </c>
      <c r="E36" t="s">
        <v>68</v>
      </c>
      <c r="F36" t="s">
        <v>69</v>
      </c>
      <c r="G36" t="s">
        <v>70</v>
      </c>
      <c r="H36" t="s">
        <v>38</v>
      </c>
      <c r="I36">
        <f>ROUND(I33,5)</f>
        <v>0</v>
      </c>
      <c r="J36">
        <v>0</v>
      </c>
      <c r="O36">
        <f t="shared" si="21"/>
        <v>0</v>
      </c>
      <c r="P36">
        <f t="shared" si="22"/>
        <v>0</v>
      </c>
      <c r="Q36">
        <f t="shared" si="23"/>
        <v>0</v>
      </c>
      <c r="R36">
        <f t="shared" si="24"/>
        <v>0</v>
      </c>
      <c r="S36">
        <f t="shared" si="25"/>
        <v>0</v>
      </c>
      <c r="T36">
        <f t="shared" si="26"/>
        <v>0</v>
      </c>
      <c r="U36">
        <f t="shared" si="27"/>
        <v>0</v>
      </c>
      <c r="V36">
        <f t="shared" si="28"/>
        <v>0</v>
      </c>
      <c r="W36">
        <f t="shared" si="29"/>
        <v>0</v>
      </c>
      <c r="X36">
        <f t="shared" si="30"/>
        <v>0</v>
      </c>
      <c r="Y36">
        <f t="shared" si="31"/>
        <v>0</v>
      </c>
      <c r="AA36">
        <v>33989672</v>
      </c>
      <c r="AB36">
        <f t="shared" si="32"/>
        <v>36.590000000000003</v>
      </c>
      <c r="AC36">
        <f t="shared" si="33"/>
        <v>0</v>
      </c>
      <c r="AD36">
        <f t="shared" si="34"/>
        <v>36.590000000000003</v>
      </c>
      <c r="AE36">
        <f t="shared" si="35"/>
        <v>0</v>
      </c>
      <c r="AF36">
        <f t="shared" si="36"/>
        <v>0</v>
      </c>
      <c r="AG36">
        <f t="shared" si="37"/>
        <v>0</v>
      </c>
      <c r="AH36">
        <f t="shared" si="38"/>
        <v>0</v>
      </c>
      <c r="AI36">
        <f t="shared" si="39"/>
        <v>0</v>
      </c>
      <c r="AJ36">
        <f t="shared" si="40"/>
        <v>0</v>
      </c>
      <c r="AK36">
        <v>36.590000000000003</v>
      </c>
      <c r="AL36">
        <v>0</v>
      </c>
      <c r="AM36">
        <v>36.590000000000003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93</v>
      </c>
      <c r="AU36">
        <v>64</v>
      </c>
      <c r="AV36">
        <v>1</v>
      </c>
      <c r="AW36">
        <v>1</v>
      </c>
      <c r="AZ36">
        <v>1</v>
      </c>
      <c r="BA36">
        <v>1</v>
      </c>
      <c r="BB36">
        <v>7.63</v>
      </c>
      <c r="BC36">
        <v>1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4</v>
      </c>
      <c r="BJ36" t="s">
        <v>71</v>
      </c>
      <c r="BM36">
        <v>1113</v>
      </c>
      <c r="BN36">
        <v>0</v>
      </c>
      <c r="BO36" t="s">
        <v>69</v>
      </c>
      <c r="BP36">
        <v>1</v>
      </c>
      <c r="BQ36">
        <v>150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93</v>
      </c>
      <c r="CA36">
        <v>64</v>
      </c>
      <c r="CE36">
        <v>30</v>
      </c>
      <c r="CF36">
        <v>0</v>
      </c>
      <c r="CG36">
        <v>0</v>
      </c>
      <c r="CM36">
        <v>0</v>
      </c>
      <c r="CN36" t="s">
        <v>3</v>
      </c>
      <c r="CO36">
        <v>0</v>
      </c>
      <c r="CP36">
        <f t="shared" si="41"/>
        <v>0</v>
      </c>
      <c r="CQ36">
        <f t="shared" si="42"/>
        <v>0</v>
      </c>
      <c r="CR36">
        <f t="shared" si="43"/>
        <v>279.18</v>
      </c>
      <c r="CS36">
        <f t="shared" si="44"/>
        <v>0</v>
      </c>
      <c r="CT36">
        <f t="shared" si="45"/>
        <v>0</v>
      </c>
      <c r="CU36">
        <f t="shared" si="46"/>
        <v>0</v>
      </c>
      <c r="CV36">
        <f t="shared" si="47"/>
        <v>0</v>
      </c>
      <c r="CW36">
        <f t="shared" si="48"/>
        <v>0</v>
      </c>
      <c r="CX36">
        <f t="shared" si="49"/>
        <v>0</v>
      </c>
      <c r="CY36">
        <f t="shared" si="50"/>
        <v>0</v>
      </c>
      <c r="CZ36">
        <f t="shared" si="51"/>
        <v>0</v>
      </c>
      <c r="DC36" t="s">
        <v>3</v>
      </c>
      <c r="DD36" t="s">
        <v>3</v>
      </c>
      <c r="DE36" t="s">
        <v>3</v>
      </c>
      <c r="DF36" t="s">
        <v>3</v>
      </c>
      <c r="DG36" t="s">
        <v>3</v>
      </c>
      <c r="DH36" t="s">
        <v>3</v>
      </c>
      <c r="DI36" t="s">
        <v>3</v>
      </c>
      <c r="DJ36" t="s">
        <v>3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1013</v>
      </c>
      <c r="DV36" t="s">
        <v>38</v>
      </c>
      <c r="DW36" t="s">
        <v>38</v>
      </c>
      <c r="DX36">
        <v>1</v>
      </c>
      <c r="EE36">
        <v>33798752</v>
      </c>
      <c r="EF36">
        <v>150</v>
      </c>
      <c r="EG36" t="s">
        <v>53</v>
      </c>
      <c r="EH36">
        <v>0</v>
      </c>
      <c r="EI36" t="s">
        <v>3</v>
      </c>
      <c r="EJ36">
        <v>4</v>
      </c>
      <c r="EK36">
        <v>1113</v>
      </c>
      <c r="EL36" t="s">
        <v>54</v>
      </c>
      <c r="EM36" t="s">
        <v>55</v>
      </c>
      <c r="EO36" t="s">
        <v>3</v>
      </c>
      <c r="EQ36">
        <v>131072</v>
      </c>
      <c r="ER36">
        <v>36.590000000000003</v>
      </c>
      <c r="ES36">
        <v>0</v>
      </c>
      <c r="ET36">
        <v>36.590000000000003</v>
      </c>
      <c r="EU36">
        <v>0</v>
      </c>
      <c r="EV36">
        <v>0</v>
      </c>
      <c r="EW36">
        <v>0</v>
      </c>
      <c r="EX36">
        <v>0</v>
      </c>
      <c r="EY36">
        <v>0</v>
      </c>
      <c r="FQ36">
        <v>0</v>
      </c>
      <c r="FR36">
        <f t="shared" si="52"/>
        <v>0</v>
      </c>
      <c r="FS36">
        <v>0</v>
      </c>
      <c r="FX36">
        <v>0</v>
      </c>
      <c r="FY36">
        <v>0</v>
      </c>
      <c r="GA36" t="s">
        <v>3</v>
      </c>
      <c r="GD36">
        <v>0</v>
      </c>
      <c r="GF36">
        <v>-2064945105</v>
      </c>
      <c r="GG36">
        <v>2</v>
      </c>
      <c r="GH36">
        <v>1</v>
      </c>
      <c r="GI36">
        <v>2</v>
      </c>
      <c r="GJ36">
        <v>0</v>
      </c>
      <c r="GK36">
        <f>ROUND(R36*(R12)/100,2)</f>
        <v>0</v>
      </c>
      <c r="GL36">
        <f t="shared" si="53"/>
        <v>0</v>
      </c>
      <c r="GM36">
        <f t="shared" si="54"/>
        <v>0</v>
      </c>
      <c r="GN36">
        <f t="shared" si="55"/>
        <v>0</v>
      </c>
      <c r="GO36">
        <f t="shared" si="56"/>
        <v>0</v>
      </c>
      <c r="GP36">
        <f t="shared" si="57"/>
        <v>0</v>
      </c>
      <c r="GR36">
        <v>0</v>
      </c>
      <c r="GS36">
        <v>3</v>
      </c>
      <c r="GT36">
        <v>0</v>
      </c>
      <c r="GU36" t="s">
        <v>3</v>
      </c>
      <c r="GV36">
        <f t="shared" si="58"/>
        <v>0</v>
      </c>
      <c r="GW36">
        <v>1</v>
      </c>
      <c r="GX36">
        <f t="shared" si="59"/>
        <v>0</v>
      </c>
      <c r="HA36">
        <v>0</v>
      </c>
      <c r="HB36">
        <v>0</v>
      </c>
      <c r="HC36">
        <f t="shared" si="60"/>
        <v>0</v>
      </c>
      <c r="IK36">
        <v>0</v>
      </c>
    </row>
    <row r="37" spans="1:245" x14ac:dyDescent="0.2">
      <c r="A37">
        <v>17</v>
      </c>
      <c r="B37">
        <v>1</v>
      </c>
      <c r="C37">
        <f>ROW(SmtRes!A42)</f>
        <v>42</v>
      </c>
      <c r="D37">
        <f>ROW(EtalonRes!A42)</f>
        <v>42</v>
      </c>
      <c r="E37" t="s">
        <v>72</v>
      </c>
      <c r="F37" t="s">
        <v>73</v>
      </c>
      <c r="G37" t="s">
        <v>74</v>
      </c>
      <c r="H37" t="s">
        <v>75</v>
      </c>
      <c r="I37">
        <f>ROUND((11416/100*99.61)/100,9)</f>
        <v>113.714776</v>
      </c>
      <c r="J37">
        <v>0</v>
      </c>
      <c r="O37">
        <f t="shared" si="21"/>
        <v>744491.9</v>
      </c>
      <c r="P37">
        <f t="shared" si="22"/>
        <v>59908.54</v>
      </c>
      <c r="Q37">
        <f t="shared" si="23"/>
        <v>539059.13</v>
      </c>
      <c r="R37">
        <f t="shared" si="24"/>
        <v>173250.97</v>
      </c>
      <c r="S37">
        <f t="shared" si="25"/>
        <v>145524.23000000001</v>
      </c>
      <c r="T37">
        <f t="shared" si="26"/>
        <v>0</v>
      </c>
      <c r="U37">
        <f t="shared" si="27"/>
        <v>487.83638904000003</v>
      </c>
      <c r="V37">
        <f t="shared" si="28"/>
        <v>0</v>
      </c>
      <c r="W37">
        <f t="shared" si="29"/>
        <v>0</v>
      </c>
      <c r="X37">
        <f t="shared" si="30"/>
        <v>190636.74</v>
      </c>
      <c r="Y37">
        <f t="shared" si="31"/>
        <v>78583.08</v>
      </c>
      <c r="AA37">
        <v>33989672</v>
      </c>
      <c r="AB37">
        <f t="shared" si="32"/>
        <v>608.47</v>
      </c>
      <c r="AC37">
        <f t="shared" si="33"/>
        <v>57.83</v>
      </c>
      <c r="AD37">
        <f t="shared" si="34"/>
        <v>498.47</v>
      </c>
      <c r="AE37">
        <f t="shared" si="35"/>
        <v>62.11</v>
      </c>
      <c r="AF37">
        <f t="shared" si="36"/>
        <v>52.17</v>
      </c>
      <c r="AG37">
        <f t="shared" si="37"/>
        <v>0</v>
      </c>
      <c r="AH37">
        <f t="shared" si="38"/>
        <v>4.29</v>
      </c>
      <c r="AI37">
        <f t="shared" si="39"/>
        <v>0</v>
      </c>
      <c r="AJ37">
        <f t="shared" si="40"/>
        <v>0</v>
      </c>
      <c r="AK37">
        <v>608.47</v>
      </c>
      <c r="AL37">
        <v>57.83</v>
      </c>
      <c r="AM37">
        <v>498.47</v>
      </c>
      <c r="AN37">
        <v>62.11</v>
      </c>
      <c r="AO37">
        <v>52.17</v>
      </c>
      <c r="AP37">
        <v>0</v>
      </c>
      <c r="AQ37">
        <v>4.29</v>
      </c>
      <c r="AR37">
        <v>0</v>
      </c>
      <c r="AS37">
        <v>0</v>
      </c>
      <c r="AT37">
        <v>131</v>
      </c>
      <c r="AU37">
        <v>54</v>
      </c>
      <c r="AV37">
        <v>1</v>
      </c>
      <c r="AW37">
        <v>1</v>
      </c>
      <c r="AZ37">
        <v>1</v>
      </c>
      <c r="BA37">
        <v>24.53</v>
      </c>
      <c r="BB37">
        <v>9.51</v>
      </c>
      <c r="BC37">
        <v>9.11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76</v>
      </c>
      <c r="BM37">
        <v>158</v>
      </c>
      <c r="BN37">
        <v>0</v>
      </c>
      <c r="BO37" t="s">
        <v>73</v>
      </c>
      <c r="BP37">
        <v>1</v>
      </c>
      <c r="BQ37">
        <v>30</v>
      </c>
      <c r="BR37">
        <v>0</v>
      </c>
      <c r="BS37">
        <v>24.53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131</v>
      </c>
      <c r="CA37">
        <v>54</v>
      </c>
      <c r="CE37">
        <v>30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41"/>
        <v>744491.9</v>
      </c>
      <c r="CQ37">
        <f t="shared" si="42"/>
        <v>526.83000000000004</v>
      </c>
      <c r="CR37">
        <f t="shared" si="43"/>
        <v>4740.45</v>
      </c>
      <c r="CS37">
        <f t="shared" si="44"/>
        <v>1523.56</v>
      </c>
      <c r="CT37">
        <f t="shared" si="45"/>
        <v>1279.73</v>
      </c>
      <c r="CU37">
        <f t="shared" si="46"/>
        <v>0</v>
      </c>
      <c r="CV37">
        <f t="shared" si="47"/>
        <v>4.29</v>
      </c>
      <c r="CW37">
        <f t="shared" si="48"/>
        <v>0</v>
      </c>
      <c r="CX37">
        <f t="shared" si="49"/>
        <v>0</v>
      </c>
      <c r="CY37">
        <f t="shared" si="50"/>
        <v>190636.74130000002</v>
      </c>
      <c r="CZ37">
        <f t="shared" si="51"/>
        <v>78583.084200000012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161</v>
      </c>
      <c r="DO37">
        <v>107</v>
      </c>
      <c r="DP37">
        <v>1</v>
      </c>
      <c r="DQ37">
        <v>1</v>
      </c>
      <c r="DU37">
        <v>1013</v>
      </c>
      <c r="DV37" t="s">
        <v>75</v>
      </c>
      <c r="DW37" t="s">
        <v>75</v>
      </c>
      <c r="DX37">
        <v>1</v>
      </c>
      <c r="EE37">
        <v>33797797</v>
      </c>
      <c r="EF37">
        <v>30</v>
      </c>
      <c r="EG37" t="s">
        <v>77</v>
      </c>
      <c r="EH37">
        <v>0</v>
      </c>
      <c r="EI37" t="s">
        <v>3</v>
      </c>
      <c r="EJ37">
        <v>1</v>
      </c>
      <c r="EK37">
        <v>158</v>
      </c>
      <c r="EL37" t="s">
        <v>78</v>
      </c>
      <c r="EM37" t="s">
        <v>79</v>
      </c>
      <c r="EO37" t="s">
        <v>3</v>
      </c>
      <c r="EQ37">
        <v>0</v>
      </c>
      <c r="ER37">
        <v>608.47</v>
      </c>
      <c r="ES37">
        <v>57.83</v>
      </c>
      <c r="ET37">
        <v>498.47</v>
      </c>
      <c r="EU37">
        <v>62.11</v>
      </c>
      <c r="EV37">
        <v>52.17</v>
      </c>
      <c r="EW37">
        <v>4.29</v>
      </c>
      <c r="EX37">
        <v>0</v>
      </c>
      <c r="EY37">
        <v>0</v>
      </c>
      <c r="FQ37">
        <v>0</v>
      </c>
      <c r="FR37">
        <f t="shared" si="52"/>
        <v>0</v>
      </c>
      <c r="FS37">
        <v>0</v>
      </c>
      <c r="FX37">
        <v>161</v>
      </c>
      <c r="FY37">
        <v>107</v>
      </c>
      <c r="GA37" t="s">
        <v>3</v>
      </c>
      <c r="GD37">
        <v>0</v>
      </c>
      <c r="GF37">
        <v>157073296</v>
      </c>
      <c r="GG37">
        <v>2</v>
      </c>
      <c r="GH37">
        <v>1</v>
      </c>
      <c r="GI37">
        <v>2</v>
      </c>
      <c r="GJ37">
        <v>0</v>
      </c>
      <c r="GK37">
        <f>ROUND(R37*(R12)/100,2)</f>
        <v>272004.02</v>
      </c>
      <c r="GL37">
        <f t="shared" si="53"/>
        <v>0</v>
      </c>
      <c r="GM37">
        <f t="shared" si="54"/>
        <v>1285715.74</v>
      </c>
      <c r="GN37">
        <f t="shared" si="55"/>
        <v>1285715.74</v>
      </c>
      <c r="GO37">
        <f t="shared" si="56"/>
        <v>0</v>
      </c>
      <c r="GP37">
        <f t="shared" si="57"/>
        <v>0</v>
      </c>
      <c r="GR37">
        <v>0</v>
      </c>
      <c r="GS37">
        <v>3</v>
      </c>
      <c r="GT37">
        <v>0</v>
      </c>
      <c r="GU37" t="s">
        <v>3</v>
      </c>
      <c r="GV37">
        <f t="shared" si="58"/>
        <v>0</v>
      </c>
      <c r="GW37">
        <v>1</v>
      </c>
      <c r="GX37">
        <f t="shared" si="59"/>
        <v>0</v>
      </c>
      <c r="HA37">
        <v>0</v>
      </c>
      <c r="HB37">
        <v>0</v>
      </c>
      <c r="HC37">
        <f t="shared" si="60"/>
        <v>0</v>
      </c>
      <c r="IK37">
        <v>0</v>
      </c>
    </row>
    <row r="38" spans="1:245" x14ac:dyDescent="0.2">
      <c r="A38">
        <v>18</v>
      </c>
      <c r="B38">
        <v>1</v>
      </c>
      <c r="C38">
        <v>42</v>
      </c>
      <c r="E38" t="s">
        <v>80</v>
      </c>
      <c r="F38" t="s">
        <v>81</v>
      </c>
      <c r="G38" t="s">
        <v>82</v>
      </c>
      <c r="H38" t="s">
        <v>51</v>
      </c>
      <c r="I38">
        <f>I37*J38</f>
        <v>1159.890715</v>
      </c>
      <c r="J38">
        <v>10.199999998241214</v>
      </c>
      <c r="O38">
        <f t="shared" si="21"/>
        <v>3042552.92</v>
      </c>
      <c r="P38">
        <f t="shared" si="22"/>
        <v>3042552.92</v>
      </c>
      <c r="Q38">
        <f t="shared" si="23"/>
        <v>0</v>
      </c>
      <c r="R38">
        <f t="shared" si="24"/>
        <v>0</v>
      </c>
      <c r="S38">
        <f t="shared" si="25"/>
        <v>0</v>
      </c>
      <c r="T38">
        <f t="shared" si="26"/>
        <v>0</v>
      </c>
      <c r="U38">
        <f t="shared" si="27"/>
        <v>0</v>
      </c>
      <c r="V38">
        <f t="shared" si="28"/>
        <v>0</v>
      </c>
      <c r="W38">
        <f t="shared" si="29"/>
        <v>0</v>
      </c>
      <c r="X38">
        <f t="shared" si="30"/>
        <v>0</v>
      </c>
      <c r="Y38">
        <f t="shared" si="31"/>
        <v>0</v>
      </c>
      <c r="AA38">
        <v>33989672</v>
      </c>
      <c r="AB38">
        <f t="shared" si="32"/>
        <v>307.88</v>
      </c>
      <c r="AC38">
        <f t="shared" si="33"/>
        <v>307.88</v>
      </c>
      <c r="AD38">
        <f t="shared" si="34"/>
        <v>0</v>
      </c>
      <c r="AE38">
        <f t="shared" si="35"/>
        <v>0</v>
      </c>
      <c r="AF38">
        <f t="shared" si="36"/>
        <v>0</v>
      </c>
      <c r="AG38">
        <f t="shared" si="37"/>
        <v>0</v>
      </c>
      <c r="AH38">
        <f t="shared" si="38"/>
        <v>0</v>
      </c>
      <c r="AI38">
        <f t="shared" si="39"/>
        <v>0</v>
      </c>
      <c r="AJ38">
        <f t="shared" si="40"/>
        <v>0</v>
      </c>
      <c r="AK38">
        <v>307.88</v>
      </c>
      <c r="AL38">
        <v>307.88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8.52</v>
      </c>
      <c r="BD38" t="s">
        <v>3</v>
      </c>
      <c r="BE38" t="s">
        <v>3</v>
      </c>
      <c r="BF38" t="s">
        <v>3</v>
      </c>
      <c r="BG38" t="s">
        <v>3</v>
      </c>
      <c r="BH38">
        <v>3</v>
      </c>
      <c r="BI38">
        <v>1</v>
      </c>
      <c r="BJ38" t="s">
        <v>83</v>
      </c>
      <c r="BM38">
        <v>158</v>
      </c>
      <c r="BN38">
        <v>0</v>
      </c>
      <c r="BO38" t="s">
        <v>81</v>
      </c>
      <c r="BP38">
        <v>1</v>
      </c>
      <c r="BQ38">
        <v>30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0</v>
      </c>
      <c r="CA38">
        <v>0</v>
      </c>
      <c r="CE38">
        <v>30</v>
      </c>
      <c r="CF38">
        <v>0</v>
      </c>
      <c r="CG38">
        <v>0</v>
      </c>
      <c r="CM38">
        <v>0</v>
      </c>
      <c r="CN38" t="s">
        <v>3</v>
      </c>
      <c r="CO38">
        <v>0</v>
      </c>
      <c r="CP38">
        <f t="shared" si="41"/>
        <v>3042552.92</v>
      </c>
      <c r="CQ38">
        <f t="shared" si="42"/>
        <v>2623.14</v>
      </c>
      <c r="CR38">
        <f t="shared" si="43"/>
        <v>0</v>
      </c>
      <c r="CS38">
        <f t="shared" si="44"/>
        <v>0</v>
      </c>
      <c r="CT38">
        <f t="shared" si="45"/>
        <v>0</v>
      </c>
      <c r="CU38">
        <f t="shared" si="46"/>
        <v>0</v>
      </c>
      <c r="CV38">
        <f t="shared" si="47"/>
        <v>0</v>
      </c>
      <c r="CW38">
        <f t="shared" si="48"/>
        <v>0</v>
      </c>
      <c r="CX38">
        <f t="shared" si="49"/>
        <v>0</v>
      </c>
      <c r="CY38">
        <f t="shared" si="50"/>
        <v>0</v>
      </c>
      <c r="CZ38">
        <f t="shared" si="51"/>
        <v>0</v>
      </c>
      <c r="DC38" t="s">
        <v>3</v>
      </c>
      <c r="DD38" t="s">
        <v>3</v>
      </c>
      <c r="DE38" t="s">
        <v>3</v>
      </c>
      <c r="DF38" t="s">
        <v>3</v>
      </c>
      <c r="DG38" t="s">
        <v>3</v>
      </c>
      <c r="DH38" t="s">
        <v>3</v>
      </c>
      <c r="DI38" t="s">
        <v>3</v>
      </c>
      <c r="DJ38" t="s">
        <v>3</v>
      </c>
      <c r="DK38" t="s">
        <v>3</v>
      </c>
      <c r="DL38" t="s">
        <v>3</v>
      </c>
      <c r="DM38" t="s">
        <v>3</v>
      </c>
      <c r="DN38">
        <v>161</v>
      </c>
      <c r="DO38">
        <v>107</v>
      </c>
      <c r="DP38">
        <v>1</v>
      </c>
      <c r="DQ38">
        <v>1</v>
      </c>
      <c r="DU38">
        <v>1009</v>
      </c>
      <c r="DV38" t="s">
        <v>51</v>
      </c>
      <c r="DW38" t="s">
        <v>51</v>
      </c>
      <c r="DX38">
        <v>1000</v>
      </c>
      <c r="EE38">
        <v>33797797</v>
      </c>
      <c r="EF38">
        <v>30</v>
      </c>
      <c r="EG38" t="s">
        <v>77</v>
      </c>
      <c r="EH38">
        <v>0</v>
      </c>
      <c r="EI38" t="s">
        <v>3</v>
      </c>
      <c r="EJ38">
        <v>1</v>
      </c>
      <c r="EK38">
        <v>158</v>
      </c>
      <c r="EL38" t="s">
        <v>78</v>
      </c>
      <c r="EM38" t="s">
        <v>79</v>
      </c>
      <c r="EO38" t="s">
        <v>3</v>
      </c>
      <c r="EQ38">
        <v>0</v>
      </c>
      <c r="ER38">
        <v>307.88</v>
      </c>
      <c r="ES38">
        <v>307.88</v>
      </c>
      <c r="ET38">
        <v>0</v>
      </c>
      <c r="EU38">
        <v>0</v>
      </c>
      <c r="EV38">
        <v>0</v>
      </c>
      <c r="EW38">
        <v>0</v>
      </c>
      <c r="EX38">
        <v>0</v>
      </c>
      <c r="FQ38">
        <v>0</v>
      </c>
      <c r="FR38">
        <f t="shared" si="52"/>
        <v>0</v>
      </c>
      <c r="FS38">
        <v>0</v>
      </c>
      <c r="FX38">
        <v>161</v>
      </c>
      <c r="FY38">
        <v>107</v>
      </c>
      <c r="GA38" t="s">
        <v>3</v>
      </c>
      <c r="GD38">
        <v>0</v>
      </c>
      <c r="GF38">
        <v>305310980</v>
      </c>
      <c r="GG38">
        <v>2</v>
      </c>
      <c r="GH38">
        <v>1</v>
      </c>
      <c r="GI38">
        <v>2</v>
      </c>
      <c r="GJ38">
        <v>0</v>
      </c>
      <c r="GK38">
        <f>ROUND(R38*(R12)/100,2)</f>
        <v>0</v>
      </c>
      <c r="GL38">
        <f t="shared" si="53"/>
        <v>0</v>
      </c>
      <c r="GM38">
        <f t="shared" si="54"/>
        <v>3042552.92</v>
      </c>
      <c r="GN38">
        <f t="shared" si="55"/>
        <v>3042552.92</v>
      </c>
      <c r="GO38">
        <f t="shared" si="56"/>
        <v>0</v>
      </c>
      <c r="GP38">
        <f t="shared" si="57"/>
        <v>0</v>
      </c>
      <c r="GR38">
        <v>0</v>
      </c>
      <c r="GS38">
        <v>3</v>
      </c>
      <c r="GT38">
        <v>0</v>
      </c>
      <c r="GU38" t="s">
        <v>3</v>
      </c>
      <c r="GV38">
        <f t="shared" si="58"/>
        <v>0</v>
      </c>
      <c r="GW38">
        <v>1</v>
      </c>
      <c r="GX38">
        <f t="shared" si="59"/>
        <v>0</v>
      </c>
      <c r="HA38">
        <v>0</v>
      </c>
      <c r="HB38">
        <v>0</v>
      </c>
      <c r="HC38">
        <f t="shared" si="60"/>
        <v>0</v>
      </c>
      <c r="IK38">
        <v>0</v>
      </c>
    </row>
    <row r="39" spans="1:245" x14ac:dyDescent="0.2">
      <c r="A39">
        <v>17</v>
      </c>
      <c r="B39">
        <v>1</v>
      </c>
      <c r="C39">
        <f>ROW(SmtRes!A46)</f>
        <v>46</v>
      </c>
      <c r="D39">
        <f>ROW(EtalonRes!A46)</f>
        <v>46</v>
      </c>
      <c r="E39" t="s">
        <v>84</v>
      </c>
      <c r="F39" t="s">
        <v>85</v>
      </c>
      <c r="G39" t="s">
        <v>86</v>
      </c>
      <c r="H39" t="s">
        <v>75</v>
      </c>
      <c r="I39">
        <f>ROUND((11416/100*99.61)/100,9)</f>
        <v>113.714776</v>
      </c>
      <c r="J39">
        <v>0</v>
      </c>
      <c r="O39">
        <f t="shared" si="21"/>
        <v>39829.57</v>
      </c>
      <c r="P39">
        <f t="shared" si="22"/>
        <v>0</v>
      </c>
      <c r="Q39">
        <f t="shared" si="23"/>
        <v>20498.95</v>
      </c>
      <c r="R39">
        <f t="shared" si="24"/>
        <v>9958.2000000000007</v>
      </c>
      <c r="S39">
        <f t="shared" si="25"/>
        <v>19330.62</v>
      </c>
      <c r="T39">
        <f t="shared" si="26"/>
        <v>0</v>
      </c>
      <c r="U39">
        <f t="shared" si="27"/>
        <v>60.268831280000001</v>
      </c>
      <c r="V39">
        <f t="shared" si="28"/>
        <v>0</v>
      </c>
      <c r="W39">
        <f t="shared" si="29"/>
        <v>0</v>
      </c>
      <c r="X39">
        <f t="shared" si="30"/>
        <v>25323.11</v>
      </c>
      <c r="Y39">
        <f t="shared" si="31"/>
        <v>10438.530000000001</v>
      </c>
      <c r="AA39">
        <v>33989672</v>
      </c>
      <c r="AB39">
        <f t="shared" si="32"/>
        <v>24.28</v>
      </c>
      <c r="AC39">
        <f t="shared" si="33"/>
        <v>0</v>
      </c>
      <c r="AD39">
        <f t="shared" si="34"/>
        <v>17.350000000000001</v>
      </c>
      <c r="AE39">
        <f t="shared" si="35"/>
        <v>3.57</v>
      </c>
      <c r="AF39">
        <f t="shared" si="36"/>
        <v>6.93</v>
      </c>
      <c r="AG39">
        <f t="shared" si="37"/>
        <v>0</v>
      </c>
      <c r="AH39">
        <f t="shared" si="38"/>
        <v>0.53</v>
      </c>
      <c r="AI39">
        <f t="shared" si="39"/>
        <v>0</v>
      </c>
      <c r="AJ39">
        <f t="shared" si="40"/>
        <v>0</v>
      </c>
      <c r="AK39">
        <v>24.28</v>
      </c>
      <c r="AL39">
        <v>0</v>
      </c>
      <c r="AM39">
        <v>17.350000000000001</v>
      </c>
      <c r="AN39">
        <v>3.57</v>
      </c>
      <c r="AO39">
        <v>6.93</v>
      </c>
      <c r="AP39">
        <v>0</v>
      </c>
      <c r="AQ39">
        <v>0.53</v>
      </c>
      <c r="AR39">
        <v>0</v>
      </c>
      <c r="AS39">
        <v>0</v>
      </c>
      <c r="AT39">
        <v>131</v>
      </c>
      <c r="AU39">
        <v>54</v>
      </c>
      <c r="AV39">
        <v>1</v>
      </c>
      <c r="AW39">
        <v>1</v>
      </c>
      <c r="AZ39">
        <v>1</v>
      </c>
      <c r="BA39">
        <v>24.53</v>
      </c>
      <c r="BB39">
        <v>10.39</v>
      </c>
      <c r="BC39">
        <v>1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87</v>
      </c>
      <c r="BM39">
        <v>158</v>
      </c>
      <c r="BN39">
        <v>0</v>
      </c>
      <c r="BO39" t="s">
        <v>85</v>
      </c>
      <c r="BP39">
        <v>1</v>
      </c>
      <c r="BQ39">
        <v>30</v>
      </c>
      <c r="BR39">
        <v>0</v>
      </c>
      <c r="BS39">
        <v>24.53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131</v>
      </c>
      <c r="CA39">
        <v>54</v>
      </c>
      <c r="CE39">
        <v>30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41"/>
        <v>39829.57</v>
      </c>
      <c r="CQ39">
        <f t="shared" si="42"/>
        <v>0</v>
      </c>
      <c r="CR39">
        <f t="shared" si="43"/>
        <v>180.27</v>
      </c>
      <c r="CS39">
        <f t="shared" si="44"/>
        <v>87.57</v>
      </c>
      <c r="CT39">
        <f t="shared" si="45"/>
        <v>169.99</v>
      </c>
      <c r="CU39">
        <f t="shared" si="46"/>
        <v>0</v>
      </c>
      <c r="CV39">
        <f t="shared" si="47"/>
        <v>0.53</v>
      </c>
      <c r="CW39">
        <f t="shared" si="48"/>
        <v>0</v>
      </c>
      <c r="CX39">
        <f t="shared" si="49"/>
        <v>0</v>
      </c>
      <c r="CY39">
        <f t="shared" si="50"/>
        <v>25323.1122</v>
      </c>
      <c r="CZ39">
        <f t="shared" si="51"/>
        <v>10438.534799999999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161</v>
      </c>
      <c r="DO39">
        <v>107</v>
      </c>
      <c r="DP39">
        <v>1</v>
      </c>
      <c r="DQ39">
        <v>1</v>
      </c>
      <c r="DU39">
        <v>1013</v>
      </c>
      <c r="DV39" t="s">
        <v>75</v>
      </c>
      <c r="DW39" t="s">
        <v>75</v>
      </c>
      <c r="DX39">
        <v>1</v>
      </c>
      <c r="EE39">
        <v>33797797</v>
      </c>
      <c r="EF39">
        <v>30</v>
      </c>
      <c r="EG39" t="s">
        <v>77</v>
      </c>
      <c r="EH39">
        <v>0</v>
      </c>
      <c r="EI39" t="s">
        <v>3</v>
      </c>
      <c r="EJ39">
        <v>1</v>
      </c>
      <c r="EK39">
        <v>158</v>
      </c>
      <c r="EL39" t="s">
        <v>78</v>
      </c>
      <c r="EM39" t="s">
        <v>79</v>
      </c>
      <c r="EO39" t="s">
        <v>3</v>
      </c>
      <c r="EQ39">
        <v>0</v>
      </c>
      <c r="ER39">
        <v>24.28</v>
      </c>
      <c r="ES39">
        <v>0</v>
      </c>
      <c r="ET39">
        <v>17.350000000000001</v>
      </c>
      <c r="EU39">
        <v>3.57</v>
      </c>
      <c r="EV39">
        <v>6.93</v>
      </c>
      <c r="EW39">
        <v>0.53</v>
      </c>
      <c r="EX39">
        <v>0</v>
      </c>
      <c r="EY39">
        <v>0</v>
      </c>
      <c r="FQ39">
        <v>0</v>
      </c>
      <c r="FR39">
        <f t="shared" si="52"/>
        <v>0</v>
      </c>
      <c r="FS39">
        <v>0</v>
      </c>
      <c r="FX39">
        <v>161</v>
      </c>
      <c r="FY39">
        <v>107</v>
      </c>
      <c r="GA39" t="s">
        <v>3</v>
      </c>
      <c r="GD39">
        <v>0</v>
      </c>
      <c r="GF39">
        <v>-1638021445</v>
      </c>
      <c r="GG39">
        <v>2</v>
      </c>
      <c r="GH39">
        <v>1</v>
      </c>
      <c r="GI39">
        <v>2</v>
      </c>
      <c r="GJ39">
        <v>0</v>
      </c>
      <c r="GK39">
        <f>ROUND(R39*(R12)/100,2)</f>
        <v>15634.37</v>
      </c>
      <c r="GL39">
        <f t="shared" si="53"/>
        <v>0</v>
      </c>
      <c r="GM39">
        <f t="shared" si="54"/>
        <v>91225.58</v>
      </c>
      <c r="GN39">
        <f t="shared" si="55"/>
        <v>91225.58</v>
      </c>
      <c r="GO39">
        <f t="shared" si="56"/>
        <v>0</v>
      </c>
      <c r="GP39">
        <f t="shared" si="57"/>
        <v>0</v>
      </c>
      <c r="GR39">
        <v>0</v>
      </c>
      <c r="GS39">
        <v>3</v>
      </c>
      <c r="GT39">
        <v>0</v>
      </c>
      <c r="GU39" t="s">
        <v>3</v>
      </c>
      <c r="GV39">
        <f t="shared" si="58"/>
        <v>0</v>
      </c>
      <c r="GW39">
        <v>1</v>
      </c>
      <c r="GX39">
        <f t="shared" si="59"/>
        <v>0</v>
      </c>
      <c r="HA39">
        <v>0</v>
      </c>
      <c r="HB39">
        <v>0</v>
      </c>
      <c r="HC39">
        <f t="shared" si="60"/>
        <v>0</v>
      </c>
      <c r="IK39">
        <v>0</v>
      </c>
    </row>
    <row r="40" spans="1:245" x14ac:dyDescent="0.2">
      <c r="A40">
        <v>18</v>
      </c>
      <c r="B40">
        <v>1</v>
      </c>
      <c r="C40">
        <v>46</v>
      </c>
      <c r="E40" t="s">
        <v>88</v>
      </c>
      <c r="F40" t="s">
        <v>81</v>
      </c>
      <c r="G40" t="s">
        <v>82</v>
      </c>
      <c r="H40" t="s">
        <v>51</v>
      </c>
      <c r="I40">
        <f>I39*J40</f>
        <v>291.109827</v>
      </c>
      <c r="J40">
        <v>2.5600000038693298</v>
      </c>
      <c r="O40">
        <f t="shared" si="21"/>
        <v>763621.1</v>
      </c>
      <c r="P40">
        <f t="shared" si="22"/>
        <v>763621.1</v>
      </c>
      <c r="Q40">
        <f t="shared" si="23"/>
        <v>0</v>
      </c>
      <c r="R40">
        <f t="shared" si="24"/>
        <v>0</v>
      </c>
      <c r="S40">
        <f t="shared" si="25"/>
        <v>0</v>
      </c>
      <c r="T40">
        <f t="shared" si="26"/>
        <v>0</v>
      </c>
      <c r="U40">
        <f t="shared" si="27"/>
        <v>0</v>
      </c>
      <c r="V40">
        <f t="shared" si="28"/>
        <v>0</v>
      </c>
      <c r="W40">
        <f t="shared" si="29"/>
        <v>0</v>
      </c>
      <c r="X40">
        <f t="shared" si="30"/>
        <v>0</v>
      </c>
      <c r="Y40">
        <f t="shared" si="31"/>
        <v>0</v>
      </c>
      <c r="AA40">
        <v>33989672</v>
      </c>
      <c r="AB40">
        <f t="shared" si="32"/>
        <v>307.88</v>
      </c>
      <c r="AC40">
        <f t="shared" si="33"/>
        <v>307.88</v>
      </c>
      <c r="AD40">
        <f t="shared" si="34"/>
        <v>0</v>
      </c>
      <c r="AE40">
        <f t="shared" si="35"/>
        <v>0</v>
      </c>
      <c r="AF40">
        <f t="shared" si="36"/>
        <v>0</v>
      </c>
      <c r="AG40">
        <f t="shared" si="37"/>
        <v>0</v>
      </c>
      <c r="AH40">
        <f t="shared" si="38"/>
        <v>0</v>
      </c>
      <c r="AI40">
        <f t="shared" si="39"/>
        <v>0</v>
      </c>
      <c r="AJ40">
        <f t="shared" si="40"/>
        <v>0</v>
      </c>
      <c r="AK40">
        <v>307.88</v>
      </c>
      <c r="AL40">
        <v>307.88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8.52</v>
      </c>
      <c r="BD40" t="s">
        <v>3</v>
      </c>
      <c r="BE40" t="s">
        <v>3</v>
      </c>
      <c r="BF40" t="s">
        <v>3</v>
      </c>
      <c r="BG40" t="s">
        <v>3</v>
      </c>
      <c r="BH40">
        <v>3</v>
      </c>
      <c r="BI40">
        <v>1</v>
      </c>
      <c r="BJ40" t="s">
        <v>83</v>
      </c>
      <c r="BM40">
        <v>158</v>
      </c>
      <c r="BN40">
        <v>0</v>
      </c>
      <c r="BO40" t="s">
        <v>81</v>
      </c>
      <c r="BP40">
        <v>1</v>
      </c>
      <c r="BQ40">
        <v>30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 t="s">
        <v>3</v>
      </c>
      <c r="BZ40">
        <v>0</v>
      </c>
      <c r="CA40">
        <v>0</v>
      </c>
      <c r="CE40">
        <v>30</v>
      </c>
      <c r="CF40">
        <v>0</v>
      </c>
      <c r="CG40">
        <v>0</v>
      </c>
      <c r="CM40">
        <v>0</v>
      </c>
      <c r="CN40" t="s">
        <v>3</v>
      </c>
      <c r="CO40">
        <v>0</v>
      </c>
      <c r="CP40">
        <f t="shared" si="41"/>
        <v>763621.1</v>
      </c>
      <c r="CQ40">
        <f t="shared" si="42"/>
        <v>2623.14</v>
      </c>
      <c r="CR40">
        <f t="shared" si="43"/>
        <v>0</v>
      </c>
      <c r="CS40">
        <f t="shared" si="44"/>
        <v>0</v>
      </c>
      <c r="CT40">
        <f t="shared" si="45"/>
        <v>0</v>
      </c>
      <c r="CU40">
        <f t="shared" si="46"/>
        <v>0</v>
      </c>
      <c r="CV40">
        <f t="shared" si="47"/>
        <v>0</v>
      </c>
      <c r="CW40">
        <f t="shared" si="48"/>
        <v>0</v>
      </c>
      <c r="CX40">
        <f t="shared" si="49"/>
        <v>0</v>
      </c>
      <c r="CY40">
        <f t="shared" si="50"/>
        <v>0</v>
      </c>
      <c r="CZ40">
        <f t="shared" si="51"/>
        <v>0</v>
      </c>
      <c r="DC40" t="s">
        <v>3</v>
      </c>
      <c r="DD40" t="s">
        <v>3</v>
      </c>
      <c r="DE40" t="s">
        <v>3</v>
      </c>
      <c r="DF40" t="s">
        <v>3</v>
      </c>
      <c r="DG40" t="s">
        <v>3</v>
      </c>
      <c r="DH40" t="s">
        <v>3</v>
      </c>
      <c r="DI40" t="s">
        <v>3</v>
      </c>
      <c r="DJ40" t="s">
        <v>3</v>
      </c>
      <c r="DK40" t="s">
        <v>3</v>
      </c>
      <c r="DL40" t="s">
        <v>3</v>
      </c>
      <c r="DM40" t="s">
        <v>3</v>
      </c>
      <c r="DN40">
        <v>161</v>
      </c>
      <c r="DO40">
        <v>107</v>
      </c>
      <c r="DP40">
        <v>1</v>
      </c>
      <c r="DQ40">
        <v>1</v>
      </c>
      <c r="DU40">
        <v>1009</v>
      </c>
      <c r="DV40" t="s">
        <v>51</v>
      </c>
      <c r="DW40" t="s">
        <v>51</v>
      </c>
      <c r="DX40">
        <v>1000</v>
      </c>
      <c r="EE40">
        <v>33797797</v>
      </c>
      <c r="EF40">
        <v>30</v>
      </c>
      <c r="EG40" t="s">
        <v>77</v>
      </c>
      <c r="EH40">
        <v>0</v>
      </c>
      <c r="EI40" t="s">
        <v>3</v>
      </c>
      <c r="EJ40">
        <v>1</v>
      </c>
      <c r="EK40">
        <v>158</v>
      </c>
      <c r="EL40" t="s">
        <v>78</v>
      </c>
      <c r="EM40" t="s">
        <v>79</v>
      </c>
      <c r="EO40" t="s">
        <v>3</v>
      </c>
      <c r="EQ40">
        <v>0</v>
      </c>
      <c r="ER40">
        <v>307.88</v>
      </c>
      <c r="ES40">
        <v>307.88</v>
      </c>
      <c r="ET40">
        <v>0</v>
      </c>
      <c r="EU40">
        <v>0</v>
      </c>
      <c r="EV40">
        <v>0</v>
      </c>
      <c r="EW40">
        <v>0</v>
      </c>
      <c r="EX40">
        <v>0</v>
      </c>
      <c r="FQ40">
        <v>0</v>
      </c>
      <c r="FR40">
        <f t="shared" si="52"/>
        <v>0</v>
      </c>
      <c r="FS40">
        <v>0</v>
      </c>
      <c r="FX40">
        <v>161</v>
      </c>
      <c r="FY40">
        <v>107</v>
      </c>
      <c r="GA40" t="s">
        <v>3</v>
      </c>
      <c r="GD40">
        <v>0</v>
      </c>
      <c r="GF40">
        <v>305310980</v>
      </c>
      <c r="GG40">
        <v>2</v>
      </c>
      <c r="GH40">
        <v>1</v>
      </c>
      <c r="GI40">
        <v>2</v>
      </c>
      <c r="GJ40">
        <v>0</v>
      </c>
      <c r="GK40">
        <f>ROUND(R40*(R12)/100,2)</f>
        <v>0</v>
      </c>
      <c r="GL40">
        <f t="shared" si="53"/>
        <v>0</v>
      </c>
      <c r="GM40">
        <f t="shared" si="54"/>
        <v>763621.1</v>
      </c>
      <c r="GN40">
        <f t="shared" si="55"/>
        <v>763621.1</v>
      </c>
      <c r="GO40">
        <f t="shared" si="56"/>
        <v>0</v>
      </c>
      <c r="GP40">
        <f t="shared" si="57"/>
        <v>0</v>
      </c>
      <c r="GR40">
        <v>0</v>
      </c>
      <c r="GS40">
        <v>3</v>
      </c>
      <c r="GT40">
        <v>0</v>
      </c>
      <c r="GU40" t="s">
        <v>3</v>
      </c>
      <c r="GV40">
        <f t="shared" si="58"/>
        <v>0</v>
      </c>
      <c r="GW40">
        <v>1</v>
      </c>
      <c r="GX40">
        <f t="shared" si="59"/>
        <v>0</v>
      </c>
      <c r="HA40">
        <v>0</v>
      </c>
      <c r="HB40">
        <v>0</v>
      </c>
      <c r="HC40">
        <f t="shared" si="60"/>
        <v>0</v>
      </c>
      <c r="IK40">
        <v>0</v>
      </c>
    </row>
    <row r="42" spans="1:245" x14ac:dyDescent="0.2">
      <c r="A42" s="2">
        <v>51</v>
      </c>
      <c r="B42" s="2">
        <f>B24</f>
        <v>1</v>
      </c>
      <c r="C42" s="2">
        <f>A24</f>
        <v>4</v>
      </c>
      <c r="D42" s="2">
        <f>ROW(A24)</f>
        <v>24</v>
      </c>
      <c r="E42" s="2"/>
      <c r="F42" s="2" t="str">
        <f>IF(F24&lt;&gt;"",F24,"")</f>
        <v>Новый раздел</v>
      </c>
      <c r="G42" s="2" t="str">
        <f>IF(G24&lt;&gt;"",G24,"")</f>
        <v>1.1. Текущий ремонт мелкозернистого а/б покрытия (фрезеровка) -11416 м2</v>
      </c>
      <c r="H42" s="2">
        <v>0</v>
      </c>
      <c r="I42" s="2"/>
      <c r="J42" s="2"/>
      <c r="K42" s="2"/>
      <c r="L42" s="2"/>
      <c r="M42" s="2"/>
      <c r="N42" s="2"/>
      <c r="O42" s="2">
        <f t="shared" ref="O42:T42" si="61">ROUND(AB42,2)</f>
        <v>7039877.7400000002</v>
      </c>
      <c r="P42" s="2">
        <f t="shared" si="61"/>
        <v>4806441.46</v>
      </c>
      <c r="Q42" s="2">
        <f t="shared" si="61"/>
        <v>1633118.25</v>
      </c>
      <c r="R42" s="2">
        <f t="shared" si="61"/>
        <v>543444.24</v>
      </c>
      <c r="S42" s="2">
        <f t="shared" si="61"/>
        <v>600318.03</v>
      </c>
      <c r="T42" s="2">
        <f t="shared" si="61"/>
        <v>0</v>
      </c>
      <c r="U42" s="2">
        <f>AH42</f>
        <v>2156.0584762312001</v>
      </c>
      <c r="V42" s="2">
        <f>AI42</f>
        <v>0</v>
      </c>
      <c r="W42" s="2">
        <f>ROUND(AJ42,2)</f>
        <v>0</v>
      </c>
      <c r="X42" s="2">
        <f>ROUND(AK42,2)</f>
        <v>647711.59</v>
      </c>
      <c r="Y42" s="2">
        <f>ROUND(AL42,2)</f>
        <v>267561.53000000003</v>
      </c>
      <c r="Z42" s="2"/>
      <c r="AA42" s="2"/>
      <c r="AB42" s="2">
        <f>ROUND(SUMIF(AA28:AA40,"=33989672",O28:O40),2)</f>
        <v>7039877.7400000002</v>
      </c>
      <c r="AC42" s="2">
        <f>ROUND(SUMIF(AA28:AA40,"=33989672",P28:P40),2)</f>
        <v>4806441.46</v>
      </c>
      <c r="AD42" s="2">
        <f>ROUND(SUMIF(AA28:AA40,"=33989672",Q28:Q40),2)</f>
        <v>1633118.25</v>
      </c>
      <c r="AE42" s="2">
        <f>ROUND(SUMIF(AA28:AA40,"=33989672",R28:R40),2)</f>
        <v>543444.24</v>
      </c>
      <c r="AF42" s="2">
        <f>ROUND(SUMIF(AA28:AA40,"=33989672",S28:S40),2)</f>
        <v>600318.03</v>
      </c>
      <c r="AG42" s="2">
        <f>ROUND(SUMIF(AA28:AA40,"=33989672",T28:T40),2)</f>
        <v>0</v>
      </c>
      <c r="AH42" s="2">
        <f>SUMIF(AA28:AA40,"=33989672",U28:U40)</f>
        <v>2156.0584762312001</v>
      </c>
      <c r="AI42" s="2">
        <f>SUMIF(AA28:AA40,"=33989672",V28:V40)</f>
        <v>0</v>
      </c>
      <c r="AJ42" s="2">
        <f>ROUND(SUMIF(AA28:AA40,"=33989672",W28:W40),2)</f>
        <v>0</v>
      </c>
      <c r="AK42" s="2">
        <f>ROUND(SUMIF(AA28:AA40,"=33989672",X28:X40),2)</f>
        <v>647711.59</v>
      </c>
      <c r="AL42" s="2">
        <f>ROUND(SUMIF(AA28:AA40,"=33989672",Y28:Y40),2)</f>
        <v>267561.53000000003</v>
      </c>
      <c r="AM42" s="2"/>
      <c r="AN42" s="2"/>
      <c r="AO42" s="2">
        <f t="shared" ref="AO42:BD42" si="62">ROUND(BX42,2)</f>
        <v>0</v>
      </c>
      <c r="AP42" s="2">
        <f t="shared" si="62"/>
        <v>0</v>
      </c>
      <c r="AQ42" s="2">
        <f t="shared" si="62"/>
        <v>0</v>
      </c>
      <c r="AR42" s="2">
        <f t="shared" si="62"/>
        <v>8808358.3100000005</v>
      </c>
      <c r="AS42" s="2">
        <f t="shared" si="62"/>
        <v>8808358.3100000005</v>
      </c>
      <c r="AT42" s="2">
        <f t="shared" si="62"/>
        <v>0</v>
      </c>
      <c r="AU42" s="2">
        <f t="shared" si="62"/>
        <v>0</v>
      </c>
      <c r="AV42" s="2">
        <f t="shared" si="62"/>
        <v>4806441.46</v>
      </c>
      <c r="AW42" s="2">
        <f t="shared" si="62"/>
        <v>4806441.46</v>
      </c>
      <c r="AX42" s="2">
        <f t="shared" si="62"/>
        <v>0</v>
      </c>
      <c r="AY42" s="2">
        <f t="shared" si="62"/>
        <v>4806441.46</v>
      </c>
      <c r="AZ42" s="2">
        <f t="shared" si="62"/>
        <v>0</v>
      </c>
      <c r="BA42" s="2">
        <f t="shared" si="62"/>
        <v>0</v>
      </c>
      <c r="BB42" s="2">
        <f t="shared" si="62"/>
        <v>0</v>
      </c>
      <c r="BC42" s="2">
        <f t="shared" si="62"/>
        <v>0</v>
      </c>
      <c r="BD42" s="2">
        <f t="shared" si="62"/>
        <v>0</v>
      </c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>
        <f>ROUND(SUMIF(AA28:AA40,"=33989672",FQ28:FQ40),2)</f>
        <v>0</v>
      </c>
      <c r="BY42" s="2">
        <f>ROUND(SUMIF(AA28:AA40,"=33989672",FR28:FR40),2)</f>
        <v>0</v>
      </c>
      <c r="BZ42" s="2">
        <f>ROUND(SUMIF(AA28:AA40,"=33989672",GL28:GL40),2)</f>
        <v>0</v>
      </c>
      <c r="CA42" s="2">
        <f>ROUND(SUMIF(AA28:AA40,"=33989672",GM28:GM40),2)</f>
        <v>8808358.3100000005</v>
      </c>
      <c r="CB42" s="2">
        <f>ROUND(SUMIF(AA28:AA40,"=33989672",GN28:GN40),2)</f>
        <v>8808358.3100000005</v>
      </c>
      <c r="CC42" s="2">
        <f>ROUND(SUMIF(AA28:AA40,"=33989672",GO28:GO40),2)</f>
        <v>0</v>
      </c>
      <c r="CD42" s="2">
        <f>ROUND(SUMIF(AA28:AA40,"=33989672",GP28:GP40),2)</f>
        <v>0</v>
      </c>
      <c r="CE42" s="2">
        <f>AC42-BX42</f>
        <v>4806441.46</v>
      </c>
      <c r="CF42" s="2">
        <f>AC42-BY42</f>
        <v>4806441.46</v>
      </c>
      <c r="CG42" s="2">
        <f>BX42-BZ42</f>
        <v>0</v>
      </c>
      <c r="CH42" s="2">
        <f>AC42-BX42-BY42+BZ42</f>
        <v>4806441.46</v>
      </c>
      <c r="CI42" s="2">
        <f>BY42-BZ42</f>
        <v>0</v>
      </c>
      <c r="CJ42" s="2">
        <f>ROUND(SUMIF(AA28:AA40,"=33989672",GX28:GX40),2)</f>
        <v>0</v>
      </c>
      <c r="CK42" s="2">
        <f>ROUND(SUMIF(AA28:AA40,"=33989672",GY28:GY40),2)</f>
        <v>0</v>
      </c>
      <c r="CL42" s="2">
        <f>ROUND(SUMIF(AA28:AA40,"=33989672",GZ28:GZ40),2)</f>
        <v>0</v>
      </c>
      <c r="CM42" s="2">
        <f>ROUND(SUMIF(AA28:AA40,"=33989672",HD28:HD40),2)</f>
        <v>0</v>
      </c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>
        <v>0</v>
      </c>
    </row>
    <row r="44" spans="1:245" x14ac:dyDescent="0.2">
      <c r="A44" s="4">
        <v>50</v>
      </c>
      <c r="B44" s="4">
        <v>0</v>
      </c>
      <c r="C44" s="4">
        <v>0</v>
      </c>
      <c r="D44" s="4">
        <v>1</v>
      </c>
      <c r="E44" s="4">
        <v>201</v>
      </c>
      <c r="F44" s="4">
        <f>ROUND(Source!O42,O44)</f>
        <v>7039877.7400000002</v>
      </c>
      <c r="G44" s="4" t="s">
        <v>89</v>
      </c>
      <c r="H44" s="4" t="s">
        <v>90</v>
      </c>
      <c r="I44" s="4"/>
      <c r="J44" s="4"/>
      <c r="K44" s="4">
        <v>201</v>
      </c>
      <c r="L44" s="4">
        <v>1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45" x14ac:dyDescent="0.2">
      <c r="A45" s="4">
        <v>50</v>
      </c>
      <c r="B45" s="4">
        <v>0</v>
      </c>
      <c r="C45" s="4">
        <v>0</v>
      </c>
      <c r="D45" s="4">
        <v>1</v>
      </c>
      <c r="E45" s="4">
        <v>202</v>
      </c>
      <c r="F45" s="4">
        <f>ROUND(Source!P42,O45)</f>
        <v>4806441.46</v>
      </c>
      <c r="G45" s="4" t="s">
        <v>91</v>
      </c>
      <c r="H45" s="4" t="s">
        <v>92</v>
      </c>
      <c r="I45" s="4"/>
      <c r="J45" s="4"/>
      <c r="K45" s="4">
        <v>202</v>
      </c>
      <c r="L45" s="4">
        <v>2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 x14ac:dyDescent="0.2">
      <c r="A46" s="4">
        <v>50</v>
      </c>
      <c r="B46" s="4">
        <v>0</v>
      </c>
      <c r="C46" s="4">
        <v>0</v>
      </c>
      <c r="D46" s="4">
        <v>1</v>
      </c>
      <c r="E46" s="4">
        <v>222</v>
      </c>
      <c r="F46" s="4">
        <f>ROUND(Source!AO42,O46)</f>
        <v>0</v>
      </c>
      <c r="G46" s="4" t="s">
        <v>93</v>
      </c>
      <c r="H46" s="4" t="s">
        <v>94</v>
      </c>
      <c r="I46" s="4"/>
      <c r="J46" s="4"/>
      <c r="K46" s="4">
        <v>222</v>
      </c>
      <c r="L46" s="4">
        <v>3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 x14ac:dyDescent="0.2">
      <c r="A47" s="4">
        <v>50</v>
      </c>
      <c r="B47" s="4">
        <v>0</v>
      </c>
      <c r="C47" s="4">
        <v>0</v>
      </c>
      <c r="D47" s="4">
        <v>1</v>
      </c>
      <c r="E47" s="4">
        <v>225</v>
      </c>
      <c r="F47" s="4">
        <f>ROUND(Source!AV42,O47)</f>
        <v>4806441.46</v>
      </c>
      <c r="G47" s="4" t="s">
        <v>95</v>
      </c>
      <c r="H47" s="4" t="s">
        <v>96</v>
      </c>
      <c r="I47" s="4"/>
      <c r="J47" s="4"/>
      <c r="K47" s="4">
        <v>225</v>
      </c>
      <c r="L47" s="4">
        <v>4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x14ac:dyDescent="0.2">
      <c r="A48" s="4">
        <v>50</v>
      </c>
      <c r="B48" s="4">
        <v>0</v>
      </c>
      <c r="C48" s="4">
        <v>0</v>
      </c>
      <c r="D48" s="4">
        <v>1</v>
      </c>
      <c r="E48" s="4">
        <v>226</v>
      </c>
      <c r="F48" s="4">
        <f>ROUND(Source!AW42,O48)</f>
        <v>4806441.46</v>
      </c>
      <c r="G48" s="4" t="s">
        <v>97</v>
      </c>
      <c r="H48" s="4" t="s">
        <v>98</v>
      </c>
      <c r="I48" s="4"/>
      <c r="J48" s="4"/>
      <c r="K48" s="4">
        <v>226</v>
      </c>
      <c r="L48" s="4">
        <v>5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x14ac:dyDescent="0.2">
      <c r="A49" s="4">
        <v>50</v>
      </c>
      <c r="B49" s="4">
        <v>0</v>
      </c>
      <c r="C49" s="4">
        <v>0</v>
      </c>
      <c r="D49" s="4">
        <v>1</v>
      </c>
      <c r="E49" s="4">
        <v>227</v>
      </c>
      <c r="F49" s="4">
        <f>ROUND(Source!AX42,O49)</f>
        <v>0</v>
      </c>
      <c r="G49" s="4" t="s">
        <v>99</v>
      </c>
      <c r="H49" s="4" t="s">
        <v>100</v>
      </c>
      <c r="I49" s="4"/>
      <c r="J49" s="4"/>
      <c r="K49" s="4">
        <v>227</v>
      </c>
      <c r="L49" s="4">
        <v>6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x14ac:dyDescent="0.2">
      <c r="A50" s="4">
        <v>50</v>
      </c>
      <c r="B50" s="4">
        <v>0</v>
      </c>
      <c r="C50" s="4">
        <v>0</v>
      </c>
      <c r="D50" s="4">
        <v>1</v>
      </c>
      <c r="E50" s="4">
        <v>228</v>
      </c>
      <c r="F50" s="4">
        <f>ROUND(Source!AY42,O50)</f>
        <v>4806441.46</v>
      </c>
      <c r="G50" s="4" t="s">
        <v>101</v>
      </c>
      <c r="H50" s="4" t="s">
        <v>102</v>
      </c>
      <c r="I50" s="4"/>
      <c r="J50" s="4"/>
      <c r="K50" s="4">
        <v>228</v>
      </c>
      <c r="L50" s="4">
        <v>7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x14ac:dyDescent="0.2">
      <c r="A51" s="4">
        <v>50</v>
      </c>
      <c r="B51" s="4">
        <v>0</v>
      </c>
      <c r="C51" s="4">
        <v>0</v>
      </c>
      <c r="D51" s="4">
        <v>1</v>
      </c>
      <c r="E51" s="4">
        <v>216</v>
      </c>
      <c r="F51" s="4">
        <f>ROUND(Source!AP42,O51)</f>
        <v>0</v>
      </c>
      <c r="G51" s="4" t="s">
        <v>103</v>
      </c>
      <c r="H51" s="4" t="s">
        <v>104</v>
      </c>
      <c r="I51" s="4"/>
      <c r="J51" s="4"/>
      <c r="K51" s="4">
        <v>216</v>
      </c>
      <c r="L51" s="4">
        <v>8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x14ac:dyDescent="0.2">
      <c r="A52" s="4">
        <v>50</v>
      </c>
      <c r="B52" s="4">
        <v>0</v>
      </c>
      <c r="C52" s="4">
        <v>0</v>
      </c>
      <c r="D52" s="4">
        <v>1</v>
      </c>
      <c r="E52" s="4">
        <v>223</v>
      </c>
      <c r="F52" s="4">
        <f>ROUND(Source!AQ42,O52)</f>
        <v>0</v>
      </c>
      <c r="G52" s="4" t="s">
        <v>105</v>
      </c>
      <c r="H52" s="4" t="s">
        <v>106</v>
      </c>
      <c r="I52" s="4"/>
      <c r="J52" s="4"/>
      <c r="K52" s="4">
        <v>223</v>
      </c>
      <c r="L52" s="4">
        <v>9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x14ac:dyDescent="0.2">
      <c r="A53" s="4">
        <v>50</v>
      </c>
      <c r="B53" s="4">
        <v>0</v>
      </c>
      <c r="C53" s="4">
        <v>0</v>
      </c>
      <c r="D53" s="4">
        <v>1</v>
      </c>
      <c r="E53" s="4">
        <v>229</v>
      </c>
      <c r="F53" s="4">
        <f>ROUND(Source!AZ42,O53)</f>
        <v>0</v>
      </c>
      <c r="G53" s="4" t="s">
        <v>107</v>
      </c>
      <c r="H53" s="4" t="s">
        <v>108</v>
      </c>
      <c r="I53" s="4"/>
      <c r="J53" s="4"/>
      <c r="K53" s="4">
        <v>229</v>
      </c>
      <c r="L53" s="4">
        <v>10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x14ac:dyDescent="0.2">
      <c r="A54" s="4">
        <v>50</v>
      </c>
      <c r="B54" s="4">
        <v>0</v>
      </c>
      <c r="C54" s="4">
        <v>0</v>
      </c>
      <c r="D54" s="4">
        <v>1</v>
      </c>
      <c r="E54" s="4">
        <v>203</v>
      </c>
      <c r="F54" s="4">
        <f>ROUND(Source!Q42,O54)</f>
        <v>1633118.25</v>
      </c>
      <c r="G54" s="4" t="s">
        <v>109</v>
      </c>
      <c r="H54" s="4" t="s">
        <v>110</v>
      </c>
      <c r="I54" s="4"/>
      <c r="J54" s="4"/>
      <c r="K54" s="4">
        <v>203</v>
      </c>
      <c r="L54" s="4">
        <v>11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x14ac:dyDescent="0.2">
      <c r="A55" s="4">
        <v>50</v>
      </c>
      <c r="B55" s="4">
        <v>0</v>
      </c>
      <c r="C55" s="4">
        <v>0</v>
      </c>
      <c r="D55" s="4">
        <v>1</v>
      </c>
      <c r="E55" s="4">
        <v>231</v>
      </c>
      <c r="F55" s="4">
        <f>ROUND(Source!BB42,O55)</f>
        <v>0</v>
      </c>
      <c r="G55" s="4" t="s">
        <v>111</v>
      </c>
      <c r="H55" s="4" t="s">
        <v>112</v>
      </c>
      <c r="I55" s="4"/>
      <c r="J55" s="4"/>
      <c r="K55" s="4">
        <v>231</v>
      </c>
      <c r="L55" s="4">
        <v>12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x14ac:dyDescent="0.2">
      <c r="A56" s="4">
        <v>50</v>
      </c>
      <c r="B56" s="4">
        <v>0</v>
      </c>
      <c r="C56" s="4">
        <v>0</v>
      </c>
      <c r="D56" s="4">
        <v>1</v>
      </c>
      <c r="E56" s="4">
        <v>204</v>
      </c>
      <c r="F56" s="4">
        <f>ROUND(Source!R42,O56)</f>
        <v>543444.24</v>
      </c>
      <c r="G56" s="4" t="s">
        <v>113</v>
      </c>
      <c r="H56" s="4" t="s">
        <v>114</v>
      </c>
      <c r="I56" s="4"/>
      <c r="J56" s="4"/>
      <c r="K56" s="4">
        <v>204</v>
      </c>
      <c r="L56" s="4">
        <v>13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x14ac:dyDescent="0.2">
      <c r="A57" s="4">
        <v>50</v>
      </c>
      <c r="B57" s="4">
        <v>0</v>
      </c>
      <c r="C57" s="4">
        <v>0</v>
      </c>
      <c r="D57" s="4">
        <v>1</v>
      </c>
      <c r="E57" s="4">
        <v>205</v>
      </c>
      <c r="F57" s="4">
        <f>ROUND(Source!S42,O57)</f>
        <v>600318.03</v>
      </c>
      <c r="G57" s="4" t="s">
        <v>115</v>
      </c>
      <c r="H57" s="4" t="s">
        <v>116</v>
      </c>
      <c r="I57" s="4"/>
      <c r="J57" s="4"/>
      <c r="K57" s="4">
        <v>205</v>
      </c>
      <c r="L57" s="4">
        <v>14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 x14ac:dyDescent="0.2">
      <c r="A58" s="4">
        <v>50</v>
      </c>
      <c r="B58" s="4">
        <v>0</v>
      </c>
      <c r="C58" s="4">
        <v>0</v>
      </c>
      <c r="D58" s="4">
        <v>1</v>
      </c>
      <c r="E58" s="4">
        <v>232</v>
      </c>
      <c r="F58" s="4">
        <f>ROUND(Source!BC42,O58)</f>
        <v>0</v>
      </c>
      <c r="G58" s="4" t="s">
        <v>117</v>
      </c>
      <c r="H58" s="4" t="s">
        <v>118</v>
      </c>
      <c r="I58" s="4"/>
      <c r="J58" s="4"/>
      <c r="K58" s="4">
        <v>232</v>
      </c>
      <c r="L58" s="4">
        <v>15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3" x14ac:dyDescent="0.2">
      <c r="A59" s="4">
        <v>50</v>
      </c>
      <c r="B59" s="4">
        <v>0</v>
      </c>
      <c r="C59" s="4">
        <v>0</v>
      </c>
      <c r="D59" s="4">
        <v>1</v>
      </c>
      <c r="E59" s="4">
        <v>214</v>
      </c>
      <c r="F59" s="4">
        <f>ROUND(Source!AS42,O59)</f>
        <v>8808358.3100000005</v>
      </c>
      <c r="G59" s="4" t="s">
        <v>119</v>
      </c>
      <c r="H59" s="4" t="s">
        <v>120</v>
      </c>
      <c r="I59" s="4"/>
      <c r="J59" s="4"/>
      <c r="K59" s="4">
        <v>214</v>
      </c>
      <c r="L59" s="4">
        <v>16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 x14ac:dyDescent="0.2">
      <c r="A60" s="4">
        <v>50</v>
      </c>
      <c r="B60" s="4">
        <v>0</v>
      </c>
      <c r="C60" s="4">
        <v>0</v>
      </c>
      <c r="D60" s="4">
        <v>1</v>
      </c>
      <c r="E60" s="4">
        <v>215</v>
      </c>
      <c r="F60" s="4">
        <f>ROUND(Source!AT42,O60)</f>
        <v>0</v>
      </c>
      <c r="G60" s="4" t="s">
        <v>121</v>
      </c>
      <c r="H60" s="4" t="s">
        <v>122</v>
      </c>
      <c r="I60" s="4"/>
      <c r="J60" s="4"/>
      <c r="K60" s="4">
        <v>215</v>
      </c>
      <c r="L60" s="4">
        <v>17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 x14ac:dyDescent="0.2">
      <c r="A61" s="4">
        <v>50</v>
      </c>
      <c r="B61" s="4">
        <v>0</v>
      </c>
      <c r="C61" s="4">
        <v>0</v>
      </c>
      <c r="D61" s="4">
        <v>1</v>
      </c>
      <c r="E61" s="4">
        <v>217</v>
      </c>
      <c r="F61" s="4">
        <f>ROUND(Source!AU42,O61)</f>
        <v>0</v>
      </c>
      <c r="G61" s="4" t="s">
        <v>123</v>
      </c>
      <c r="H61" s="4" t="s">
        <v>124</v>
      </c>
      <c r="I61" s="4"/>
      <c r="J61" s="4"/>
      <c r="K61" s="4">
        <v>217</v>
      </c>
      <c r="L61" s="4">
        <v>18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 x14ac:dyDescent="0.2">
      <c r="A62" s="4">
        <v>50</v>
      </c>
      <c r="B62" s="4">
        <v>0</v>
      </c>
      <c r="C62" s="4">
        <v>0</v>
      </c>
      <c r="D62" s="4">
        <v>1</v>
      </c>
      <c r="E62" s="4">
        <v>230</v>
      </c>
      <c r="F62" s="4">
        <f>ROUND(Source!BA42,O62)</f>
        <v>0</v>
      </c>
      <c r="G62" s="4" t="s">
        <v>125</v>
      </c>
      <c r="H62" s="4" t="s">
        <v>126</v>
      </c>
      <c r="I62" s="4"/>
      <c r="J62" s="4"/>
      <c r="K62" s="4">
        <v>230</v>
      </c>
      <c r="L62" s="4">
        <v>19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3" x14ac:dyDescent="0.2">
      <c r="A63" s="4">
        <v>50</v>
      </c>
      <c r="B63" s="4">
        <v>0</v>
      </c>
      <c r="C63" s="4">
        <v>0</v>
      </c>
      <c r="D63" s="4">
        <v>1</v>
      </c>
      <c r="E63" s="4">
        <v>206</v>
      </c>
      <c r="F63" s="4">
        <f>ROUND(Source!T42,O63)</f>
        <v>0</v>
      </c>
      <c r="G63" s="4" t="s">
        <v>127</v>
      </c>
      <c r="H63" s="4" t="s">
        <v>128</v>
      </c>
      <c r="I63" s="4"/>
      <c r="J63" s="4"/>
      <c r="K63" s="4">
        <v>206</v>
      </c>
      <c r="L63" s="4">
        <v>20</v>
      </c>
      <c r="M63" s="4">
        <v>3</v>
      </c>
      <c r="N63" s="4" t="s">
        <v>3</v>
      </c>
      <c r="O63" s="4">
        <v>2</v>
      </c>
      <c r="P63" s="4"/>
      <c r="Q63" s="4"/>
      <c r="R63" s="4"/>
      <c r="S63" s="4"/>
      <c r="T63" s="4"/>
      <c r="U63" s="4"/>
      <c r="V63" s="4"/>
      <c r="W63" s="4"/>
    </row>
    <row r="64" spans="1:23" x14ac:dyDescent="0.2">
      <c r="A64" s="4">
        <v>50</v>
      </c>
      <c r="B64" s="4">
        <v>0</v>
      </c>
      <c r="C64" s="4">
        <v>0</v>
      </c>
      <c r="D64" s="4">
        <v>1</v>
      </c>
      <c r="E64" s="4">
        <v>207</v>
      </c>
      <c r="F64" s="4">
        <f>Source!U42</f>
        <v>2156.0584762312001</v>
      </c>
      <c r="G64" s="4" t="s">
        <v>129</v>
      </c>
      <c r="H64" s="4" t="s">
        <v>130</v>
      </c>
      <c r="I64" s="4"/>
      <c r="J64" s="4"/>
      <c r="K64" s="4">
        <v>207</v>
      </c>
      <c r="L64" s="4">
        <v>21</v>
      </c>
      <c r="M64" s="4">
        <v>3</v>
      </c>
      <c r="N64" s="4" t="s">
        <v>3</v>
      </c>
      <c r="O64" s="4">
        <v>-1</v>
      </c>
      <c r="P64" s="4"/>
      <c r="Q64" s="4"/>
      <c r="R64" s="4"/>
      <c r="S64" s="4"/>
      <c r="T64" s="4"/>
      <c r="U64" s="4"/>
      <c r="V64" s="4"/>
      <c r="W64" s="4"/>
    </row>
    <row r="65" spans="1:245" x14ac:dyDescent="0.2">
      <c r="A65" s="4">
        <v>50</v>
      </c>
      <c r="B65" s="4">
        <v>0</v>
      </c>
      <c r="C65" s="4">
        <v>0</v>
      </c>
      <c r="D65" s="4">
        <v>1</v>
      </c>
      <c r="E65" s="4">
        <v>208</v>
      </c>
      <c r="F65" s="4">
        <f>Source!V42</f>
        <v>0</v>
      </c>
      <c r="G65" s="4" t="s">
        <v>131</v>
      </c>
      <c r="H65" s="4" t="s">
        <v>132</v>
      </c>
      <c r="I65" s="4"/>
      <c r="J65" s="4"/>
      <c r="K65" s="4">
        <v>208</v>
      </c>
      <c r="L65" s="4">
        <v>22</v>
      </c>
      <c r="M65" s="4">
        <v>3</v>
      </c>
      <c r="N65" s="4" t="s">
        <v>3</v>
      </c>
      <c r="O65" s="4">
        <v>-1</v>
      </c>
      <c r="P65" s="4"/>
      <c r="Q65" s="4"/>
      <c r="R65" s="4"/>
      <c r="S65" s="4"/>
      <c r="T65" s="4"/>
      <c r="U65" s="4"/>
      <c r="V65" s="4"/>
      <c r="W65" s="4"/>
    </row>
    <row r="66" spans="1:245" x14ac:dyDescent="0.2">
      <c r="A66" s="4">
        <v>50</v>
      </c>
      <c r="B66" s="4">
        <v>0</v>
      </c>
      <c r="C66" s="4">
        <v>0</v>
      </c>
      <c r="D66" s="4">
        <v>1</v>
      </c>
      <c r="E66" s="4">
        <v>209</v>
      </c>
      <c r="F66" s="4">
        <f>ROUND(Source!W42,O66)</f>
        <v>0</v>
      </c>
      <c r="G66" s="4" t="s">
        <v>133</v>
      </c>
      <c r="H66" s="4" t="s">
        <v>134</v>
      </c>
      <c r="I66" s="4"/>
      <c r="J66" s="4"/>
      <c r="K66" s="4">
        <v>209</v>
      </c>
      <c r="L66" s="4">
        <v>23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/>
    </row>
    <row r="67" spans="1:245" x14ac:dyDescent="0.2">
      <c r="A67" s="4">
        <v>50</v>
      </c>
      <c r="B67" s="4">
        <v>0</v>
      </c>
      <c r="C67" s="4">
        <v>0</v>
      </c>
      <c r="D67" s="4">
        <v>1</v>
      </c>
      <c r="E67" s="4">
        <v>233</v>
      </c>
      <c r="F67" s="4">
        <f>ROUND(Source!BD42,O67)</f>
        <v>0</v>
      </c>
      <c r="G67" s="4" t="s">
        <v>135</v>
      </c>
      <c r="H67" s="4" t="s">
        <v>136</v>
      </c>
      <c r="I67" s="4"/>
      <c r="J67" s="4"/>
      <c r="K67" s="4">
        <v>233</v>
      </c>
      <c r="L67" s="4">
        <v>24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8" spans="1:245" x14ac:dyDescent="0.2">
      <c r="A68" s="4">
        <v>50</v>
      </c>
      <c r="B68" s="4">
        <v>0</v>
      </c>
      <c r="C68" s="4">
        <v>0</v>
      </c>
      <c r="D68" s="4">
        <v>1</v>
      </c>
      <c r="E68" s="4">
        <v>210</v>
      </c>
      <c r="F68" s="4">
        <f>ROUND(Source!X42,O68)</f>
        <v>647711.59</v>
      </c>
      <c r="G68" s="4" t="s">
        <v>137</v>
      </c>
      <c r="H68" s="4" t="s">
        <v>138</v>
      </c>
      <c r="I68" s="4"/>
      <c r="J68" s="4"/>
      <c r="K68" s="4">
        <v>210</v>
      </c>
      <c r="L68" s="4">
        <v>25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/>
    </row>
    <row r="69" spans="1:245" x14ac:dyDescent="0.2">
      <c r="A69" s="4">
        <v>50</v>
      </c>
      <c r="B69" s="4">
        <v>0</v>
      </c>
      <c r="C69" s="4">
        <v>0</v>
      </c>
      <c r="D69" s="4">
        <v>1</v>
      </c>
      <c r="E69" s="4">
        <v>211</v>
      </c>
      <c r="F69" s="4">
        <f>ROUND(Source!Y42,O69)</f>
        <v>267561.53000000003</v>
      </c>
      <c r="G69" s="4" t="s">
        <v>139</v>
      </c>
      <c r="H69" s="4" t="s">
        <v>140</v>
      </c>
      <c r="I69" s="4"/>
      <c r="J69" s="4"/>
      <c r="K69" s="4">
        <v>211</v>
      </c>
      <c r="L69" s="4">
        <v>26</v>
      </c>
      <c r="M69" s="4">
        <v>3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/>
    </row>
    <row r="70" spans="1:245" x14ac:dyDescent="0.2">
      <c r="A70" s="4">
        <v>50</v>
      </c>
      <c r="B70" s="4">
        <v>0</v>
      </c>
      <c r="C70" s="4">
        <v>0</v>
      </c>
      <c r="D70" s="4">
        <v>1</v>
      </c>
      <c r="E70" s="4">
        <v>224</v>
      </c>
      <c r="F70" s="4">
        <f>ROUND(Source!AR42,O70)</f>
        <v>8808358.3100000005</v>
      </c>
      <c r="G70" s="4" t="s">
        <v>141</v>
      </c>
      <c r="H70" s="4" t="s">
        <v>142</v>
      </c>
      <c r="I70" s="4"/>
      <c r="J70" s="4"/>
      <c r="K70" s="4">
        <v>224</v>
      </c>
      <c r="L70" s="4">
        <v>27</v>
      </c>
      <c r="M70" s="4">
        <v>3</v>
      </c>
      <c r="N70" s="4" t="s">
        <v>3</v>
      </c>
      <c r="O70" s="4">
        <v>2</v>
      </c>
      <c r="P70" s="4"/>
      <c r="Q70" s="4"/>
      <c r="R70" s="4"/>
      <c r="S70" s="4"/>
      <c r="T70" s="4"/>
      <c r="U70" s="4"/>
      <c r="V70" s="4"/>
      <c r="W70" s="4"/>
    </row>
    <row r="71" spans="1:245" x14ac:dyDescent="0.2">
      <c r="A71" s="4">
        <v>50</v>
      </c>
      <c r="B71" s="4">
        <v>1</v>
      </c>
      <c r="C71" s="4">
        <v>0</v>
      </c>
      <c r="D71" s="4">
        <v>2</v>
      </c>
      <c r="E71" s="4">
        <v>0</v>
      </c>
      <c r="F71" s="4">
        <f>ROUND(F70*1.2,O71)</f>
        <v>10570029.970000001</v>
      </c>
      <c r="G71" s="4" t="s">
        <v>15</v>
      </c>
      <c r="H71" s="4" t="s">
        <v>143</v>
      </c>
      <c r="I71" s="4"/>
      <c r="J71" s="4"/>
      <c r="K71" s="4">
        <v>212</v>
      </c>
      <c r="L71" s="4">
        <v>28</v>
      </c>
      <c r="M71" s="4">
        <v>0</v>
      </c>
      <c r="N71" s="4" t="s">
        <v>3</v>
      </c>
      <c r="O71" s="4">
        <v>2</v>
      </c>
      <c r="P71" s="4"/>
      <c r="Q71" s="4"/>
      <c r="R71" s="4"/>
      <c r="S71" s="4"/>
      <c r="T71" s="4"/>
      <c r="U71" s="4"/>
      <c r="V71" s="4"/>
      <c r="W71" s="4"/>
    </row>
    <row r="73" spans="1:245" x14ac:dyDescent="0.2">
      <c r="A73" s="1">
        <v>4</v>
      </c>
      <c r="B73" s="1">
        <v>1</v>
      </c>
      <c r="C73" s="1"/>
      <c r="D73" s="1">
        <f>ROW(A89)</f>
        <v>89</v>
      </c>
      <c r="E73" s="1"/>
      <c r="F73" s="1" t="s">
        <v>13</v>
      </c>
      <c r="G73" s="1" t="s">
        <v>144</v>
      </c>
      <c r="H73" s="1" t="s">
        <v>3</v>
      </c>
      <c r="I73" s="1">
        <v>0</v>
      </c>
      <c r="J73" s="1"/>
      <c r="K73" s="1">
        <v>0</v>
      </c>
      <c r="L73" s="1"/>
      <c r="M73" s="1"/>
      <c r="N73" s="1"/>
      <c r="O73" s="1"/>
      <c r="P73" s="1"/>
      <c r="Q73" s="1"/>
      <c r="R73" s="1"/>
      <c r="S73" s="1"/>
      <c r="T73" s="1"/>
      <c r="U73" s="1" t="s">
        <v>3</v>
      </c>
      <c r="V73" s="1">
        <v>0</v>
      </c>
      <c r="W73" s="1"/>
      <c r="X73" s="1"/>
      <c r="Y73" s="1"/>
      <c r="Z73" s="1"/>
      <c r="AA73" s="1"/>
      <c r="AB73" s="1" t="s">
        <v>3</v>
      </c>
      <c r="AC73" s="1" t="s">
        <v>3</v>
      </c>
      <c r="AD73" s="1" t="s">
        <v>3</v>
      </c>
      <c r="AE73" s="1" t="s">
        <v>3</v>
      </c>
      <c r="AF73" s="1" t="s">
        <v>3</v>
      </c>
      <c r="AG73" s="1" t="s">
        <v>3</v>
      </c>
      <c r="AH73" s="1"/>
      <c r="AI73" s="1"/>
      <c r="AJ73" s="1"/>
      <c r="AK73" s="1"/>
      <c r="AL73" s="1"/>
      <c r="AM73" s="1"/>
      <c r="AN73" s="1"/>
      <c r="AO73" s="1"/>
      <c r="AP73" s="1" t="s">
        <v>3</v>
      </c>
      <c r="AQ73" s="1" t="s">
        <v>3</v>
      </c>
      <c r="AR73" s="1" t="s">
        <v>3</v>
      </c>
      <c r="AS73" s="1"/>
      <c r="AT73" s="1"/>
      <c r="AU73" s="1"/>
      <c r="AV73" s="1"/>
      <c r="AW73" s="1"/>
      <c r="AX73" s="1"/>
      <c r="AY73" s="1"/>
      <c r="AZ73" s="1" t="s">
        <v>3</v>
      </c>
      <c r="BA73" s="1"/>
      <c r="BB73" s="1" t="s">
        <v>3</v>
      </c>
      <c r="BC73" s="1" t="s">
        <v>3</v>
      </c>
      <c r="BD73" s="1" t="s">
        <v>3</v>
      </c>
      <c r="BE73" s="1" t="s">
        <v>3</v>
      </c>
      <c r="BF73" s="1" t="s">
        <v>3</v>
      </c>
      <c r="BG73" s="1" t="s">
        <v>3</v>
      </c>
      <c r="BH73" s="1" t="s">
        <v>3</v>
      </c>
      <c r="BI73" s="1" t="s">
        <v>3</v>
      </c>
      <c r="BJ73" s="1" t="s">
        <v>3</v>
      </c>
      <c r="BK73" s="1" t="s">
        <v>3</v>
      </c>
      <c r="BL73" s="1" t="s">
        <v>3</v>
      </c>
      <c r="BM73" s="1" t="s">
        <v>3</v>
      </c>
      <c r="BN73" s="1" t="s">
        <v>3</v>
      </c>
      <c r="BO73" s="1" t="s">
        <v>3</v>
      </c>
      <c r="BP73" s="1" t="s">
        <v>3</v>
      </c>
      <c r="BQ73" s="1"/>
      <c r="BR73" s="1"/>
      <c r="BS73" s="1"/>
      <c r="BT73" s="1"/>
      <c r="BU73" s="1"/>
      <c r="BV73" s="1"/>
      <c r="BW73" s="1"/>
      <c r="BX73" s="1">
        <v>0</v>
      </c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>
        <v>0</v>
      </c>
    </row>
    <row r="75" spans="1:245" x14ac:dyDescent="0.2">
      <c r="A75" s="2">
        <v>52</v>
      </c>
      <c r="B75" s="2">
        <f t="shared" ref="B75:G75" si="63">B89</f>
        <v>1</v>
      </c>
      <c r="C75" s="2">
        <f t="shared" si="63"/>
        <v>4</v>
      </c>
      <c r="D75" s="2">
        <f t="shared" si="63"/>
        <v>73</v>
      </c>
      <c r="E75" s="2">
        <f t="shared" si="63"/>
        <v>0</v>
      </c>
      <c r="F75" s="2" t="str">
        <f t="shared" si="63"/>
        <v>Новый раздел</v>
      </c>
      <c r="G75" s="2" t="str">
        <f t="shared" si="63"/>
        <v>3. А/б покрытие пешеходных тротуаров на существующее основание</v>
      </c>
      <c r="H75" s="2"/>
      <c r="I75" s="2"/>
      <c r="J75" s="2"/>
      <c r="K75" s="2"/>
      <c r="L75" s="2"/>
      <c r="M75" s="2"/>
      <c r="N75" s="2"/>
      <c r="O75" s="2">
        <f t="shared" ref="O75:AT75" si="64">O89</f>
        <v>1405345.07</v>
      </c>
      <c r="P75" s="2">
        <f t="shared" si="64"/>
        <v>1117463.6000000001</v>
      </c>
      <c r="Q75" s="2">
        <f t="shared" si="64"/>
        <v>130046.12</v>
      </c>
      <c r="R75" s="2">
        <f t="shared" si="64"/>
        <v>56584.82</v>
      </c>
      <c r="S75" s="2">
        <f t="shared" si="64"/>
        <v>157835.35</v>
      </c>
      <c r="T75" s="2">
        <f t="shared" si="64"/>
        <v>0</v>
      </c>
      <c r="U75" s="2">
        <f t="shared" si="64"/>
        <v>580.59920900000009</v>
      </c>
      <c r="V75" s="2">
        <f t="shared" si="64"/>
        <v>0</v>
      </c>
      <c r="W75" s="2">
        <f t="shared" si="64"/>
        <v>0</v>
      </c>
      <c r="X75" s="2">
        <f t="shared" si="64"/>
        <v>137641.09</v>
      </c>
      <c r="Y75" s="2">
        <f t="shared" si="64"/>
        <v>64712.49</v>
      </c>
      <c r="Z75" s="2">
        <f t="shared" si="64"/>
        <v>0</v>
      </c>
      <c r="AA75" s="2">
        <f t="shared" si="64"/>
        <v>0</v>
      </c>
      <c r="AB75" s="2">
        <f t="shared" si="64"/>
        <v>1405345.07</v>
      </c>
      <c r="AC75" s="2">
        <f t="shared" si="64"/>
        <v>1117463.6000000001</v>
      </c>
      <c r="AD75" s="2">
        <f t="shared" si="64"/>
        <v>130046.12</v>
      </c>
      <c r="AE75" s="2">
        <f t="shared" si="64"/>
        <v>56584.82</v>
      </c>
      <c r="AF75" s="2">
        <f t="shared" si="64"/>
        <v>157835.35</v>
      </c>
      <c r="AG75" s="2">
        <f t="shared" si="64"/>
        <v>0</v>
      </c>
      <c r="AH75" s="2">
        <f t="shared" si="64"/>
        <v>580.59920900000009</v>
      </c>
      <c r="AI75" s="2">
        <f t="shared" si="64"/>
        <v>0</v>
      </c>
      <c r="AJ75" s="2">
        <f t="shared" si="64"/>
        <v>0</v>
      </c>
      <c r="AK75" s="2">
        <f t="shared" si="64"/>
        <v>137641.09</v>
      </c>
      <c r="AL75" s="2">
        <f t="shared" si="64"/>
        <v>64712.49</v>
      </c>
      <c r="AM75" s="2">
        <f t="shared" si="64"/>
        <v>0</v>
      </c>
      <c r="AN75" s="2">
        <f t="shared" si="64"/>
        <v>0</v>
      </c>
      <c r="AO75" s="2">
        <f t="shared" si="64"/>
        <v>0</v>
      </c>
      <c r="AP75" s="2">
        <f t="shared" si="64"/>
        <v>0</v>
      </c>
      <c r="AQ75" s="2">
        <f t="shared" si="64"/>
        <v>0</v>
      </c>
      <c r="AR75" s="2">
        <f t="shared" si="64"/>
        <v>1696536.82</v>
      </c>
      <c r="AS75" s="2">
        <f t="shared" si="64"/>
        <v>1696536.82</v>
      </c>
      <c r="AT75" s="2">
        <f t="shared" si="64"/>
        <v>0</v>
      </c>
      <c r="AU75" s="2">
        <f t="shared" ref="AU75:BZ75" si="65">AU89</f>
        <v>0</v>
      </c>
      <c r="AV75" s="2">
        <f t="shared" si="65"/>
        <v>1117463.6000000001</v>
      </c>
      <c r="AW75" s="2">
        <f t="shared" si="65"/>
        <v>1117463.6000000001</v>
      </c>
      <c r="AX75" s="2">
        <f t="shared" si="65"/>
        <v>0</v>
      </c>
      <c r="AY75" s="2">
        <f t="shared" si="65"/>
        <v>1117463.6000000001</v>
      </c>
      <c r="AZ75" s="2">
        <f t="shared" si="65"/>
        <v>0</v>
      </c>
      <c r="BA75" s="2">
        <f t="shared" si="65"/>
        <v>0</v>
      </c>
      <c r="BB75" s="2">
        <f t="shared" si="65"/>
        <v>0</v>
      </c>
      <c r="BC75" s="2">
        <f t="shared" si="65"/>
        <v>0</v>
      </c>
      <c r="BD75" s="2">
        <f t="shared" si="65"/>
        <v>0</v>
      </c>
      <c r="BE75" s="2">
        <f t="shared" si="65"/>
        <v>0</v>
      </c>
      <c r="BF75" s="2">
        <f t="shared" si="65"/>
        <v>0</v>
      </c>
      <c r="BG75" s="2">
        <f t="shared" si="65"/>
        <v>0</v>
      </c>
      <c r="BH75" s="2">
        <f t="shared" si="65"/>
        <v>0</v>
      </c>
      <c r="BI75" s="2">
        <f t="shared" si="65"/>
        <v>0</v>
      </c>
      <c r="BJ75" s="2">
        <f t="shared" si="65"/>
        <v>0</v>
      </c>
      <c r="BK75" s="2">
        <f t="shared" si="65"/>
        <v>0</v>
      </c>
      <c r="BL75" s="2">
        <f t="shared" si="65"/>
        <v>0</v>
      </c>
      <c r="BM75" s="2">
        <f t="shared" si="65"/>
        <v>0</v>
      </c>
      <c r="BN75" s="2">
        <f t="shared" si="65"/>
        <v>0</v>
      </c>
      <c r="BO75" s="2">
        <f t="shared" si="65"/>
        <v>0</v>
      </c>
      <c r="BP75" s="2">
        <f t="shared" si="65"/>
        <v>0</v>
      </c>
      <c r="BQ75" s="2">
        <f t="shared" si="65"/>
        <v>0</v>
      </c>
      <c r="BR75" s="2">
        <f t="shared" si="65"/>
        <v>0</v>
      </c>
      <c r="BS75" s="2">
        <f t="shared" si="65"/>
        <v>0</v>
      </c>
      <c r="BT75" s="2">
        <f t="shared" si="65"/>
        <v>0</v>
      </c>
      <c r="BU75" s="2">
        <f t="shared" si="65"/>
        <v>0</v>
      </c>
      <c r="BV75" s="2">
        <f t="shared" si="65"/>
        <v>0</v>
      </c>
      <c r="BW75" s="2">
        <f t="shared" si="65"/>
        <v>0</v>
      </c>
      <c r="BX75" s="2">
        <f t="shared" si="65"/>
        <v>0</v>
      </c>
      <c r="BY75" s="2">
        <f t="shared" si="65"/>
        <v>0</v>
      </c>
      <c r="BZ75" s="2">
        <f t="shared" si="65"/>
        <v>0</v>
      </c>
      <c r="CA75" s="2">
        <f t="shared" ref="CA75:DF75" si="66">CA89</f>
        <v>1696536.82</v>
      </c>
      <c r="CB75" s="2">
        <f t="shared" si="66"/>
        <v>1696536.82</v>
      </c>
      <c r="CC75" s="2">
        <f t="shared" si="66"/>
        <v>0</v>
      </c>
      <c r="CD75" s="2">
        <f t="shared" si="66"/>
        <v>0</v>
      </c>
      <c r="CE75" s="2">
        <f t="shared" si="66"/>
        <v>1117463.6000000001</v>
      </c>
      <c r="CF75" s="2">
        <f t="shared" si="66"/>
        <v>1117463.6000000001</v>
      </c>
      <c r="CG75" s="2">
        <f t="shared" si="66"/>
        <v>0</v>
      </c>
      <c r="CH75" s="2">
        <f t="shared" si="66"/>
        <v>1117463.6000000001</v>
      </c>
      <c r="CI75" s="2">
        <f t="shared" si="66"/>
        <v>0</v>
      </c>
      <c r="CJ75" s="2">
        <f t="shared" si="66"/>
        <v>0</v>
      </c>
      <c r="CK75" s="2">
        <f t="shared" si="66"/>
        <v>0</v>
      </c>
      <c r="CL75" s="2">
        <f t="shared" si="66"/>
        <v>0</v>
      </c>
      <c r="CM75" s="2">
        <f t="shared" si="66"/>
        <v>0</v>
      </c>
      <c r="CN75" s="2">
        <f t="shared" si="66"/>
        <v>0</v>
      </c>
      <c r="CO75" s="2">
        <f t="shared" si="66"/>
        <v>0</v>
      </c>
      <c r="CP75" s="2">
        <f t="shared" si="66"/>
        <v>0</v>
      </c>
      <c r="CQ75" s="2">
        <f t="shared" si="66"/>
        <v>0</v>
      </c>
      <c r="CR75" s="2">
        <f t="shared" si="66"/>
        <v>0</v>
      </c>
      <c r="CS75" s="2">
        <f t="shared" si="66"/>
        <v>0</v>
      </c>
      <c r="CT75" s="2">
        <f t="shared" si="66"/>
        <v>0</v>
      </c>
      <c r="CU75" s="2">
        <f t="shared" si="66"/>
        <v>0</v>
      </c>
      <c r="CV75" s="2">
        <f t="shared" si="66"/>
        <v>0</v>
      </c>
      <c r="CW75" s="2">
        <f t="shared" si="66"/>
        <v>0</v>
      </c>
      <c r="CX75" s="2">
        <f t="shared" si="66"/>
        <v>0</v>
      </c>
      <c r="CY75" s="2">
        <f t="shared" si="66"/>
        <v>0</v>
      </c>
      <c r="CZ75" s="2">
        <f t="shared" si="66"/>
        <v>0</v>
      </c>
      <c r="DA75" s="2">
        <f t="shared" si="66"/>
        <v>0</v>
      </c>
      <c r="DB75" s="2">
        <f t="shared" si="66"/>
        <v>0</v>
      </c>
      <c r="DC75" s="2">
        <f t="shared" si="66"/>
        <v>0</v>
      </c>
      <c r="DD75" s="2">
        <f t="shared" si="66"/>
        <v>0</v>
      </c>
      <c r="DE75" s="2">
        <f t="shared" si="66"/>
        <v>0</v>
      </c>
      <c r="DF75" s="2">
        <f t="shared" si="66"/>
        <v>0</v>
      </c>
      <c r="DG75" s="3">
        <f t="shared" ref="DG75:EL75" si="67">DG89</f>
        <v>0</v>
      </c>
      <c r="DH75" s="3">
        <f t="shared" si="67"/>
        <v>0</v>
      </c>
      <c r="DI75" s="3">
        <f t="shared" si="67"/>
        <v>0</v>
      </c>
      <c r="DJ75" s="3">
        <f t="shared" si="67"/>
        <v>0</v>
      </c>
      <c r="DK75" s="3">
        <f t="shared" si="67"/>
        <v>0</v>
      </c>
      <c r="DL75" s="3">
        <f t="shared" si="67"/>
        <v>0</v>
      </c>
      <c r="DM75" s="3">
        <f t="shared" si="67"/>
        <v>0</v>
      </c>
      <c r="DN75" s="3">
        <f t="shared" si="67"/>
        <v>0</v>
      </c>
      <c r="DO75" s="3">
        <f t="shared" si="67"/>
        <v>0</v>
      </c>
      <c r="DP75" s="3">
        <f t="shared" si="67"/>
        <v>0</v>
      </c>
      <c r="DQ75" s="3">
        <f t="shared" si="67"/>
        <v>0</v>
      </c>
      <c r="DR75" s="3">
        <f t="shared" si="67"/>
        <v>0</v>
      </c>
      <c r="DS75" s="3">
        <f t="shared" si="67"/>
        <v>0</v>
      </c>
      <c r="DT75" s="3">
        <f t="shared" si="67"/>
        <v>0</v>
      </c>
      <c r="DU75" s="3">
        <f t="shared" si="67"/>
        <v>0</v>
      </c>
      <c r="DV75" s="3">
        <f t="shared" si="67"/>
        <v>0</v>
      </c>
      <c r="DW75" s="3">
        <f t="shared" si="67"/>
        <v>0</v>
      </c>
      <c r="DX75" s="3">
        <f t="shared" si="67"/>
        <v>0</v>
      </c>
      <c r="DY75" s="3">
        <f t="shared" si="67"/>
        <v>0</v>
      </c>
      <c r="DZ75" s="3">
        <f t="shared" si="67"/>
        <v>0</v>
      </c>
      <c r="EA75" s="3">
        <f t="shared" si="67"/>
        <v>0</v>
      </c>
      <c r="EB75" s="3">
        <f t="shared" si="67"/>
        <v>0</v>
      </c>
      <c r="EC75" s="3">
        <f t="shared" si="67"/>
        <v>0</v>
      </c>
      <c r="ED75" s="3">
        <f t="shared" si="67"/>
        <v>0</v>
      </c>
      <c r="EE75" s="3">
        <f t="shared" si="67"/>
        <v>0</v>
      </c>
      <c r="EF75" s="3">
        <f t="shared" si="67"/>
        <v>0</v>
      </c>
      <c r="EG75" s="3">
        <f t="shared" si="67"/>
        <v>0</v>
      </c>
      <c r="EH75" s="3">
        <f t="shared" si="67"/>
        <v>0</v>
      </c>
      <c r="EI75" s="3">
        <f t="shared" si="67"/>
        <v>0</v>
      </c>
      <c r="EJ75" s="3">
        <f t="shared" si="67"/>
        <v>0</v>
      </c>
      <c r="EK75" s="3">
        <f t="shared" si="67"/>
        <v>0</v>
      </c>
      <c r="EL75" s="3">
        <f t="shared" si="67"/>
        <v>0</v>
      </c>
      <c r="EM75" s="3">
        <f t="shared" ref="EM75:FR75" si="68">EM89</f>
        <v>0</v>
      </c>
      <c r="EN75" s="3">
        <f t="shared" si="68"/>
        <v>0</v>
      </c>
      <c r="EO75" s="3">
        <f t="shared" si="68"/>
        <v>0</v>
      </c>
      <c r="EP75" s="3">
        <f t="shared" si="68"/>
        <v>0</v>
      </c>
      <c r="EQ75" s="3">
        <f t="shared" si="68"/>
        <v>0</v>
      </c>
      <c r="ER75" s="3">
        <f t="shared" si="68"/>
        <v>0</v>
      </c>
      <c r="ES75" s="3">
        <f t="shared" si="68"/>
        <v>0</v>
      </c>
      <c r="ET75" s="3">
        <f t="shared" si="68"/>
        <v>0</v>
      </c>
      <c r="EU75" s="3">
        <f t="shared" si="68"/>
        <v>0</v>
      </c>
      <c r="EV75" s="3">
        <f t="shared" si="68"/>
        <v>0</v>
      </c>
      <c r="EW75" s="3">
        <f t="shared" si="68"/>
        <v>0</v>
      </c>
      <c r="EX75" s="3">
        <f t="shared" si="68"/>
        <v>0</v>
      </c>
      <c r="EY75" s="3">
        <f t="shared" si="68"/>
        <v>0</v>
      </c>
      <c r="EZ75" s="3">
        <f t="shared" si="68"/>
        <v>0</v>
      </c>
      <c r="FA75" s="3">
        <f t="shared" si="68"/>
        <v>0</v>
      </c>
      <c r="FB75" s="3">
        <f t="shared" si="68"/>
        <v>0</v>
      </c>
      <c r="FC75" s="3">
        <f t="shared" si="68"/>
        <v>0</v>
      </c>
      <c r="FD75" s="3">
        <f t="shared" si="68"/>
        <v>0</v>
      </c>
      <c r="FE75" s="3">
        <f t="shared" si="68"/>
        <v>0</v>
      </c>
      <c r="FF75" s="3">
        <f t="shared" si="68"/>
        <v>0</v>
      </c>
      <c r="FG75" s="3">
        <f t="shared" si="68"/>
        <v>0</v>
      </c>
      <c r="FH75" s="3">
        <f t="shared" si="68"/>
        <v>0</v>
      </c>
      <c r="FI75" s="3">
        <f t="shared" si="68"/>
        <v>0</v>
      </c>
      <c r="FJ75" s="3">
        <f t="shared" si="68"/>
        <v>0</v>
      </c>
      <c r="FK75" s="3">
        <f t="shared" si="68"/>
        <v>0</v>
      </c>
      <c r="FL75" s="3">
        <f t="shared" si="68"/>
        <v>0</v>
      </c>
      <c r="FM75" s="3">
        <f t="shared" si="68"/>
        <v>0</v>
      </c>
      <c r="FN75" s="3">
        <f t="shared" si="68"/>
        <v>0</v>
      </c>
      <c r="FO75" s="3">
        <f t="shared" si="68"/>
        <v>0</v>
      </c>
      <c r="FP75" s="3">
        <f t="shared" si="68"/>
        <v>0</v>
      </c>
      <c r="FQ75" s="3">
        <f t="shared" si="68"/>
        <v>0</v>
      </c>
      <c r="FR75" s="3">
        <f t="shared" si="68"/>
        <v>0</v>
      </c>
      <c r="FS75" s="3">
        <f t="shared" ref="FS75:GX75" si="69">FS89</f>
        <v>0</v>
      </c>
      <c r="FT75" s="3">
        <f t="shared" si="69"/>
        <v>0</v>
      </c>
      <c r="FU75" s="3">
        <f t="shared" si="69"/>
        <v>0</v>
      </c>
      <c r="FV75" s="3">
        <f t="shared" si="69"/>
        <v>0</v>
      </c>
      <c r="FW75" s="3">
        <f t="shared" si="69"/>
        <v>0</v>
      </c>
      <c r="FX75" s="3">
        <f t="shared" si="69"/>
        <v>0</v>
      </c>
      <c r="FY75" s="3">
        <f t="shared" si="69"/>
        <v>0</v>
      </c>
      <c r="FZ75" s="3">
        <f t="shared" si="69"/>
        <v>0</v>
      </c>
      <c r="GA75" s="3">
        <f t="shared" si="69"/>
        <v>0</v>
      </c>
      <c r="GB75" s="3">
        <f t="shared" si="69"/>
        <v>0</v>
      </c>
      <c r="GC75" s="3">
        <f t="shared" si="69"/>
        <v>0</v>
      </c>
      <c r="GD75" s="3">
        <f t="shared" si="69"/>
        <v>0</v>
      </c>
      <c r="GE75" s="3">
        <f t="shared" si="69"/>
        <v>0</v>
      </c>
      <c r="GF75" s="3">
        <f t="shared" si="69"/>
        <v>0</v>
      </c>
      <c r="GG75" s="3">
        <f t="shared" si="69"/>
        <v>0</v>
      </c>
      <c r="GH75" s="3">
        <f t="shared" si="69"/>
        <v>0</v>
      </c>
      <c r="GI75" s="3">
        <f t="shared" si="69"/>
        <v>0</v>
      </c>
      <c r="GJ75" s="3">
        <f t="shared" si="69"/>
        <v>0</v>
      </c>
      <c r="GK75" s="3">
        <f t="shared" si="69"/>
        <v>0</v>
      </c>
      <c r="GL75" s="3">
        <f t="shared" si="69"/>
        <v>0</v>
      </c>
      <c r="GM75" s="3">
        <f t="shared" si="69"/>
        <v>0</v>
      </c>
      <c r="GN75" s="3">
        <f t="shared" si="69"/>
        <v>0</v>
      </c>
      <c r="GO75" s="3">
        <f t="shared" si="69"/>
        <v>0</v>
      </c>
      <c r="GP75" s="3">
        <f t="shared" si="69"/>
        <v>0</v>
      </c>
      <c r="GQ75" s="3">
        <f t="shared" si="69"/>
        <v>0</v>
      </c>
      <c r="GR75" s="3">
        <f t="shared" si="69"/>
        <v>0</v>
      </c>
      <c r="GS75" s="3">
        <f t="shared" si="69"/>
        <v>0</v>
      </c>
      <c r="GT75" s="3">
        <f t="shared" si="69"/>
        <v>0</v>
      </c>
      <c r="GU75" s="3">
        <f t="shared" si="69"/>
        <v>0</v>
      </c>
      <c r="GV75" s="3">
        <f t="shared" si="69"/>
        <v>0</v>
      </c>
      <c r="GW75" s="3">
        <f t="shared" si="69"/>
        <v>0</v>
      </c>
      <c r="GX75" s="3">
        <f t="shared" si="69"/>
        <v>0</v>
      </c>
    </row>
    <row r="77" spans="1:245" x14ac:dyDescent="0.2">
      <c r="A77">
        <v>17</v>
      </c>
      <c r="B77">
        <v>1</v>
      </c>
      <c r="C77">
        <f>ROW(SmtRes!A51)</f>
        <v>51</v>
      </c>
      <c r="D77">
        <f>ROW(EtalonRes!A51)</f>
        <v>51</v>
      </c>
      <c r="E77" t="s">
        <v>145</v>
      </c>
      <c r="F77" t="s">
        <v>29</v>
      </c>
      <c r="G77" t="s">
        <v>30</v>
      </c>
      <c r="H77" t="s">
        <v>31</v>
      </c>
      <c r="I77">
        <f>ROUND((2273*0.07)/100,9)</f>
        <v>1.5911</v>
      </c>
      <c r="J77">
        <v>0</v>
      </c>
      <c r="O77">
        <f t="shared" ref="O77:O87" si="70">ROUND(CP77,2)</f>
        <v>114322.91</v>
      </c>
      <c r="P77">
        <f t="shared" ref="P77:P87" si="71">ROUND((ROUND((AC77*AW77*I77),2)*BC77),2)</f>
        <v>0</v>
      </c>
      <c r="Q77">
        <f t="shared" ref="Q77:Q87" si="72">(ROUND((ROUND(((ET77)*AV77*I77),2)*BB77),2)+ROUND((ROUND(((AE77-(EU77))*AV77*I77),2)*BS77),2))</f>
        <v>48442.69</v>
      </c>
      <c r="R77">
        <f t="shared" ref="R77:R87" si="73">ROUND((ROUND((AE77*AV77*I77),2)*BS77),2)</f>
        <v>28695.68</v>
      </c>
      <c r="S77">
        <f t="shared" ref="S77:S87" si="74">ROUND((ROUND((AF77*AV77*I77),2)*BA77),2)</f>
        <v>65880.22</v>
      </c>
      <c r="T77">
        <f t="shared" ref="T77:T87" si="75">ROUND(CU77*I77,2)</f>
        <v>0</v>
      </c>
      <c r="U77">
        <f t="shared" ref="U77:U87" si="76">CV77*I77</f>
        <v>246.62049999999999</v>
      </c>
      <c r="V77">
        <f t="shared" ref="V77:V87" si="77">CW77*I77</f>
        <v>0</v>
      </c>
      <c r="W77">
        <f t="shared" ref="W77:W87" si="78">ROUND(CX77*I77,2)</f>
        <v>0</v>
      </c>
      <c r="X77">
        <f t="shared" ref="X77:X87" si="79">ROUND(CY77,2)</f>
        <v>44798.55</v>
      </c>
      <c r="Y77">
        <f t="shared" ref="Y77:Y87" si="80">ROUND(CZ77,2)</f>
        <v>27010.89</v>
      </c>
      <c r="AA77">
        <v>33989672</v>
      </c>
      <c r="AB77">
        <f t="shared" ref="AB77:AB87" si="81">ROUND((AC77+AD77+AF77),6)</f>
        <v>4401.5</v>
      </c>
      <c r="AC77">
        <f t="shared" ref="AC77:AC87" si="82">ROUND((ES77),6)</f>
        <v>0</v>
      </c>
      <c r="AD77">
        <f t="shared" ref="AD77:AD87" si="83">ROUND((((ET77)-(EU77))+AE77),6)</f>
        <v>2713.55</v>
      </c>
      <c r="AE77">
        <f t="shared" ref="AE77:AE87" si="84">ROUND((EU77),6)</f>
        <v>735.23</v>
      </c>
      <c r="AF77">
        <f t="shared" ref="AF77:AF87" si="85">ROUND((EV77),6)</f>
        <v>1687.95</v>
      </c>
      <c r="AG77">
        <f t="shared" ref="AG77:AG87" si="86">ROUND((AP77),6)</f>
        <v>0</v>
      </c>
      <c r="AH77">
        <f t="shared" ref="AH77:AH87" si="87">(EW77)</f>
        <v>155</v>
      </c>
      <c r="AI77">
        <f t="shared" ref="AI77:AI87" si="88">(EX77)</f>
        <v>0</v>
      </c>
      <c r="AJ77">
        <f t="shared" ref="AJ77:AJ87" si="89">(AS77)</f>
        <v>0</v>
      </c>
      <c r="AK77">
        <v>4401.5</v>
      </c>
      <c r="AL77">
        <v>0</v>
      </c>
      <c r="AM77">
        <v>2713.55</v>
      </c>
      <c r="AN77">
        <v>735.23</v>
      </c>
      <c r="AO77">
        <v>1687.95</v>
      </c>
      <c r="AP77">
        <v>0</v>
      </c>
      <c r="AQ77">
        <v>155</v>
      </c>
      <c r="AR77">
        <v>0</v>
      </c>
      <c r="AS77">
        <v>0</v>
      </c>
      <c r="AT77">
        <v>68</v>
      </c>
      <c r="AU77">
        <v>41</v>
      </c>
      <c r="AV77">
        <v>1</v>
      </c>
      <c r="AW77">
        <v>1</v>
      </c>
      <c r="AZ77">
        <v>1</v>
      </c>
      <c r="BA77">
        <v>24.53</v>
      </c>
      <c r="BB77">
        <v>11.22</v>
      </c>
      <c r="BC77">
        <v>1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32</v>
      </c>
      <c r="BM77">
        <v>674</v>
      </c>
      <c r="BN77">
        <v>0</v>
      </c>
      <c r="BO77" t="s">
        <v>29</v>
      </c>
      <c r="BP77">
        <v>1</v>
      </c>
      <c r="BQ77">
        <v>60</v>
      </c>
      <c r="BR77">
        <v>0</v>
      </c>
      <c r="BS77">
        <v>24.53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68</v>
      </c>
      <c r="CA77">
        <v>41</v>
      </c>
      <c r="CE77">
        <v>30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ref="CP77:CP87" si="90">(P77+Q77+S77)</f>
        <v>114322.91</v>
      </c>
      <c r="CQ77">
        <f t="shared" ref="CQ77:CQ87" si="91">ROUND((ROUND((AC77*AW77*1),2)*BC77),2)</f>
        <v>0</v>
      </c>
      <c r="CR77">
        <f t="shared" ref="CR77:CR87" si="92">(ROUND((ROUND(((ET77)*AV77*1),2)*BB77),2)+ROUND((ROUND(((AE77-(EU77))*AV77*1),2)*BS77),2))</f>
        <v>30446.03</v>
      </c>
      <c r="CS77">
        <f t="shared" ref="CS77:CS87" si="93">ROUND((ROUND((AE77*AV77*1),2)*BS77),2)</f>
        <v>18035.189999999999</v>
      </c>
      <c r="CT77">
        <f t="shared" ref="CT77:CT87" si="94">ROUND((ROUND((AF77*AV77*1),2)*BA77),2)</f>
        <v>41405.410000000003</v>
      </c>
      <c r="CU77">
        <f t="shared" ref="CU77:CU87" si="95">AG77</f>
        <v>0</v>
      </c>
      <c r="CV77">
        <f t="shared" ref="CV77:CV87" si="96">(AH77*AV77)</f>
        <v>155</v>
      </c>
      <c r="CW77">
        <f t="shared" ref="CW77:CW87" si="97">AI77</f>
        <v>0</v>
      </c>
      <c r="CX77">
        <f t="shared" ref="CX77:CX87" si="98">AJ77</f>
        <v>0</v>
      </c>
      <c r="CY77">
        <f t="shared" ref="CY77:CY87" si="99">S77*(BZ77/100)</f>
        <v>44798.549600000006</v>
      </c>
      <c r="CZ77">
        <f t="shared" ref="CZ77:CZ87" si="100">S77*(CA77/100)</f>
        <v>27010.890199999998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80</v>
      </c>
      <c r="DO77">
        <v>55</v>
      </c>
      <c r="DP77">
        <v>1</v>
      </c>
      <c r="DQ77">
        <v>1</v>
      </c>
      <c r="DU77">
        <v>1007</v>
      </c>
      <c r="DV77" t="s">
        <v>31</v>
      </c>
      <c r="DW77" t="s">
        <v>31</v>
      </c>
      <c r="DX77">
        <v>100</v>
      </c>
      <c r="EE77">
        <v>33798313</v>
      </c>
      <c r="EF77">
        <v>60</v>
      </c>
      <c r="EG77" t="s">
        <v>20</v>
      </c>
      <c r="EH77">
        <v>0</v>
      </c>
      <c r="EI77" t="s">
        <v>3</v>
      </c>
      <c r="EJ77">
        <v>1</v>
      </c>
      <c r="EK77">
        <v>674</v>
      </c>
      <c r="EL77" t="s">
        <v>33</v>
      </c>
      <c r="EM77" t="s">
        <v>34</v>
      </c>
      <c r="EO77" t="s">
        <v>3</v>
      </c>
      <c r="EQ77">
        <v>131072</v>
      </c>
      <c r="ER77">
        <v>4401.5</v>
      </c>
      <c r="ES77">
        <v>0</v>
      </c>
      <c r="ET77">
        <v>2713.55</v>
      </c>
      <c r="EU77">
        <v>735.23</v>
      </c>
      <c r="EV77">
        <v>1687.95</v>
      </c>
      <c r="EW77">
        <v>155</v>
      </c>
      <c r="EX77">
        <v>0</v>
      </c>
      <c r="EY77">
        <v>0</v>
      </c>
      <c r="FQ77">
        <v>0</v>
      </c>
      <c r="FR77">
        <f t="shared" ref="FR77:FR87" si="101">ROUND(IF(AND(BH77=3,BI77=3),P77,0),2)</f>
        <v>0</v>
      </c>
      <c r="FS77">
        <v>0</v>
      </c>
      <c r="FX77">
        <v>80</v>
      </c>
      <c r="FY77">
        <v>55</v>
      </c>
      <c r="GA77" t="s">
        <v>3</v>
      </c>
      <c r="GD77">
        <v>0</v>
      </c>
      <c r="GF77">
        <v>462798223</v>
      </c>
      <c r="GG77">
        <v>2</v>
      </c>
      <c r="GH77">
        <v>1</v>
      </c>
      <c r="GI77">
        <v>2</v>
      </c>
      <c r="GJ77">
        <v>0</v>
      </c>
      <c r="GK77">
        <f>ROUND(R77*(R12)/100,2)</f>
        <v>45052.22</v>
      </c>
      <c r="GL77">
        <f t="shared" ref="GL77:GL87" si="102">ROUND(IF(AND(BH77=3,BI77=3,FS77&lt;&gt;0),P77,0),2)</f>
        <v>0</v>
      </c>
      <c r="GM77">
        <f t="shared" ref="GM77:GM87" si="103">ROUND(O77+X77+Y77+GK77,2)+GX77</f>
        <v>231184.57</v>
      </c>
      <c r="GN77">
        <f t="shared" ref="GN77:GN87" si="104">IF(OR(BI77=0,BI77=1),ROUND(O77+X77+Y77+GK77,2),0)</f>
        <v>231184.57</v>
      </c>
      <c r="GO77">
        <f t="shared" ref="GO77:GO87" si="105">IF(BI77=2,ROUND(O77+X77+Y77+GK77,2),0)</f>
        <v>0</v>
      </c>
      <c r="GP77">
        <f t="shared" ref="GP77:GP87" si="106">IF(BI77=4,ROUND(O77+X77+Y77+GK77,2)+GX77,0)</f>
        <v>0</v>
      </c>
      <c r="GR77">
        <v>0</v>
      </c>
      <c r="GS77">
        <v>3</v>
      </c>
      <c r="GT77">
        <v>0</v>
      </c>
      <c r="GU77" t="s">
        <v>3</v>
      </c>
      <c r="GV77">
        <f t="shared" ref="GV77:GV87" si="107">ROUND((GT77),6)</f>
        <v>0</v>
      </c>
      <c r="GW77">
        <v>1</v>
      </c>
      <c r="GX77">
        <f t="shared" ref="GX77:GX87" si="108">ROUND(HC77*I77,2)</f>
        <v>0</v>
      </c>
      <c r="HA77">
        <v>0</v>
      </c>
      <c r="HB77">
        <v>0</v>
      </c>
      <c r="HC77">
        <f t="shared" ref="HC77:HC87" si="109">GV77*GW77</f>
        <v>0</v>
      </c>
      <c r="IK77">
        <v>0</v>
      </c>
    </row>
    <row r="78" spans="1:245" x14ac:dyDescent="0.2">
      <c r="A78">
        <v>17</v>
      </c>
      <c r="B78">
        <v>1</v>
      </c>
      <c r="C78">
        <f>ROW(SmtRes!A55)</f>
        <v>55</v>
      </c>
      <c r="D78">
        <f>ROW(EtalonRes!A55)</f>
        <v>55</v>
      </c>
      <c r="E78" t="s">
        <v>146</v>
      </c>
      <c r="F78" t="s">
        <v>147</v>
      </c>
      <c r="G78" t="s">
        <v>148</v>
      </c>
      <c r="H78" t="s">
        <v>31</v>
      </c>
      <c r="I78">
        <f>ROUND((2273*0.05)/100,9)</f>
        <v>1.1365000000000001</v>
      </c>
      <c r="J78">
        <v>0</v>
      </c>
      <c r="O78">
        <f t="shared" si="70"/>
        <v>8129.65</v>
      </c>
      <c r="P78">
        <f t="shared" si="71"/>
        <v>0</v>
      </c>
      <c r="Q78">
        <f t="shared" si="72"/>
        <v>5053.83</v>
      </c>
      <c r="R78">
        <f t="shared" si="73"/>
        <v>2274.42</v>
      </c>
      <c r="S78">
        <f t="shared" si="74"/>
        <v>3075.82</v>
      </c>
      <c r="T78">
        <f t="shared" si="75"/>
        <v>0</v>
      </c>
      <c r="U78">
        <f t="shared" si="76"/>
        <v>13.29705</v>
      </c>
      <c r="V78">
        <f t="shared" si="77"/>
        <v>0</v>
      </c>
      <c r="W78">
        <f t="shared" si="78"/>
        <v>0</v>
      </c>
      <c r="X78">
        <f t="shared" si="79"/>
        <v>2091.56</v>
      </c>
      <c r="Y78">
        <f t="shared" si="80"/>
        <v>1261.0899999999999</v>
      </c>
      <c r="AA78">
        <v>33989672</v>
      </c>
      <c r="AB78">
        <f t="shared" si="81"/>
        <v>512.76</v>
      </c>
      <c r="AC78">
        <f t="shared" si="82"/>
        <v>0</v>
      </c>
      <c r="AD78">
        <f t="shared" si="83"/>
        <v>402.43</v>
      </c>
      <c r="AE78">
        <f t="shared" si="84"/>
        <v>81.58</v>
      </c>
      <c r="AF78">
        <f t="shared" si="85"/>
        <v>110.33</v>
      </c>
      <c r="AG78">
        <f t="shared" si="86"/>
        <v>0</v>
      </c>
      <c r="AH78">
        <f t="shared" si="87"/>
        <v>11.7</v>
      </c>
      <c r="AI78">
        <f t="shared" si="88"/>
        <v>0</v>
      </c>
      <c r="AJ78">
        <f t="shared" si="89"/>
        <v>0</v>
      </c>
      <c r="AK78">
        <v>512.76</v>
      </c>
      <c r="AL78">
        <v>0</v>
      </c>
      <c r="AM78">
        <v>402.43</v>
      </c>
      <c r="AN78">
        <v>81.58</v>
      </c>
      <c r="AO78">
        <v>110.33</v>
      </c>
      <c r="AP78">
        <v>0</v>
      </c>
      <c r="AQ78">
        <v>11.7</v>
      </c>
      <c r="AR78">
        <v>0</v>
      </c>
      <c r="AS78">
        <v>0</v>
      </c>
      <c r="AT78">
        <v>68</v>
      </c>
      <c r="AU78">
        <v>41</v>
      </c>
      <c r="AV78">
        <v>1</v>
      </c>
      <c r="AW78">
        <v>1</v>
      </c>
      <c r="AZ78">
        <v>1</v>
      </c>
      <c r="BA78">
        <v>24.53</v>
      </c>
      <c r="BB78">
        <v>11.05</v>
      </c>
      <c r="BC78">
        <v>1</v>
      </c>
      <c r="BD78" t="s">
        <v>3</v>
      </c>
      <c r="BE78" t="s">
        <v>3</v>
      </c>
      <c r="BF78" t="s">
        <v>3</v>
      </c>
      <c r="BG78" t="s">
        <v>3</v>
      </c>
      <c r="BH78">
        <v>0</v>
      </c>
      <c r="BI78">
        <v>1</v>
      </c>
      <c r="BJ78" t="s">
        <v>149</v>
      </c>
      <c r="BM78">
        <v>674</v>
      </c>
      <c r="BN78">
        <v>0</v>
      </c>
      <c r="BO78" t="s">
        <v>147</v>
      </c>
      <c r="BP78">
        <v>1</v>
      </c>
      <c r="BQ78">
        <v>60</v>
      </c>
      <c r="BR78">
        <v>0</v>
      </c>
      <c r="BS78">
        <v>24.53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3</v>
      </c>
      <c r="BZ78">
        <v>68</v>
      </c>
      <c r="CA78">
        <v>41</v>
      </c>
      <c r="CE78">
        <v>30</v>
      </c>
      <c r="CF78">
        <v>0</v>
      </c>
      <c r="CG78">
        <v>0</v>
      </c>
      <c r="CM78">
        <v>0</v>
      </c>
      <c r="CN78" t="s">
        <v>3</v>
      </c>
      <c r="CO78">
        <v>0</v>
      </c>
      <c r="CP78">
        <f t="shared" si="90"/>
        <v>8129.65</v>
      </c>
      <c r="CQ78">
        <f t="shared" si="91"/>
        <v>0</v>
      </c>
      <c r="CR78">
        <f t="shared" si="92"/>
        <v>4446.8500000000004</v>
      </c>
      <c r="CS78">
        <f t="shared" si="93"/>
        <v>2001.16</v>
      </c>
      <c r="CT78">
        <f t="shared" si="94"/>
        <v>2706.39</v>
      </c>
      <c r="CU78">
        <f t="shared" si="95"/>
        <v>0</v>
      </c>
      <c r="CV78">
        <f t="shared" si="96"/>
        <v>11.7</v>
      </c>
      <c r="CW78">
        <f t="shared" si="97"/>
        <v>0</v>
      </c>
      <c r="CX78">
        <f t="shared" si="98"/>
        <v>0</v>
      </c>
      <c r="CY78">
        <f t="shared" si="99"/>
        <v>2091.5576000000001</v>
      </c>
      <c r="CZ78">
        <f t="shared" si="100"/>
        <v>1261.0862</v>
      </c>
      <c r="DC78" t="s">
        <v>3</v>
      </c>
      <c r="DD78" t="s">
        <v>3</v>
      </c>
      <c r="DE78" t="s">
        <v>3</v>
      </c>
      <c r="DF78" t="s">
        <v>3</v>
      </c>
      <c r="DG78" t="s">
        <v>3</v>
      </c>
      <c r="DH78" t="s">
        <v>3</v>
      </c>
      <c r="DI78" t="s">
        <v>3</v>
      </c>
      <c r="DJ78" t="s">
        <v>3</v>
      </c>
      <c r="DK78" t="s">
        <v>3</v>
      </c>
      <c r="DL78" t="s">
        <v>3</v>
      </c>
      <c r="DM78" t="s">
        <v>3</v>
      </c>
      <c r="DN78">
        <v>80</v>
      </c>
      <c r="DO78">
        <v>55</v>
      </c>
      <c r="DP78">
        <v>1</v>
      </c>
      <c r="DQ78">
        <v>1</v>
      </c>
      <c r="DU78">
        <v>1007</v>
      </c>
      <c r="DV78" t="s">
        <v>31</v>
      </c>
      <c r="DW78" t="s">
        <v>31</v>
      </c>
      <c r="DX78">
        <v>100</v>
      </c>
      <c r="EE78">
        <v>33798313</v>
      </c>
      <c r="EF78">
        <v>60</v>
      </c>
      <c r="EG78" t="s">
        <v>20</v>
      </c>
      <c r="EH78">
        <v>0</v>
      </c>
      <c r="EI78" t="s">
        <v>3</v>
      </c>
      <c r="EJ78">
        <v>1</v>
      </c>
      <c r="EK78">
        <v>674</v>
      </c>
      <c r="EL78" t="s">
        <v>33</v>
      </c>
      <c r="EM78" t="s">
        <v>34</v>
      </c>
      <c r="EO78" t="s">
        <v>3</v>
      </c>
      <c r="EQ78">
        <v>131072</v>
      </c>
      <c r="ER78">
        <v>512.76</v>
      </c>
      <c r="ES78">
        <v>0</v>
      </c>
      <c r="ET78">
        <v>402.43</v>
      </c>
      <c r="EU78">
        <v>81.58</v>
      </c>
      <c r="EV78">
        <v>110.33</v>
      </c>
      <c r="EW78">
        <v>11.7</v>
      </c>
      <c r="EX78">
        <v>0</v>
      </c>
      <c r="EY78">
        <v>0</v>
      </c>
      <c r="FQ78">
        <v>0</v>
      </c>
      <c r="FR78">
        <f t="shared" si="101"/>
        <v>0</v>
      </c>
      <c r="FS78">
        <v>0</v>
      </c>
      <c r="FX78">
        <v>80</v>
      </c>
      <c r="FY78">
        <v>55</v>
      </c>
      <c r="GA78" t="s">
        <v>3</v>
      </c>
      <c r="GD78">
        <v>0</v>
      </c>
      <c r="GF78">
        <v>-1972224145</v>
      </c>
      <c r="GG78">
        <v>2</v>
      </c>
      <c r="GH78">
        <v>1</v>
      </c>
      <c r="GI78">
        <v>2</v>
      </c>
      <c r="GJ78">
        <v>0</v>
      </c>
      <c r="GK78">
        <f>ROUND(R78*(R12)/100,2)</f>
        <v>3570.84</v>
      </c>
      <c r="GL78">
        <f t="shared" si="102"/>
        <v>0</v>
      </c>
      <c r="GM78">
        <f t="shared" si="103"/>
        <v>15053.14</v>
      </c>
      <c r="GN78">
        <f t="shared" si="104"/>
        <v>15053.14</v>
      </c>
      <c r="GO78">
        <f t="shared" si="105"/>
        <v>0</v>
      </c>
      <c r="GP78">
        <f t="shared" si="106"/>
        <v>0</v>
      </c>
      <c r="GR78">
        <v>0</v>
      </c>
      <c r="GS78">
        <v>3</v>
      </c>
      <c r="GT78">
        <v>0</v>
      </c>
      <c r="GU78" t="s">
        <v>3</v>
      </c>
      <c r="GV78">
        <f t="shared" si="107"/>
        <v>0</v>
      </c>
      <c r="GW78">
        <v>1</v>
      </c>
      <c r="GX78">
        <f t="shared" si="108"/>
        <v>0</v>
      </c>
      <c r="HA78">
        <v>0</v>
      </c>
      <c r="HB78">
        <v>0</v>
      </c>
      <c r="HC78">
        <f t="shared" si="109"/>
        <v>0</v>
      </c>
      <c r="IK78">
        <v>0</v>
      </c>
    </row>
    <row r="79" spans="1:245" x14ac:dyDescent="0.2">
      <c r="A79">
        <v>17</v>
      </c>
      <c r="B79">
        <v>1</v>
      </c>
      <c r="C79">
        <f>ROW(SmtRes!A56)</f>
        <v>56</v>
      </c>
      <c r="D79">
        <f>ROW(EtalonRes!A56)</f>
        <v>56</v>
      </c>
      <c r="E79" t="s">
        <v>150</v>
      </c>
      <c r="F79" t="s">
        <v>43</v>
      </c>
      <c r="G79" t="s">
        <v>44</v>
      </c>
      <c r="H79" t="s">
        <v>38</v>
      </c>
      <c r="I79">
        <v>0</v>
      </c>
      <c r="J79">
        <v>0</v>
      </c>
      <c r="O79">
        <f t="shared" si="70"/>
        <v>0</v>
      </c>
      <c r="P79">
        <f t="shared" si="71"/>
        <v>0</v>
      </c>
      <c r="Q79">
        <f t="shared" si="72"/>
        <v>0</v>
      </c>
      <c r="R79">
        <f t="shared" si="73"/>
        <v>0</v>
      </c>
      <c r="S79">
        <f t="shared" si="74"/>
        <v>0</v>
      </c>
      <c r="T79">
        <f t="shared" si="75"/>
        <v>0</v>
      </c>
      <c r="U79">
        <f t="shared" si="76"/>
        <v>0</v>
      </c>
      <c r="V79">
        <f t="shared" si="77"/>
        <v>0</v>
      </c>
      <c r="W79">
        <f t="shared" si="78"/>
        <v>0</v>
      </c>
      <c r="X79">
        <f t="shared" si="79"/>
        <v>0</v>
      </c>
      <c r="Y79">
        <f t="shared" si="80"/>
        <v>0</v>
      </c>
      <c r="AA79">
        <v>33989672</v>
      </c>
      <c r="AB79">
        <f t="shared" si="81"/>
        <v>8.86</v>
      </c>
      <c r="AC79">
        <f t="shared" si="82"/>
        <v>0</v>
      </c>
      <c r="AD79">
        <f t="shared" si="83"/>
        <v>8.86</v>
      </c>
      <c r="AE79">
        <f t="shared" si="84"/>
        <v>1.48</v>
      </c>
      <c r="AF79">
        <f t="shared" si="85"/>
        <v>0</v>
      </c>
      <c r="AG79">
        <f t="shared" si="86"/>
        <v>0</v>
      </c>
      <c r="AH79">
        <f t="shared" si="87"/>
        <v>0</v>
      </c>
      <c r="AI79">
        <f t="shared" si="88"/>
        <v>0</v>
      </c>
      <c r="AJ79">
        <f t="shared" si="89"/>
        <v>0</v>
      </c>
      <c r="AK79">
        <v>8.86</v>
      </c>
      <c r="AL79">
        <v>0</v>
      </c>
      <c r="AM79">
        <v>8.86</v>
      </c>
      <c r="AN79">
        <v>1.48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73</v>
      </c>
      <c r="AU79">
        <v>41</v>
      </c>
      <c r="AV79">
        <v>1</v>
      </c>
      <c r="AW79">
        <v>1</v>
      </c>
      <c r="AZ79">
        <v>1</v>
      </c>
      <c r="BA79">
        <v>24.53</v>
      </c>
      <c r="BB79">
        <v>8.83</v>
      </c>
      <c r="BC79">
        <v>1</v>
      </c>
      <c r="BD79" t="s">
        <v>3</v>
      </c>
      <c r="BE79" t="s">
        <v>3</v>
      </c>
      <c r="BF79" t="s">
        <v>3</v>
      </c>
      <c r="BG79" t="s">
        <v>3</v>
      </c>
      <c r="BH79">
        <v>0</v>
      </c>
      <c r="BI79">
        <v>1</v>
      </c>
      <c r="BJ79" t="s">
        <v>45</v>
      </c>
      <c r="BM79">
        <v>658</v>
      </c>
      <c r="BN79">
        <v>0</v>
      </c>
      <c r="BO79" t="s">
        <v>43</v>
      </c>
      <c r="BP79">
        <v>1</v>
      </c>
      <c r="BQ79">
        <v>60</v>
      </c>
      <c r="BR79">
        <v>0</v>
      </c>
      <c r="BS79">
        <v>24.53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73</v>
      </c>
      <c r="CA79">
        <v>41</v>
      </c>
      <c r="CE79">
        <v>30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90"/>
        <v>0</v>
      </c>
      <c r="CQ79">
        <f t="shared" si="91"/>
        <v>0</v>
      </c>
      <c r="CR79">
        <f t="shared" si="92"/>
        <v>78.23</v>
      </c>
      <c r="CS79">
        <f t="shared" si="93"/>
        <v>36.299999999999997</v>
      </c>
      <c r="CT79">
        <f t="shared" si="94"/>
        <v>0</v>
      </c>
      <c r="CU79">
        <f t="shared" si="95"/>
        <v>0</v>
      </c>
      <c r="CV79">
        <f t="shared" si="96"/>
        <v>0</v>
      </c>
      <c r="CW79">
        <f t="shared" si="97"/>
        <v>0</v>
      </c>
      <c r="CX79">
        <f t="shared" si="98"/>
        <v>0</v>
      </c>
      <c r="CY79">
        <f t="shared" si="99"/>
        <v>0</v>
      </c>
      <c r="CZ79">
        <f t="shared" si="100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91</v>
      </c>
      <c r="DO79">
        <v>70</v>
      </c>
      <c r="DP79">
        <v>1</v>
      </c>
      <c r="DQ79">
        <v>1</v>
      </c>
      <c r="DU79">
        <v>1013</v>
      </c>
      <c r="DV79" t="s">
        <v>38</v>
      </c>
      <c r="DW79" t="s">
        <v>38</v>
      </c>
      <c r="DX79">
        <v>1</v>
      </c>
      <c r="EE79">
        <v>33798297</v>
      </c>
      <c r="EF79">
        <v>60</v>
      </c>
      <c r="EG79" t="s">
        <v>20</v>
      </c>
      <c r="EH79">
        <v>0</v>
      </c>
      <c r="EI79" t="s">
        <v>3</v>
      </c>
      <c r="EJ79">
        <v>1</v>
      </c>
      <c r="EK79">
        <v>658</v>
      </c>
      <c r="EL79" t="s">
        <v>46</v>
      </c>
      <c r="EM79" t="s">
        <v>47</v>
      </c>
      <c r="EO79" t="s">
        <v>3</v>
      </c>
      <c r="EQ79">
        <v>131072</v>
      </c>
      <c r="ER79">
        <v>8.86</v>
      </c>
      <c r="ES79">
        <v>0</v>
      </c>
      <c r="ET79">
        <v>8.86</v>
      </c>
      <c r="EU79">
        <v>1.48</v>
      </c>
      <c r="EV79">
        <v>0</v>
      </c>
      <c r="EW79">
        <v>0</v>
      </c>
      <c r="EX79">
        <v>0</v>
      </c>
      <c r="EY79">
        <v>0</v>
      </c>
      <c r="FQ79">
        <v>0</v>
      </c>
      <c r="FR79">
        <f t="shared" si="101"/>
        <v>0</v>
      </c>
      <c r="FS79">
        <v>0</v>
      </c>
      <c r="FX79">
        <v>91</v>
      </c>
      <c r="FY79">
        <v>70</v>
      </c>
      <c r="GA79" t="s">
        <v>3</v>
      </c>
      <c r="GD79">
        <v>0</v>
      </c>
      <c r="GF79">
        <v>-1983005167</v>
      </c>
      <c r="GG79">
        <v>2</v>
      </c>
      <c r="GH79">
        <v>1</v>
      </c>
      <c r="GI79">
        <v>2</v>
      </c>
      <c r="GJ79">
        <v>0</v>
      </c>
      <c r="GK79">
        <f>ROUND(R79*(R12)/100,2)</f>
        <v>0</v>
      </c>
      <c r="GL79">
        <f t="shared" si="102"/>
        <v>0</v>
      </c>
      <c r="GM79">
        <f t="shared" si="103"/>
        <v>0</v>
      </c>
      <c r="GN79">
        <f t="shared" si="104"/>
        <v>0</v>
      </c>
      <c r="GO79">
        <f t="shared" si="105"/>
        <v>0</v>
      </c>
      <c r="GP79">
        <f t="shared" si="106"/>
        <v>0</v>
      </c>
      <c r="GR79">
        <v>0</v>
      </c>
      <c r="GS79">
        <v>3</v>
      </c>
      <c r="GT79">
        <v>0</v>
      </c>
      <c r="GU79" t="s">
        <v>3</v>
      </c>
      <c r="GV79">
        <f t="shared" si="107"/>
        <v>0</v>
      </c>
      <c r="GW79">
        <v>1</v>
      </c>
      <c r="GX79">
        <f t="shared" si="108"/>
        <v>0</v>
      </c>
      <c r="HA79">
        <v>0</v>
      </c>
      <c r="HB79">
        <v>0</v>
      </c>
      <c r="HC79">
        <f t="shared" si="109"/>
        <v>0</v>
      </c>
      <c r="IK79">
        <v>0</v>
      </c>
    </row>
    <row r="80" spans="1:245" x14ac:dyDescent="0.2">
      <c r="A80">
        <v>17</v>
      </c>
      <c r="B80">
        <v>1</v>
      </c>
      <c r="C80">
        <f>ROW(SmtRes!A57)</f>
        <v>57</v>
      </c>
      <c r="D80">
        <f>ROW(EtalonRes!A57)</f>
        <v>57</v>
      </c>
      <c r="E80" t="s">
        <v>151</v>
      </c>
      <c r="F80" t="s">
        <v>36</v>
      </c>
      <c r="G80" t="s">
        <v>37</v>
      </c>
      <c r="H80" t="s">
        <v>38</v>
      </c>
      <c r="I80">
        <f>ROUND(159.11*2.4*0.1+1.1365*100*1.6*0.1,9)</f>
        <v>56.370399999999997</v>
      </c>
      <c r="J80">
        <v>0</v>
      </c>
      <c r="O80">
        <f t="shared" si="70"/>
        <v>13302.13</v>
      </c>
      <c r="P80">
        <f t="shared" si="71"/>
        <v>0</v>
      </c>
      <c r="Q80">
        <f t="shared" si="72"/>
        <v>0</v>
      </c>
      <c r="R80">
        <f t="shared" si="73"/>
        <v>0</v>
      </c>
      <c r="S80">
        <f t="shared" si="74"/>
        <v>13302.13</v>
      </c>
      <c r="T80">
        <f t="shared" si="75"/>
        <v>0</v>
      </c>
      <c r="U80">
        <f t="shared" si="76"/>
        <v>57.497807999999999</v>
      </c>
      <c r="V80">
        <f t="shared" si="77"/>
        <v>0</v>
      </c>
      <c r="W80">
        <f t="shared" si="78"/>
        <v>0</v>
      </c>
      <c r="X80">
        <f t="shared" si="79"/>
        <v>9710.5499999999993</v>
      </c>
      <c r="Y80">
        <f t="shared" si="80"/>
        <v>5453.87</v>
      </c>
      <c r="AA80">
        <v>33989672</v>
      </c>
      <c r="AB80">
        <f t="shared" si="81"/>
        <v>9.6199999999999992</v>
      </c>
      <c r="AC80">
        <f t="shared" si="82"/>
        <v>0</v>
      </c>
      <c r="AD80">
        <f t="shared" si="83"/>
        <v>0</v>
      </c>
      <c r="AE80">
        <f t="shared" si="84"/>
        <v>0</v>
      </c>
      <c r="AF80">
        <f t="shared" si="85"/>
        <v>9.6199999999999992</v>
      </c>
      <c r="AG80">
        <f t="shared" si="86"/>
        <v>0</v>
      </c>
      <c r="AH80">
        <f t="shared" si="87"/>
        <v>1.02</v>
      </c>
      <c r="AI80">
        <f t="shared" si="88"/>
        <v>0</v>
      </c>
      <c r="AJ80">
        <f t="shared" si="89"/>
        <v>0</v>
      </c>
      <c r="AK80">
        <v>9.6199999999999992</v>
      </c>
      <c r="AL80">
        <v>0</v>
      </c>
      <c r="AM80">
        <v>0</v>
      </c>
      <c r="AN80">
        <v>0</v>
      </c>
      <c r="AO80">
        <v>9.6199999999999992</v>
      </c>
      <c r="AP80">
        <v>0</v>
      </c>
      <c r="AQ80">
        <v>1.02</v>
      </c>
      <c r="AR80">
        <v>0</v>
      </c>
      <c r="AS80">
        <v>0</v>
      </c>
      <c r="AT80">
        <v>73</v>
      </c>
      <c r="AU80">
        <v>41</v>
      </c>
      <c r="AV80">
        <v>1</v>
      </c>
      <c r="AW80">
        <v>1</v>
      </c>
      <c r="AZ80">
        <v>1</v>
      </c>
      <c r="BA80">
        <v>24.53</v>
      </c>
      <c r="BB80">
        <v>1</v>
      </c>
      <c r="BC80">
        <v>1</v>
      </c>
      <c r="BD80" t="s">
        <v>3</v>
      </c>
      <c r="BE80" t="s">
        <v>3</v>
      </c>
      <c r="BF80" t="s">
        <v>3</v>
      </c>
      <c r="BG80" t="s">
        <v>3</v>
      </c>
      <c r="BH80">
        <v>0</v>
      </c>
      <c r="BI80">
        <v>1</v>
      </c>
      <c r="BJ80" t="s">
        <v>39</v>
      </c>
      <c r="BM80">
        <v>682</v>
      </c>
      <c r="BN80">
        <v>0</v>
      </c>
      <c r="BO80" t="s">
        <v>36</v>
      </c>
      <c r="BP80">
        <v>1</v>
      </c>
      <c r="BQ80">
        <v>60</v>
      </c>
      <c r="BR80">
        <v>0</v>
      </c>
      <c r="BS80">
        <v>24.53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3</v>
      </c>
      <c r="BZ80">
        <v>73</v>
      </c>
      <c r="CA80">
        <v>41</v>
      </c>
      <c r="CE80">
        <v>30</v>
      </c>
      <c r="CF80">
        <v>0</v>
      </c>
      <c r="CG80">
        <v>0</v>
      </c>
      <c r="CM80">
        <v>0</v>
      </c>
      <c r="CN80" t="s">
        <v>3</v>
      </c>
      <c r="CO80">
        <v>0</v>
      </c>
      <c r="CP80">
        <f t="shared" si="90"/>
        <v>13302.13</v>
      </c>
      <c r="CQ80">
        <f t="shared" si="91"/>
        <v>0</v>
      </c>
      <c r="CR80">
        <f t="shared" si="92"/>
        <v>0</v>
      </c>
      <c r="CS80">
        <f t="shared" si="93"/>
        <v>0</v>
      </c>
      <c r="CT80">
        <f t="shared" si="94"/>
        <v>235.98</v>
      </c>
      <c r="CU80">
        <f t="shared" si="95"/>
        <v>0</v>
      </c>
      <c r="CV80">
        <f t="shared" si="96"/>
        <v>1.02</v>
      </c>
      <c r="CW80">
        <f t="shared" si="97"/>
        <v>0</v>
      </c>
      <c r="CX80">
        <f t="shared" si="98"/>
        <v>0</v>
      </c>
      <c r="CY80">
        <f t="shared" si="99"/>
        <v>9710.5548999999992</v>
      </c>
      <c r="CZ80">
        <f t="shared" si="100"/>
        <v>5453.8732999999993</v>
      </c>
      <c r="DC80" t="s">
        <v>3</v>
      </c>
      <c r="DD80" t="s">
        <v>3</v>
      </c>
      <c r="DE80" t="s">
        <v>3</v>
      </c>
      <c r="DF80" t="s">
        <v>3</v>
      </c>
      <c r="DG80" t="s">
        <v>3</v>
      </c>
      <c r="DH80" t="s">
        <v>3</v>
      </c>
      <c r="DI80" t="s">
        <v>3</v>
      </c>
      <c r="DJ80" t="s">
        <v>3</v>
      </c>
      <c r="DK80" t="s">
        <v>3</v>
      </c>
      <c r="DL80" t="s">
        <v>3</v>
      </c>
      <c r="DM80" t="s">
        <v>3</v>
      </c>
      <c r="DN80">
        <v>91</v>
      </c>
      <c r="DO80">
        <v>70</v>
      </c>
      <c r="DP80">
        <v>1</v>
      </c>
      <c r="DQ80">
        <v>1</v>
      </c>
      <c r="DU80">
        <v>1013</v>
      </c>
      <c r="DV80" t="s">
        <v>38</v>
      </c>
      <c r="DW80" t="s">
        <v>38</v>
      </c>
      <c r="DX80">
        <v>1</v>
      </c>
      <c r="EE80">
        <v>33798321</v>
      </c>
      <c r="EF80">
        <v>60</v>
      </c>
      <c r="EG80" t="s">
        <v>20</v>
      </c>
      <c r="EH80">
        <v>0</v>
      </c>
      <c r="EI80" t="s">
        <v>3</v>
      </c>
      <c r="EJ80">
        <v>1</v>
      </c>
      <c r="EK80">
        <v>682</v>
      </c>
      <c r="EL80" t="s">
        <v>40</v>
      </c>
      <c r="EM80" t="s">
        <v>41</v>
      </c>
      <c r="EO80" t="s">
        <v>3</v>
      </c>
      <c r="EQ80">
        <v>131072</v>
      </c>
      <c r="ER80">
        <v>9.6199999999999992</v>
      </c>
      <c r="ES80">
        <v>0</v>
      </c>
      <c r="ET80">
        <v>0</v>
      </c>
      <c r="EU80">
        <v>0</v>
      </c>
      <c r="EV80">
        <v>9.6199999999999992</v>
      </c>
      <c r="EW80">
        <v>1.02</v>
      </c>
      <c r="EX80">
        <v>0</v>
      </c>
      <c r="EY80">
        <v>0</v>
      </c>
      <c r="FQ80">
        <v>0</v>
      </c>
      <c r="FR80">
        <f t="shared" si="101"/>
        <v>0</v>
      </c>
      <c r="FS80">
        <v>0</v>
      </c>
      <c r="FX80">
        <v>91</v>
      </c>
      <c r="FY80">
        <v>70</v>
      </c>
      <c r="GA80" t="s">
        <v>3</v>
      </c>
      <c r="GD80">
        <v>0</v>
      </c>
      <c r="GF80">
        <v>903638064</v>
      </c>
      <c r="GG80">
        <v>2</v>
      </c>
      <c r="GH80">
        <v>1</v>
      </c>
      <c r="GI80">
        <v>2</v>
      </c>
      <c r="GJ80">
        <v>0</v>
      </c>
      <c r="GK80">
        <f>ROUND(R80*(R12)/100,2)</f>
        <v>0</v>
      </c>
      <c r="GL80">
        <f t="shared" si="102"/>
        <v>0</v>
      </c>
      <c r="GM80">
        <f t="shared" si="103"/>
        <v>28466.55</v>
      </c>
      <c r="GN80">
        <f t="shared" si="104"/>
        <v>28466.55</v>
      </c>
      <c r="GO80">
        <f t="shared" si="105"/>
        <v>0</v>
      </c>
      <c r="GP80">
        <f t="shared" si="106"/>
        <v>0</v>
      </c>
      <c r="GR80">
        <v>0</v>
      </c>
      <c r="GS80">
        <v>3</v>
      </c>
      <c r="GT80">
        <v>0</v>
      </c>
      <c r="GU80" t="s">
        <v>3</v>
      </c>
      <c r="GV80">
        <f t="shared" si="107"/>
        <v>0</v>
      </c>
      <c r="GW80">
        <v>1</v>
      </c>
      <c r="GX80">
        <f t="shared" si="108"/>
        <v>0</v>
      </c>
      <c r="HA80">
        <v>0</v>
      </c>
      <c r="HB80">
        <v>0</v>
      </c>
      <c r="HC80">
        <f t="shared" si="109"/>
        <v>0</v>
      </c>
      <c r="IK80">
        <v>0</v>
      </c>
    </row>
    <row r="81" spans="1:245" x14ac:dyDescent="0.2">
      <c r="A81">
        <v>17</v>
      </c>
      <c r="B81">
        <v>1</v>
      </c>
      <c r="C81">
        <f>ROW(SmtRes!A58)</f>
        <v>58</v>
      </c>
      <c r="D81">
        <f>ROW(EtalonRes!A58)</f>
        <v>58</v>
      </c>
      <c r="E81" t="s">
        <v>152</v>
      </c>
      <c r="F81" t="s">
        <v>49</v>
      </c>
      <c r="G81" t="s">
        <v>50</v>
      </c>
      <c r="H81" t="s">
        <v>51</v>
      </c>
      <c r="I81">
        <v>0</v>
      </c>
      <c r="J81">
        <v>0</v>
      </c>
      <c r="O81">
        <f t="shared" si="70"/>
        <v>0</v>
      </c>
      <c r="P81">
        <f t="shared" si="71"/>
        <v>0</v>
      </c>
      <c r="Q81">
        <f t="shared" si="72"/>
        <v>0</v>
      </c>
      <c r="R81">
        <f t="shared" si="73"/>
        <v>0</v>
      </c>
      <c r="S81">
        <f t="shared" si="74"/>
        <v>0</v>
      </c>
      <c r="T81">
        <f t="shared" si="75"/>
        <v>0</v>
      </c>
      <c r="U81">
        <f t="shared" si="76"/>
        <v>0</v>
      </c>
      <c r="V81">
        <f t="shared" si="77"/>
        <v>0</v>
      </c>
      <c r="W81">
        <f t="shared" si="78"/>
        <v>0</v>
      </c>
      <c r="X81">
        <f t="shared" si="79"/>
        <v>0</v>
      </c>
      <c r="Y81">
        <f t="shared" si="80"/>
        <v>0</v>
      </c>
      <c r="AA81">
        <v>33989672</v>
      </c>
      <c r="AB81">
        <f t="shared" si="81"/>
        <v>56.8</v>
      </c>
      <c r="AC81">
        <f t="shared" si="82"/>
        <v>0</v>
      </c>
      <c r="AD81">
        <f t="shared" si="83"/>
        <v>56.8</v>
      </c>
      <c r="AE81">
        <f t="shared" si="84"/>
        <v>0</v>
      </c>
      <c r="AF81">
        <f t="shared" si="85"/>
        <v>0</v>
      </c>
      <c r="AG81">
        <f t="shared" si="86"/>
        <v>0</v>
      </c>
      <c r="AH81">
        <f t="shared" si="87"/>
        <v>0</v>
      </c>
      <c r="AI81">
        <f t="shared" si="88"/>
        <v>0</v>
      </c>
      <c r="AJ81">
        <f t="shared" si="89"/>
        <v>0</v>
      </c>
      <c r="AK81">
        <v>56.8</v>
      </c>
      <c r="AL81">
        <v>0</v>
      </c>
      <c r="AM81">
        <v>56.8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93</v>
      </c>
      <c r="AU81">
        <v>64</v>
      </c>
      <c r="AV81">
        <v>1</v>
      </c>
      <c r="AW81">
        <v>1</v>
      </c>
      <c r="AZ81">
        <v>1</v>
      </c>
      <c r="BA81">
        <v>1</v>
      </c>
      <c r="BB81">
        <v>10.11</v>
      </c>
      <c r="BC81">
        <v>1</v>
      </c>
      <c r="BD81" t="s">
        <v>3</v>
      </c>
      <c r="BE81" t="s">
        <v>3</v>
      </c>
      <c r="BF81" t="s">
        <v>3</v>
      </c>
      <c r="BG81" t="s">
        <v>3</v>
      </c>
      <c r="BH81">
        <v>0</v>
      </c>
      <c r="BI81">
        <v>4</v>
      </c>
      <c r="BJ81" t="s">
        <v>52</v>
      </c>
      <c r="BM81">
        <v>1113</v>
      </c>
      <c r="BN81">
        <v>0</v>
      </c>
      <c r="BO81" t="s">
        <v>49</v>
      </c>
      <c r="BP81">
        <v>1</v>
      </c>
      <c r="BQ81">
        <v>150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93</v>
      </c>
      <c r="CA81">
        <v>64</v>
      </c>
      <c r="CE81">
        <v>30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90"/>
        <v>0</v>
      </c>
      <c r="CQ81">
        <f t="shared" si="91"/>
        <v>0</v>
      </c>
      <c r="CR81">
        <f t="shared" si="92"/>
        <v>574.25</v>
      </c>
      <c r="CS81">
        <f t="shared" si="93"/>
        <v>0</v>
      </c>
      <c r="CT81">
        <f t="shared" si="94"/>
        <v>0</v>
      </c>
      <c r="CU81">
        <f t="shared" si="95"/>
        <v>0</v>
      </c>
      <c r="CV81">
        <f t="shared" si="96"/>
        <v>0</v>
      </c>
      <c r="CW81">
        <f t="shared" si="97"/>
        <v>0</v>
      </c>
      <c r="CX81">
        <f t="shared" si="98"/>
        <v>0</v>
      </c>
      <c r="CY81">
        <f t="shared" si="99"/>
        <v>0</v>
      </c>
      <c r="CZ81">
        <f t="shared" si="100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51</v>
      </c>
      <c r="DW81" t="s">
        <v>51</v>
      </c>
      <c r="DX81">
        <v>1000</v>
      </c>
      <c r="EE81">
        <v>33798752</v>
      </c>
      <c r="EF81">
        <v>150</v>
      </c>
      <c r="EG81" t="s">
        <v>53</v>
      </c>
      <c r="EH81">
        <v>0</v>
      </c>
      <c r="EI81" t="s">
        <v>3</v>
      </c>
      <c r="EJ81">
        <v>4</v>
      </c>
      <c r="EK81">
        <v>1113</v>
      </c>
      <c r="EL81" t="s">
        <v>54</v>
      </c>
      <c r="EM81" t="s">
        <v>55</v>
      </c>
      <c r="EO81" t="s">
        <v>3</v>
      </c>
      <c r="EQ81">
        <v>131072</v>
      </c>
      <c r="ER81">
        <v>56.8</v>
      </c>
      <c r="ES81">
        <v>0</v>
      </c>
      <c r="ET81">
        <v>56.8</v>
      </c>
      <c r="EU81">
        <v>0</v>
      </c>
      <c r="EV81">
        <v>0</v>
      </c>
      <c r="EW81">
        <v>0</v>
      </c>
      <c r="EX81">
        <v>0</v>
      </c>
      <c r="EY81">
        <v>0</v>
      </c>
      <c r="FQ81">
        <v>0</v>
      </c>
      <c r="FR81">
        <f t="shared" si="101"/>
        <v>0</v>
      </c>
      <c r="FS81">
        <v>0</v>
      </c>
      <c r="FX81">
        <v>0</v>
      </c>
      <c r="FY81">
        <v>0</v>
      </c>
      <c r="GA81" t="s">
        <v>3</v>
      </c>
      <c r="GD81">
        <v>0</v>
      </c>
      <c r="GF81">
        <v>-915290513</v>
      </c>
      <c r="GG81">
        <v>2</v>
      </c>
      <c r="GH81">
        <v>1</v>
      </c>
      <c r="GI81">
        <v>2</v>
      </c>
      <c r="GJ81">
        <v>0</v>
      </c>
      <c r="GK81">
        <f>ROUND(R81*(R12)/100,2)</f>
        <v>0</v>
      </c>
      <c r="GL81">
        <f t="shared" si="102"/>
        <v>0</v>
      </c>
      <c r="GM81">
        <f t="shared" si="103"/>
        <v>0</v>
      </c>
      <c r="GN81">
        <f t="shared" si="104"/>
        <v>0</v>
      </c>
      <c r="GO81">
        <f t="shared" si="105"/>
        <v>0</v>
      </c>
      <c r="GP81">
        <f t="shared" si="106"/>
        <v>0</v>
      </c>
      <c r="GR81">
        <v>0</v>
      </c>
      <c r="GS81">
        <v>3</v>
      </c>
      <c r="GT81">
        <v>0</v>
      </c>
      <c r="GU81" t="s">
        <v>3</v>
      </c>
      <c r="GV81">
        <f t="shared" si="107"/>
        <v>0</v>
      </c>
      <c r="GW81">
        <v>1</v>
      </c>
      <c r="GX81">
        <f t="shared" si="108"/>
        <v>0</v>
      </c>
      <c r="HA81">
        <v>0</v>
      </c>
      <c r="HB81">
        <v>0</v>
      </c>
      <c r="HC81">
        <f t="shared" si="109"/>
        <v>0</v>
      </c>
      <c r="IK81">
        <v>0</v>
      </c>
    </row>
    <row r="82" spans="1:245" x14ac:dyDescent="0.2">
      <c r="A82">
        <v>17</v>
      </c>
      <c r="B82">
        <v>1</v>
      </c>
      <c r="C82">
        <f>ROW(SmtRes!A59)</f>
        <v>59</v>
      </c>
      <c r="D82">
        <f>ROW(EtalonRes!A59)</f>
        <v>59</v>
      </c>
      <c r="E82" t="s">
        <v>153</v>
      </c>
      <c r="F82" t="s">
        <v>69</v>
      </c>
      <c r="G82" t="s">
        <v>70</v>
      </c>
      <c r="H82" t="s">
        <v>38</v>
      </c>
      <c r="I82">
        <v>0</v>
      </c>
      <c r="J82">
        <v>0</v>
      </c>
      <c r="O82">
        <f t="shared" si="70"/>
        <v>0</v>
      </c>
      <c r="P82">
        <f t="shared" si="71"/>
        <v>0</v>
      </c>
      <c r="Q82">
        <f t="shared" si="72"/>
        <v>0</v>
      </c>
      <c r="R82">
        <f t="shared" si="73"/>
        <v>0</v>
      </c>
      <c r="S82">
        <f t="shared" si="74"/>
        <v>0</v>
      </c>
      <c r="T82">
        <f t="shared" si="75"/>
        <v>0</v>
      </c>
      <c r="U82">
        <f t="shared" si="76"/>
        <v>0</v>
      </c>
      <c r="V82">
        <f t="shared" si="77"/>
        <v>0</v>
      </c>
      <c r="W82">
        <f t="shared" si="78"/>
        <v>0</v>
      </c>
      <c r="X82">
        <f t="shared" si="79"/>
        <v>0</v>
      </c>
      <c r="Y82">
        <f t="shared" si="80"/>
        <v>0</v>
      </c>
      <c r="AA82">
        <v>33989672</v>
      </c>
      <c r="AB82">
        <f t="shared" si="81"/>
        <v>36.590000000000003</v>
      </c>
      <c r="AC82">
        <f t="shared" si="82"/>
        <v>0</v>
      </c>
      <c r="AD82">
        <f t="shared" si="83"/>
        <v>36.590000000000003</v>
      </c>
      <c r="AE82">
        <f t="shared" si="84"/>
        <v>0</v>
      </c>
      <c r="AF82">
        <f t="shared" si="85"/>
        <v>0</v>
      </c>
      <c r="AG82">
        <f t="shared" si="86"/>
        <v>0</v>
      </c>
      <c r="AH82">
        <f t="shared" si="87"/>
        <v>0</v>
      </c>
      <c r="AI82">
        <f t="shared" si="88"/>
        <v>0</v>
      </c>
      <c r="AJ82">
        <f t="shared" si="89"/>
        <v>0</v>
      </c>
      <c r="AK82">
        <v>36.590000000000003</v>
      </c>
      <c r="AL82">
        <v>0</v>
      </c>
      <c r="AM82">
        <v>36.590000000000003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93</v>
      </c>
      <c r="AU82">
        <v>64</v>
      </c>
      <c r="AV82">
        <v>1</v>
      </c>
      <c r="AW82">
        <v>1</v>
      </c>
      <c r="AZ82">
        <v>1</v>
      </c>
      <c r="BA82">
        <v>1</v>
      </c>
      <c r="BB82">
        <v>7.63</v>
      </c>
      <c r="BC82">
        <v>1</v>
      </c>
      <c r="BD82" t="s">
        <v>3</v>
      </c>
      <c r="BE82" t="s">
        <v>3</v>
      </c>
      <c r="BF82" t="s">
        <v>3</v>
      </c>
      <c r="BG82" t="s">
        <v>3</v>
      </c>
      <c r="BH82">
        <v>0</v>
      </c>
      <c r="BI82">
        <v>4</v>
      </c>
      <c r="BJ82" t="s">
        <v>71</v>
      </c>
      <c r="BM82">
        <v>1113</v>
      </c>
      <c r="BN82">
        <v>0</v>
      </c>
      <c r="BO82" t="s">
        <v>69</v>
      </c>
      <c r="BP82">
        <v>1</v>
      </c>
      <c r="BQ82">
        <v>150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 t="s">
        <v>3</v>
      </c>
      <c r="BZ82">
        <v>93</v>
      </c>
      <c r="CA82">
        <v>64</v>
      </c>
      <c r="CE82">
        <v>30</v>
      </c>
      <c r="CF82">
        <v>0</v>
      </c>
      <c r="CG82">
        <v>0</v>
      </c>
      <c r="CM82">
        <v>0</v>
      </c>
      <c r="CN82" t="s">
        <v>3</v>
      </c>
      <c r="CO82">
        <v>0</v>
      </c>
      <c r="CP82">
        <f t="shared" si="90"/>
        <v>0</v>
      </c>
      <c r="CQ82">
        <f t="shared" si="91"/>
        <v>0</v>
      </c>
      <c r="CR82">
        <f t="shared" si="92"/>
        <v>279.18</v>
      </c>
      <c r="CS82">
        <f t="shared" si="93"/>
        <v>0</v>
      </c>
      <c r="CT82">
        <f t="shared" si="94"/>
        <v>0</v>
      </c>
      <c r="CU82">
        <f t="shared" si="95"/>
        <v>0</v>
      </c>
      <c r="CV82">
        <f t="shared" si="96"/>
        <v>0</v>
      </c>
      <c r="CW82">
        <f t="shared" si="97"/>
        <v>0</v>
      </c>
      <c r="CX82">
        <f t="shared" si="98"/>
        <v>0</v>
      </c>
      <c r="CY82">
        <f t="shared" si="99"/>
        <v>0</v>
      </c>
      <c r="CZ82">
        <f t="shared" si="100"/>
        <v>0</v>
      </c>
      <c r="DC82" t="s">
        <v>3</v>
      </c>
      <c r="DD82" t="s">
        <v>3</v>
      </c>
      <c r="DE82" t="s">
        <v>3</v>
      </c>
      <c r="DF82" t="s">
        <v>3</v>
      </c>
      <c r="DG82" t="s">
        <v>3</v>
      </c>
      <c r="DH82" t="s">
        <v>3</v>
      </c>
      <c r="DI82" t="s">
        <v>3</v>
      </c>
      <c r="DJ82" t="s">
        <v>3</v>
      </c>
      <c r="DK82" t="s">
        <v>3</v>
      </c>
      <c r="DL82" t="s">
        <v>3</v>
      </c>
      <c r="DM82" t="s">
        <v>3</v>
      </c>
      <c r="DN82">
        <v>0</v>
      </c>
      <c r="DO82">
        <v>0</v>
      </c>
      <c r="DP82">
        <v>1</v>
      </c>
      <c r="DQ82">
        <v>1</v>
      </c>
      <c r="DU82">
        <v>1013</v>
      </c>
      <c r="DV82" t="s">
        <v>38</v>
      </c>
      <c r="DW82" t="s">
        <v>38</v>
      </c>
      <c r="DX82">
        <v>1</v>
      </c>
      <c r="EE82">
        <v>33798752</v>
      </c>
      <c r="EF82">
        <v>150</v>
      </c>
      <c r="EG82" t="s">
        <v>53</v>
      </c>
      <c r="EH82">
        <v>0</v>
      </c>
      <c r="EI82" t="s">
        <v>3</v>
      </c>
      <c r="EJ82">
        <v>4</v>
      </c>
      <c r="EK82">
        <v>1113</v>
      </c>
      <c r="EL82" t="s">
        <v>54</v>
      </c>
      <c r="EM82" t="s">
        <v>55</v>
      </c>
      <c r="EO82" t="s">
        <v>3</v>
      </c>
      <c r="EQ82">
        <v>131072</v>
      </c>
      <c r="ER82">
        <v>36.590000000000003</v>
      </c>
      <c r="ES82">
        <v>0</v>
      </c>
      <c r="ET82">
        <v>36.590000000000003</v>
      </c>
      <c r="EU82">
        <v>0</v>
      </c>
      <c r="EV82">
        <v>0</v>
      </c>
      <c r="EW82">
        <v>0</v>
      </c>
      <c r="EX82">
        <v>0</v>
      </c>
      <c r="EY82">
        <v>0</v>
      </c>
      <c r="FQ82">
        <v>0</v>
      </c>
      <c r="FR82">
        <f t="shared" si="101"/>
        <v>0</v>
      </c>
      <c r="FS82">
        <v>0</v>
      </c>
      <c r="FX82">
        <v>0</v>
      </c>
      <c r="FY82">
        <v>0</v>
      </c>
      <c r="GA82" t="s">
        <v>3</v>
      </c>
      <c r="GD82">
        <v>0</v>
      </c>
      <c r="GF82">
        <v>-2064945105</v>
      </c>
      <c r="GG82">
        <v>2</v>
      </c>
      <c r="GH82">
        <v>1</v>
      </c>
      <c r="GI82">
        <v>2</v>
      </c>
      <c r="GJ82">
        <v>0</v>
      </c>
      <c r="GK82">
        <f>ROUND(R82*(R12)/100,2)</f>
        <v>0</v>
      </c>
      <c r="GL82">
        <f t="shared" si="102"/>
        <v>0</v>
      </c>
      <c r="GM82">
        <f t="shared" si="103"/>
        <v>0</v>
      </c>
      <c r="GN82">
        <f t="shared" si="104"/>
        <v>0</v>
      </c>
      <c r="GO82">
        <f t="shared" si="105"/>
        <v>0</v>
      </c>
      <c r="GP82">
        <f t="shared" si="106"/>
        <v>0</v>
      </c>
      <c r="GR82">
        <v>0</v>
      </c>
      <c r="GS82">
        <v>3</v>
      </c>
      <c r="GT82">
        <v>0</v>
      </c>
      <c r="GU82" t="s">
        <v>3</v>
      </c>
      <c r="GV82">
        <f t="shared" si="107"/>
        <v>0</v>
      </c>
      <c r="GW82">
        <v>1</v>
      </c>
      <c r="GX82">
        <f t="shared" si="108"/>
        <v>0</v>
      </c>
      <c r="HA82">
        <v>0</v>
      </c>
      <c r="HB82">
        <v>0</v>
      </c>
      <c r="HC82">
        <f t="shared" si="109"/>
        <v>0</v>
      </c>
      <c r="IK82">
        <v>0</v>
      </c>
    </row>
    <row r="83" spans="1:245" x14ac:dyDescent="0.2">
      <c r="A83">
        <v>17</v>
      </c>
      <c r="B83">
        <v>1</v>
      </c>
      <c r="C83">
        <f>ROW(SmtRes!A60)</f>
        <v>60</v>
      </c>
      <c r="D83">
        <f>ROW(EtalonRes!A60)</f>
        <v>60</v>
      </c>
      <c r="E83" t="s">
        <v>154</v>
      </c>
      <c r="F83" t="s">
        <v>155</v>
      </c>
      <c r="G83" t="s">
        <v>156</v>
      </c>
      <c r="H83" t="s">
        <v>38</v>
      </c>
      <c r="I83">
        <f>ROUND(I81-I82,9)</f>
        <v>0</v>
      </c>
      <c r="J83">
        <v>0</v>
      </c>
      <c r="O83">
        <f t="shared" si="70"/>
        <v>0</v>
      </c>
      <c r="P83">
        <f t="shared" si="71"/>
        <v>0</v>
      </c>
      <c r="Q83">
        <f t="shared" si="72"/>
        <v>0</v>
      </c>
      <c r="R83">
        <f t="shared" si="73"/>
        <v>0</v>
      </c>
      <c r="S83">
        <f t="shared" si="74"/>
        <v>0</v>
      </c>
      <c r="T83">
        <f t="shared" si="75"/>
        <v>0</v>
      </c>
      <c r="U83">
        <f t="shared" si="76"/>
        <v>0</v>
      </c>
      <c r="V83">
        <f t="shared" si="77"/>
        <v>0</v>
      </c>
      <c r="W83">
        <f t="shared" si="78"/>
        <v>0</v>
      </c>
      <c r="X83">
        <f t="shared" si="79"/>
        <v>0</v>
      </c>
      <c r="Y83">
        <f t="shared" si="80"/>
        <v>0</v>
      </c>
      <c r="AA83">
        <v>33989672</v>
      </c>
      <c r="AB83">
        <f t="shared" si="81"/>
        <v>17.84</v>
      </c>
      <c r="AC83">
        <f t="shared" si="82"/>
        <v>0</v>
      </c>
      <c r="AD83">
        <f t="shared" si="83"/>
        <v>17.84</v>
      </c>
      <c r="AE83">
        <f t="shared" si="84"/>
        <v>0</v>
      </c>
      <c r="AF83">
        <f t="shared" si="85"/>
        <v>0</v>
      </c>
      <c r="AG83">
        <f t="shared" si="86"/>
        <v>0</v>
      </c>
      <c r="AH83">
        <f t="shared" si="87"/>
        <v>0</v>
      </c>
      <c r="AI83">
        <f t="shared" si="88"/>
        <v>0</v>
      </c>
      <c r="AJ83">
        <f t="shared" si="89"/>
        <v>0</v>
      </c>
      <c r="AK83">
        <v>17.84</v>
      </c>
      <c r="AL83">
        <v>0</v>
      </c>
      <c r="AM83">
        <v>17.84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93</v>
      </c>
      <c r="AU83">
        <v>64</v>
      </c>
      <c r="AV83">
        <v>1</v>
      </c>
      <c r="AW83">
        <v>1</v>
      </c>
      <c r="AZ83">
        <v>1</v>
      </c>
      <c r="BA83">
        <v>1</v>
      </c>
      <c r="BB83">
        <v>7.63</v>
      </c>
      <c r="BC83">
        <v>1</v>
      </c>
      <c r="BD83" t="s">
        <v>3</v>
      </c>
      <c r="BE83" t="s">
        <v>3</v>
      </c>
      <c r="BF83" t="s">
        <v>3</v>
      </c>
      <c r="BG83" t="s">
        <v>3</v>
      </c>
      <c r="BH83">
        <v>0</v>
      </c>
      <c r="BI83">
        <v>4</v>
      </c>
      <c r="BJ83" t="s">
        <v>157</v>
      </c>
      <c r="BM83">
        <v>1113</v>
      </c>
      <c r="BN83">
        <v>0</v>
      </c>
      <c r="BO83" t="s">
        <v>155</v>
      </c>
      <c r="BP83">
        <v>1</v>
      </c>
      <c r="BQ83">
        <v>150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93</v>
      </c>
      <c r="CA83">
        <v>64</v>
      </c>
      <c r="CE83">
        <v>30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90"/>
        <v>0</v>
      </c>
      <c r="CQ83">
        <f t="shared" si="91"/>
        <v>0</v>
      </c>
      <c r="CR83">
        <f t="shared" si="92"/>
        <v>136.12</v>
      </c>
      <c r="CS83">
        <f t="shared" si="93"/>
        <v>0</v>
      </c>
      <c r="CT83">
        <f t="shared" si="94"/>
        <v>0</v>
      </c>
      <c r="CU83">
        <f t="shared" si="95"/>
        <v>0</v>
      </c>
      <c r="CV83">
        <f t="shared" si="96"/>
        <v>0</v>
      </c>
      <c r="CW83">
        <f t="shared" si="97"/>
        <v>0</v>
      </c>
      <c r="CX83">
        <f t="shared" si="98"/>
        <v>0</v>
      </c>
      <c r="CY83">
        <f t="shared" si="99"/>
        <v>0</v>
      </c>
      <c r="CZ83">
        <f t="shared" si="100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1013</v>
      </c>
      <c r="DV83" t="s">
        <v>38</v>
      </c>
      <c r="DW83" t="s">
        <v>38</v>
      </c>
      <c r="DX83">
        <v>1</v>
      </c>
      <c r="EE83">
        <v>33798752</v>
      </c>
      <c r="EF83">
        <v>150</v>
      </c>
      <c r="EG83" t="s">
        <v>53</v>
      </c>
      <c r="EH83">
        <v>0</v>
      </c>
      <c r="EI83" t="s">
        <v>3</v>
      </c>
      <c r="EJ83">
        <v>4</v>
      </c>
      <c r="EK83">
        <v>1113</v>
      </c>
      <c r="EL83" t="s">
        <v>54</v>
      </c>
      <c r="EM83" t="s">
        <v>55</v>
      </c>
      <c r="EO83" t="s">
        <v>3</v>
      </c>
      <c r="EQ83">
        <v>131072</v>
      </c>
      <c r="ER83">
        <v>17.84</v>
      </c>
      <c r="ES83">
        <v>0</v>
      </c>
      <c r="ET83">
        <v>17.84</v>
      </c>
      <c r="EU83">
        <v>0</v>
      </c>
      <c r="EV83">
        <v>0</v>
      </c>
      <c r="EW83">
        <v>0</v>
      </c>
      <c r="EX83">
        <v>0</v>
      </c>
      <c r="EY83">
        <v>0</v>
      </c>
      <c r="FQ83">
        <v>0</v>
      </c>
      <c r="FR83">
        <f t="shared" si="101"/>
        <v>0</v>
      </c>
      <c r="FS83">
        <v>0</v>
      </c>
      <c r="FX83">
        <v>0</v>
      </c>
      <c r="FY83">
        <v>0</v>
      </c>
      <c r="GA83" t="s">
        <v>3</v>
      </c>
      <c r="GD83">
        <v>0</v>
      </c>
      <c r="GF83">
        <v>2101021867</v>
      </c>
      <c r="GG83">
        <v>2</v>
      </c>
      <c r="GH83">
        <v>1</v>
      </c>
      <c r="GI83">
        <v>2</v>
      </c>
      <c r="GJ83">
        <v>0</v>
      </c>
      <c r="GK83">
        <f>ROUND(R83*(R12)/100,2)</f>
        <v>0</v>
      </c>
      <c r="GL83">
        <f t="shared" si="102"/>
        <v>0</v>
      </c>
      <c r="GM83">
        <f t="shared" si="103"/>
        <v>0</v>
      </c>
      <c r="GN83">
        <f t="shared" si="104"/>
        <v>0</v>
      </c>
      <c r="GO83">
        <f t="shared" si="105"/>
        <v>0</v>
      </c>
      <c r="GP83">
        <f t="shared" si="106"/>
        <v>0</v>
      </c>
      <c r="GR83">
        <v>0</v>
      </c>
      <c r="GS83">
        <v>3</v>
      </c>
      <c r="GT83">
        <v>0</v>
      </c>
      <c r="GU83" t="s">
        <v>3</v>
      </c>
      <c r="GV83">
        <f t="shared" si="107"/>
        <v>0</v>
      </c>
      <c r="GW83">
        <v>1</v>
      </c>
      <c r="GX83">
        <f t="shared" si="108"/>
        <v>0</v>
      </c>
      <c r="HA83">
        <v>0</v>
      </c>
      <c r="HB83">
        <v>0</v>
      </c>
      <c r="HC83">
        <f t="shared" si="109"/>
        <v>0</v>
      </c>
      <c r="IK83">
        <v>0</v>
      </c>
    </row>
    <row r="84" spans="1:245" x14ac:dyDescent="0.2">
      <c r="A84">
        <v>17</v>
      </c>
      <c r="B84">
        <v>1</v>
      </c>
      <c r="C84">
        <f>ROW(SmtRes!A70)</f>
        <v>70</v>
      </c>
      <c r="D84">
        <f>ROW(EtalonRes!A70)</f>
        <v>70</v>
      </c>
      <c r="E84" t="s">
        <v>158</v>
      </c>
      <c r="F84" t="s">
        <v>57</v>
      </c>
      <c r="G84" t="s">
        <v>58</v>
      </c>
      <c r="H84" t="s">
        <v>59</v>
      </c>
      <c r="I84">
        <f>ROUND((2273*0.3)/1000,5)</f>
        <v>0.68189999999999995</v>
      </c>
      <c r="J84">
        <v>0</v>
      </c>
      <c r="O84">
        <f t="shared" si="70"/>
        <v>96899.97</v>
      </c>
      <c r="P84">
        <f t="shared" si="71"/>
        <v>16124.95</v>
      </c>
      <c r="Q84">
        <f t="shared" si="72"/>
        <v>65298.06</v>
      </c>
      <c r="R84">
        <f t="shared" si="73"/>
        <v>16571</v>
      </c>
      <c r="S84">
        <f t="shared" si="74"/>
        <v>15476.96</v>
      </c>
      <c r="T84">
        <f t="shared" si="75"/>
        <v>0</v>
      </c>
      <c r="U84">
        <f t="shared" si="76"/>
        <v>59.523051000000002</v>
      </c>
      <c r="V84">
        <f t="shared" si="77"/>
        <v>0</v>
      </c>
      <c r="W84">
        <f t="shared" si="78"/>
        <v>0</v>
      </c>
      <c r="X84">
        <f t="shared" si="79"/>
        <v>17334.2</v>
      </c>
      <c r="Y84">
        <f t="shared" si="80"/>
        <v>6345.55</v>
      </c>
      <c r="AA84">
        <v>33989672</v>
      </c>
      <c r="AB84">
        <f t="shared" si="81"/>
        <v>14208.6</v>
      </c>
      <c r="AC84">
        <f t="shared" si="82"/>
        <v>2083.4499999999998</v>
      </c>
      <c r="AD84">
        <f t="shared" si="83"/>
        <v>11199.88</v>
      </c>
      <c r="AE84">
        <f t="shared" si="84"/>
        <v>990.67</v>
      </c>
      <c r="AF84">
        <f t="shared" si="85"/>
        <v>925.27</v>
      </c>
      <c r="AG84">
        <f t="shared" si="86"/>
        <v>0</v>
      </c>
      <c r="AH84">
        <f t="shared" si="87"/>
        <v>87.29</v>
      </c>
      <c r="AI84">
        <f t="shared" si="88"/>
        <v>0</v>
      </c>
      <c r="AJ84">
        <f t="shared" si="89"/>
        <v>0</v>
      </c>
      <c r="AK84">
        <v>14208.6</v>
      </c>
      <c r="AL84">
        <v>2083.4499999999998</v>
      </c>
      <c r="AM84">
        <v>11199.88</v>
      </c>
      <c r="AN84">
        <v>990.67</v>
      </c>
      <c r="AO84">
        <v>925.27</v>
      </c>
      <c r="AP84">
        <v>0</v>
      </c>
      <c r="AQ84">
        <v>87.29</v>
      </c>
      <c r="AR84">
        <v>0</v>
      </c>
      <c r="AS84">
        <v>0</v>
      </c>
      <c r="AT84">
        <v>112</v>
      </c>
      <c r="AU84">
        <v>41</v>
      </c>
      <c r="AV84">
        <v>1</v>
      </c>
      <c r="AW84">
        <v>1</v>
      </c>
      <c r="AZ84">
        <v>1</v>
      </c>
      <c r="BA84">
        <v>24.53</v>
      </c>
      <c r="BB84">
        <v>8.5500000000000007</v>
      </c>
      <c r="BC84">
        <v>11.35</v>
      </c>
      <c r="BD84" t="s">
        <v>3</v>
      </c>
      <c r="BE84" t="s">
        <v>3</v>
      </c>
      <c r="BF84" t="s">
        <v>3</v>
      </c>
      <c r="BG84" t="s">
        <v>3</v>
      </c>
      <c r="BH84">
        <v>0</v>
      </c>
      <c r="BI84">
        <v>1</v>
      </c>
      <c r="BJ84" t="s">
        <v>60</v>
      </c>
      <c r="BM84">
        <v>663</v>
      </c>
      <c r="BN84">
        <v>0</v>
      </c>
      <c r="BO84" t="s">
        <v>57</v>
      </c>
      <c r="BP84">
        <v>1</v>
      </c>
      <c r="BQ84">
        <v>60</v>
      </c>
      <c r="BR84">
        <v>0</v>
      </c>
      <c r="BS84">
        <v>24.53</v>
      </c>
      <c r="BT84">
        <v>1</v>
      </c>
      <c r="BU84">
        <v>1</v>
      </c>
      <c r="BV84">
        <v>1</v>
      </c>
      <c r="BW84">
        <v>1</v>
      </c>
      <c r="BX84">
        <v>1</v>
      </c>
      <c r="BY84" t="s">
        <v>3</v>
      </c>
      <c r="BZ84">
        <v>112</v>
      </c>
      <c r="CA84">
        <v>41</v>
      </c>
      <c r="CE84">
        <v>30</v>
      </c>
      <c r="CF84">
        <v>0</v>
      </c>
      <c r="CG84">
        <v>0</v>
      </c>
      <c r="CM84">
        <v>0</v>
      </c>
      <c r="CN84" t="s">
        <v>3</v>
      </c>
      <c r="CO84">
        <v>0</v>
      </c>
      <c r="CP84">
        <f t="shared" si="90"/>
        <v>96899.97</v>
      </c>
      <c r="CQ84">
        <f t="shared" si="91"/>
        <v>23647.16</v>
      </c>
      <c r="CR84">
        <f t="shared" si="92"/>
        <v>95758.97</v>
      </c>
      <c r="CS84">
        <f t="shared" si="93"/>
        <v>24301.14</v>
      </c>
      <c r="CT84">
        <f t="shared" si="94"/>
        <v>22696.87</v>
      </c>
      <c r="CU84">
        <f t="shared" si="95"/>
        <v>0</v>
      </c>
      <c r="CV84">
        <f t="shared" si="96"/>
        <v>87.29</v>
      </c>
      <c r="CW84">
        <f t="shared" si="97"/>
        <v>0</v>
      </c>
      <c r="CX84">
        <f t="shared" si="98"/>
        <v>0</v>
      </c>
      <c r="CY84">
        <f t="shared" si="99"/>
        <v>17334.195200000002</v>
      </c>
      <c r="CZ84">
        <f t="shared" si="100"/>
        <v>6345.5535999999993</v>
      </c>
      <c r="DC84" t="s">
        <v>3</v>
      </c>
      <c r="DD84" t="s">
        <v>3</v>
      </c>
      <c r="DE84" t="s">
        <v>3</v>
      </c>
      <c r="DF84" t="s">
        <v>3</v>
      </c>
      <c r="DG84" t="s">
        <v>3</v>
      </c>
      <c r="DH84" t="s">
        <v>3</v>
      </c>
      <c r="DI84" t="s">
        <v>3</v>
      </c>
      <c r="DJ84" t="s">
        <v>3</v>
      </c>
      <c r="DK84" t="s">
        <v>3</v>
      </c>
      <c r="DL84" t="s">
        <v>3</v>
      </c>
      <c r="DM84" t="s">
        <v>3</v>
      </c>
      <c r="DN84">
        <v>140</v>
      </c>
      <c r="DO84">
        <v>79</v>
      </c>
      <c r="DP84">
        <v>1</v>
      </c>
      <c r="DQ84">
        <v>1</v>
      </c>
      <c r="DU84">
        <v>1013</v>
      </c>
      <c r="DV84" t="s">
        <v>59</v>
      </c>
      <c r="DW84" t="s">
        <v>59</v>
      </c>
      <c r="DX84">
        <v>1</v>
      </c>
      <c r="EE84">
        <v>33798302</v>
      </c>
      <c r="EF84">
        <v>60</v>
      </c>
      <c r="EG84" t="s">
        <v>20</v>
      </c>
      <c r="EH84">
        <v>0</v>
      </c>
      <c r="EI84" t="s">
        <v>3</v>
      </c>
      <c r="EJ84">
        <v>1</v>
      </c>
      <c r="EK84">
        <v>663</v>
      </c>
      <c r="EL84" t="s">
        <v>61</v>
      </c>
      <c r="EM84" t="s">
        <v>62</v>
      </c>
      <c r="EO84" t="s">
        <v>3</v>
      </c>
      <c r="EQ84">
        <v>0</v>
      </c>
      <c r="ER84">
        <v>14208.6</v>
      </c>
      <c r="ES84">
        <v>2083.4499999999998</v>
      </c>
      <c r="ET84">
        <v>11199.88</v>
      </c>
      <c r="EU84">
        <v>990.67</v>
      </c>
      <c r="EV84">
        <v>925.27</v>
      </c>
      <c r="EW84">
        <v>87.29</v>
      </c>
      <c r="EX84">
        <v>0</v>
      </c>
      <c r="EY84">
        <v>0</v>
      </c>
      <c r="FQ84">
        <v>0</v>
      </c>
      <c r="FR84">
        <f t="shared" si="101"/>
        <v>0</v>
      </c>
      <c r="FS84">
        <v>0</v>
      </c>
      <c r="FX84">
        <v>140</v>
      </c>
      <c r="FY84">
        <v>79</v>
      </c>
      <c r="GA84" t="s">
        <v>3</v>
      </c>
      <c r="GD84">
        <v>0</v>
      </c>
      <c r="GF84">
        <v>64358437</v>
      </c>
      <c r="GG84">
        <v>2</v>
      </c>
      <c r="GH84">
        <v>1</v>
      </c>
      <c r="GI84">
        <v>2</v>
      </c>
      <c r="GJ84">
        <v>0</v>
      </c>
      <c r="GK84">
        <f>ROUND(R84*(R12)/100,2)</f>
        <v>26016.47</v>
      </c>
      <c r="GL84">
        <f t="shared" si="102"/>
        <v>0</v>
      </c>
      <c r="GM84">
        <f t="shared" si="103"/>
        <v>146596.19</v>
      </c>
      <c r="GN84">
        <f t="shared" si="104"/>
        <v>146596.19</v>
      </c>
      <c r="GO84">
        <f t="shared" si="105"/>
        <v>0</v>
      </c>
      <c r="GP84">
        <f t="shared" si="106"/>
        <v>0</v>
      </c>
      <c r="GR84">
        <v>0</v>
      </c>
      <c r="GS84">
        <v>3</v>
      </c>
      <c r="GT84">
        <v>0</v>
      </c>
      <c r="GU84" t="s">
        <v>3</v>
      </c>
      <c r="GV84">
        <f t="shared" si="107"/>
        <v>0</v>
      </c>
      <c r="GW84">
        <v>1</v>
      </c>
      <c r="GX84">
        <f t="shared" si="108"/>
        <v>0</v>
      </c>
      <c r="HA84">
        <v>0</v>
      </c>
      <c r="HB84">
        <v>0</v>
      </c>
      <c r="HC84">
        <f t="shared" si="109"/>
        <v>0</v>
      </c>
      <c r="IK84">
        <v>0</v>
      </c>
    </row>
    <row r="85" spans="1:245" x14ac:dyDescent="0.2">
      <c r="A85">
        <v>18</v>
      </c>
      <c r="B85">
        <v>1</v>
      </c>
      <c r="C85">
        <v>69</v>
      </c>
      <c r="E85" t="s">
        <v>159</v>
      </c>
      <c r="F85" t="s">
        <v>64</v>
      </c>
      <c r="G85" t="s">
        <v>65</v>
      </c>
      <c r="H85" t="s">
        <v>66</v>
      </c>
      <c r="I85">
        <f>I84*J85</f>
        <v>85.919399999999996</v>
      </c>
      <c r="J85">
        <v>126</v>
      </c>
      <c r="O85">
        <f t="shared" si="70"/>
        <v>160577.26</v>
      </c>
      <c r="P85">
        <f t="shared" si="71"/>
        <v>160577.26</v>
      </c>
      <c r="Q85">
        <f t="shared" si="72"/>
        <v>0</v>
      </c>
      <c r="R85">
        <f t="shared" si="73"/>
        <v>0</v>
      </c>
      <c r="S85">
        <f t="shared" si="74"/>
        <v>0</v>
      </c>
      <c r="T85">
        <f t="shared" si="75"/>
        <v>0</v>
      </c>
      <c r="U85">
        <f t="shared" si="76"/>
        <v>0</v>
      </c>
      <c r="V85">
        <f t="shared" si="77"/>
        <v>0</v>
      </c>
      <c r="W85">
        <f t="shared" si="78"/>
        <v>0</v>
      </c>
      <c r="X85">
        <f t="shared" si="79"/>
        <v>0</v>
      </c>
      <c r="Y85">
        <f t="shared" si="80"/>
        <v>0</v>
      </c>
      <c r="AA85">
        <v>33989672</v>
      </c>
      <c r="AB85">
        <f t="shared" si="81"/>
        <v>173.37</v>
      </c>
      <c r="AC85">
        <f t="shared" si="82"/>
        <v>173.37</v>
      </c>
      <c r="AD85">
        <f t="shared" si="83"/>
        <v>0</v>
      </c>
      <c r="AE85">
        <f t="shared" si="84"/>
        <v>0</v>
      </c>
      <c r="AF85">
        <f t="shared" si="85"/>
        <v>0</v>
      </c>
      <c r="AG85">
        <f t="shared" si="86"/>
        <v>0</v>
      </c>
      <c r="AH85">
        <f t="shared" si="87"/>
        <v>0</v>
      </c>
      <c r="AI85">
        <f t="shared" si="88"/>
        <v>0</v>
      </c>
      <c r="AJ85">
        <f t="shared" si="89"/>
        <v>0</v>
      </c>
      <c r="AK85">
        <v>173.37</v>
      </c>
      <c r="AL85">
        <v>173.37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10.78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1</v>
      </c>
      <c r="BJ85" t="s">
        <v>67</v>
      </c>
      <c r="BM85">
        <v>663</v>
      </c>
      <c r="BN85">
        <v>0</v>
      </c>
      <c r="BO85" t="s">
        <v>64</v>
      </c>
      <c r="BP85">
        <v>1</v>
      </c>
      <c r="BQ85">
        <v>60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0</v>
      </c>
      <c r="CA85">
        <v>0</v>
      </c>
      <c r="CE85">
        <v>30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90"/>
        <v>160577.26</v>
      </c>
      <c r="CQ85">
        <f t="shared" si="91"/>
        <v>1868.93</v>
      </c>
      <c r="CR85">
        <f t="shared" si="92"/>
        <v>0</v>
      </c>
      <c r="CS85">
        <f t="shared" si="93"/>
        <v>0</v>
      </c>
      <c r="CT85">
        <f t="shared" si="94"/>
        <v>0</v>
      </c>
      <c r="CU85">
        <f t="shared" si="95"/>
        <v>0</v>
      </c>
      <c r="CV85">
        <f t="shared" si="96"/>
        <v>0</v>
      </c>
      <c r="CW85">
        <f t="shared" si="97"/>
        <v>0</v>
      </c>
      <c r="CX85">
        <f t="shared" si="98"/>
        <v>0</v>
      </c>
      <c r="CY85">
        <f t="shared" si="99"/>
        <v>0</v>
      </c>
      <c r="CZ85">
        <f t="shared" si="100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140</v>
      </c>
      <c r="DO85">
        <v>79</v>
      </c>
      <c r="DP85">
        <v>1</v>
      </c>
      <c r="DQ85">
        <v>1</v>
      </c>
      <c r="DU85">
        <v>1007</v>
      </c>
      <c r="DV85" t="s">
        <v>66</v>
      </c>
      <c r="DW85" t="s">
        <v>66</v>
      </c>
      <c r="DX85">
        <v>1</v>
      </c>
      <c r="EE85">
        <v>33798302</v>
      </c>
      <c r="EF85">
        <v>60</v>
      </c>
      <c r="EG85" t="s">
        <v>20</v>
      </c>
      <c r="EH85">
        <v>0</v>
      </c>
      <c r="EI85" t="s">
        <v>3</v>
      </c>
      <c r="EJ85">
        <v>1</v>
      </c>
      <c r="EK85">
        <v>663</v>
      </c>
      <c r="EL85" t="s">
        <v>61</v>
      </c>
      <c r="EM85" t="s">
        <v>62</v>
      </c>
      <c r="EO85" t="s">
        <v>3</v>
      </c>
      <c r="EQ85">
        <v>0</v>
      </c>
      <c r="ER85">
        <v>173.37</v>
      </c>
      <c r="ES85">
        <v>173.37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101"/>
        <v>0</v>
      </c>
      <c r="FS85">
        <v>0</v>
      </c>
      <c r="FX85">
        <v>140</v>
      </c>
      <c r="FY85">
        <v>79</v>
      </c>
      <c r="GA85" t="s">
        <v>3</v>
      </c>
      <c r="GD85">
        <v>0</v>
      </c>
      <c r="GF85">
        <v>-820942871</v>
      </c>
      <c r="GG85">
        <v>2</v>
      </c>
      <c r="GH85">
        <v>1</v>
      </c>
      <c r="GI85">
        <v>2</v>
      </c>
      <c r="GJ85">
        <v>0</v>
      </c>
      <c r="GK85">
        <f>ROUND(R85*(R12)/100,2)</f>
        <v>0</v>
      </c>
      <c r="GL85">
        <f t="shared" si="102"/>
        <v>0</v>
      </c>
      <c r="GM85">
        <f t="shared" si="103"/>
        <v>160577.26</v>
      </c>
      <c r="GN85">
        <f t="shared" si="104"/>
        <v>160577.26</v>
      </c>
      <c r="GO85">
        <f t="shared" si="105"/>
        <v>0</v>
      </c>
      <c r="GP85">
        <f t="shared" si="106"/>
        <v>0</v>
      </c>
      <c r="GR85">
        <v>0</v>
      </c>
      <c r="GS85">
        <v>3</v>
      </c>
      <c r="GT85">
        <v>0</v>
      </c>
      <c r="GU85" t="s">
        <v>3</v>
      </c>
      <c r="GV85">
        <f t="shared" si="107"/>
        <v>0</v>
      </c>
      <c r="GW85">
        <v>1</v>
      </c>
      <c r="GX85">
        <f t="shared" si="108"/>
        <v>0</v>
      </c>
      <c r="HA85">
        <v>0</v>
      </c>
      <c r="HB85">
        <v>0</v>
      </c>
      <c r="HC85">
        <f t="shared" si="109"/>
        <v>0</v>
      </c>
      <c r="IK85">
        <v>0</v>
      </c>
    </row>
    <row r="86" spans="1:245" x14ac:dyDescent="0.2">
      <c r="A86">
        <v>17</v>
      </c>
      <c r="B86">
        <v>1</v>
      </c>
      <c r="C86">
        <f>ROW(SmtRes!A74)</f>
        <v>74</v>
      </c>
      <c r="D86">
        <f>ROW(EtalonRes!A74)</f>
        <v>74</v>
      </c>
      <c r="E86" t="s">
        <v>160</v>
      </c>
      <c r="F86" t="s">
        <v>161</v>
      </c>
      <c r="G86" t="s">
        <v>162</v>
      </c>
      <c r="H86" t="s">
        <v>75</v>
      </c>
      <c r="I86">
        <f>ROUND(2273/100,5)</f>
        <v>22.73</v>
      </c>
      <c r="J86">
        <v>0</v>
      </c>
      <c r="O86">
        <f t="shared" si="70"/>
        <v>100961.72</v>
      </c>
      <c r="P86">
        <f t="shared" si="71"/>
        <v>29609.96</v>
      </c>
      <c r="Q86">
        <f t="shared" si="72"/>
        <v>11251.54</v>
      </c>
      <c r="R86">
        <f t="shared" si="73"/>
        <v>9043.7199999999993</v>
      </c>
      <c r="S86">
        <f t="shared" si="74"/>
        <v>60100.22</v>
      </c>
      <c r="T86">
        <f t="shared" si="75"/>
        <v>0</v>
      </c>
      <c r="U86">
        <f t="shared" si="76"/>
        <v>203.66080000000002</v>
      </c>
      <c r="V86">
        <f t="shared" si="77"/>
        <v>0</v>
      </c>
      <c r="W86">
        <f t="shared" si="78"/>
        <v>0</v>
      </c>
      <c r="X86">
        <f t="shared" si="79"/>
        <v>63706.23</v>
      </c>
      <c r="Y86">
        <f t="shared" si="80"/>
        <v>24641.09</v>
      </c>
      <c r="AA86">
        <v>33989672</v>
      </c>
      <c r="AB86">
        <f t="shared" si="81"/>
        <v>378.12</v>
      </c>
      <c r="AC86">
        <f t="shared" si="82"/>
        <v>210.11</v>
      </c>
      <c r="AD86">
        <f t="shared" si="83"/>
        <v>60.22</v>
      </c>
      <c r="AE86">
        <f t="shared" si="84"/>
        <v>16.22</v>
      </c>
      <c r="AF86">
        <f t="shared" si="85"/>
        <v>107.79</v>
      </c>
      <c r="AG86">
        <f t="shared" si="86"/>
        <v>0</v>
      </c>
      <c r="AH86">
        <f t="shared" si="87"/>
        <v>8.9600000000000009</v>
      </c>
      <c r="AI86">
        <f t="shared" si="88"/>
        <v>0</v>
      </c>
      <c r="AJ86">
        <f t="shared" si="89"/>
        <v>0</v>
      </c>
      <c r="AK86">
        <v>378.12</v>
      </c>
      <c r="AL86">
        <v>210.11</v>
      </c>
      <c r="AM86">
        <v>60.22</v>
      </c>
      <c r="AN86">
        <v>16.22</v>
      </c>
      <c r="AO86">
        <v>107.79</v>
      </c>
      <c r="AP86">
        <v>0</v>
      </c>
      <c r="AQ86">
        <v>8.9600000000000009</v>
      </c>
      <c r="AR86">
        <v>0</v>
      </c>
      <c r="AS86">
        <v>0</v>
      </c>
      <c r="AT86">
        <v>106</v>
      </c>
      <c r="AU86">
        <v>41</v>
      </c>
      <c r="AV86">
        <v>1</v>
      </c>
      <c r="AW86">
        <v>1</v>
      </c>
      <c r="AZ86">
        <v>1</v>
      </c>
      <c r="BA86">
        <v>24.53</v>
      </c>
      <c r="BB86">
        <v>8.2200000000000006</v>
      </c>
      <c r="BC86">
        <v>6.2</v>
      </c>
      <c r="BD86" t="s">
        <v>3</v>
      </c>
      <c r="BE86" t="s">
        <v>3</v>
      </c>
      <c r="BF86" t="s">
        <v>3</v>
      </c>
      <c r="BG86" t="s">
        <v>3</v>
      </c>
      <c r="BH86">
        <v>0</v>
      </c>
      <c r="BI86">
        <v>1</v>
      </c>
      <c r="BJ86" t="s">
        <v>163</v>
      </c>
      <c r="BM86">
        <v>159</v>
      </c>
      <c r="BN86">
        <v>0</v>
      </c>
      <c r="BO86" t="s">
        <v>161</v>
      </c>
      <c r="BP86">
        <v>1</v>
      </c>
      <c r="BQ86">
        <v>30</v>
      </c>
      <c r="BR86">
        <v>0</v>
      </c>
      <c r="BS86">
        <v>24.53</v>
      </c>
      <c r="BT86">
        <v>1</v>
      </c>
      <c r="BU86">
        <v>1</v>
      </c>
      <c r="BV86">
        <v>1</v>
      </c>
      <c r="BW86">
        <v>1</v>
      </c>
      <c r="BX86">
        <v>1</v>
      </c>
      <c r="BY86" t="s">
        <v>3</v>
      </c>
      <c r="BZ86">
        <v>106</v>
      </c>
      <c r="CA86">
        <v>41</v>
      </c>
      <c r="CE86">
        <v>30</v>
      </c>
      <c r="CF86">
        <v>0</v>
      </c>
      <c r="CG86">
        <v>0</v>
      </c>
      <c r="CM86">
        <v>0</v>
      </c>
      <c r="CN86" t="s">
        <v>3</v>
      </c>
      <c r="CO86">
        <v>0</v>
      </c>
      <c r="CP86">
        <f t="shared" si="90"/>
        <v>100961.72</v>
      </c>
      <c r="CQ86">
        <f t="shared" si="91"/>
        <v>1302.68</v>
      </c>
      <c r="CR86">
        <f t="shared" si="92"/>
        <v>495.01</v>
      </c>
      <c r="CS86">
        <f t="shared" si="93"/>
        <v>397.88</v>
      </c>
      <c r="CT86">
        <f t="shared" si="94"/>
        <v>2644.09</v>
      </c>
      <c r="CU86">
        <f t="shared" si="95"/>
        <v>0</v>
      </c>
      <c r="CV86">
        <f t="shared" si="96"/>
        <v>8.9600000000000009</v>
      </c>
      <c r="CW86">
        <f t="shared" si="97"/>
        <v>0</v>
      </c>
      <c r="CX86">
        <f t="shared" si="98"/>
        <v>0</v>
      </c>
      <c r="CY86">
        <f t="shared" si="99"/>
        <v>63706.233200000002</v>
      </c>
      <c r="CZ86">
        <f t="shared" si="100"/>
        <v>24641.090199999999</v>
      </c>
      <c r="DC86" t="s">
        <v>3</v>
      </c>
      <c r="DD86" t="s">
        <v>3</v>
      </c>
      <c r="DE86" t="s">
        <v>3</v>
      </c>
      <c r="DF86" t="s">
        <v>3</v>
      </c>
      <c r="DG86" t="s">
        <v>3</v>
      </c>
      <c r="DH86" t="s">
        <v>3</v>
      </c>
      <c r="DI86" t="s">
        <v>3</v>
      </c>
      <c r="DJ86" t="s">
        <v>3</v>
      </c>
      <c r="DK86" t="s">
        <v>3</v>
      </c>
      <c r="DL86" t="s">
        <v>3</v>
      </c>
      <c r="DM86" t="s">
        <v>3</v>
      </c>
      <c r="DN86">
        <v>134</v>
      </c>
      <c r="DO86">
        <v>83</v>
      </c>
      <c r="DP86">
        <v>1</v>
      </c>
      <c r="DQ86">
        <v>1</v>
      </c>
      <c r="DU86">
        <v>1013</v>
      </c>
      <c r="DV86" t="s">
        <v>75</v>
      </c>
      <c r="DW86" t="s">
        <v>75</v>
      </c>
      <c r="DX86">
        <v>1</v>
      </c>
      <c r="EE86">
        <v>33797798</v>
      </c>
      <c r="EF86">
        <v>30</v>
      </c>
      <c r="EG86" t="s">
        <v>77</v>
      </c>
      <c r="EH86">
        <v>0</v>
      </c>
      <c r="EI86" t="s">
        <v>3</v>
      </c>
      <c r="EJ86">
        <v>1</v>
      </c>
      <c r="EK86">
        <v>159</v>
      </c>
      <c r="EL86" t="s">
        <v>164</v>
      </c>
      <c r="EM86" t="s">
        <v>165</v>
      </c>
      <c r="EO86" t="s">
        <v>3</v>
      </c>
      <c r="EQ86">
        <v>131072</v>
      </c>
      <c r="ER86">
        <v>378.12</v>
      </c>
      <c r="ES86">
        <v>210.11</v>
      </c>
      <c r="ET86">
        <v>60.22</v>
      </c>
      <c r="EU86">
        <v>16.22</v>
      </c>
      <c r="EV86">
        <v>107.79</v>
      </c>
      <c r="EW86">
        <v>8.9600000000000009</v>
      </c>
      <c r="EX86">
        <v>0</v>
      </c>
      <c r="EY86">
        <v>0</v>
      </c>
      <c r="FQ86">
        <v>0</v>
      </c>
      <c r="FR86">
        <f t="shared" si="101"/>
        <v>0</v>
      </c>
      <c r="FS86">
        <v>0</v>
      </c>
      <c r="FX86">
        <v>134</v>
      </c>
      <c r="FY86">
        <v>83</v>
      </c>
      <c r="GA86" t="s">
        <v>3</v>
      </c>
      <c r="GD86">
        <v>0</v>
      </c>
      <c r="GF86">
        <v>-1628242315</v>
      </c>
      <c r="GG86">
        <v>2</v>
      </c>
      <c r="GH86">
        <v>1</v>
      </c>
      <c r="GI86">
        <v>2</v>
      </c>
      <c r="GJ86">
        <v>0</v>
      </c>
      <c r="GK86">
        <f>ROUND(R86*(R12)/100,2)</f>
        <v>14198.64</v>
      </c>
      <c r="GL86">
        <f t="shared" si="102"/>
        <v>0</v>
      </c>
      <c r="GM86">
        <f t="shared" si="103"/>
        <v>203507.68</v>
      </c>
      <c r="GN86">
        <f t="shared" si="104"/>
        <v>203507.68</v>
      </c>
      <c r="GO86">
        <f t="shared" si="105"/>
        <v>0</v>
      </c>
      <c r="GP86">
        <f t="shared" si="106"/>
        <v>0</v>
      </c>
      <c r="GR86">
        <v>0</v>
      </c>
      <c r="GS86">
        <v>3</v>
      </c>
      <c r="GT86">
        <v>0</v>
      </c>
      <c r="GU86" t="s">
        <v>3</v>
      </c>
      <c r="GV86">
        <f t="shared" si="107"/>
        <v>0</v>
      </c>
      <c r="GW86">
        <v>1</v>
      </c>
      <c r="GX86">
        <f t="shared" si="108"/>
        <v>0</v>
      </c>
      <c r="HA86">
        <v>0</v>
      </c>
      <c r="HB86">
        <v>0</v>
      </c>
      <c r="HC86">
        <f t="shared" si="109"/>
        <v>0</v>
      </c>
      <c r="IK86">
        <v>0</v>
      </c>
    </row>
    <row r="87" spans="1:245" x14ac:dyDescent="0.2">
      <c r="A87">
        <v>18</v>
      </c>
      <c r="B87">
        <v>1</v>
      </c>
      <c r="C87">
        <v>74</v>
      </c>
      <c r="E87" t="s">
        <v>166</v>
      </c>
      <c r="F87" t="s">
        <v>167</v>
      </c>
      <c r="G87" t="s">
        <v>168</v>
      </c>
      <c r="H87" t="s">
        <v>51</v>
      </c>
      <c r="I87">
        <f>I86*J87</f>
        <v>347.76900000000001</v>
      </c>
      <c r="J87">
        <v>15.3</v>
      </c>
      <c r="O87">
        <f t="shared" si="70"/>
        <v>911151.43</v>
      </c>
      <c r="P87">
        <f t="shared" si="71"/>
        <v>911151.43</v>
      </c>
      <c r="Q87">
        <f t="shared" si="72"/>
        <v>0</v>
      </c>
      <c r="R87">
        <f t="shared" si="73"/>
        <v>0</v>
      </c>
      <c r="S87">
        <f t="shared" si="74"/>
        <v>0</v>
      </c>
      <c r="T87">
        <f t="shared" si="75"/>
        <v>0</v>
      </c>
      <c r="U87">
        <f t="shared" si="76"/>
        <v>0</v>
      </c>
      <c r="V87">
        <f t="shared" si="77"/>
        <v>0</v>
      </c>
      <c r="W87">
        <f t="shared" si="78"/>
        <v>0</v>
      </c>
      <c r="X87">
        <f t="shared" si="79"/>
        <v>0</v>
      </c>
      <c r="Y87">
        <f t="shared" si="80"/>
        <v>0</v>
      </c>
      <c r="AA87">
        <v>33989672</v>
      </c>
      <c r="AB87">
        <f t="shared" si="81"/>
        <v>317.95999999999998</v>
      </c>
      <c r="AC87">
        <f t="shared" si="82"/>
        <v>317.95999999999998</v>
      </c>
      <c r="AD87">
        <f t="shared" si="83"/>
        <v>0</v>
      </c>
      <c r="AE87">
        <f t="shared" si="84"/>
        <v>0</v>
      </c>
      <c r="AF87">
        <f t="shared" si="85"/>
        <v>0</v>
      </c>
      <c r="AG87">
        <f t="shared" si="86"/>
        <v>0</v>
      </c>
      <c r="AH87">
        <f t="shared" si="87"/>
        <v>0</v>
      </c>
      <c r="AI87">
        <f t="shared" si="88"/>
        <v>0</v>
      </c>
      <c r="AJ87">
        <f t="shared" si="89"/>
        <v>0</v>
      </c>
      <c r="AK87">
        <v>317.95999999999998</v>
      </c>
      <c r="AL87">
        <v>317.95999999999998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8.24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1</v>
      </c>
      <c r="BJ87" t="s">
        <v>169</v>
      </c>
      <c r="BM87">
        <v>159</v>
      </c>
      <c r="BN87">
        <v>0</v>
      </c>
      <c r="BO87" t="s">
        <v>167</v>
      </c>
      <c r="BP87">
        <v>1</v>
      </c>
      <c r="BQ87">
        <v>30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0</v>
      </c>
      <c r="CA87">
        <v>0</v>
      </c>
      <c r="CE87">
        <v>30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90"/>
        <v>911151.43</v>
      </c>
      <c r="CQ87">
        <f t="shared" si="91"/>
        <v>2619.9899999999998</v>
      </c>
      <c r="CR87">
        <f t="shared" si="92"/>
        <v>0</v>
      </c>
      <c r="CS87">
        <f t="shared" si="93"/>
        <v>0</v>
      </c>
      <c r="CT87">
        <f t="shared" si="94"/>
        <v>0</v>
      </c>
      <c r="CU87">
        <f t="shared" si="95"/>
        <v>0</v>
      </c>
      <c r="CV87">
        <f t="shared" si="96"/>
        <v>0</v>
      </c>
      <c r="CW87">
        <f t="shared" si="97"/>
        <v>0</v>
      </c>
      <c r="CX87">
        <f t="shared" si="98"/>
        <v>0</v>
      </c>
      <c r="CY87">
        <f t="shared" si="99"/>
        <v>0</v>
      </c>
      <c r="CZ87">
        <f t="shared" si="100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134</v>
      </c>
      <c r="DO87">
        <v>83</v>
      </c>
      <c r="DP87">
        <v>1</v>
      </c>
      <c r="DQ87">
        <v>1</v>
      </c>
      <c r="DU87">
        <v>1009</v>
      </c>
      <c r="DV87" t="s">
        <v>51</v>
      </c>
      <c r="DW87" t="s">
        <v>51</v>
      </c>
      <c r="DX87">
        <v>1000</v>
      </c>
      <c r="EE87">
        <v>33797798</v>
      </c>
      <c r="EF87">
        <v>30</v>
      </c>
      <c r="EG87" t="s">
        <v>77</v>
      </c>
      <c r="EH87">
        <v>0</v>
      </c>
      <c r="EI87" t="s">
        <v>3</v>
      </c>
      <c r="EJ87">
        <v>1</v>
      </c>
      <c r="EK87">
        <v>159</v>
      </c>
      <c r="EL87" t="s">
        <v>164</v>
      </c>
      <c r="EM87" t="s">
        <v>165</v>
      </c>
      <c r="EO87" t="s">
        <v>3</v>
      </c>
      <c r="EQ87">
        <v>0</v>
      </c>
      <c r="ER87">
        <v>317.95999999999998</v>
      </c>
      <c r="ES87">
        <v>317.95999999999998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101"/>
        <v>0</v>
      </c>
      <c r="FS87">
        <v>0</v>
      </c>
      <c r="FX87">
        <v>134</v>
      </c>
      <c r="FY87">
        <v>83</v>
      </c>
      <c r="GA87" t="s">
        <v>3</v>
      </c>
      <c r="GD87">
        <v>0</v>
      </c>
      <c r="GF87">
        <v>-956564323</v>
      </c>
      <c r="GG87">
        <v>2</v>
      </c>
      <c r="GH87">
        <v>1</v>
      </c>
      <c r="GI87">
        <v>2</v>
      </c>
      <c r="GJ87">
        <v>0</v>
      </c>
      <c r="GK87">
        <f>ROUND(R87*(R12)/100,2)</f>
        <v>0</v>
      </c>
      <c r="GL87">
        <f t="shared" si="102"/>
        <v>0</v>
      </c>
      <c r="GM87">
        <f t="shared" si="103"/>
        <v>911151.43</v>
      </c>
      <c r="GN87">
        <f t="shared" si="104"/>
        <v>911151.43</v>
      </c>
      <c r="GO87">
        <f t="shared" si="105"/>
        <v>0</v>
      </c>
      <c r="GP87">
        <f t="shared" si="106"/>
        <v>0</v>
      </c>
      <c r="GR87">
        <v>0</v>
      </c>
      <c r="GS87">
        <v>3</v>
      </c>
      <c r="GT87">
        <v>0</v>
      </c>
      <c r="GU87" t="s">
        <v>3</v>
      </c>
      <c r="GV87">
        <f t="shared" si="107"/>
        <v>0</v>
      </c>
      <c r="GW87">
        <v>1</v>
      </c>
      <c r="GX87">
        <f t="shared" si="108"/>
        <v>0</v>
      </c>
      <c r="HA87">
        <v>0</v>
      </c>
      <c r="HB87">
        <v>0</v>
      </c>
      <c r="HC87">
        <f t="shared" si="109"/>
        <v>0</v>
      </c>
      <c r="IK87">
        <v>0</v>
      </c>
    </row>
    <row r="89" spans="1:245" x14ac:dyDescent="0.2">
      <c r="A89" s="2">
        <v>51</v>
      </c>
      <c r="B89" s="2">
        <f>B73</f>
        <v>1</v>
      </c>
      <c r="C89" s="2">
        <f>A73</f>
        <v>4</v>
      </c>
      <c r="D89" s="2">
        <f>ROW(A73)</f>
        <v>73</v>
      </c>
      <c r="E89" s="2"/>
      <c r="F89" s="2" t="str">
        <f>IF(F73&lt;&gt;"",F73,"")</f>
        <v>Новый раздел</v>
      </c>
      <c r="G89" s="2" t="str">
        <f>IF(G73&lt;&gt;"",G73,"")</f>
        <v>3. А/б покрытие пешеходных тротуаров на существующее основание</v>
      </c>
      <c r="H89" s="2">
        <v>0</v>
      </c>
      <c r="I89" s="2"/>
      <c r="J89" s="2"/>
      <c r="K89" s="2"/>
      <c r="L89" s="2"/>
      <c r="M89" s="2"/>
      <c r="N89" s="2"/>
      <c r="O89" s="2">
        <f t="shared" ref="O89:T89" si="110">ROUND(AB89,2)</f>
        <v>1405345.07</v>
      </c>
      <c r="P89" s="2">
        <f t="shared" si="110"/>
        <v>1117463.6000000001</v>
      </c>
      <c r="Q89" s="2">
        <f t="shared" si="110"/>
        <v>130046.12</v>
      </c>
      <c r="R89" s="2">
        <f t="shared" si="110"/>
        <v>56584.82</v>
      </c>
      <c r="S89" s="2">
        <f t="shared" si="110"/>
        <v>157835.35</v>
      </c>
      <c r="T89" s="2">
        <f t="shared" si="110"/>
        <v>0</v>
      </c>
      <c r="U89" s="2">
        <f>AH89</f>
        <v>580.59920900000009</v>
      </c>
      <c r="V89" s="2">
        <f>AI89</f>
        <v>0</v>
      </c>
      <c r="W89" s="2">
        <f>ROUND(AJ89,2)</f>
        <v>0</v>
      </c>
      <c r="X89" s="2">
        <f>ROUND(AK89,2)</f>
        <v>137641.09</v>
      </c>
      <c r="Y89" s="2">
        <f>ROUND(AL89,2)</f>
        <v>64712.49</v>
      </c>
      <c r="Z89" s="2"/>
      <c r="AA89" s="2"/>
      <c r="AB89" s="2">
        <f>ROUND(SUMIF(AA77:AA87,"=33989672",O77:O87),2)</f>
        <v>1405345.07</v>
      </c>
      <c r="AC89" s="2">
        <f>ROUND(SUMIF(AA77:AA87,"=33989672",P77:P87),2)</f>
        <v>1117463.6000000001</v>
      </c>
      <c r="AD89" s="2">
        <f>ROUND(SUMIF(AA77:AA87,"=33989672",Q77:Q87),2)</f>
        <v>130046.12</v>
      </c>
      <c r="AE89" s="2">
        <f>ROUND(SUMIF(AA77:AA87,"=33989672",R77:R87),2)</f>
        <v>56584.82</v>
      </c>
      <c r="AF89" s="2">
        <f>ROUND(SUMIF(AA77:AA87,"=33989672",S77:S87),2)</f>
        <v>157835.35</v>
      </c>
      <c r="AG89" s="2">
        <f>ROUND(SUMIF(AA77:AA87,"=33989672",T77:T87),2)</f>
        <v>0</v>
      </c>
      <c r="AH89" s="2">
        <f>SUMIF(AA77:AA87,"=33989672",U77:U87)</f>
        <v>580.59920900000009</v>
      </c>
      <c r="AI89" s="2">
        <f>SUMIF(AA77:AA87,"=33989672",V77:V87)</f>
        <v>0</v>
      </c>
      <c r="AJ89" s="2">
        <f>ROUND(SUMIF(AA77:AA87,"=33989672",W77:W87),2)</f>
        <v>0</v>
      </c>
      <c r="AK89" s="2">
        <f>ROUND(SUMIF(AA77:AA87,"=33989672",X77:X87),2)</f>
        <v>137641.09</v>
      </c>
      <c r="AL89" s="2">
        <f>ROUND(SUMIF(AA77:AA87,"=33989672",Y77:Y87),2)</f>
        <v>64712.49</v>
      </c>
      <c r="AM89" s="2"/>
      <c r="AN89" s="2"/>
      <c r="AO89" s="2">
        <f t="shared" ref="AO89:BD89" si="111">ROUND(BX89,2)</f>
        <v>0</v>
      </c>
      <c r="AP89" s="2">
        <f t="shared" si="111"/>
        <v>0</v>
      </c>
      <c r="AQ89" s="2">
        <f t="shared" si="111"/>
        <v>0</v>
      </c>
      <c r="AR89" s="2">
        <f t="shared" si="111"/>
        <v>1696536.82</v>
      </c>
      <c r="AS89" s="2">
        <f t="shared" si="111"/>
        <v>1696536.82</v>
      </c>
      <c r="AT89" s="2">
        <f t="shared" si="111"/>
        <v>0</v>
      </c>
      <c r="AU89" s="2">
        <f t="shared" si="111"/>
        <v>0</v>
      </c>
      <c r="AV89" s="2">
        <f t="shared" si="111"/>
        <v>1117463.6000000001</v>
      </c>
      <c r="AW89" s="2">
        <f t="shared" si="111"/>
        <v>1117463.6000000001</v>
      </c>
      <c r="AX89" s="2">
        <f t="shared" si="111"/>
        <v>0</v>
      </c>
      <c r="AY89" s="2">
        <f t="shared" si="111"/>
        <v>1117463.6000000001</v>
      </c>
      <c r="AZ89" s="2">
        <f t="shared" si="111"/>
        <v>0</v>
      </c>
      <c r="BA89" s="2">
        <f t="shared" si="111"/>
        <v>0</v>
      </c>
      <c r="BB89" s="2">
        <f t="shared" si="111"/>
        <v>0</v>
      </c>
      <c r="BC89" s="2">
        <f t="shared" si="111"/>
        <v>0</v>
      </c>
      <c r="BD89" s="2">
        <f t="shared" si="111"/>
        <v>0</v>
      </c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>
        <f>ROUND(SUMIF(AA77:AA87,"=33989672",FQ77:FQ87),2)</f>
        <v>0</v>
      </c>
      <c r="BY89" s="2">
        <f>ROUND(SUMIF(AA77:AA87,"=33989672",FR77:FR87),2)</f>
        <v>0</v>
      </c>
      <c r="BZ89" s="2">
        <f>ROUND(SUMIF(AA77:AA87,"=33989672",GL77:GL87),2)</f>
        <v>0</v>
      </c>
      <c r="CA89" s="2">
        <f>ROUND(SUMIF(AA77:AA87,"=33989672",GM77:GM87),2)</f>
        <v>1696536.82</v>
      </c>
      <c r="CB89" s="2">
        <f>ROUND(SUMIF(AA77:AA87,"=33989672",GN77:GN87),2)</f>
        <v>1696536.82</v>
      </c>
      <c r="CC89" s="2">
        <f>ROUND(SUMIF(AA77:AA87,"=33989672",GO77:GO87),2)</f>
        <v>0</v>
      </c>
      <c r="CD89" s="2">
        <f>ROUND(SUMIF(AA77:AA87,"=33989672",GP77:GP87),2)</f>
        <v>0</v>
      </c>
      <c r="CE89" s="2">
        <f>AC89-BX89</f>
        <v>1117463.6000000001</v>
      </c>
      <c r="CF89" s="2">
        <f>AC89-BY89</f>
        <v>1117463.6000000001</v>
      </c>
      <c r="CG89" s="2">
        <f>BX89-BZ89</f>
        <v>0</v>
      </c>
      <c r="CH89" s="2">
        <f>AC89-BX89-BY89+BZ89</f>
        <v>1117463.6000000001</v>
      </c>
      <c r="CI89" s="2">
        <f>BY89-BZ89</f>
        <v>0</v>
      </c>
      <c r="CJ89" s="2">
        <f>ROUND(SUMIF(AA77:AA87,"=33989672",GX77:GX87),2)</f>
        <v>0</v>
      </c>
      <c r="CK89" s="2">
        <f>ROUND(SUMIF(AA77:AA87,"=33989672",GY77:GY87),2)</f>
        <v>0</v>
      </c>
      <c r="CL89" s="2">
        <f>ROUND(SUMIF(AA77:AA87,"=33989672",GZ77:GZ87),2)</f>
        <v>0</v>
      </c>
      <c r="CM89" s="2">
        <f>ROUND(SUMIF(AA77:AA87,"=33989672",HD77:HD87),2)</f>
        <v>0</v>
      </c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>
        <v>0</v>
      </c>
    </row>
    <row r="91" spans="1:245" x14ac:dyDescent="0.2">
      <c r="A91" s="4">
        <v>50</v>
      </c>
      <c r="B91" s="4">
        <v>0</v>
      </c>
      <c r="C91" s="4">
        <v>0</v>
      </c>
      <c r="D91" s="4">
        <v>1</v>
      </c>
      <c r="E91" s="4">
        <v>201</v>
      </c>
      <c r="F91" s="4">
        <f>ROUND(Source!O89,O91)</f>
        <v>1405345.07</v>
      </c>
      <c r="G91" s="4" t="s">
        <v>89</v>
      </c>
      <c r="H91" s="4" t="s">
        <v>90</v>
      </c>
      <c r="I91" s="4"/>
      <c r="J91" s="4"/>
      <c r="K91" s="4">
        <v>201</v>
      </c>
      <c r="L91" s="4">
        <v>1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45" x14ac:dyDescent="0.2">
      <c r="A92" s="4">
        <v>50</v>
      </c>
      <c r="B92" s="4">
        <v>0</v>
      </c>
      <c r="C92" s="4">
        <v>0</v>
      </c>
      <c r="D92" s="4">
        <v>1</v>
      </c>
      <c r="E92" s="4">
        <v>202</v>
      </c>
      <c r="F92" s="4">
        <f>ROUND(Source!P89,O92)</f>
        <v>1117463.6000000001</v>
      </c>
      <c r="G92" s="4" t="s">
        <v>91</v>
      </c>
      <c r="H92" s="4" t="s">
        <v>92</v>
      </c>
      <c r="I92" s="4"/>
      <c r="J92" s="4"/>
      <c r="K92" s="4">
        <v>202</v>
      </c>
      <c r="L92" s="4">
        <v>2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45" x14ac:dyDescent="0.2">
      <c r="A93" s="4">
        <v>50</v>
      </c>
      <c r="B93" s="4">
        <v>0</v>
      </c>
      <c r="C93" s="4">
        <v>0</v>
      </c>
      <c r="D93" s="4">
        <v>1</v>
      </c>
      <c r="E93" s="4">
        <v>222</v>
      </c>
      <c r="F93" s="4">
        <f>ROUND(Source!AO89,O93)</f>
        <v>0</v>
      </c>
      <c r="G93" s="4" t="s">
        <v>93</v>
      </c>
      <c r="H93" s="4" t="s">
        <v>94</v>
      </c>
      <c r="I93" s="4"/>
      <c r="J93" s="4"/>
      <c r="K93" s="4">
        <v>222</v>
      </c>
      <c r="L93" s="4">
        <v>3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45" x14ac:dyDescent="0.2">
      <c r="A94" s="4">
        <v>50</v>
      </c>
      <c r="B94" s="4">
        <v>0</v>
      </c>
      <c r="C94" s="4">
        <v>0</v>
      </c>
      <c r="D94" s="4">
        <v>1</v>
      </c>
      <c r="E94" s="4">
        <v>225</v>
      </c>
      <c r="F94" s="4">
        <f>ROUND(Source!AV89,O94)</f>
        <v>1117463.6000000001</v>
      </c>
      <c r="G94" s="4" t="s">
        <v>95</v>
      </c>
      <c r="H94" s="4" t="s">
        <v>96</v>
      </c>
      <c r="I94" s="4"/>
      <c r="J94" s="4"/>
      <c r="K94" s="4">
        <v>225</v>
      </c>
      <c r="L94" s="4">
        <v>4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45" x14ac:dyDescent="0.2">
      <c r="A95" s="4">
        <v>50</v>
      </c>
      <c r="B95" s="4">
        <v>0</v>
      </c>
      <c r="C95" s="4">
        <v>0</v>
      </c>
      <c r="D95" s="4">
        <v>1</v>
      </c>
      <c r="E95" s="4">
        <v>226</v>
      </c>
      <c r="F95" s="4">
        <f>ROUND(Source!AW89,O95)</f>
        <v>1117463.6000000001</v>
      </c>
      <c r="G95" s="4" t="s">
        <v>97</v>
      </c>
      <c r="H95" s="4" t="s">
        <v>98</v>
      </c>
      <c r="I95" s="4"/>
      <c r="J95" s="4"/>
      <c r="K95" s="4">
        <v>226</v>
      </c>
      <c r="L95" s="4">
        <v>5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45" x14ac:dyDescent="0.2">
      <c r="A96" s="4">
        <v>50</v>
      </c>
      <c r="B96" s="4">
        <v>0</v>
      </c>
      <c r="C96" s="4">
        <v>0</v>
      </c>
      <c r="D96" s="4">
        <v>1</v>
      </c>
      <c r="E96" s="4">
        <v>227</v>
      </c>
      <c r="F96" s="4">
        <f>ROUND(Source!AX89,O96)</f>
        <v>0</v>
      </c>
      <c r="G96" s="4" t="s">
        <v>99</v>
      </c>
      <c r="H96" s="4" t="s">
        <v>100</v>
      </c>
      <c r="I96" s="4"/>
      <c r="J96" s="4"/>
      <c r="K96" s="4">
        <v>227</v>
      </c>
      <c r="L96" s="4">
        <v>6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3" x14ac:dyDescent="0.2">
      <c r="A97" s="4">
        <v>50</v>
      </c>
      <c r="B97" s="4">
        <v>0</v>
      </c>
      <c r="C97" s="4">
        <v>0</v>
      </c>
      <c r="D97" s="4">
        <v>1</v>
      </c>
      <c r="E97" s="4">
        <v>228</v>
      </c>
      <c r="F97" s="4">
        <f>ROUND(Source!AY89,O97)</f>
        <v>1117463.6000000001</v>
      </c>
      <c r="G97" s="4" t="s">
        <v>101</v>
      </c>
      <c r="H97" s="4" t="s">
        <v>102</v>
      </c>
      <c r="I97" s="4"/>
      <c r="J97" s="4"/>
      <c r="K97" s="4">
        <v>228</v>
      </c>
      <c r="L97" s="4">
        <v>7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3" x14ac:dyDescent="0.2">
      <c r="A98" s="4">
        <v>50</v>
      </c>
      <c r="B98" s="4">
        <v>0</v>
      </c>
      <c r="C98" s="4">
        <v>0</v>
      </c>
      <c r="D98" s="4">
        <v>1</v>
      </c>
      <c r="E98" s="4">
        <v>216</v>
      </c>
      <c r="F98" s="4">
        <f>ROUND(Source!AP89,O98)</f>
        <v>0</v>
      </c>
      <c r="G98" s="4" t="s">
        <v>103</v>
      </c>
      <c r="H98" s="4" t="s">
        <v>104</v>
      </c>
      <c r="I98" s="4"/>
      <c r="J98" s="4"/>
      <c r="K98" s="4">
        <v>216</v>
      </c>
      <c r="L98" s="4">
        <v>8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3" x14ac:dyDescent="0.2">
      <c r="A99" s="4">
        <v>50</v>
      </c>
      <c r="B99" s="4">
        <v>0</v>
      </c>
      <c r="C99" s="4">
        <v>0</v>
      </c>
      <c r="D99" s="4">
        <v>1</v>
      </c>
      <c r="E99" s="4">
        <v>223</v>
      </c>
      <c r="F99" s="4">
        <f>ROUND(Source!AQ89,O99)</f>
        <v>0</v>
      </c>
      <c r="G99" s="4" t="s">
        <v>105</v>
      </c>
      <c r="H99" s="4" t="s">
        <v>106</v>
      </c>
      <c r="I99" s="4"/>
      <c r="J99" s="4"/>
      <c r="K99" s="4">
        <v>223</v>
      </c>
      <c r="L99" s="4">
        <v>9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3" x14ac:dyDescent="0.2">
      <c r="A100" s="4">
        <v>50</v>
      </c>
      <c r="B100" s="4">
        <v>0</v>
      </c>
      <c r="C100" s="4">
        <v>0</v>
      </c>
      <c r="D100" s="4">
        <v>1</v>
      </c>
      <c r="E100" s="4">
        <v>229</v>
      </c>
      <c r="F100" s="4">
        <f>ROUND(Source!AZ89,O100)</f>
        <v>0</v>
      </c>
      <c r="G100" s="4" t="s">
        <v>107</v>
      </c>
      <c r="H100" s="4" t="s">
        <v>108</v>
      </c>
      <c r="I100" s="4"/>
      <c r="J100" s="4"/>
      <c r="K100" s="4">
        <v>229</v>
      </c>
      <c r="L100" s="4">
        <v>10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1" spans="1:23" x14ac:dyDescent="0.2">
      <c r="A101" s="4">
        <v>50</v>
      </c>
      <c r="B101" s="4">
        <v>0</v>
      </c>
      <c r="C101" s="4">
        <v>0</v>
      </c>
      <c r="D101" s="4">
        <v>1</v>
      </c>
      <c r="E101" s="4">
        <v>203</v>
      </c>
      <c r="F101" s="4">
        <f>ROUND(Source!Q89,O101)</f>
        <v>130046.12</v>
      </c>
      <c r="G101" s="4" t="s">
        <v>109</v>
      </c>
      <c r="H101" s="4" t="s">
        <v>110</v>
      </c>
      <c r="I101" s="4"/>
      <c r="J101" s="4"/>
      <c r="K101" s="4">
        <v>203</v>
      </c>
      <c r="L101" s="4">
        <v>11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3" x14ac:dyDescent="0.2">
      <c r="A102" s="4">
        <v>50</v>
      </c>
      <c r="B102" s="4">
        <v>0</v>
      </c>
      <c r="C102" s="4">
        <v>0</v>
      </c>
      <c r="D102" s="4">
        <v>1</v>
      </c>
      <c r="E102" s="4">
        <v>231</v>
      </c>
      <c r="F102" s="4">
        <f>ROUND(Source!BB89,O102)</f>
        <v>0</v>
      </c>
      <c r="G102" s="4" t="s">
        <v>111</v>
      </c>
      <c r="H102" s="4" t="s">
        <v>112</v>
      </c>
      <c r="I102" s="4"/>
      <c r="J102" s="4"/>
      <c r="K102" s="4">
        <v>231</v>
      </c>
      <c r="L102" s="4">
        <v>12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3" x14ac:dyDescent="0.2">
      <c r="A103" s="4">
        <v>50</v>
      </c>
      <c r="B103" s="4">
        <v>0</v>
      </c>
      <c r="C103" s="4">
        <v>0</v>
      </c>
      <c r="D103" s="4">
        <v>1</v>
      </c>
      <c r="E103" s="4">
        <v>204</v>
      </c>
      <c r="F103" s="4">
        <f>ROUND(Source!R89,O103)</f>
        <v>56584.82</v>
      </c>
      <c r="G103" s="4" t="s">
        <v>113</v>
      </c>
      <c r="H103" s="4" t="s">
        <v>114</v>
      </c>
      <c r="I103" s="4"/>
      <c r="J103" s="4"/>
      <c r="K103" s="4">
        <v>204</v>
      </c>
      <c r="L103" s="4">
        <v>13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3" x14ac:dyDescent="0.2">
      <c r="A104" s="4">
        <v>50</v>
      </c>
      <c r="B104" s="4">
        <v>0</v>
      </c>
      <c r="C104" s="4">
        <v>0</v>
      </c>
      <c r="D104" s="4">
        <v>1</v>
      </c>
      <c r="E104" s="4">
        <v>205</v>
      </c>
      <c r="F104" s="4">
        <f>ROUND(Source!S89,O104)</f>
        <v>157835.35</v>
      </c>
      <c r="G104" s="4" t="s">
        <v>115</v>
      </c>
      <c r="H104" s="4" t="s">
        <v>116</v>
      </c>
      <c r="I104" s="4"/>
      <c r="J104" s="4"/>
      <c r="K104" s="4">
        <v>205</v>
      </c>
      <c r="L104" s="4">
        <v>14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3" x14ac:dyDescent="0.2">
      <c r="A105" s="4">
        <v>50</v>
      </c>
      <c r="B105" s="4">
        <v>0</v>
      </c>
      <c r="C105" s="4">
        <v>0</v>
      </c>
      <c r="D105" s="4">
        <v>1</v>
      </c>
      <c r="E105" s="4">
        <v>232</v>
      </c>
      <c r="F105" s="4">
        <f>ROUND(Source!BC89,O105)</f>
        <v>0</v>
      </c>
      <c r="G105" s="4" t="s">
        <v>117</v>
      </c>
      <c r="H105" s="4" t="s">
        <v>118</v>
      </c>
      <c r="I105" s="4"/>
      <c r="J105" s="4"/>
      <c r="K105" s="4">
        <v>232</v>
      </c>
      <c r="L105" s="4">
        <v>15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6" spans="1:23" x14ac:dyDescent="0.2">
      <c r="A106" s="4">
        <v>50</v>
      </c>
      <c r="B106" s="4">
        <v>0</v>
      </c>
      <c r="C106" s="4">
        <v>0</v>
      </c>
      <c r="D106" s="4">
        <v>1</v>
      </c>
      <c r="E106" s="4">
        <v>214</v>
      </c>
      <c r="F106" s="4">
        <f>ROUND(Source!AS89,O106)</f>
        <v>1696536.82</v>
      </c>
      <c r="G106" s="4" t="s">
        <v>119</v>
      </c>
      <c r="H106" s="4" t="s">
        <v>120</v>
      </c>
      <c r="I106" s="4"/>
      <c r="J106" s="4"/>
      <c r="K106" s="4">
        <v>214</v>
      </c>
      <c r="L106" s="4">
        <v>16</v>
      </c>
      <c r="M106" s="4">
        <v>3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/>
    </row>
    <row r="107" spans="1:23" x14ac:dyDescent="0.2">
      <c r="A107" s="4">
        <v>50</v>
      </c>
      <c r="B107" s="4">
        <v>0</v>
      </c>
      <c r="C107" s="4">
        <v>0</v>
      </c>
      <c r="D107" s="4">
        <v>1</v>
      </c>
      <c r="E107" s="4">
        <v>215</v>
      </c>
      <c r="F107" s="4">
        <f>ROUND(Source!AT89,O107)</f>
        <v>0</v>
      </c>
      <c r="G107" s="4" t="s">
        <v>121</v>
      </c>
      <c r="H107" s="4" t="s">
        <v>122</v>
      </c>
      <c r="I107" s="4"/>
      <c r="J107" s="4"/>
      <c r="K107" s="4">
        <v>215</v>
      </c>
      <c r="L107" s="4">
        <v>17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/>
    </row>
    <row r="108" spans="1:23" x14ac:dyDescent="0.2">
      <c r="A108" s="4">
        <v>50</v>
      </c>
      <c r="B108" s="4">
        <v>0</v>
      </c>
      <c r="C108" s="4">
        <v>0</v>
      </c>
      <c r="D108" s="4">
        <v>1</v>
      </c>
      <c r="E108" s="4">
        <v>217</v>
      </c>
      <c r="F108" s="4">
        <f>ROUND(Source!AU89,O108)</f>
        <v>0</v>
      </c>
      <c r="G108" s="4" t="s">
        <v>123</v>
      </c>
      <c r="H108" s="4" t="s">
        <v>124</v>
      </c>
      <c r="I108" s="4"/>
      <c r="J108" s="4"/>
      <c r="K108" s="4">
        <v>217</v>
      </c>
      <c r="L108" s="4">
        <v>18</v>
      </c>
      <c r="M108" s="4">
        <v>3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/>
    </row>
    <row r="109" spans="1:23" x14ac:dyDescent="0.2">
      <c r="A109" s="4">
        <v>50</v>
      </c>
      <c r="B109" s="4">
        <v>0</v>
      </c>
      <c r="C109" s="4">
        <v>0</v>
      </c>
      <c r="D109" s="4">
        <v>1</v>
      </c>
      <c r="E109" s="4">
        <v>230</v>
      </c>
      <c r="F109" s="4">
        <f>ROUND(Source!BA89,O109)</f>
        <v>0</v>
      </c>
      <c r="G109" s="4" t="s">
        <v>125</v>
      </c>
      <c r="H109" s="4" t="s">
        <v>126</v>
      </c>
      <c r="I109" s="4"/>
      <c r="J109" s="4"/>
      <c r="K109" s="4">
        <v>230</v>
      </c>
      <c r="L109" s="4">
        <v>19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/>
    </row>
    <row r="110" spans="1:23" x14ac:dyDescent="0.2">
      <c r="A110" s="4">
        <v>50</v>
      </c>
      <c r="B110" s="4">
        <v>0</v>
      </c>
      <c r="C110" s="4">
        <v>0</v>
      </c>
      <c r="D110" s="4">
        <v>1</v>
      </c>
      <c r="E110" s="4">
        <v>206</v>
      </c>
      <c r="F110" s="4">
        <f>ROUND(Source!T89,O110)</f>
        <v>0</v>
      </c>
      <c r="G110" s="4" t="s">
        <v>127</v>
      </c>
      <c r="H110" s="4" t="s">
        <v>128</v>
      </c>
      <c r="I110" s="4"/>
      <c r="J110" s="4"/>
      <c r="K110" s="4">
        <v>206</v>
      </c>
      <c r="L110" s="4">
        <v>20</v>
      </c>
      <c r="M110" s="4">
        <v>3</v>
      </c>
      <c r="N110" s="4" t="s">
        <v>3</v>
      </c>
      <c r="O110" s="4">
        <v>2</v>
      </c>
      <c r="P110" s="4"/>
      <c r="Q110" s="4"/>
      <c r="R110" s="4"/>
      <c r="S110" s="4"/>
      <c r="T110" s="4"/>
      <c r="U110" s="4"/>
      <c r="V110" s="4"/>
      <c r="W110" s="4"/>
    </row>
    <row r="111" spans="1:23" x14ac:dyDescent="0.2">
      <c r="A111" s="4">
        <v>50</v>
      </c>
      <c r="B111" s="4">
        <v>0</v>
      </c>
      <c r="C111" s="4">
        <v>0</v>
      </c>
      <c r="D111" s="4">
        <v>1</v>
      </c>
      <c r="E111" s="4">
        <v>207</v>
      </c>
      <c r="F111" s="4">
        <f>Source!U89</f>
        <v>580.59920900000009</v>
      </c>
      <c r="G111" s="4" t="s">
        <v>129</v>
      </c>
      <c r="H111" s="4" t="s">
        <v>130</v>
      </c>
      <c r="I111" s="4"/>
      <c r="J111" s="4"/>
      <c r="K111" s="4">
        <v>207</v>
      </c>
      <c r="L111" s="4">
        <v>21</v>
      </c>
      <c r="M111" s="4">
        <v>3</v>
      </c>
      <c r="N111" s="4" t="s">
        <v>3</v>
      </c>
      <c r="O111" s="4">
        <v>-1</v>
      </c>
      <c r="P111" s="4"/>
      <c r="Q111" s="4"/>
      <c r="R111" s="4"/>
      <c r="S111" s="4"/>
      <c r="T111" s="4"/>
      <c r="U111" s="4"/>
      <c r="V111" s="4"/>
      <c r="W111" s="4"/>
    </row>
    <row r="112" spans="1:23" x14ac:dyDescent="0.2">
      <c r="A112" s="4">
        <v>50</v>
      </c>
      <c r="B112" s="4">
        <v>0</v>
      </c>
      <c r="C112" s="4">
        <v>0</v>
      </c>
      <c r="D112" s="4">
        <v>1</v>
      </c>
      <c r="E112" s="4">
        <v>208</v>
      </c>
      <c r="F112" s="4">
        <f>Source!V89</f>
        <v>0</v>
      </c>
      <c r="G112" s="4" t="s">
        <v>131</v>
      </c>
      <c r="H112" s="4" t="s">
        <v>132</v>
      </c>
      <c r="I112" s="4"/>
      <c r="J112" s="4"/>
      <c r="K112" s="4">
        <v>208</v>
      </c>
      <c r="L112" s="4">
        <v>22</v>
      </c>
      <c r="M112" s="4">
        <v>3</v>
      </c>
      <c r="N112" s="4" t="s">
        <v>3</v>
      </c>
      <c r="O112" s="4">
        <v>-1</v>
      </c>
      <c r="P112" s="4"/>
      <c r="Q112" s="4"/>
      <c r="R112" s="4"/>
      <c r="S112" s="4"/>
      <c r="T112" s="4"/>
      <c r="U112" s="4"/>
      <c r="V112" s="4"/>
      <c r="W112" s="4"/>
    </row>
    <row r="113" spans="1:206" x14ac:dyDescent="0.2">
      <c r="A113" s="4">
        <v>50</v>
      </c>
      <c r="B113" s="4">
        <v>0</v>
      </c>
      <c r="C113" s="4">
        <v>0</v>
      </c>
      <c r="D113" s="4">
        <v>1</v>
      </c>
      <c r="E113" s="4">
        <v>209</v>
      </c>
      <c r="F113" s="4">
        <f>ROUND(Source!W89,O113)</f>
        <v>0</v>
      </c>
      <c r="G113" s="4" t="s">
        <v>133</v>
      </c>
      <c r="H113" s="4" t="s">
        <v>134</v>
      </c>
      <c r="I113" s="4"/>
      <c r="J113" s="4"/>
      <c r="K113" s="4">
        <v>209</v>
      </c>
      <c r="L113" s="4">
        <v>23</v>
      </c>
      <c r="M113" s="4">
        <v>3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/>
    </row>
    <row r="114" spans="1:206" x14ac:dyDescent="0.2">
      <c r="A114" s="4">
        <v>50</v>
      </c>
      <c r="B114" s="4">
        <v>0</v>
      </c>
      <c r="C114" s="4">
        <v>0</v>
      </c>
      <c r="D114" s="4">
        <v>1</v>
      </c>
      <c r="E114" s="4">
        <v>233</v>
      </c>
      <c r="F114" s="4">
        <f>ROUND(Source!BD89,O114)</f>
        <v>0</v>
      </c>
      <c r="G114" s="4" t="s">
        <v>135</v>
      </c>
      <c r="H114" s="4" t="s">
        <v>136</v>
      </c>
      <c r="I114" s="4"/>
      <c r="J114" s="4"/>
      <c r="K114" s="4">
        <v>233</v>
      </c>
      <c r="L114" s="4">
        <v>24</v>
      </c>
      <c r="M114" s="4">
        <v>3</v>
      </c>
      <c r="N114" s="4" t="s">
        <v>3</v>
      </c>
      <c r="O114" s="4">
        <v>2</v>
      </c>
      <c r="P114" s="4"/>
      <c r="Q114" s="4"/>
      <c r="R114" s="4"/>
      <c r="S114" s="4"/>
      <c r="T114" s="4"/>
      <c r="U114" s="4"/>
      <c r="V114" s="4"/>
      <c r="W114" s="4"/>
    </row>
    <row r="115" spans="1:206" x14ac:dyDescent="0.2">
      <c r="A115" s="4">
        <v>50</v>
      </c>
      <c r="B115" s="4">
        <v>0</v>
      </c>
      <c r="C115" s="4">
        <v>0</v>
      </c>
      <c r="D115" s="4">
        <v>1</v>
      </c>
      <c r="E115" s="4">
        <v>210</v>
      </c>
      <c r="F115" s="4">
        <f>ROUND(Source!X89,O115)</f>
        <v>137641.09</v>
      </c>
      <c r="G115" s="4" t="s">
        <v>137</v>
      </c>
      <c r="H115" s="4" t="s">
        <v>138</v>
      </c>
      <c r="I115" s="4"/>
      <c r="J115" s="4"/>
      <c r="K115" s="4">
        <v>210</v>
      </c>
      <c r="L115" s="4">
        <v>25</v>
      </c>
      <c r="M115" s="4">
        <v>3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/>
    </row>
    <row r="116" spans="1:206" x14ac:dyDescent="0.2">
      <c r="A116" s="4">
        <v>50</v>
      </c>
      <c r="B116" s="4">
        <v>0</v>
      </c>
      <c r="C116" s="4">
        <v>0</v>
      </c>
      <c r="D116" s="4">
        <v>1</v>
      </c>
      <c r="E116" s="4">
        <v>211</v>
      </c>
      <c r="F116" s="4">
        <f>ROUND(Source!Y89,O116)</f>
        <v>64712.49</v>
      </c>
      <c r="G116" s="4" t="s">
        <v>139</v>
      </c>
      <c r="H116" s="4" t="s">
        <v>140</v>
      </c>
      <c r="I116" s="4"/>
      <c r="J116" s="4"/>
      <c r="K116" s="4">
        <v>211</v>
      </c>
      <c r="L116" s="4">
        <v>26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/>
    </row>
    <row r="117" spans="1:206" x14ac:dyDescent="0.2">
      <c r="A117" s="4">
        <v>50</v>
      </c>
      <c r="B117" s="4">
        <v>0</v>
      </c>
      <c r="C117" s="4">
        <v>0</v>
      </c>
      <c r="D117" s="4">
        <v>1</v>
      </c>
      <c r="E117" s="4">
        <v>224</v>
      </c>
      <c r="F117" s="4">
        <f>ROUND(Source!AR89,O117)</f>
        <v>1696536.82</v>
      </c>
      <c r="G117" s="4" t="s">
        <v>141</v>
      </c>
      <c r="H117" s="4" t="s">
        <v>142</v>
      </c>
      <c r="I117" s="4"/>
      <c r="J117" s="4"/>
      <c r="K117" s="4">
        <v>224</v>
      </c>
      <c r="L117" s="4">
        <v>27</v>
      </c>
      <c r="M117" s="4">
        <v>3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/>
    </row>
    <row r="118" spans="1:206" x14ac:dyDescent="0.2">
      <c r="A118" s="4">
        <v>50</v>
      </c>
      <c r="B118" s="4">
        <v>1</v>
      </c>
      <c r="C118" s="4">
        <v>0</v>
      </c>
      <c r="D118" s="4">
        <v>2</v>
      </c>
      <c r="E118" s="4">
        <v>0</v>
      </c>
      <c r="F118" s="4">
        <f>ROUND(F117*1.2,O118)</f>
        <v>2035844.18</v>
      </c>
      <c r="G118" s="4" t="s">
        <v>15</v>
      </c>
      <c r="H118" s="4" t="s">
        <v>170</v>
      </c>
      <c r="I118" s="4"/>
      <c r="J118" s="4"/>
      <c r="K118" s="4">
        <v>212</v>
      </c>
      <c r="L118" s="4">
        <v>28</v>
      </c>
      <c r="M118" s="4">
        <v>0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/>
    </row>
    <row r="120" spans="1:206" x14ac:dyDescent="0.2">
      <c r="A120" s="1">
        <v>4</v>
      </c>
      <c r="B120" s="1">
        <v>1</v>
      </c>
      <c r="C120" s="1"/>
      <c r="D120" s="1">
        <f>ROW(A124)</f>
        <v>124</v>
      </c>
      <c r="E120" s="1"/>
      <c r="F120" s="1" t="s">
        <v>13</v>
      </c>
      <c r="G120" s="1" t="s">
        <v>171</v>
      </c>
      <c r="H120" s="1" t="s">
        <v>3</v>
      </c>
      <c r="I120" s="1">
        <v>0</v>
      </c>
      <c r="J120" s="1"/>
      <c r="K120" s="1">
        <v>0</v>
      </c>
      <c r="L120" s="1"/>
      <c r="M120" s="1"/>
      <c r="N120" s="1"/>
      <c r="O120" s="1"/>
      <c r="P120" s="1"/>
      <c r="Q120" s="1"/>
      <c r="R120" s="1"/>
      <c r="S120" s="1"/>
      <c r="T120" s="1"/>
      <c r="U120" s="1" t="s">
        <v>3</v>
      </c>
      <c r="V120" s="1">
        <v>0</v>
      </c>
      <c r="W120" s="1"/>
      <c r="X120" s="1"/>
      <c r="Y120" s="1"/>
      <c r="Z120" s="1"/>
      <c r="AA120" s="1"/>
      <c r="AB120" s="1" t="s">
        <v>3</v>
      </c>
      <c r="AC120" s="1" t="s">
        <v>3</v>
      </c>
      <c r="AD120" s="1" t="s">
        <v>3</v>
      </c>
      <c r="AE120" s="1" t="s">
        <v>3</v>
      </c>
      <c r="AF120" s="1" t="s">
        <v>3</v>
      </c>
      <c r="AG120" s="1" t="s">
        <v>3</v>
      </c>
      <c r="AH120" s="1"/>
      <c r="AI120" s="1"/>
      <c r="AJ120" s="1"/>
      <c r="AK120" s="1"/>
      <c r="AL120" s="1"/>
      <c r="AM120" s="1"/>
      <c r="AN120" s="1"/>
      <c r="AO120" s="1"/>
      <c r="AP120" s="1" t="s">
        <v>3</v>
      </c>
      <c r="AQ120" s="1" t="s">
        <v>3</v>
      </c>
      <c r="AR120" s="1" t="s">
        <v>3</v>
      </c>
      <c r="AS120" s="1"/>
      <c r="AT120" s="1"/>
      <c r="AU120" s="1"/>
      <c r="AV120" s="1"/>
      <c r="AW120" s="1"/>
      <c r="AX120" s="1"/>
      <c r="AY120" s="1"/>
      <c r="AZ120" s="1" t="s">
        <v>3</v>
      </c>
      <c r="BA120" s="1"/>
      <c r="BB120" s="1" t="s">
        <v>3</v>
      </c>
      <c r="BC120" s="1" t="s">
        <v>3</v>
      </c>
      <c r="BD120" s="1" t="s">
        <v>3</v>
      </c>
      <c r="BE120" s="1" t="s">
        <v>3</v>
      </c>
      <c r="BF120" s="1" t="s">
        <v>3</v>
      </c>
      <c r="BG120" s="1" t="s">
        <v>3</v>
      </c>
      <c r="BH120" s="1" t="s">
        <v>3</v>
      </c>
      <c r="BI120" s="1" t="s">
        <v>3</v>
      </c>
      <c r="BJ120" s="1" t="s">
        <v>3</v>
      </c>
      <c r="BK120" s="1" t="s">
        <v>3</v>
      </c>
      <c r="BL120" s="1" t="s">
        <v>3</v>
      </c>
      <c r="BM120" s="1" t="s">
        <v>3</v>
      </c>
      <c r="BN120" s="1" t="s">
        <v>3</v>
      </c>
      <c r="BO120" s="1" t="s">
        <v>3</v>
      </c>
      <c r="BP120" s="1" t="s">
        <v>3</v>
      </c>
      <c r="BQ120" s="1"/>
      <c r="BR120" s="1"/>
      <c r="BS120" s="1"/>
      <c r="BT120" s="1"/>
      <c r="BU120" s="1"/>
      <c r="BV120" s="1"/>
      <c r="BW120" s="1"/>
      <c r="BX120" s="1">
        <v>0</v>
      </c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>
        <v>0</v>
      </c>
    </row>
    <row r="122" spans="1:206" x14ac:dyDescent="0.2">
      <c r="A122" s="2">
        <v>52</v>
      </c>
      <c r="B122" s="2">
        <f t="shared" ref="B122:G122" si="112">B124</f>
        <v>1</v>
      </c>
      <c r="C122" s="2">
        <f t="shared" si="112"/>
        <v>4</v>
      </c>
      <c r="D122" s="2">
        <f t="shared" si="112"/>
        <v>120</v>
      </c>
      <c r="E122" s="2">
        <f t="shared" si="112"/>
        <v>0</v>
      </c>
      <c r="F122" s="2" t="str">
        <f t="shared" si="112"/>
        <v>Новый раздел</v>
      </c>
      <c r="G122" s="2" t="str">
        <f t="shared" si="112"/>
        <v>4. А/б покрытие пешеходных тротуаров на новое основание (АТ-1)</v>
      </c>
      <c r="H122" s="2"/>
      <c r="I122" s="2"/>
      <c r="J122" s="2"/>
      <c r="K122" s="2"/>
      <c r="L122" s="2"/>
      <c r="M122" s="2"/>
      <c r="N122" s="2"/>
      <c r="O122" s="2">
        <f t="shared" ref="O122:AT122" si="113">O124</f>
        <v>0</v>
      </c>
      <c r="P122" s="2">
        <f t="shared" si="113"/>
        <v>0</v>
      </c>
      <c r="Q122" s="2">
        <f t="shared" si="113"/>
        <v>0</v>
      </c>
      <c r="R122" s="2">
        <f t="shared" si="113"/>
        <v>0</v>
      </c>
      <c r="S122" s="2">
        <f t="shared" si="113"/>
        <v>0</v>
      </c>
      <c r="T122" s="2">
        <f t="shared" si="113"/>
        <v>0</v>
      </c>
      <c r="U122" s="2">
        <f t="shared" si="113"/>
        <v>0</v>
      </c>
      <c r="V122" s="2">
        <f t="shared" si="113"/>
        <v>0</v>
      </c>
      <c r="W122" s="2">
        <f t="shared" si="113"/>
        <v>0</v>
      </c>
      <c r="X122" s="2">
        <f t="shared" si="113"/>
        <v>0</v>
      </c>
      <c r="Y122" s="2">
        <f t="shared" si="113"/>
        <v>0</v>
      </c>
      <c r="Z122" s="2">
        <f t="shared" si="113"/>
        <v>0</v>
      </c>
      <c r="AA122" s="2">
        <f t="shared" si="113"/>
        <v>0</v>
      </c>
      <c r="AB122" s="2">
        <f t="shared" si="113"/>
        <v>0</v>
      </c>
      <c r="AC122" s="2">
        <f t="shared" si="113"/>
        <v>0</v>
      </c>
      <c r="AD122" s="2">
        <f t="shared" si="113"/>
        <v>0</v>
      </c>
      <c r="AE122" s="2">
        <f t="shared" si="113"/>
        <v>0</v>
      </c>
      <c r="AF122" s="2">
        <f t="shared" si="113"/>
        <v>0</v>
      </c>
      <c r="AG122" s="2">
        <f t="shared" si="113"/>
        <v>0</v>
      </c>
      <c r="AH122" s="2">
        <f t="shared" si="113"/>
        <v>0</v>
      </c>
      <c r="AI122" s="2">
        <f t="shared" si="113"/>
        <v>0</v>
      </c>
      <c r="AJ122" s="2">
        <f t="shared" si="113"/>
        <v>0</v>
      </c>
      <c r="AK122" s="2">
        <f t="shared" si="113"/>
        <v>0</v>
      </c>
      <c r="AL122" s="2">
        <f t="shared" si="113"/>
        <v>0</v>
      </c>
      <c r="AM122" s="2">
        <f t="shared" si="113"/>
        <v>0</v>
      </c>
      <c r="AN122" s="2">
        <f t="shared" si="113"/>
        <v>0</v>
      </c>
      <c r="AO122" s="2">
        <f t="shared" si="113"/>
        <v>0</v>
      </c>
      <c r="AP122" s="2">
        <f t="shared" si="113"/>
        <v>0</v>
      </c>
      <c r="AQ122" s="2">
        <f t="shared" si="113"/>
        <v>0</v>
      </c>
      <c r="AR122" s="2">
        <f t="shared" si="113"/>
        <v>0</v>
      </c>
      <c r="AS122" s="2">
        <f t="shared" si="113"/>
        <v>0</v>
      </c>
      <c r="AT122" s="2">
        <f t="shared" si="113"/>
        <v>0</v>
      </c>
      <c r="AU122" s="2">
        <f t="shared" ref="AU122:BZ122" si="114">AU124</f>
        <v>0</v>
      </c>
      <c r="AV122" s="2">
        <f t="shared" si="114"/>
        <v>0</v>
      </c>
      <c r="AW122" s="2">
        <f t="shared" si="114"/>
        <v>0</v>
      </c>
      <c r="AX122" s="2">
        <f t="shared" si="114"/>
        <v>0</v>
      </c>
      <c r="AY122" s="2">
        <f t="shared" si="114"/>
        <v>0</v>
      </c>
      <c r="AZ122" s="2">
        <f t="shared" si="114"/>
        <v>0</v>
      </c>
      <c r="BA122" s="2">
        <f t="shared" si="114"/>
        <v>0</v>
      </c>
      <c r="BB122" s="2">
        <f t="shared" si="114"/>
        <v>0</v>
      </c>
      <c r="BC122" s="2">
        <f t="shared" si="114"/>
        <v>0</v>
      </c>
      <c r="BD122" s="2">
        <f t="shared" si="114"/>
        <v>0</v>
      </c>
      <c r="BE122" s="2">
        <f t="shared" si="114"/>
        <v>0</v>
      </c>
      <c r="BF122" s="2">
        <f t="shared" si="114"/>
        <v>0</v>
      </c>
      <c r="BG122" s="2">
        <f t="shared" si="114"/>
        <v>0</v>
      </c>
      <c r="BH122" s="2">
        <f t="shared" si="114"/>
        <v>0</v>
      </c>
      <c r="BI122" s="2">
        <f t="shared" si="114"/>
        <v>0</v>
      </c>
      <c r="BJ122" s="2">
        <f t="shared" si="114"/>
        <v>0</v>
      </c>
      <c r="BK122" s="2">
        <f t="shared" si="114"/>
        <v>0</v>
      </c>
      <c r="BL122" s="2">
        <f t="shared" si="114"/>
        <v>0</v>
      </c>
      <c r="BM122" s="2">
        <f t="shared" si="114"/>
        <v>0</v>
      </c>
      <c r="BN122" s="2">
        <f t="shared" si="114"/>
        <v>0</v>
      </c>
      <c r="BO122" s="2">
        <f t="shared" si="114"/>
        <v>0</v>
      </c>
      <c r="BP122" s="2">
        <f t="shared" si="114"/>
        <v>0</v>
      </c>
      <c r="BQ122" s="2">
        <f t="shared" si="114"/>
        <v>0</v>
      </c>
      <c r="BR122" s="2">
        <f t="shared" si="114"/>
        <v>0</v>
      </c>
      <c r="BS122" s="2">
        <f t="shared" si="114"/>
        <v>0</v>
      </c>
      <c r="BT122" s="2">
        <f t="shared" si="114"/>
        <v>0</v>
      </c>
      <c r="BU122" s="2">
        <f t="shared" si="114"/>
        <v>0</v>
      </c>
      <c r="BV122" s="2">
        <f t="shared" si="114"/>
        <v>0</v>
      </c>
      <c r="BW122" s="2">
        <f t="shared" si="114"/>
        <v>0</v>
      </c>
      <c r="BX122" s="2">
        <f t="shared" si="114"/>
        <v>0</v>
      </c>
      <c r="BY122" s="2">
        <f t="shared" si="114"/>
        <v>0</v>
      </c>
      <c r="BZ122" s="2">
        <f t="shared" si="114"/>
        <v>0</v>
      </c>
      <c r="CA122" s="2">
        <f t="shared" ref="CA122:DF122" si="115">CA124</f>
        <v>0</v>
      </c>
      <c r="CB122" s="2">
        <f t="shared" si="115"/>
        <v>0</v>
      </c>
      <c r="CC122" s="2">
        <f t="shared" si="115"/>
        <v>0</v>
      </c>
      <c r="CD122" s="2">
        <f t="shared" si="115"/>
        <v>0</v>
      </c>
      <c r="CE122" s="2">
        <f t="shared" si="115"/>
        <v>0</v>
      </c>
      <c r="CF122" s="2">
        <f t="shared" si="115"/>
        <v>0</v>
      </c>
      <c r="CG122" s="2">
        <f t="shared" si="115"/>
        <v>0</v>
      </c>
      <c r="CH122" s="2">
        <f t="shared" si="115"/>
        <v>0</v>
      </c>
      <c r="CI122" s="2">
        <f t="shared" si="115"/>
        <v>0</v>
      </c>
      <c r="CJ122" s="2">
        <f t="shared" si="115"/>
        <v>0</v>
      </c>
      <c r="CK122" s="2">
        <f t="shared" si="115"/>
        <v>0</v>
      </c>
      <c r="CL122" s="2">
        <f t="shared" si="115"/>
        <v>0</v>
      </c>
      <c r="CM122" s="2">
        <f t="shared" si="115"/>
        <v>0</v>
      </c>
      <c r="CN122" s="2">
        <f t="shared" si="115"/>
        <v>0</v>
      </c>
      <c r="CO122" s="2">
        <f t="shared" si="115"/>
        <v>0</v>
      </c>
      <c r="CP122" s="2">
        <f t="shared" si="115"/>
        <v>0</v>
      </c>
      <c r="CQ122" s="2">
        <f t="shared" si="115"/>
        <v>0</v>
      </c>
      <c r="CR122" s="2">
        <f t="shared" si="115"/>
        <v>0</v>
      </c>
      <c r="CS122" s="2">
        <f t="shared" si="115"/>
        <v>0</v>
      </c>
      <c r="CT122" s="2">
        <f t="shared" si="115"/>
        <v>0</v>
      </c>
      <c r="CU122" s="2">
        <f t="shared" si="115"/>
        <v>0</v>
      </c>
      <c r="CV122" s="2">
        <f t="shared" si="115"/>
        <v>0</v>
      </c>
      <c r="CW122" s="2">
        <f t="shared" si="115"/>
        <v>0</v>
      </c>
      <c r="CX122" s="2">
        <f t="shared" si="115"/>
        <v>0</v>
      </c>
      <c r="CY122" s="2">
        <f t="shared" si="115"/>
        <v>0</v>
      </c>
      <c r="CZ122" s="2">
        <f t="shared" si="115"/>
        <v>0</v>
      </c>
      <c r="DA122" s="2">
        <f t="shared" si="115"/>
        <v>0</v>
      </c>
      <c r="DB122" s="2">
        <f t="shared" si="115"/>
        <v>0</v>
      </c>
      <c r="DC122" s="2">
        <f t="shared" si="115"/>
        <v>0</v>
      </c>
      <c r="DD122" s="2">
        <f t="shared" si="115"/>
        <v>0</v>
      </c>
      <c r="DE122" s="2">
        <f t="shared" si="115"/>
        <v>0</v>
      </c>
      <c r="DF122" s="2">
        <f t="shared" si="115"/>
        <v>0</v>
      </c>
      <c r="DG122" s="3">
        <f t="shared" ref="DG122:EL122" si="116">DG124</f>
        <v>0</v>
      </c>
      <c r="DH122" s="3">
        <f t="shared" si="116"/>
        <v>0</v>
      </c>
      <c r="DI122" s="3">
        <f t="shared" si="116"/>
        <v>0</v>
      </c>
      <c r="DJ122" s="3">
        <f t="shared" si="116"/>
        <v>0</v>
      </c>
      <c r="DK122" s="3">
        <f t="shared" si="116"/>
        <v>0</v>
      </c>
      <c r="DL122" s="3">
        <f t="shared" si="116"/>
        <v>0</v>
      </c>
      <c r="DM122" s="3">
        <f t="shared" si="116"/>
        <v>0</v>
      </c>
      <c r="DN122" s="3">
        <f t="shared" si="116"/>
        <v>0</v>
      </c>
      <c r="DO122" s="3">
        <f t="shared" si="116"/>
        <v>0</v>
      </c>
      <c r="DP122" s="3">
        <f t="shared" si="116"/>
        <v>0</v>
      </c>
      <c r="DQ122" s="3">
        <f t="shared" si="116"/>
        <v>0</v>
      </c>
      <c r="DR122" s="3">
        <f t="shared" si="116"/>
        <v>0</v>
      </c>
      <c r="DS122" s="3">
        <f t="shared" si="116"/>
        <v>0</v>
      </c>
      <c r="DT122" s="3">
        <f t="shared" si="116"/>
        <v>0</v>
      </c>
      <c r="DU122" s="3">
        <f t="shared" si="116"/>
        <v>0</v>
      </c>
      <c r="DV122" s="3">
        <f t="shared" si="116"/>
        <v>0</v>
      </c>
      <c r="DW122" s="3">
        <f t="shared" si="116"/>
        <v>0</v>
      </c>
      <c r="DX122" s="3">
        <f t="shared" si="116"/>
        <v>0</v>
      </c>
      <c r="DY122" s="3">
        <f t="shared" si="116"/>
        <v>0</v>
      </c>
      <c r="DZ122" s="3">
        <f t="shared" si="116"/>
        <v>0</v>
      </c>
      <c r="EA122" s="3">
        <f t="shared" si="116"/>
        <v>0</v>
      </c>
      <c r="EB122" s="3">
        <f t="shared" si="116"/>
        <v>0</v>
      </c>
      <c r="EC122" s="3">
        <f t="shared" si="116"/>
        <v>0</v>
      </c>
      <c r="ED122" s="3">
        <f t="shared" si="116"/>
        <v>0</v>
      </c>
      <c r="EE122" s="3">
        <f t="shared" si="116"/>
        <v>0</v>
      </c>
      <c r="EF122" s="3">
        <f t="shared" si="116"/>
        <v>0</v>
      </c>
      <c r="EG122" s="3">
        <f t="shared" si="116"/>
        <v>0</v>
      </c>
      <c r="EH122" s="3">
        <f t="shared" si="116"/>
        <v>0</v>
      </c>
      <c r="EI122" s="3">
        <f t="shared" si="116"/>
        <v>0</v>
      </c>
      <c r="EJ122" s="3">
        <f t="shared" si="116"/>
        <v>0</v>
      </c>
      <c r="EK122" s="3">
        <f t="shared" si="116"/>
        <v>0</v>
      </c>
      <c r="EL122" s="3">
        <f t="shared" si="116"/>
        <v>0</v>
      </c>
      <c r="EM122" s="3">
        <f t="shared" ref="EM122:FR122" si="117">EM124</f>
        <v>0</v>
      </c>
      <c r="EN122" s="3">
        <f t="shared" si="117"/>
        <v>0</v>
      </c>
      <c r="EO122" s="3">
        <f t="shared" si="117"/>
        <v>0</v>
      </c>
      <c r="EP122" s="3">
        <f t="shared" si="117"/>
        <v>0</v>
      </c>
      <c r="EQ122" s="3">
        <f t="shared" si="117"/>
        <v>0</v>
      </c>
      <c r="ER122" s="3">
        <f t="shared" si="117"/>
        <v>0</v>
      </c>
      <c r="ES122" s="3">
        <f t="shared" si="117"/>
        <v>0</v>
      </c>
      <c r="ET122" s="3">
        <f t="shared" si="117"/>
        <v>0</v>
      </c>
      <c r="EU122" s="3">
        <f t="shared" si="117"/>
        <v>0</v>
      </c>
      <c r="EV122" s="3">
        <f t="shared" si="117"/>
        <v>0</v>
      </c>
      <c r="EW122" s="3">
        <f t="shared" si="117"/>
        <v>0</v>
      </c>
      <c r="EX122" s="3">
        <f t="shared" si="117"/>
        <v>0</v>
      </c>
      <c r="EY122" s="3">
        <f t="shared" si="117"/>
        <v>0</v>
      </c>
      <c r="EZ122" s="3">
        <f t="shared" si="117"/>
        <v>0</v>
      </c>
      <c r="FA122" s="3">
        <f t="shared" si="117"/>
        <v>0</v>
      </c>
      <c r="FB122" s="3">
        <f t="shared" si="117"/>
        <v>0</v>
      </c>
      <c r="FC122" s="3">
        <f t="shared" si="117"/>
        <v>0</v>
      </c>
      <c r="FD122" s="3">
        <f t="shared" si="117"/>
        <v>0</v>
      </c>
      <c r="FE122" s="3">
        <f t="shared" si="117"/>
        <v>0</v>
      </c>
      <c r="FF122" s="3">
        <f t="shared" si="117"/>
        <v>0</v>
      </c>
      <c r="FG122" s="3">
        <f t="shared" si="117"/>
        <v>0</v>
      </c>
      <c r="FH122" s="3">
        <f t="shared" si="117"/>
        <v>0</v>
      </c>
      <c r="FI122" s="3">
        <f t="shared" si="117"/>
        <v>0</v>
      </c>
      <c r="FJ122" s="3">
        <f t="shared" si="117"/>
        <v>0</v>
      </c>
      <c r="FK122" s="3">
        <f t="shared" si="117"/>
        <v>0</v>
      </c>
      <c r="FL122" s="3">
        <f t="shared" si="117"/>
        <v>0</v>
      </c>
      <c r="FM122" s="3">
        <f t="shared" si="117"/>
        <v>0</v>
      </c>
      <c r="FN122" s="3">
        <f t="shared" si="117"/>
        <v>0</v>
      </c>
      <c r="FO122" s="3">
        <f t="shared" si="117"/>
        <v>0</v>
      </c>
      <c r="FP122" s="3">
        <f t="shared" si="117"/>
        <v>0</v>
      </c>
      <c r="FQ122" s="3">
        <f t="shared" si="117"/>
        <v>0</v>
      </c>
      <c r="FR122" s="3">
        <f t="shared" si="117"/>
        <v>0</v>
      </c>
      <c r="FS122" s="3">
        <f t="shared" ref="FS122:GX122" si="118">FS124</f>
        <v>0</v>
      </c>
      <c r="FT122" s="3">
        <f t="shared" si="118"/>
        <v>0</v>
      </c>
      <c r="FU122" s="3">
        <f t="shared" si="118"/>
        <v>0</v>
      </c>
      <c r="FV122" s="3">
        <f t="shared" si="118"/>
        <v>0</v>
      </c>
      <c r="FW122" s="3">
        <f t="shared" si="118"/>
        <v>0</v>
      </c>
      <c r="FX122" s="3">
        <f t="shared" si="118"/>
        <v>0</v>
      </c>
      <c r="FY122" s="3">
        <f t="shared" si="118"/>
        <v>0</v>
      </c>
      <c r="FZ122" s="3">
        <f t="shared" si="118"/>
        <v>0</v>
      </c>
      <c r="GA122" s="3">
        <f t="shared" si="118"/>
        <v>0</v>
      </c>
      <c r="GB122" s="3">
        <f t="shared" si="118"/>
        <v>0</v>
      </c>
      <c r="GC122" s="3">
        <f t="shared" si="118"/>
        <v>0</v>
      </c>
      <c r="GD122" s="3">
        <f t="shared" si="118"/>
        <v>0</v>
      </c>
      <c r="GE122" s="3">
        <f t="shared" si="118"/>
        <v>0</v>
      </c>
      <c r="GF122" s="3">
        <f t="shared" si="118"/>
        <v>0</v>
      </c>
      <c r="GG122" s="3">
        <f t="shared" si="118"/>
        <v>0</v>
      </c>
      <c r="GH122" s="3">
        <f t="shared" si="118"/>
        <v>0</v>
      </c>
      <c r="GI122" s="3">
        <f t="shared" si="118"/>
        <v>0</v>
      </c>
      <c r="GJ122" s="3">
        <f t="shared" si="118"/>
        <v>0</v>
      </c>
      <c r="GK122" s="3">
        <f t="shared" si="118"/>
        <v>0</v>
      </c>
      <c r="GL122" s="3">
        <f t="shared" si="118"/>
        <v>0</v>
      </c>
      <c r="GM122" s="3">
        <f t="shared" si="118"/>
        <v>0</v>
      </c>
      <c r="GN122" s="3">
        <f t="shared" si="118"/>
        <v>0</v>
      </c>
      <c r="GO122" s="3">
        <f t="shared" si="118"/>
        <v>0</v>
      </c>
      <c r="GP122" s="3">
        <f t="shared" si="118"/>
        <v>0</v>
      </c>
      <c r="GQ122" s="3">
        <f t="shared" si="118"/>
        <v>0</v>
      </c>
      <c r="GR122" s="3">
        <f t="shared" si="118"/>
        <v>0</v>
      </c>
      <c r="GS122" s="3">
        <f t="shared" si="118"/>
        <v>0</v>
      </c>
      <c r="GT122" s="3">
        <f t="shared" si="118"/>
        <v>0</v>
      </c>
      <c r="GU122" s="3">
        <f t="shared" si="118"/>
        <v>0</v>
      </c>
      <c r="GV122" s="3">
        <f t="shared" si="118"/>
        <v>0</v>
      </c>
      <c r="GW122" s="3">
        <f t="shared" si="118"/>
        <v>0</v>
      </c>
      <c r="GX122" s="3">
        <f t="shared" si="118"/>
        <v>0</v>
      </c>
    </row>
    <row r="124" spans="1:206" x14ac:dyDescent="0.2">
      <c r="A124" s="2">
        <v>51</v>
      </c>
      <c r="B124" s="2">
        <f>B120</f>
        <v>1</v>
      </c>
      <c r="C124" s="2">
        <f>A120</f>
        <v>4</v>
      </c>
      <c r="D124" s="2">
        <f>ROW(A120)</f>
        <v>120</v>
      </c>
      <c r="E124" s="2"/>
      <c r="F124" s="2" t="str">
        <f>IF(F120&lt;&gt;"",F120,"")</f>
        <v>Новый раздел</v>
      </c>
      <c r="G124" s="2" t="str">
        <f>IF(G120&lt;&gt;"",G120,"")</f>
        <v>4. А/б покрытие пешеходных тротуаров на новое основание (АТ-1)</v>
      </c>
      <c r="H124" s="2">
        <v>0</v>
      </c>
      <c r="I124" s="2"/>
      <c r="J124" s="2"/>
      <c r="K124" s="2"/>
      <c r="L124" s="2"/>
      <c r="M124" s="2"/>
      <c r="N124" s="2"/>
      <c r="O124" s="2">
        <f t="shared" ref="O124:T124" si="119">ROUND(AB124,2)</f>
        <v>0</v>
      </c>
      <c r="P124" s="2">
        <f t="shared" si="119"/>
        <v>0</v>
      </c>
      <c r="Q124" s="2">
        <f t="shared" si="119"/>
        <v>0</v>
      </c>
      <c r="R124" s="2">
        <f t="shared" si="119"/>
        <v>0</v>
      </c>
      <c r="S124" s="2">
        <f t="shared" si="119"/>
        <v>0</v>
      </c>
      <c r="T124" s="2">
        <f t="shared" si="119"/>
        <v>0</v>
      </c>
      <c r="U124" s="2">
        <f>AH124</f>
        <v>0</v>
      </c>
      <c r="V124" s="2">
        <f>AI124</f>
        <v>0</v>
      </c>
      <c r="W124" s="2">
        <f>ROUND(AJ124,2)</f>
        <v>0</v>
      </c>
      <c r="X124" s="2">
        <f>ROUND(AK124,2)</f>
        <v>0</v>
      </c>
      <c r="Y124" s="2">
        <f>ROUND(AL124,2)</f>
        <v>0</v>
      </c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>
        <f t="shared" ref="AO124:BD124" si="120">ROUND(BX124,2)</f>
        <v>0</v>
      </c>
      <c r="AP124" s="2">
        <f t="shared" si="120"/>
        <v>0</v>
      </c>
      <c r="AQ124" s="2">
        <f t="shared" si="120"/>
        <v>0</v>
      </c>
      <c r="AR124" s="2">
        <f t="shared" si="120"/>
        <v>0</v>
      </c>
      <c r="AS124" s="2">
        <f t="shared" si="120"/>
        <v>0</v>
      </c>
      <c r="AT124" s="2">
        <f t="shared" si="120"/>
        <v>0</v>
      </c>
      <c r="AU124" s="2">
        <f t="shared" si="120"/>
        <v>0</v>
      </c>
      <c r="AV124" s="2">
        <f t="shared" si="120"/>
        <v>0</v>
      </c>
      <c r="AW124" s="2">
        <f t="shared" si="120"/>
        <v>0</v>
      </c>
      <c r="AX124" s="2">
        <f t="shared" si="120"/>
        <v>0</v>
      </c>
      <c r="AY124" s="2">
        <f t="shared" si="120"/>
        <v>0</v>
      </c>
      <c r="AZ124" s="2">
        <f t="shared" si="120"/>
        <v>0</v>
      </c>
      <c r="BA124" s="2">
        <f t="shared" si="120"/>
        <v>0</v>
      </c>
      <c r="BB124" s="2">
        <f t="shared" si="120"/>
        <v>0</v>
      </c>
      <c r="BC124" s="2">
        <f t="shared" si="120"/>
        <v>0</v>
      </c>
      <c r="BD124" s="2">
        <f t="shared" si="120"/>
        <v>0</v>
      </c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>
        <v>0</v>
      </c>
    </row>
    <row r="126" spans="1:206" x14ac:dyDescent="0.2">
      <c r="A126" s="4">
        <v>50</v>
      </c>
      <c r="B126" s="4">
        <v>0</v>
      </c>
      <c r="C126" s="4">
        <v>0</v>
      </c>
      <c r="D126" s="4">
        <v>1</v>
      </c>
      <c r="E126" s="4">
        <v>201</v>
      </c>
      <c r="F126" s="4">
        <f>ROUND(Source!O124,O126)</f>
        <v>0</v>
      </c>
      <c r="G126" s="4" t="s">
        <v>89</v>
      </c>
      <c r="H126" s="4" t="s">
        <v>90</v>
      </c>
      <c r="I126" s="4"/>
      <c r="J126" s="4"/>
      <c r="K126" s="4">
        <v>201</v>
      </c>
      <c r="L126" s="4">
        <v>1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/>
    </row>
    <row r="127" spans="1:206" x14ac:dyDescent="0.2">
      <c r="A127" s="4">
        <v>50</v>
      </c>
      <c r="B127" s="4">
        <v>0</v>
      </c>
      <c r="C127" s="4">
        <v>0</v>
      </c>
      <c r="D127" s="4">
        <v>1</v>
      </c>
      <c r="E127" s="4">
        <v>202</v>
      </c>
      <c r="F127" s="4">
        <f>ROUND(Source!P124,O127)</f>
        <v>0</v>
      </c>
      <c r="G127" s="4" t="s">
        <v>91</v>
      </c>
      <c r="H127" s="4" t="s">
        <v>92</v>
      </c>
      <c r="I127" s="4"/>
      <c r="J127" s="4"/>
      <c r="K127" s="4">
        <v>202</v>
      </c>
      <c r="L127" s="4">
        <v>2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/>
    </row>
    <row r="128" spans="1:206" x14ac:dyDescent="0.2">
      <c r="A128" s="4">
        <v>50</v>
      </c>
      <c r="B128" s="4">
        <v>0</v>
      </c>
      <c r="C128" s="4">
        <v>0</v>
      </c>
      <c r="D128" s="4">
        <v>1</v>
      </c>
      <c r="E128" s="4">
        <v>222</v>
      </c>
      <c r="F128" s="4">
        <f>ROUND(Source!AO124,O128)</f>
        <v>0</v>
      </c>
      <c r="G128" s="4" t="s">
        <v>93</v>
      </c>
      <c r="H128" s="4" t="s">
        <v>94</v>
      </c>
      <c r="I128" s="4"/>
      <c r="J128" s="4"/>
      <c r="K128" s="4">
        <v>222</v>
      </c>
      <c r="L128" s="4">
        <v>3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/>
    </row>
    <row r="129" spans="1:23" x14ac:dyDescent="0.2">
      <c r="A129" s="4">
        <v>50</v>
      </c>
      <c r="B129" s="4">
        <v>0</v>
      </c>
      <c r="C129" s="4">
        <v>0</v>
      </c>
      <c r="D129" s="4">
        <v>1</v>
      </c>
      <c r="E129" s="4">
        <v>225</v>
      </c>
      <c r="F129" s="4">
        <f>ROUND(Source!AV124,O129)</f>
        <v>0</v>
      </c>
      <c r="G129" s="4" t="s">
        <v>95</v>
      </c>
      <c r="H129" s="4" t="s">
        <v>96</v>
      </c>
      <c r="I129" s="4"/>
      <c r="J129" s="4"/>
      <c r="K129" s="4">
        <v>225</v>
      </c>
      <c r="L129" s="4">
        <v>4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/>
    </row>
    <row r="130" spans="1:23" x14ac:dyDescent="0.2">
      <c r="A130" s="4">
        <v>50</v>
      </c>
      <c r="B130" s="4">
        <v>0</v>
      </c>
      <c r="C130" s="4">
        <v>0</v>
      </c>
      <c r="D130" s="4">
        <v>1</v>
      </c>
      <c r="E130" s="4">
        <v>226</v>
      </c>
      <c r="F130" s="4">
        <f>ROUND(Source!AW124,O130)</f>
        <v>0</v>
      </c>
      <c r="G130" s="4" t="s">
        <v>97</v>
      </c>
      <c r="H130" s="4" t="s">
        <v>98</v>
      </c>
      <c r="I130" s="4"/>
      <c r="J130" s="4"/>
      <c r="K130" s="4">
        <v>226</v>
      </c>
      <c r="L130" s="4">
        <v>5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/>
    </row>
    <row r="131" spans="1:23" x14ac:dyDescent="0.2">
      <c r="A131" s="4">
        <v>50</v>
      </c>
      <c r="B131" s="4">
        <v>0</v>
      </c>
      <c r="C131" s="4">
        <v>0</v>
      </c>
      <c r="D131" s="4">
        <v>1</v>
      </c>
      <c r="E131" s="4">
        <v>227</v>
      </c>
      <c r="F131" s="4">
        <f>ROUND(Source!AX124,O131)</f>
        <v>0</v>
      </c>
      <c r="G131" s="4" t="s">
        <v>99</v>
      </c>
      <c r="H131" s="4" t="s">
        <v>100</v>
      </c>
      <c r="I131" s="4"/>
      <c r="J131" s="4"/>
      <c r="K131" s="4">
        <v>227</v>
      </c>
      <c r="L131" s="4">
        <v>6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23" x14ac:dyDescent="0.2">
      <c r="A132" s="4">
        <v>50</v>
      </c>
      <c r="B132" s="4">
        <v>0</v>
      </c>
      <c r="C132" s="4">
        <v>0</v>
      </c>
      <c r="D132" s="4">
        <v>1</v>
      </c>
      <c r="E132" s="4">
        <v>228</v>
      </c>
      <c r="F132" s="4">
        <f>ROUND(Source!AY124,O132)</f>
        <v>0</v>
      </c>
      <c r="G132" s="4" t="s">
        <v>101</v>
      </c>
      <c r="H132" s="4" t="s">
        <v>102</v>
      </c>
      <c r="I132" s="4"/>
      <c r="J132" s="4"/>
      <c r="K132" s="4">
        <v>228</v>
      </c>
      <c r="L132" s="4">
        <v>7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23" x14ac:dyDescent="0.2">
      <c r="A133" s="4">
        <v>50</v>
      </c>
      <c r="B133" s="4">
        <v>0</v>
      </c>
      <c r="C133" s="4">
        <v>0</v>
      </c>
      <c r="D133" s="4">
        <v>1</v>
      </c>
      <c r="E133" s="4">
        <v>216</v>
      </c>
      <c r="F133" s="4">
        <f>ROUND(Source!AP124,O133)</f>
        <v>0</v>
      </c>
      <c r="G133" s="4" t="s">
        <v>103</v>
      </c>
      <c r="H133" s="4" t="s">
        <v>104</v>
      </c>
      <c r="I133" s="4"/>
      <c r="J133" s="4"/>
      <c r="K133" s="4">
        <v>216</v>
      </c>
      <c r="L133" s="4">
        <v>8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3" x14ac:dyDescent="0.2">
      <c r="A134" s="4">
        <v>50</v>
      </c>
      <c r="B134" s="4">
        <v>0</v>
      </c>
      <c r="C134" s="4">
        <v>0</v>
      </c>
      <c r="D134" s="4">
        <v>1</v>
      </c>
      <c r="E134" s="4">
        <v>223</v>
      </c>
      <c r="F134" s="4">
        <f>ROUND(Source!AQ124,O134)</f>
        <v>0</v>
      </c>
      <c r="G134" s="4" t="s">
        <v>105</v>
      </c>
      <c r="H134" s="4" t="s">
        <v>106</v>
      </c>
      <c r="I134" s="4"/>
      <c r="J134" s="4"/>
      <c r="K134" s="4">
        <v>223</v>
      </c>
      <c r="L134" s="4">
        <v>9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3" x14ac:dyDescent="0.2">
      <c r="A135" s="4">
        <v>50</v>
      </c>
      <c r="B135" s="4">
        <v>0</v>
      </c>
      <c r="C135" s="4">
        <v>0</v>
      </c>
      <c r="D135" s="4">
        <v>1</v>
      </c>
      <c r="E135" s="4">
        <v>229</v>
      </c>
      <c r="F135" s="4">
        <f>ROUND(Source!AZ124,O135)</f>
        <v>0</v>
      </c>
      <c r="G135" s="4" t="s">
        <v>107</v>
      </c>
      <c r="H135" s="4" t="s">
        <v>108</v>
      </c>
      <c r="I135" s="4"/>
      <c r="J135" s="4"/>
      <c r="K135" s="4">
        <v>229</v>
      </c>
      <c r="L135" s="4">
        <v>10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3" x14ac:dyDescent="0.2">
      <c r="A136" s="4">
        <v>50</v>
      </c>
      <c r="B136" s="4">
        <v>0</v>
      </c>
      <c r="C136" s="4">
        <v>0</v>
      </c>
      <c r="D136" s="4">
        <v>1</v>
      </c>
      <c r="E136" s="4">
        <v>203</v>
      </c>
      <c r="F136" s="4">
        <f>ROUND(Source!Q124,O136)</f>
        <v>0</v>
      </c>
      <c r="G136" s="4" t="s">
        <v>109</v>
      </c>
      <c r="H136" s="4" t="s">
        <v>110</v>
      </c>
      <c r="I136" s="4"/>
      <c r="J136" s="4"/>
      <c r="K136" s="4">
        <v>203</v>
      </c>
      <c r="L136" s="4">
        <v>11</v>
      </c>
      <c r="M136" s="4">
        <v>3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/>
    </row>
    <row r="137" spans="1:23" x14ac:dyDescent="0.2">
      <c r="A137" s="4">
        <v>50</v>
      </c>
      <c r="B137" s="4">
        <v>0</v>
      </c>
      <c r="C137" s="4">
        <v>0</v>
      </c>
      <c r="D137" s="4">
        <v>1</v>
      </c>
      <c r="E137" s="4">
        <v>231</v>
      </c>
      <c r="F137" s="4">
        <f>ROUND(Source!BB124,O137)</f>
        <v>0</v>
      </c>
      <c r="G137" s="4" t="s">
        <v>111</v>
      </c>
      <c r="H137" s="4" t="s">
        <v>112</v>
      </c>
      <c r="I137" s="4"/>
      <c r="J137" s="4"/>
      <c r="K137" s="4">
        <v>231</v>
      </c>
      <c r="L137" s="4">
        <v>12</v>
      </c>
      <c r="M137" s="4">
        <v>3</v>
      </c>
      <c r="N137" s="4" t="s">
        <v>3</v>
      </c>
      <c r="O137" s="4">
        <v>2</v>
      </c>
      <c r="P137" s="4"/>
      <c r="Q137" s="4"/>
      <c r="R137" s="4"/>
      <c r="S137" s="4"/>
      <c r="T137" s="4"/>
      <c r="U137" s="4"/>
      <c r="V137" s="4"/>
      <c r="W137" s="4"/>
    </row>
    <row r="138" spans="1:23" x14ac:dyDescent="0.2">
      <c r="A138" s="4">
        <v>50</v>
      </c>
      <c r="B138" s="4">
        <v>0</v>
      </c>
      <c r="C138" s="4">
        <v>0</v>
      </c>
      <c r="D138" s="4">
        <v>1</v>
      </c>
      <c r="E138" s="4">
        <v>204</v>
      </c>
      <c r="F138" s="4">
        <f>ROUND(Source!R124,O138)</f>
        <v>0</v>
      </c>
      <c r="G138" s="4" t="s">
        <v>113</v>
      </c>
      <c r="H138" s="4" t="s">
        <v>114</v>
      </c>
      <c r="I138" s="4"/>
      <c r="J138" s="4"/>
      <c r="K138" s="4">
        <v>204</v>
      </c>
      <c r="L138" s="4">
        <v>13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23" x14ac:dyDescent="0.2">
      <c r="A139" s="4">
        <v>50</v>
      </c>
      <c r="B139" s="4">
        <v>0</v>
      </c>
      <c r="C139" s="4">
        <v>0</v>
      </c>
      <c r="D139" s="4">
        <v>1</v>
      </c>
      <c r="E139" s="4">
        <v>205</v>
      </c>
      <c r="F139" s="4">
        <f>ROUND(Source!S124,O139)</f>
        <v>0</v>
      </c>
      <c r="G139" s="4" t="s">
        <v>115</v>
      </c>
      <c r="H139" s="4" t="s">
        <v>116</v>
      </c>
      <c r="I139" s="4"/>
      <c r="J139" s="4"/>
      <c r="K139" s="4">
        <v>205</v>
      </c>
      <c r="L139" s="4">
        <v>14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3" x14ac:dyDescent="0.2">
      <c r="A140" s="4">
        <v>50</v>
      </c>
      <c r="B140" s="4">
        <v>0</v>
      </c>
      <c r="C140" s="4">
        <v>0</v>
      </c>
      <c r="D140" s="4">
        <v>1</v>
      </c>
      <c r="E140" s="4">
        <v>232</v>
      </c>
      <c r="F140" s="4">
        <f>ROUND(Source!BC124,O140)</f>
        <v>0</v>
      </c>
      <c r="G140" s="4" t="s">
        <v>117</v>
      </c>
      <c r="H140" s="4" t="s">
        <v>118</v>
      </c>
      <c r="I140" s="4"/>
      <c r="J140" s="4"/>
      <c r="K140" s="4">
        <v>232</v>
      </c>
      <c r="L140" s="4">
        <v>15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3" x14ac:dyDescent="0.2">
      <c r="A141" s="4">
        <v>50</v>
      </c>
      <c r="B141" s="4">
        <v>0</v>
      </c>
      <c r="C141" s="4">
        <v>0</v>
      </c>
      <c r="D141" s="4">
        <v>1</v>
      </c>
      <c r="E141" s="4">
        <v>214</v>
      </c>
      <c r="F141" s="4">
        <f>ROUND(Source!AS124,O141)</f>
        <v>0</v>
      </c>
      <c r="G141" s="4" t="s">
        <v>119</v>
      </c>
      <c r="H141" s="4" t="s">
        <v>120</v>
      </c>
      <c r="I141" s="4"/>
      <c r="J141" s="4"/>
      <c r="K141" s="4">
        <v>214</v>
      </c>
      <c r="L141" s="4">
        <v>16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3" x14ac:dyDescent="0.2">
      <c r="A142" s="4">
        <v>50</v>
      </c>
      <c r="B142" s="4">
        <v>0</v>
      </c>
      <c r="C142" s="4">
        <v>0</v>
      </c>
      <c r="D142" s="4">
        <v>1</v>
      </c>
      <c r="E142" s="4">
        <v>215</v>
      </c>
      <c r="F142" s="4">
        <f>ROUND(Source!AT124,O142)</f>
        <v>0</v>
      </c>
      <c r="G142" s="4" t="s">
        <v>121</v>
      </c>
      <c r="H142" s="4" t="s">
        <v>122</v>
      </c>
      <c r="I142" s="4"/>
      <c r="J142" s="4"/>
      <c r="K142" s="4">
        <v>215</v>
      </c>
      <c r="L142" s="4">
        <v>17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3" spans="1:23" x14ac:dyDescent="0.2">
      <c r="A143" s="4">
        <v>50</v>
      </c>
      <c r="B143" s="4">
        <v>0</v>
      </c>
      <c r="C143" s="4">
        <v>0</v>
      </c>
      <c r="D143" s="4">
        <v>1</v>
      </c>
      <c r="E143" s="4">
        <v>217</v>
      </c>
      <c r="F143" s="4">
        <f>ROUND(Source!AU124,O143)</f>
        <v>0</v>
      </c>
      <c r="G143" s="4" t="s">
        <v>123</v>
      </c>
      <c r="H143" s="4" t="s">
        <v>124</v>
      </c>
      <c r="I143" s="4"/>
      <c r="J143" s="4"/>
      <c r="K143" s="4">
        <v>217</v>
      </c>
      <c r="L143" s="4">
        <v>18</v>
      </c>
      <c r="M143" s="4">
        <v>3</v>
      </c>
      <c r="N143" s="4" t="s">
        <v>3</v>
      </c>
      <c r="O143" s="4">
        <v>2</v>
      </c>
      <c r="P143" s="4"/>
      <c r="Q143" s="4"/>
      <c r="R143" s="4"/>
      <c r="S143" s="4"/>
      <c r="T143" s="4"/>
      <c r="U143" s="4"/>
      <c r="V143" s="4"/>
      <c r="W143" s="4"/>
    </row>
    <row r="144" spans="1:23" x14ac:dyDescent="0.2">
      <c r="A144" s="4">
        <v>50</v>
      </c>
      <c r="B144" s="4">
        <v>0</v>
      </c>
      <c r="C144" s="4">
        <v>0</v>
      </c>
      <c r="D144" s="4">
        <v>1</v>
      </c>
      <c r="E144" s="4">
        <v>230</v>
      </c>
      <c r="F144" s="4">
        <f>ROUND(Source!BA124,O144)</f>
        <v>0</v>
      </c>
      <c r="G144" s="4" t="s">
        <v>125</v>
      </c>
      <c r="H144" s="4" t="s">
        <v>126</v>
      </c>
      <c r="I144" s="4"/>
      <c r="J144" s="4"/>
      <c r="K144" s="4">
        <v>230</v>
      </c>
      <c r="L144" s="4">
        <v>19</v>
      </c>
      <c r="M144" s="4">
        <v>3</v>
      </c>
      <c r="N144" s="4" t="s">
        <v>3</v>
      </c>
      <c r="O144" s="4">
        <v>2</v>
      </c>
      <c r="P144" s="4"/>
      <c r="Q144" s="4"/>
      <c r="R144" s="4"/>
      <c r="S144" s="4"/>
      <c r="T144" s="4"/>
      <c r="U144" s="4"/>
      <c r="V144" s="4"/>
      <c r="W144" s="4"/>
    </row>
    <row r="145" spans="1:245" x14ac:dyDescent="0.2">
      <c r="A145" s="4">
        <v>50</v>
      </c>
      <c r="B145" s="4">
        <v>0</v>
      </c>
      <c r="C145" s="4">
        <v>0</v>
      </c>
      <c r="D145" s="4">
        <v>1</v>
      </c>
      <c r="E145" s="4">
        <v>206</v>
      </c>
      <c r="F145" s="4">
        <f>ROUND(Source!T124,O145)</f>
        <v>0</v>
      </c>
      <c r="G145" s="4" t="s">
        <v>127</v>
      </c>
      <c r="H145" s="4" t="s">
        <v>128</v>
      </c>
      <c r="I145" s="4"/>
      <c r="J145" s="4"/>
      <c r="K145" s="4">
        <v>206</v>
      </c>
      <c r="L145" s="4">
        <v>20</v>
      </c>
      <c r="M145" s="4">
        <v>3</v>
      </c>
      <c r="N145" s="4" t="s">
        <v>3</v>
      </c>
      <c r="O145" s="4">
        <v>2</v>
      </c>
      <c r="P145" s="4"/>
      <c r="Q145" s="4"/>
      <c r="R145" s="4"/>
      <c r="S145" s="4"/>
      <c r="T145" s="4"/>
      <c r="U145" s="4"/>
      <c r="V145" s="4"/>
      <c r="W145" s="4"/>
    </row>
    <row r="146" spans="1:245" x14ac:dyDescent="0.2">
      <c r="A146" s="4">
        <v>50</v>
      </c>
      <c r="B146" s="4">
        <v>0</v>
      </c>
      <c r="C146" s="4">
        <v>0</v>
      </c>
      <c r="D146" s="4">
        <v>1</v>
      </c>
      <c r="E146" s="4">
        <v>207</v>
      </c>
      <c r="F146" s="4">
        <f>Source!U124</f>
        <v>0</v>
      </c>
      <c r="G146" s="4" t="s">
        <v>129</v>
      </c>
      <c r="H146" s="4" t="s">
        <v>130</v>
      </c>
      <c r="I146" s="4"/>
      <c r="J146" s="4"/>
      <c r="K146" s="4">
        <v>207</v>
      </c>
      <c r="L146" s="4">
        <v>21</v>
      </c>
      <c r="M146" s="4">
        <v>3</v>
      </c>
      <c r="N146" s="4" t="s">
        <v>3</v>
      </c>
      <c r="O146" s="4">
        <v>-1</v>
      </c>
      <c r="P146" s="4"/>
      <c r="Q146" s="4"/>
      <c r="R146" s="4"/>
      <c r="S146" s="4"/>
      <c r="T146" s="4"/>
      <c r="U146" s="4"/>
      <c r="V146" s="4"/>
      <c r="W146" s="4"/>
    </row>
    <row r="147" spans="1:245" x14ac:dyDescent="0.2">
      <c r="A147" s="4">
        <v>50</v>
      </c>
      <c r="B147" s="4">
        <v>0</v>
      </c>
      <c r="C147" s="4">
        <v>0</v>
      </c>
      <c r="D147" s="4">
        <v>1</v>
      </c>
      <c r="E147" s="4">
        <v>208</v>
      </c>
      <c r="F147" s="4">
        <f>Source!V124</f>
        <v>0</v>
      </c>
      <c r="G147" s="4" t="s">
        <v>131</v>
      </c>
      <c r="H147" s="4" t="s">
        <v>132</v>
      </c>
      <c r="I147" s="4"/>
      <c r="J147" s="4"/>
      <c r="K147" s="4">
        <v>208</v>
      </c>
      <c r="L147" s="4">
        <v>22</v>
      </c>
      <c r="M147" s="4">
        <v>3</v>
      </c>
      <c r="N147" s="4" t="s">
        <v>3</v>
      </c>
      <c r="O147" s="4">
        <v>-1</v>
      </c>
      <c r="P147" s="4"/>
      <c r="Q147" s="4"/>
      <c r="R147" s="4"/>
      <c r="S147" s="4"/>
      <c r="T147" s="4"/>
      <c r="U147" s="4"/>
      <c r="V147" s="4"/>
      <c r="W147" s="4"/>
    </row>
    <row r="148" spans="1:245" x14ac:dyDescent="0.2">
      <c r="A148" s="4">
        <v>50</v>
      </c>
      <c r="B148" s="4">
        <v>0</v>
      </c>
      <c r="C148" s="4">
        <v>0</v>
      </c>
      <c r="D148" s="4">
        <v>1</v>
      </c>
      <c r="E148" s="4">
        <v>209</v>
      </c>
      <c r="F148" s="4">
        <f>ROUND(Source!W124,O148)</f>
        <v>0</v>
      </c>
      <c r="G148" s="4" t="s">
        <v>133</v>
      </c>
      <c r="H148" s="4" t="s">
        <v>134</v>
      </c>
      <c r="I148" s="4"/>
      <c r="J148" s="4"/>
      <c r="K148" s="4">
        <v>209</v>
      </c>
      <c r="L148" s="4">
        <v>23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/>
    </row>
    <row r="149" spans="1:245" x14ac:dyDescent="0.2">
      <c r="A149" s="4">
        <v>50</v>
      </c>
      <c r="B149" s="4">
        <v>0</v>
      </c>
      <c r="C149" s="4">
        <v>0</v>
      </c>
      <c r="D149" s="4">
        <v>1</v>
      </c>
      <c r="E149" s="4">
        <v>233</v>
      </c>
      <c r="F149" s="4">
        <f>ROUND(Source!BD124,O149)</f>
        <v>0</v>
      </c>
      <c r="G149" s="4" t="s">
        <v>135</v>
      </c>
      <c r="H149" s="4" t="s">
        <v>136</v>
      </c>
      <c r="I149" s="4"/>
      <c r="J149" s="4"/>
      <c r="K149" s="4">
        <v>233</v>
      </c>
      <c r="L149" s="4">
        <v>24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/>
    </row>
    <row r="150" spans="1:245" x14ac:dyDescent="0.2">
      <c r="A150" s="4">
        <v>50</v>
      </c>
      <c r="B150" s="4">
        <v>0</v>
      </c>
      <c r="C150" s="4">
        <v>0</v>
      </c>
      <c r="D150" s="4">
        <v>1</v>
      </c>
      <c r="E150" s="4">
        <v>210</v>
      </c>
      <c r="F150" s="4">
        <f>ROUND(Source!X124,O150)</f>
        <v>0</v>
      </c>
      <c r="G150" s="4" t="s">
        <v>137</v>
      </c>
      <c r="H150" s="4" t="s">
        <v>138</v>
      </c>
      <c r="I150" s="4"/>
      <c r="J150" s="4"/>
      <c r="K150" s="4">
        <v>210</v>
      </c>
      <c r="L150" s="4">
        <v>25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/>
    </row>
    <row r="151" spans="1:245" x14ac:dyDescent="0.2">
      <c r="A151" s="4">
        <v>50</v>
      </c>
      <c r="B151" s="4">
        <v>0</v>
      </c>
      <c r="C151" s="4">
        <v>0</v>
      </c>
      <c r="D151" s="4">
        <v>1</v>
      </c>
      <c r="E151" s="4">
        <v>211</v>
      </c>
      <c r="F151" s="4">
        <f>ROUND(Source!Y124,O151)</f>
        <v>0</v>
      </c>
      <c r="G151" s="4" t="s">
        <v>139</v>
      </c>
      <c r="H151" s="4" t="s">
        <v>140</v>
      </c>
      <c r="I151" s="4"/>
      <c r="J151" s="4"/>
      <c r="K151" s="4">
        <v>211</v>
      </c>
      <c r="L151" s="4">
        <v>26</v>
      </c>
      <c r="M151" s="4">
        <v>3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/>
    </row>
    <row r="152" spans="1:245" x14ac:dyDescent="0.2">
      <c r="A152" s="4">
        <v>50</v>
      </c>
      <c r="B152" s="4">
        <v>0</v>
      </c>
      <c r="C152" s="4">
        <v>0</v>
      </c>
      <c r="D152" s="4">
        <v>1</v>
      </c>
      <c r="E152" s="4">
        <v>224</v>
      </c>
      <c r="F152" s="4">
        <f>ROUND(Source!AR124,O152)</f>
        <v>0</v>
      </c>
      <c r="G152" s="4" t="s">
        <v>141</v>
      </c>
      <c r="H152" s="4" t="s">
        <v>142</v>
      </c>
      <c r="I152" s="4"/>
      <c r="J152" s="4"/>
      <c r="K152" s="4">
        <v>224</v>
      </c>
      <c r="L152" s="4">
        <v>27</v>
      </c>
      <c r="M152" s="4">
        <v>3</v>
      </c>
      <c r="N152" s="4" t="s">
        <v>3</v>
      </c>
      <c r="O152" s="4">
        <v>2</v>
      </c>
      <c r="P152" s="4"/>
      <c r="Q152" s="4"/>
      <c r="R152" s="4"/>
      <c r="S152" s="4"/>
      <c r="T152" s="4"/>
      <c r="U152" s="4"/>
      <c r="V152" s="4"/>
      <c r="W152" s="4"/>
    </row>
    <row r="154" spans="1:245" x14ac:dyDescent="0.2">
      <c r="A154" s="1">
        <v>4</v>
      </c>
      <c r="B154" s="1">
        <v>1</v>
      </c>
      <c r="C154" s="1"/>
      <c r="D154" s="1">
        <f>ROW(A167)</f>
        <v>167</v>
      </c>
      <c r="E154" s="1"/>
      <c r="F154" s="1" t="s">
        <v>13</v>
      </c>
      <c r="G154" s="1" t="s">
        <v>172</v>
      </c>
      <c r="H154" s="1" t="s">
        <v>3</v>
      </c>
      <c r="I154" s="1">
        <v>0</v>
      </c>
      <c r="J154" s="1"/>
      <c r="K154" s="1">
        <v>0</v>
      </c>
      <c r="L154" s="1"/>
      <c r="M154" s="1"/>
      <c r="N154" s="1"/>
      <c r="O154" s="1"/>
      <c r="P154" s="1"/>
      <c r="Q154" s="1"/>
      <c r="R154" s="1"/>
      <c r="S154" s="1"/>
      <c r="T154" s="1"/>
      <c r="U154" s="1" t="s">
        <v>3</v>
      </c>
      <c r="V154" s="1">
        <v>0</v>
      </c>
      <c r="W154" s="1"/>
      <c r="X154" s="1"/>
      <c r="Y154" s="1"/>
      <c r="Z154" s="1"/>
      <c r="AA154" s="1"/>
      <c r="AB154" s="1" t="s">
        <v>3</v>
      </c>
      <c r="AC154" s="1" t="s">
        <v>3</v>
      </c>
      <c r="AD154" s="1" t="s">
        <v>3</v>
      </c>
      <c r="AE154" s="1" t="s">
        <v>3</v>
      </c>
      <c r="AF154" s="1" t="s">
        <v>3</v>
      </c>
      <c r="AG154" s="1" t="s">
        <v>3</v>
      </c>
      <c r="AH154" s="1"/>
      <c r="AI154" s="1"/>
      <c r="AJ154" s="1"/>
      <c r="AK154" s="1"/>
      <c r="AL154" s="1"/>
      <c r="AM154" s="1"/>
      <c r="AN154" s="1"/>
      <c r="AO154" s="1"/>
      <c r="AP154" s="1" t="s">
        <v>3</v>
      </c>
      <c r="AQ154" s="1" t="s">
        <v>3</v>
      </c>
      <c r="AR154" s="1" t="s">
        <v>3</v>
      </c>
      <c r="AS154" s="1"/>
      <c r="AT154" s="1"/>
      <c r="AU154" s="1"/>
      <c r="AV154" s="1"/>
      <c r="AW154" s="1"/>
      <c r="AX154" s="1"/>
      <c r="AY154" s="1"/>
      <c r="AZ154" s="1" t="s">
        <v>3</v>
      </c>
      <c r="BA154" s="1"/>
      <c r="BB154" s="1" t="s">
        <v>3</v>
      </c>
      <c r="BC154" s="1" t="s">
        <v>3</v>
      </c>
      <c r="BD154" s="1" t="s">
        <v>3</v>
      </c>
      <c r="BE154" s="1" t="s">
        <v>3</v>
      </c>
      <c r="BF154" s="1" t="s">
        <v>3</v>
      </c>
      <c r="BG154" s="1" t="s">
        <v>3</v>
      </c>
      <c r="BH154" s="1" t="s">
        <v>3</v>
      </c>
      <c r="BI154" s="1" t="s">
        <v>3</v>
      </c>
      <c r="BJ154" s="1" t="s">
        <v>3</v>
      </c>
      <c r="BK154" s="1" t="s">
        <v>3</v>
      </c>
      <c r="BL154" s="1" t="s">
        <v>3</v>
      </c>
      <c r="BM154" s="1" t="s">
        <v>3</v>
      </c>
      <c r="BN154" s="1" t="s">
        <v>3</v>
      </c>
      <c r="BO154" s="1" t="s">
        <v>3</v>
      </c>
      <c r="BP154" s="1" t="s">
        <v>3</v>
      </c>
      <c r="BQ154" s="1"/>
      <c r="BR154" s="1"/>
      <c r="BS154" s="1"/>
      <c r="BT154" s="1"/>
      <c r="BU154" s="1"/>
      <c r="BV154" s="1"/>
      <c r="BW154" s="1"/>
      <c r="BX154" s="1">
        <v>0</v>
      </c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>
        <v>0</v>
      </c>
    </row>
    <row r="156" spans="1:245" x14ac:dyDescent="0.2">
      <c r="A156" s="2">
        <v>52</v>
      </c>
      <c r="B156" s="2">
        <f t="shared" ref="B156:G156" si="121">B167</f>
        <v>1</v>
      </c>
      <c r="C156" s="2">
        <f t="shared" si="121"/>
        <v>4</v>
      </c>
      <c r="D156" s="2">
        <f t="shared" si="121"/>
        <v>154</v>
      </c>
      <c r="E156" s="2">
        <f t="shared" si="121"/>
        <v>0</v>
      </c>
      <c r="F156" s="2" t="str">
        <f t="shared" si="121"/>
        <v>Новый раздел</v>
      </c>
      <c r="G156" s="2" t="str">
        <f t="shared" si="121"/>
        <v>5.1. Установка дорожного бортового камня БР 100.30.15 с разборкой</v>
      </c>
      <c r="H156" s="2"/>
      <c r="I156" s="2"/>
      <c r="J156" s="2"/>
      <c r="K156" s="2"/>
      <c r="L156" s="2"/>
      <c r="M156" s="2"/>
      <c r="N156" s="2"/>
      <c r="O156" s="2">
        <f t="shared" ref="O156:AT156" si="122">O167</f>
        <v>2345527.34</v>
      </c>
      <c r="P156" s="2">
        <f t="shared" si="122"/>
        <v>898186.68</v>
      </c>
      <c r="Q156" s="2">
        <f t="shared" si="122"/>
        <v>33724.11</v>
      </c>
      <c r="R156" s="2">
        <f t="shared" si="122"/>
        <v>9496.0499999999993</v>
      </c>
      <c r="S156" s="2">
        <f t="shared" si="122"/>
        <v>1413616.55</v>
      </c>
      <c r="T156" s="2">
        <f t="shared" si="122"/>
        <v>0</v>
      </c>
      <c r="U156" s="2">
        <f t="shared" si="122"/>
        <v>5209.5676256000006</v>
      </c>
      <c r="V156" s="2">
        <f t="shared" si="122"/>
        <v>0</v>
      </c>
      <c r="W156" s="2">
        <f t="shared" si="122"/>
        <v>0</v>
      </c>
      <c r="X156" s="2">
        <f t="shared" si="122"/>
        <v>1376817.85</v>
      </c>
      <c r="Y156" s="2">
        <f t="shared" si="122"/>
        <v>665126.59</v>
      </c>
      <c r="Z156" s="2">
        <f t="shared" si="122"/>
        <v>0</v>
      </c>
      <c r="AA156" s="2">
        <f t="shared" si="122"/>
        <v>0</v>
      </c>
      <c r="AB156" s="2">
        <f t="shared" si="122"/>
        <v>2345527.34</v>
      </c>
      <c r="AC156" s="2">
        <f t="shared" si="122"/>
        <v>898186.68</v>
      </c>
      <c r="AD156" s="2">
        <f t="shared" si="122"/>
        <v>33724.11</v>
      </c>
      <c r="AE156" s="2">
        <f t="shared" si="122"/>
        <v>9496.0499999999993</v>
      </c>
      <c r="AF156" s="2">
        <f t="shared" si="122"/>
        <v>1413616.55</v>
      </c>
      <c r="AG156" s="2">
        <f t="shared" si="122"/>
        <v>0</v>
      </c>
      <c r="AH156" s="2">
        <f t="shared" si="122"/>
        <v>5209.5676256000006</v>
      </c>
      <c r="AI156" s="2">
        <f t="shared" si="122"/>
        <v>0</v>
      </c>
      <c r="AJ156" s="2">
        <f t="shared" si="122"/>
        <v>0</v>
      </c>
      <c r="AK156" s="2">
        <f t="shared" si="122"/>
        <v>1376817.85</v>
      </c>
      <c r="AL156" s="2">
        <f t="shared" si="122"/>
        <v>665126.59</v>
      </c>
      <c r="AM156" s="2">
        <f t="shared" si="122"/>
        <v>0</v>
      </c>
      <c r="AN156" s="2">
        <f t="shared" si="122"/>
        <v>0</v>
      </c>
      <c r="AO156" s="2">
        <f t="shared" si="122"/>
        <v>0</v>
      </c>
      <c r="AP156" s="2">
        <f t="shared" si="122"/>
        <v>0</v>
      </c>
      <c r="AQ156" s="2">
        <f t="shared" si="122"/>
        <v>0</v>
      </c>
      <c r="AR156" s="2">
        <f t="shared" si="122"/>
        <v>4402380.58</v>
      </c>
      <c r="AS156" s="2">
        <f t="shared" si="122"/>
        <v>4402380.58</v>
      </c>
      <c r="AT156" s="2">
        <f t="shared" si="122"/>
        <v>0</v>
      </c>
      <c r="AU156" s="2">
        <f t="shared" ref="AU156:BZ156" si="123">AU167</f>
        <v>0</v>
      </c>
      <c r="AV156" s="2">
        <f t="shared" si="123"/>
        <v>898186.68</v>
      </c>
      <c r="AW156" s="2">
        <f t="shared" si="123"/>
        <v>898186.68</v>
      </c>
      <c r="AX156" s="2">
        <f t="shared" si="123"/>
        <v>0</v>
      </c>
      <c r="AY156" s="2">
        <f t="shared" si="123"/>
        <v>898186.68</v>
      </c>
      <c r="AZ156" s="2">
        <f t="shared" si="123"/>
        <v>0</v>
      </c>
      <c r="BA156" s="2">
        <f t="shared" si="123"/>
        <v>0</v>
      </c>
      <c r="BB156" s="2">
        <f t="shared" si="123"/>
        <v>0</v>
      </c>
      <c r="BC156" s="2">
        <f t="shared" si="123"/>
        <v>0</v>
      </c>
      <c r="BD156" s="2">
        <f t="shared" si="123"/>
        <v>0</v>
      </c>
      <c r="BE156" s="2">
        <f t="shared" si="123"/>
        <v>0</v>
      </c>
      <c r="BF156" s="2">
        <f t="shared" si="123"/>
        <v>0</v>
      </c>
      <c r="BG156" s="2">
        <f t="shared" si="123"/>
        <v>0</v>
      </c>
      <c r="BH156" s="2">
        <f t="shared" si="123"/>
        <v>0</v>
      </c>
      <c r="BI156" s="2">
        <f t="shared" si="123"/>
        <v>0</v>
      </c>
      <c r="BJ156" s="2">
        <f t="shared" si="123"/>
        <v>0</v>
      </c>
      <c r="BK156" s="2">
        <f t="shared" si="123"/>
        <v>0</v>
      </c>
      <c r="BL156" s="2">
        <f t="shared" si="123"/>
        <v>0</v>
      </c>
      <c r="BM156" s="2">
        <f t="shared" si="123"/>
        <v>0</v>
      </c>
      <c r="BN156" s="2">
        <f t="shared" si="123"/>
        <v>0</v>
      </c>
      <c r="BO156" s="2">
        <f t="shared" si="123"/>
        <v>0</v>
      </c>
      <c r="BP156" s="2">
        <f t="shared" si="123"/>
        <v>0</v>
      </c>
      <c r="BQ156" s="2">
        <f t="shared" si="123"/>
        <v>0</v>
      </c>
      <c r="BR156" s="2">
        <f t="shared" si="123"/>
        <v>0</v>
      </c>
      <c r="BS156" s="2">
        <f t="shared" si="123"/>
        <v>0</v>
      </c>
      <c r="BT156" s="2">
        <f t="shared" si="123"/>
        <v>0</v>
      </c>
      <c r="BU156" s="2">
        <f t="shared" si="123"/>
        <v>0</v>
      </c>
      <c r="BV156" s="2">
        <f t="shared" si="123"/>
        <v>0</v>
      </c>
      <c r="BW156" s="2">
        <f t="shared" si="123"/>
        <v>0</v>
      </c>
      <c r="BX156" s="2">
        <f t="shared" si="123"/>
        <v>0</v>
      </c>
      <c r="BY156" s="2">
        <f t="shared" si="123"/>
        <v>0</v>
      </c>
      <c r="BZ156" s="2">
        <f t="shared" si="123"/>
        <v>0</v>
      </c>
      <c r="CA156" s="2">
        <f t="shared" ref="CA156:DF156" si="124">CA167</f>
        <v>4402380.58</v>
      </c>
      <c r="CB156" s="2">
        <f t="shared" si="124"/>
        <v>4402380.58</v>
      </c>
      <c r="CC156" s="2">
        <f t="shared" si="124"/>
        <v>0</v>
      </c>
      <c r="CD156" s="2">
        <f t="shared" si="124"/>
        <v>0</v>
      </c>
      <c r="CE156" s="2">
        <f t="shared" si="124"/>
        <v>898186.68</v>
      </c>
      <c r="CF156" s="2">
        <f t="shared" si="124"/>
        <v>898186.68</v>
      </c>
      <c r="CG156" s="2">
        <f t="shared" si="124"/>
        <v>0</v>
      </c>
      <c r="CH156" s="2">
        <f t="shared" si="124"/>
        <v>898186.68</v>
      </c>
      <c r="CI156" s="2">
        <f t="shared" si="124"/>
        <v>0</v>
      </c>
      <c r="CJ156" s="2">
        <f t="shared" si="124"/>
        <v>0</v>
      </c>
      <c r="CK156" s="2">
        <f t="shared" si="124"/>
        <v>0</v>
      </c>
      <c r="CL156" s="2">
        <f t="shared" si="124"/>
        <v>0</v>
      </c>
      <c r="CM156" s="2">
        <f t="shared" si="124"/>
        <v>0</v>
      </c>
      <c r="CN156" s="2">
        <f t="shared" si="124"/>
        <v>0</v>
      </c>
      <c r="CO156" s="2">
        <f t="shared" si="124"/>
        <v>0</v>
      </c>
      <c r="CP156" s="2">
        <f t="shared" si="124"/>
        <v>0</v>
      </c>
      <c r="CQ156" s="2">
        <f t="shared" si="124"/>
        <v>0</v>
      </c>
      <c r="CR156" s="2">
        <f t="shared" si="124"/>
        <v>0</v>
      </c>
      <c r="CS156" s="2">
        <f t="shared" si="124"/>
        <v>0</v>
      </c>
      <c r="CT156" s="2">
        <f t="shared" si="124"/>
        <v>0</v>
      </c>
      <c r="CU156" s="2">
        <f t="shared" si="124"/>
        <v>0</v>
      </c>
      <c r="CV156" s="2">
        <f t="shared" si="124"/>
        <v>0</v>
      </c>
      <c r="CW156" s="2">
        <f t="shared" si="124"/>
        <v>0</v>
      </c>
      <c r="CX156" s="2">
        <f t="shared" si="124"/>
        <v>0</v>
      </c>
      <c r="CY156" s="2">
        <f t="shared" si="124"/>
        <v>0</v>
      </c>
      <c r="CZ156" s="2">
        <f t="shared" si="124"/>
        <v>0</v>
      </c>
      <c r="DA156" s="2">
        <f t="shared" si="124"/>
        <v>0</v>
      </c>
      <c r="DB156" s="2">
        <f t="shared" si="124"/>
        <v>0</v>
      </c>
      <c r="DC156" s="2">
        <f t="shared" si="124"/>
        <v>0</v>
      </c>
      <c r="DD156" s="2">
        <f t="shared" si="124"/>
        <v>0</v>
      </c>
      <c r="DE156" s="2">
        <f t="shared" si="124"/>
        <v>0</v>
      </c>
      <c r="DF156" s="2">
        <f t="shared" si="124"/>
        <v>0</v>
      </c>
      <c r="DG156" s="3">
        <f t="shared" ref="DG156:EL156" si="125">DG167</f>
        <v>0</v>
      </c>
      <c r="DH156" s="3">
        <f t="shared" si="125"/>
        <v>0</v>
      </c>
      <c r="DI156" s="3">
        <f t="shared" si="125"/>
        <v>0</v>
      </c>
      <c r="DJ156" s="3">
        <f t="shared" si="125"/>
        <v>0</v>
      </c>
      <c r="DK156" s="3">
        <f t="shared" si="125"/>
        <v>0</v>
      </c>
      <c r="DL156" s="3">
        <f t="shared" si="125"/>
        <v>0</v>
      </c>
      <c r="DM156" s="3">
        <f t="shared" si="125"/>
        <v>0</v>
      </c>
      <c r="DN156" s="3">
        <f t="shared" si="125"/>
        <v>0</v>
      </c>
      <c r="DO156" s="3">
        <f t="shared" si="125"/>
        <v>0</v>
      </c>
      <c r="DP156" s="3">
        <f t="shared" si="125"/>
        <v>0</v>
      </c>
      <c r="DQ156" s="3">
        <f t="shared" si="125"/>
        <v>0</v>
      </c>
      <c r="DR156" s="3">
        <f t="shared" si="125"/>
        <v>0</v>
      </c>
      <c r="DS156" s="3">
        <f t="shared" si="125"/>
        <v>0</v>
      </c>
      <c r="DT156" s="3">
        <f t="shared" si="125"/>
        <v>0</v>
      </c>
      <c r="DU156" s="3">
        <f t="shared" si="125"/>
        <v>0</v>
      </c>
      <c r="DV156" s="3">
        <f t="shared" si="125"/>
        <v>0</v>
      </c>
      <c r="DW156" s="3">
        <f t="shared" si="125"/>
        <v>0</v>
      </c>
      <c r="DX156" s="3">
        <f t="shared" si="125"/>
        <v>0</v>
      </c>
      <c r="DY156" s="3">
        <f t="shared" si="125"/>
        <v>0</v>
      </c>
      <c r="DZ156" s="3">
        <f t="shared" si="125"/>
        <v>0</v>
      </c>
      <c r="EA156" s="3">
        <f t="shared" si="125"/>
        <v>0</v>
      </c>
      <c r="EB156" s="3">
        <f t="shared" si="125"/>
        <v>0</v>
      </c>
      <c r="EC156" s="3">
        <f t="shared" si="125"/>
        <v>0</v>
      </c>
      <c r="ED156" s="3">
        <f t="shared" si="125"/>
        <v>0</v>
      </c>
      <c r="EE156" s="3">
        <f t="shared" si="125"/>
        <v>0</v>
      </c>
      <c r="EF156" s="3">
        <f t="shared" si="125"/>
        <v>0</v>
      </c>
      <c r="EG156" s="3">
        <f t="shared" si="125"/>
        <v>0</v>
      </c>
      <c r="EH156" s="3">
        <f t="shared" si="125"/>
        <v>0</v>
      </c>
      <c r="EI156" s="3">
        <f t="shared" si="125"/>
        <v>0</v>
      </c>
      <c r="EJ156" s="3">
        <f t="shared" si="125"/>
        <v>0</v>
      </c>
      <c r="EK156" s="3">
        <f t="shared" si="125"/>
        <v>0</v>
      </c>
      <c r="EL156" s="3">
        <f t="shared" si="125"/>
        <v>0</v>
      </c>
      <c r="EM156" s="3">
        <f t="shared" ref="EM156:FR156" si="126">EM167</f>
        <v>0</v>
      </c>
      <c r="EN156" s="3">
        <f t="shared" si="126"/>
        <v>0</v>
      </c>
      <c r="EO156" s="3">
        <f t="shared" si="126"/>
        <v>0</v>
      </c>
      <c r="EP156" s="3">
        <f t="shared" si="126"/>
        <v>0</v>
      </c>
      <c r="EQ156" s="3">
        <f t="shared" si="126"/>
        <v>0</v>
      </c>
      <c r="ER156" s="3">
        <f t="shared" si="126"/>
        <v>0</v>
      </c>
      <c r="ES156" s="3">
        <f t="shared" si="126"/>
        <v>0</v>
      </c>
      <c r="ET156" s="3">
        <f t="shared" si="126"/>
        <v>0</v>
      </c>
      <c r="EU156" s="3">
        <f t="shared" si="126"/>
        <v>0</v>
      </c>
      <c r="EV156" s="3">
        <f t="shared" si="126"/>
        <v>0</v>
      </c>
      <c r="EW156" s="3">
        <f t="shared" si="126"/>
        <v>0</v>
      </c>
      <c r="EX156" s="3">
        <f t="shared" si="126"/>
        <v>0</v>
      </c>
      <c r="EY156" s="3">
        <f t="shared" si="126"/>
        <v>0</v>
      </c>
      <c r="EZ156" s="3">
        <f t="shared" si="126"/>
        <v>0</v>
      </c>
      <c r="FA156" s="3">
        <f t="shared" si="126"/>
        <v>0</v>
      </c>
      <c r="FB156" s="3">
        <f t="shared" si="126"/>
        <v>0</v>
      </c>
      <c r="FC156" s="3">
        <f t="shared" si="126"/>
        <v>0</v>
      </c>
      <c r="FD156" s="3">
        <f t="shared" si="126"/>
        <v>0</v>
      </c>
      <c r="FE156" s="3">
        <f t="shared" si="126"/>
        <v>0</v>
      </c>
      <c r="FF156" s="3">
        <f t="shared" si="126"/>
        <v>0</v>
      </c>
      <c r="FG156" s="3">
        <f t="shared" si="126"/>
        <v>0</v>
      </c>
      <c r="FH156" s="3">
        <f t="shared" si="126"/>
        <v>0</v>
      </c>
      <c r="FI156" s="3">
        <f t="shared" si="126"/>
        <v>0</v>
      </c>
      <c r="FJ156" s="3">
        <f t="shared" si="126"/>
        <v>0</v>
      </c>
      <c r="FK156" s="3">
        <f t="shared" si="126"/>
        <v>0</v>
      </c>
      <c r="FL156" s="3">
        <f t="shared" si="126"/>
        <v>0</v>
      </c>
      <c r="FM156" s="3">
        <f t="shared" si="126"/>
        <v>0</v>
      </c>
      <c r="FN156" s="3">
        <f t="shared" si="126"/>
        <v>0</v>
      </c>
      <c r="FO156" s="3">
        <f t="shared" si="126"/>
        <v>0</v>
      </c>
      <c r="FP156" s="3">
        <f t="shared" si="126"/>
        <v>0</v>
      </c>
      <c r="FQ156" s="3">
        <f t="shared" si="126"/>
        <v>0</v>
      </c>
      <c r="FR156" s="3">
        <f t="shared" si="126"/>
        <v>0</v>
      </c>
      <c r="FS156" s="3">
        <f t="shared" ref="FS156:GX156" si="127">FS167</f>
        <v>0</v>
      </c>
      <c r="FT156" s="3">
        <f t="shared" si="127"/>
        <v>0</v>
      </c>
      <c r="FU156" s="3">
        <f t="shared" si="127"/>
        <v>0</v>
      </c>
      <c r="FV156" s="3">
        <f t="shared" si="127"/>
        <v>0</v>
      </c>
      <c r="FW156" s="3">
        <f t="shared" si="127"/>
        <v>0</v>
      </c>
      <c r="FX156" s="3">
        <f t="shared" si="127"/>
        <v>0</v>
      </c>
      <c r="FY156" s="3">
        <f t="shared" si="127"/>
        <v>0</v>
      </c>
      <c r="FZ156" s="3">
        <f t="shared" si="127"/>
        <v>0</v>
      </c>
      <c r="GA156" s="3">
        <f t="shared" si="127"/>
        <v>0</v>
      </c>
      <c r="GB156" s="3">
        <f t="shared" si="127"/>
        <v>0</v>
      </c>
      <c r="GC156" s="3">
        <f t="shared" si="127"/>
        <v>0</v>
      </c>
      <c r="GD156" s="3">
        <f t="shared" si="127"/>
        <v>0</v>
      </c>
      <c r="GE156" s="3">
        <f t="shared" si="127"/>
        <v>0</v>
      </c>
      <c r="GF156" s="3">
        <f t="shared" si="127"/>
        <v>0</v>
      </c>
      <c r="GG156" s="3">
        <f t="shared" si="127"/>
        <v>0</v>
      </c>
      <c r="GH156" s="3">
        <f t="shared" si="127"/>
        <v>0</v>
      </c>
      <c r="GI156" s="3">
        <f t="shared" si="127"/>
        <v>0</v>
      </c>
      <c r="GJ156" s="3">
        <f t="shared" si="127"/>
        <v>0</v>
      </c>
      <c r="GK156" s="3">
        <f t="shared" si="127"/>
        <v>0</v>
      </c>
      <c r="GL156" s="3">
        <f t="shared" si="127"/>
        <v>0</v>
      </c>
      <c r="GM156" s="3">
        <f t="shared" si="127"/>
        <v>0</v>
      </c>
      <c r="GN156" s="3">
        <f t="shared" si="127"/>
        <v>0</v>
      </c>
      <c r="GO156" s="3">
        <f t="shared" si="127"/>
        <v>0</v>
      </c>
      <c r="GP156" s="3">
        <f t="shared" si="127"/>
        <v>0</v>
      </c>
      <c r="GQ156" s="3">
        <f t="shared" si="127"/>
        <v>0</v>
      </c>
      <c r="GR156" s="3">
        <f t="shared" si="127"/>
        <v>0</v>
      </c>
      <c r="GS156" s="3">
        <f t="shared" si="127"/>
        <v>0</v>
      </c>
      <c r="GT156" s="3">
        <f t="shared" si="127"/>
        <v>0</v>
      </c>
      <c r="GU156" s="3">
        <f t="shared" si="127"/>
        <v>0</v>
      </c>
      <c r="GV156" s="3">
        <f t="shared" si="127"/>
        <v>0</v>
      </c>
      <c r="GW156" s="3">
        <f t="shared" si="127"/>
        <v>0</v>
      </c>
      <c r="GX156" s="3">
        <f t="shared" si="127"/>
        <v>0</v>
      </c>
    </row>
    <row r="158" spans="1:245" x14ac:dyDescent="0.2">
      <c r="A158">
        <v>17</v>
      </c>
      <c r="B158">
        <v>1</v>
      </c>
      <c r="C158">
        <f>ROW(SmtRes!A75)</f>
        <v>75</v>
      </c>
      <c r="D158">
        <f>ROW(EtalonRes!A75)</f>
        <v>75</v>
      </c>
      <c r="E158" t="s">
        <v>173</v>
      </c>
      <c r="F158" t="s">
        <v>174</v>
      </c>
      <c r="G158" t="s">
        <v>175</v>
      </c>
      <c r="H158" t="s">
        <v>176</v>
      </c>
      <c r="I158">
        <f>ROUND(3497/100,5)</f>
        <v>34.97</v>
      </c>
      <c r="J158">
        <v>0</v>
      </c>
      <c r="O158">
        <f t="shared" ref="O158:O165" si="128">ROUND(CP158,2)</f>
        <v>735584.05</v>
      </c>
      <c r="P158">
        <f t="shared" ref="P158:P165" si="129">ROUND((ROUND((AC158*AW158*I158),2)*BC158),2)</f>
        <v>0</v>
      </c>
      <c r="Q158">
        <f t="shared" ref="Q158:Q165" si="130">(ROUND((ROUND(((ET158)*AV158*I158),2)*BB158),2)+ROUND((ROUND(((AE158-(EU158))*AV158*I158),2)*BS158),2))</f>
        <v>0</v>
      </c>
      <c r="R158">
        <f t="shared" ref="R158:R165" si="131">ROUND((ROUND((AE158*AV158*I158),2)*BS158),2)</f>
        <v>0</v>
      </c>
      <c r="S158">
        <f t="shared" ref="S158:S165" si="132">ROUND((ROUND((AF158*AV158*I158),2)*BA158),2)</f>
        <v>735584.05</v>
      </c>
      <c r="T158">
        <f t="shared" ref="T158:T165" si="133">ROUND(CU158*I158,2)</f>
        <v>0</v>
      </c>
      <c r="U158">
        <f t="shared" ref="U158:U165" si="134">CV158*I158</f>
        <v>2682.1990000000001</v>
      </c>
      <c r="V158">
        <f t="shared" ref="V158:V165" si="135">CW158*I158</f>
        <v>0</v>
      </c>
      <c r="W158">
        <f t="shared" ref="W158:W165" si="136">ROUND(CX158*I158,2)</f>
        <v>0</v>
      </c>
      <c r="X158">
        <f t="shared" ref="X158:Y165" si="137">ROUND(CY158,2)</f>
        <v>500197.15</v>
      </c>
      <c r="Y158">
        <f t="shared" si="137"/>
        <v>301589.46000000002</v>
      </c>
      <c r="AA158">
        <v>33989672</v>
      </c>
      <c r="AB158">
        <f t="shared" ref="AB158:AB165" si="138">ROUND((AC158+AD158+AF158),6)</f>
        <v>857.51</v>
      </c>
      <c r="AC158">
        <f t="shared" ref="AC158:AC165" si="139">ROUND((ES158),6)</f>
        <v>0</v>
      </c>
      <c r="AD158">
        <f t="shared" ref="AD158:AD165" si="140">ROUND((((ET158)-(EU158))+AE158),6)</f>
        <v>0</v>
      </c>
      <c r="AE158">
        <f t="shared" ref="AE158:AF165" si="141">ROUND((EU158),6)</f>
        <v>0</v>
      </c>
      <c r="AF158">
        <f t="shared" si="141"/>
        <v>857.51</v>
      </c>
      <c r="AG158">
        <f t="shared" ref="AG158:AG165" si="142">ROUND((AP158),6)</f>
        <v>0</v>
      </c>
      <c r="AH158">
        <f t="shared" ref="AH158:AI165" si="143">(EW158)</f>
        <v>76.7</v>
      </c>
      <c r="AI158">
        <f t="shared" si="143"/>
        <v>0</v>
      </c>
      <c r="AJ158">
        <f t="shared" ref="AJ158:AJ165" si="144">(AS158)</f>
        <v>0</v>
      </c>
      <c r="AK158">
        <v>857.51</v>
      </c>
      <c r="AL158">
        <v>0</v>
      </c>
      <c r="AM158">
        <v>0</v>
      </c>
      <c r="AN158">
        <v>0</v>
      </c>
      <c r="AO158">
        <v>857.51</v>
      </c>
      <c r="AP158">
        <v>0</v>
      </c>
      <c r="AQ158">
        <v>76.7</v>
      </c>
      <c r="AR158">
        <v>0</v>
      </c>
      <c r="AS158">
        <v>0</v>
      </c>
      <c r="AT158">
        <v>68</v>
      </c>
      <c r="AU158">
        <v>41</v>
      </c>
      <c r="AV158">
        <v>1</v>
      </c>
      <c r="AW158">
        <v>1</v>
      </c>
      <c r="AZ158">
        <v>1</v>
      </c>
      <c r="BA158">
        <v>24.53</v>
      </c>
      <c r="BB158">
        <v>1</v>
      </c>
      <c r="BC158">
        <v>1</v>
      </c>
      <c r="BD158" t="s">
        <v>3</v>
      </c>
      <c r="BE158" t="s">
        <v>3</v>
      </c>
      <c r="BF158" t="s">
        <v>3</v>
      </c>
      <c r="BG158" t="s">
        <v>3</v>
      </c>
      <c r="BH158">
        <v>0</v>
      </c>
      <c r="BI158">
        <v>1</v>
      </c>
      <c r="BJ158" t="s">
        <v>177</v>
      </c>
      <c r="BM158">
        <v>674</v>
      </c>
      <c r="BN158">
        <v>0</v>
      </c>
      <c r="BO158" t="s">
        <v>174</v>
      </c>
      <c r="BP158">
        <v>1</v>
      </c>
      <c r="BQ158">
        <v>60</v>
      </c>
      <c r="BR158">
        <v>0</v>
      </c>
      <c r="BS158">
        <v>24.53</v>
      </c>
      <c r="BT158">
        <v>1</v>
      </c>
      <c r="BU158">
        <v>1</v>
      </c>
      <c r="BV158">
        <v>1</v>
      </c>
      <c r="BW158">
        <v>1</v>
      </c>
      <c r="BX158">
        <v>1</v>
      </c>
      <c r="BY158" t="s">
        <v>3</v>
      </c>
      <c r="BZ158">
        <v>68</v>
      </c>
      <c r="CA158">
        <v>41</v>
      </c>
      <c r="CE158">
        <v>30</v>
      </c>
      <c r="CF158">
        <v>0</v>
      </c>
      <c r="CG158">
        <v>0</v>
      </c>
      <c r="CM158">
        <v>0</v>
      </c>
      <c r="CN158" t="s">
        <v>3</v>
      </c>
      <c r="CO158">
        <v>0</v>
      </c>
      <c r="CP158">
        <f t="shared" ref="CP158:CP165" si="145">(P158+Q158+S158)</f>
        <v>735584.05</v>
      </c>
      <c r="CQ158">
        <f t="shared" ref="CQ158:CQ165" si="146">ROUND((ROUND((AC158*AW158*1),2)*BC158),2)</f>
        <v>0</v>
      </c>
      <c r="CR158">
        <f t="shared" ref="CR158:CR165" si="147">(ROUND((ROUND(((ET158)*AV158*1),2)*BB158),2)+ROUND((ROUND(((AE158-(EU158))*AV158*1),2)*BS158),2))</f>
        <v>0</v>
      </c>
      <c r="CS158">
        <f t="shared" ref="CS158:CS165" si="148">ROUND((ROUND((AE158*AV158*1),2)*BS158),2)</f>
        <v>0</v>
      </c>
      <c r="CT158">
        <f t="shared" ref="CT158:CT165" si="149">ROUND((ROUND((AF158*AV158*1),2)*BA158),2)</f>
        <v>21034.720000000001</v>
      </c>
      <c r="CU158">
        <f t="shared" ref="CU158:CU165" si="150">AG158</f>
        <v>0</v>
      </c>
      <c r="CV158">
        <f t="shared" ref="CV158:CV165" si="151">(AH158*AV158)</f>
        <v>76.7</v>
      </c>
      <c r="CW158">
        <f t="shared" ref="CW158:CX165" si="152">AI158</f>
        <v>0</v>
      </c>
      <c r="CX158">
        <f t="shared" si="152"/>
        <v>0</v>
      </c>
      <c r="CY158">
        <f t="shared" ref="CY158:CY165" si="153">S158*(BZ158/100)</f>
        <v>500197.15400000004</v>
      </c>
      <c r="CZ158">
        <f t="shared" ref="CZ158:CZ165" si="154">S158*(CA158/100)</f>
        <v>301589.46049999999</v>
      </c>
      <c r="DC158" t="s">
        <v>3</v>
      </c>
      <c r="DD158" t="s">
        <v>3</v>
      </c>
      <c r="DE158" t="s">
        <v>3</v>
      </c>
      <c r="DF158" t="s">
        <v>3</v>
      </c>
      <c r="DG158" t="s">
        <v>3</v>
      </c>
      <c r="DH158" t="s">
        <v>3</v>
      </c>
      <c r="DI158" t="s">
        <v>3</v>
      </c>
      <c r="DJ158" t="s">
        <v>3</v>
      </c>
      <c r="DK158" t="s">
        <v>3</v>
      </c>
      <c r="DL158" t="s">
        <v>3</v>
      </c>
      <c r="DM158" t="s">
        <v>3</v>
      </c>
      <c r="DN158">
        <v>80</v>
      </c>
      <c r="DO158">
        <v>55</v>
      </c>
      <c r="DP158">
        <v>1</v>
      </c>
      <c r="DQ158">
        <v>1</v>
      </c>
      <c r="DU158">
        <v>1003</v>
      </c>
      <c r="DV158" t="s">
        <v>176</v>
      </c>
      <c r="DW158" t="s">
        <v>176</v>
      </c>
      <c r="DX158">
        <v>100</v>
      </c>
      <c r="EE158">
        <v>33798313</v>
      </c>
      <c r="EF158">
        <v>60</v>
      </c>
      <c r="EG158" t="s">
        <v>20</v>
      </c>
      <c r="EH158">
        <v>0</v>
      </c>
      <c r="EI158" t="s">
        <v>3</v>
      </c>
      <c r="EJ158">
        <v>1</v>
      </c>
      <c r="EK158">
        <v>674</v>
      </c>
      <c r="EL158" t="s">
        <v>33</v>
      </c>
      <c r="EM158" t="s">
        <v>34</v>
      </c>
      <c r="EO158" t="s">
        <v>3</v>
      </c>
      <c r="EQ158">
        <v>131072</v>
      </c>
      <c r="ER158">
        <v>857.51</v>
      </c>
      <c r="ES158">
        <v>0</v>
      </c>
      <c r="ET158">
        <v>0</v>
      </c>
      <c r="EU158">
        <v>0</v>
      </c>
      <c r="EV158">
        <v>857.51</v>
      </c>
      <c r="EW158">
        <v>76.7</v>
      </c>
      <c r="EX158">
        <v>0</v>
      </c>
      <c r="EY158">
        <v>0</v>
      </c>
      <c r="FQ158">
        <v>0</v>
      </c>
      <c r="FR158">
        <f t="shared" ref="FR158:FR165" si="155">ROUND(IF(AND(BH158=3,BI158=3),P158,0),2)</f>
        <v>0</v>
      </c>
      <c r="FS158">
        <v>0</v>
      </c>
      <c r="FX158">
        <v>80</v>
      </c>
      <c r="FY158">
        <v>55</v>
      </c>
      <c r="GA158" t="s">
        <v>3</v>
      </c>
      <c r="GD158">
        <v>0</v>
      </c>
      <c r="GF158">
        <v>-306614759</v>
      </c>
      <c r="GG158">
        <v>2</v>
      </c>
      <c r="GH158">
        <v>1</v>
      </c>
      <c r="GI158">
        <v>2</v>
      </c>
      <c r="GJ158">
        <v>0</v>
      </c>
      <c r="GK158">
        <f>ROUND(R158*(R12)/100,2)</f>
        <v>0</v>
      </c>
      <c r="GL158">
        <f t="shared" ref="GL158:GL165" si="156">ROUND(IF(AND(BH158=3,BI158=3,FS158&lt;&gt;0),P158,0),2)</f>
        <v>0</v>
      </c>
      <c r="GM158">
        <f t="shared" ref="GM158:GM165" si="157">ROUND(O158+X158+Y158+GK158,2)+GX158</f>
        <v>1537370.66</v>
      </c>
      <c r="GN158">
        <f t="shared" ref="GN158:GN165" si="158">IF(OR(BI158=0,BI158=1),ROUND(O158+X158+Y158+GK158,2),0)</f>
        <v>1537370.66</v>
      </c>
      <c r="GO158">
        <f t="shared" ref="GO158:GO165" si="159">IF(BI158=2,ROUND(O158+X158+Y158+GK158,2),0)</f>
        <v>0</v>
      </c>
      <c r="GP158">
        <f t="shared" ref="GP158:GP165" si="160">IF(BI158=4,ROUND(O158+X158+Y158+GK158,2)+GX158,0)</f>
        <v>0</v>
      </c>
      <c r="GR158">
        <v>0</v>
      </c>
      <c r="GS158">
        <v>3</v>
      </c>
      <c r="GT158">
        <v>0</v>
      </c>
      <c r="GU158" t="s">
        <v>3</v>
      </c>
      <c r="GV158">
        <f t="shared" ref="GV158:GV165" si="161">ROUND((GT158),6)</f>
        <v>0</v>
      </c>
      <c r="GW158">
        <v>1</v>
      </c>
      <c r="GX158">
        <f t="shared" ref="GX158:GX165" si="162">ROUND(HC158*I158,2)</f>
        <v>0</v>
      </c>
      <c r="HA158">
        <v>0</v>
      </c>
      <c r="HB158">
        <v>0</v>
      </c>
      <c r="HC158">
        <f t="shared" ref="HC158:HC165" si="163">GV158*GW158</f>
        <v>0</v>
      </c>
      <c r="IK158">
        <v>0</v>
      </c>
    </row>
    <row r="159" spans="1:245" x14ac:dyDescent="0.2">
      <c r="A159">
        <v>17</v>
      </c>
      <c r="B159">
        <v>1</v>
      </c>
      <c r="C159">
        <f>ROW(SmtRes!A76)</f>
        <v>76</v>
      </c>
      <c r="D159">
        <f>ROW(EtalonRes!A76)</f>
        <v>76</v>
      </c>
      <c r="E159" t="s">
        <v>178</v>
      </c>
      <c r="F159" t="s">
        <v>36</v>
      </c>
      <c r="G159" t="s">
        <v>37</v>
      </c>
      <c r="H159" t="s">
        <v>38</v>
      </c>
      <c r="I159">
        <f>ROUND(3497*(0.058+0.043)*2.4*0.1,9)</f>
        <v>84.76728</v>
      </c>
      <c r="J159">
        <v>0</v>
      </c>
      <c r="O159">
        <f t="shared" si="128"/>
        <v>20003.23</v>
      </c>
      <c r="P159">
        <f t="shared" si="129"/>
        <v>0</v>
      </c>
      <c r="Q159">
        <f t="shared" si="130"/>
        <v>0</v>
      </c>
      <c r="R159">
        <f t="shared" si="131"/>
        <v>0</v>
      </c>
      <c r="S159">
        <f t="shared" si="132"/>
        <v>20003.23</v>
      </c>
      <c r="T159">
        <f t="shared" si="133"/>
        <v>0</v>
      </c>
      <c r="U159">
        <f t="shared" si="134"/>
        <v>86.462625599999996</v>
      </c>
      <c r="V159">
        <f t="shared" si="135"/>
        <v>0</v>
      </c>
      <c r="W159">
        <f t="shared" si="136"/>
        <v>0</v>
      </c>
      <c r="X159">
        <f t="shared" si="137"/>
        <v>14602.36</v>
      </c>
      <c r="Y159">
        <f t="shared" si="137"/>
        <v>8201.32</v>
      </c>
      <c r="AA159">
        <v>33989672</v>
      </c>
      <c r="AB159">
        <f t="shared" si="138"/>
        <v>9.6199999999999992</v>
      </c>
      <c r="AC159">
        <f t="shared" si="139"/>
        <v>0</v>
      </c>
      <c r="AD159">
        <f t="shared" si="140"/>
        <v>0</v>
      </c>
      <c r="AE159">
        <f t="shared" si="141"/>
        <v>0</v>
      </c>
      <c r="AF159">
        <f t="shared" si="141"/>
        <v>9.6199999999999992</v>
      </c>
      <c r="AG159">
        <f t="shared" si="142"/>
        <v>0</v>
      </c>
      <c r="AH159">
        <f t="shared" si="143"/>
        <v>1.02</v>
      </c>
      <c r="AI159">
        <f t="shared" si="143"/>
        <v>0</v>
      </c>
      <c r="AJ159">
        <f t="shared" si="144"/>
        <v>0</v>
      </c>
      <c r="AK159">
        <v>9.6199999999999992</v>
      </c>
      <c r="AL159">
        <v>0</v>
      </c>
      <c r="AM159">
        <v>0</v>
      </c>
      <c r="AN159">
        <v>0</v>
      </c>
      <c r="AO159">
        <v>9.6199999999999992</v>
      </c>
      <c r="AP159">
        <v>0</v>
      </c>
      <c r="AQ159">
        <v>1.02</v>
      </c>
      <c r="AR159">
        <v>0</v>
      </c>
      <c r="AS159">
        <v>0</v>
      </c>
      <c r="AT159">
        <v>73</v>
      </c>
      <c r="AU159">
        <v>41</v>
      </c>
      <c r="AV159">
        <v>1</v>
      </c>
      <c r="AW159">
        <v>1</v>
      </c>
      <c r="AZ159">
        <v>1</v>
      </c>
      <c r="BA159">
        <v>24.53</v>
      </c>
      <c r="BB159">
        <v>1</v>
      </c>
      <c r="BC159">
        <v>1</v>
      </c>
      <c r="BD159" t="s">
        <v>3</v>
      </c>
      <c r="BE159" t="s">
        <v>3</v>
      </c>
      <c r="BF159" t="s">
        <v>3</v>
      </c>
      <c r="BG159" t="s">
        <v>3</v>
      </c>
      <c r="BH159">
        <v>0</v>
      </c>
      <c r="BI159">
        <v>1</v>
      </c>
      <c r="BJ159" t="s">
        <v>39</v>
      </c>
      <c r="BM159">
        <v>682</v>
      </c>
      <c r="BN159">
        <v>0</v>
      </c>
      <c r="BO159" t="s">
        <v>36</v>
      </c>
      <c r="BP159">
        <v>1</v>
      </c>
      <c r="BQ159">
        <v>60</v>
      </c>
      <c r="BR159">
        <v>0</v>
      </c>
      <c r="BS159">
        <v>24.53</v>
      </c>
      <c r="BT159">
        <v>1</v>
      </c>
      <c r="BU159">
        <v>1</v>
      </c>
      <c r="BV159">
        <v>1</v>
      </c>
      <c r="BW159">
        <v>1</v>
      </c>
      <c r="BX159">
        <v>1</v>
      </c>
      <c r="BY159" t="s">
        <v>3</v>
      </c>
      <c r="BZ159">
        <v>73</v>
      </c>
      <c r="CA159">
        <v>41</v>
      </c>
      <c r="CE159">
        <v>30</v>
      </c>
      <c r="CF159">
        <v>0</v>
      </c>
      <c r="CG159">
        <v>0</v>
      </c>
      <c r="CM159">
        <v>0</v>
      </c>
      <c r="CN159" t="s">
        <v>3</v>
      </c>
      <c r="CO159">
        <v>0</v>
      </c>
      <c r="CP159">
        <f t="shared" si="145"/>
        <v>20003.23</v>
      </c>
      <c r="CQ159">
        <f t="shared" si="146"/>
        <v>0</v>
      </c>
      <c r="CR159">
        <f t="shared" si="147"/>
        <v>0</v>
      </c>
      <c r="CS159">
        <f t="shared" si="148"/>
        <v>0</v>
      </c>
      <c r="CT159">
        <f t="shared" si="149"/>
        <v>235.98</v>
      </c>
      <c r="CU159">
        <f t="shared" si="150"/>
        <v>0</v>
      </c>
      <c r="CV159">
        <f t="shared" si="151"/>
        <v>1.02</v>
      </c>
      <c r="CW159">
        <f t="shared" si="152"/>
        <v>0</v>
      </c>
      <c r="CX159">
        <f t="shared" si="152"/>
        <v>0</v>
      </c>
      <c r="CY159">
        <f t="shared" si="153"/>
        <v>14602.357899999999</v>
      </c>
      <c r="CZ159">
        <f t="shared" si="154"/>
        <v>8201.3243000000002</v>
      </c>
      <c r="DC159" t="s">
        <v>3</v>
      </c>
      <c r="DD159" t="s">
        <v>3</v>
      </c>
      <c r="DE159" t="s">
        <v>3</v>
      </c>
      <c r="DF159" t="s">
        <v>3</v>
      </c>
      <c r="DG159" t="s">
        <v>3</v>
      </c>
      <c r="DH159" t="s">
        <v>3</v>
      </c>
      <c r="DI159" t="s">
        <v>3</v>
      </c>
      <c r="DJ159" t="s">
        <v>3</v>
      </c>
      <c r="DK159" t="s">
        <v>3</v>
      </c>
      <c r="DL159" t="s">
        <v>3</v>
      </c>
      <c r="DM159" t="s">
        <v>3</v>
      </c>
      <c r="DN159">
        <v>91</v>
      </c>
      <c r="DO159">
        <v>70</v>
      </c>
      <c r="DP159">
        <v>1</v>
      </c>
      <c r="DQ159">
        <v>1</v>
      </c>
      <c r="DU159">
        <v>1013</v>
      </c>
      <c r="DV159" t="s">
        <v>38</v>
      </c>
      <c r="DW159" t="s">
        <v>38</v>
      </c>
      <c r="DX159">
        <v>1</v>
      </c>
      <c r="EE159">
        <v>33798321</v>
      </c>
      <c r="EF159">
        <v>60</v>
      </c>
      <c r="EG159" t="s">
        <v>20</v>
      </c>
      <c r="EH159">
        <v>0</v>
      </c>
      <c r="EI159" t="s">
        <v>3</v>
      </c>
      <c r="EJ159">
        <v>1</v>
      </c>
      <c r="EK159">
        <v>682</v>
      </c>
      <c r="EL159" t="s">
        <v>40</v>
      </c>
      <c r="EM159" t="s">
        <v>41</v>
      </c>
      <c r="EO159" t="s">
        <v>3</v>
      </c>
      <c r="EQ159">
        <v>2490368</v>
      </c>
      <c r="ER159">
        <v>9.6199999999999992</v>
      </c>
      <c r="ES159">
        <v>0</v>
      </c>
      <c r="ET159">
        <v>0</v>
      </c>
      <c r="EU159">
        <v>0</v>
      </c>
      <c r="EV159">
        <v>9.6199999999999992</v>
      </c>
      <c r="EW159">
        <v>1.02</v>
      </c>
      <c r="EX159">
        <v>0</v>
      </c>
      <c r="EY159">
        <v>0</v>
      </c>
      <c r="FQ159">
        <v>0</v>
      </c>
      <c r="FR159">
        <f t="shared" si="155"/>
        <v>0</v>
      </c>
      <c r="FS159">
        <v>0</v>
      </c>
      <c r="FX159">
        <v>91</v>
      </c>
      <c r="FY159">
        <v>70</v>
      </c>
      <c r="GA159" t="s">
        <v>3</v>
      </c>
      <c r="GD159">
        <v>0</v>
      </c>
      <c r="GF159">
        <v>903638064</v>
      </c>
      <c r="GG159">
        <v>2</v>
      </c>
      <c r="GH159">
        <v>1</v>
      </c>
      <c r="GI159">
        <v>2</v>
      </c>
      <c r="GJ159">
        <v>0</v>
      </c>
      <c r="GK159">
        <f>ROUND(R159*(R12)/100,2)</f>
        <v>0</v>
      </c>
      <c r="GL159">
        <f t="shared" si="156"/>
        <v>0</v>
      </c>
      <c r="GM159">
        <f t="shared" si="157"/>
        <v>42806.91</v>
      </c>
      <c r="GN159">
        <f t="shared" si="158"/>
        <v>42806.91</v>
      </c>
      <c r="GO159">
        <f t="shared" si="159"/>
        <v>0</v>
      </c>
      <c r="GP159">
        <f t="shared" si="160"/>
        <v>0</v>
      </c>
      <c r="GR159">
        <v>0</v>
      </c>
      <c r="GS159">
        <v>3</v>
      </c>
      <c r="GT159">
        <v>0</v>
      </c>
      <c r="GU159" t="s">
        <v>3</v>
      </c>
      <c r="GV159">
        <f t="shared" si="161"/>
        <v>0</v>
      </c>
      <c r="GW159">
        <v>1</v>
      </c>
      <c r="GX159">
        <f t="shared" si="162"/>
        <v>0</v>
      </c>
      <c r="HA159">
        <v>0</v>
      </c>
      <c r="HB159">
        <v>0</v>
      </c>
      <c r="HC159">
        <f t="shared" si="163"/>
        <v>0</v>
      </c>
      <c r="IK159">
        <v>0</v>
      </c>
    </row>
    <row r="160" spans="1:245" x14ac:dyDescent="0.2">
      <c r="A160">
        <v>17</v>
      </c>
      <c r="B160">
        <v>1</v>
      </c>
      <c r="C160">
        <f>ROW(SmtRes!A77)</f>
        <v>77</v>
      </c>
      <c r="D160">
        <f>ROW(EtalonRes!A77)</f>
        <v>77</v>
      </c>
      <c r="E160" t="s">
        <v>179</v>
      </c>
      <c r="F160" t="s">
        <v>43</v>
      </c>
      <c r="G160" t="s">
        <v>44</v>
      </c>
      <c r="H160" t="s">
        <v>38</v>
      </c>
      <c r="I160">
        <v>0</v>
      </c>
      <c r="J160">
        <v>0</v>
      </c>
      <c r="O160">
        <f t="shared" si="128"/>
        <v>0</v>
      </c>
      <c r="P160">
        <f t="shared" si="129"/>
        <v>0</v>
      </c>
      <c r="Q160">
        <f t="shared" si="130"/>
        <v>0</v>
      </c>
      <c r="R160">
        <f t="shared" si="131"/>
        <v>0</v>
      </c>
      <c r="S160">
        <f t="shared" si="132"/>
        <v>0</v>
      </c>
      <c r="T160">
        <f t="shared" si="133"/>
        <v>0</v>
      </c>
      <c r="U160">
        <f t="shared" si="134"/>
        <v>0</v>
      </c>
      <c r="V160">
        <f t="shared" si="135"/>
        <v>0</v>
      </c>
      <c r="W160">
        <f t="shared" si="136"/>
        <v>0</v>
      </c>
      <c r="X160">
        <f t="shared" si="137"/>
        <v>0</v>
      </c>
      <c r="Y160">
        <f t="shared" si="137"/>
        <v>0</v>
      </c>
      <c r="AA160">
        <v>33989672</v>
      </c>
      <c r="AB160">
        <f t="shared" si="138"/>
        <v>8.86</v>
      </c>
      <c r="AC160">
        <f t="shared" si="139"/>
        <v>0</v>
      </c>
      <c r="AD160">
        <f t="shared" si="140"/>
        <v>8.86</v>
      </c>
      <c r="AE160">
        <f t="shared" si="141"/>
        <v>1.48</v>
      </c>
      <c r="AF160">
        <f t="shared" si="141"/>
        <v>0</v>
      </c>
      <c r="AG160">
        <f t="shared" si="142"/>
        <v>0</v>
      </c>
      <c r="AH160">
        <f t="shared" si="143"/>
        <v>0</v>
      </c>
      <c r="AI160">
        <f t="shared" si="143"/>
        <v>0</v>
      </c>
      <c r="AJ160">
        <f t="shared" si="144"/>
        <v>0</v>
      </c>
      <c r="AK160">
        <v>8.86</v>
      </c>
      <c r="AL160">
        <v>0</v>
      </c>
      <c r="AM160">
        <v>8.86</v>
      </c>
      <c r="AN160">
        <v>1.48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73</v>
      </c>
      <c r="AU160">
        <v>41</v>
      </c>
      <c r="AV160">
        <v>1</v>
      </c>
      <c r="AW160">
        <v>1</v>
      </c>
      <c r="AZ160">
        <v>1</v>
      </c>
      <c r="BA160">
        <v>24.53</v>
      </c>
      <c r="BB160">
        <v>8.83</v>
      </c>
      <c r="BC160">
        <v>1</v>
      </c>
      <c r="BD160" t="s">
        <v>3</v>
      </c>
      <c r="BE160" t="s">
        <v>3</v>
      </c>
      <c r="BF160" t="s">
        <v>3</v>
      </c>
      <c r="BG160" t="s">
        <v>3</v>
      </c>
      <c r="BH160">
        <v>0</v>
      </c>
      <c r="BI160">
        <v>1</v>
      </c>
      <c r="BJ160" t="s">
        <v>45</v>
      </c>
      <c r="BM160">
        <v>658</v>
      </c>
      <c r="BN160">
        <v>0</v>
      </c>
      <c r="BO160" t="s">
        <v>43</v>
      </c>
      <c r="BP160">
        <v>1</v>
      </c>
      <c r="BQ160">
        <v>60</v>
      </c>
      <c r="BR160">
        <v>0</v>
      </c>
      <c r="BS160">
        <v>24.53</v>
      </c>
      <c r="BT160">
        <v>1</v>
      </c>
      <c r="BU160">
        <v>1</v>
      </c>
      <c r="BV160">
        <v>1</v>
      </c>
      <c r="BW160">
        <v>1</v>
      </c>
      <c r="BX160">
        <v>1</v>
      </c>
      <c r="BY160" t="s">
        <v>3</v>
      </c>
      <c r="BZ160">
        <v>73</v>
      </c>
      <c r="CA160">
        <v>41</v>
      </c>
      <c r="CE160">
        <v>30</v>
      </c>
      <c r="CF160">
        <v>0</v>
      </c>
      <c r="CG160">
        <v>0</v>
      </c>
      <c r="CM160">
        <v>0</v>
      </c>
      <c r="CN160" t="s">
        <v>3</v>
      </c>
      <c r="CO160">
        <v>0</v>
      </c>
      <c r="CP160">
        <f t="shared" si="145"/>
        <v>0</v>
      </c>
      <c r="CQ160">
        <f t="shared" si="146"/>
        <v>0</v>
      </c>
      <c r="CR160">
        <f t="shared" si="147"/>
        <v>78.23</v>
      </c>
      <c r="CS160">
        <f t="shared" si="148"/>
        <v>36.299999999999997</v>
      </c>
      <c r="CT160">
        <f t="shared" si="149"/>
        <v>0</v>
      </c>
      <c r="CU160">
        <f t="shared" si="150"/>
        <v>0</v>
      </c>
      <c r="CV160">
        <f t="shared" si="151"/>
        <v>0</v>
      </c>
      <c r="CW160">
        <f t="shared" si="152"/>
        <v>0</v>
      </c>
      <c r="CX160">
        <f t="shared" si="152"/>
        <v>0</v>
      </c>
      <c r="CY160">
        <f t="shared" si="153"/>
        <v>0</v>
      </c>
      <c r="CZ160">
        <f t="shared" si="154"/>
        <v>0</v>
      </c>
      <c r="DC160" t="s">
        <v>3</v>
      </c>
      <c r="DD160" t="s">
        <v>3</v>
      </c>
      <c r="DE160" t="s">
        <v>3</v>
      </c>
      <c r="DF160" t="s">
        <v>3</v>
      </c>
      <c r="DG160" t="s">
        <v>3</v>
      </c>
      <c r="DH160" t="s">
        <v>3</v>
      </c>
      <c r="DI160" t="s">
        <v>3</v>
      </c>
      <c r="DJ160" t="s">
        <v>3</v>
      </c>
      <c r="DK160" t="s">
        <v>3</v>
      </c>
      <c r="DL160" t="s">
        <v>3</v>
      </c>
      <c r="DM160" t="s">
        <v>3</v>
      </c>
      <c r="DN160">
        <v>91</v>
      </c>
      <c r="DO160">
        <v>70</v>
      </c>
      <c r="DP160">
        <v>1</v>
      </c>
      <c r="DQ160">
        <v>1</v>
      </c>
      <c r="DU160">
        <v>1013</v>
      </c>
      <c r="DV160" t="s">
        <v>38</v>
      </c>
      <c r="DW160" t="s">
        <v>38</v>
      </c>
      <c r="DX160">
        <v>1</v>
      </c>
      <c r="EE160">
        <v>33798297</v>
      </c>
      <c r="EF160">
        <v>60</v>
      </c>
      <c r="EG160" t="s">
        <v>20</v>
      </c>
      <c r="EH160">
        <v>0</v>
      </c>
      <c r="EI160" t="s">
        <v>3</v>
      </c>
      <c r="EJ160">
        <v>1</v>
      </c>
      <c r="EK160">
        <v>658</v>
      </c>
      <c r="EL160" t="s">
        <v>46</v>
      </c>
      <c r="EM160" t="s">
        <v>47</v>
      </c>
      <c r="EO160" t="s">
        <v>3</v>
      </c>
      <c r="EQ160">
        <v>131072</v>
      </c>
      <c r="ER160">
        <v>8.86</v>
      </c>
      <c r="ES160">
        <v>0</v>
      </c>
      <c r="ET160">
        <v>8.86</v>
      </c>
      <c r="EU160">
        <v>1.48</v>
      </c>
      <c r="EV160">
        <v>0</v>
      </c>
      <c r="EW160">
        <v>0</v>
      </c>
      <c r="EX160">
        <v>0</v>
      </c>
      <c r="EY160">
        <v>0</v>
      </c>
      <c r="FQ160">
        <v>0</v>
      </c>
      <c r="FR160">
        <f t="shared" si="155"/>
        <v>0</v>
      </c>
      <c r="FS160">
        <v>0</v>
      </c>
      <c r="FX160">
        <v>91</v>
      </c>
      <c r="FY160">
        <v>70</v>
      </c>
      <c r="GA160" t="s">
        <v>3</v>
      </c>
      <c r="GD160">
        <v>0</v>
      </c>
      <c r="GF160">
        <v>-1983005167</v>
      </c>
      <c r="GG160">
        <v>2</v>
      </c>
      <c r="GH160">
        <v>1</v>
      </c>
      <c r="GI160">
        <v>2</v>
      </c>
      <c r="GJ160">
        <v>0</v>
      </c>
      <c r="GK160">
        <f>ROUND(R160*(R12)/100,2)</f>
        <v>0</v>
      </c>
      <c r="GL160">
        <f t="shared" si="156"/>
        <v>0</v>
      </c>
      <c r="GM160">
        <f t="shared" si="157"/>
        <v>0</v>
      </c>
      <c r="GN160">
        <f t="shared" si="158"/>
        <v>0</v>
      </c>
      <c r="GO160">
        <f t="shared" si="159"/>
        <v>0</v>
      </c>
      <c r="GP160">
        <f t="shared" si="160"/>
        <v>0</v>
      </c>
      <c r="GR160">
        <v>0</v>
      </c>
      <c r="GS160">
        <v>3</v>
      </c>
      <c r="GT160">
        <v>0</v>
      </c>
      <c r="GU160" t="s">
        <v>3</v>
      </c>
      <c r="GV160">
        <f t="shared" si="161"/>
        <v>0</v>
      </c>
      <c r="GW160">
        <v>1</v>
      </c>
      <c r="GX160">
        <f t="shared" si="162"/>
        <v>0</v>
      </c>
      <c r="HA160">
        <v>0</v>
      </c>
      <c r="HB160">
        <v>0</v>
      </c>
      <c r="HC160">
        <f t="shared" si="163"/>
        <v>0</v>
      </c>
      <c r="IK160">
        <v>0</v>
      </c>
    </row>
    <row r="161" spans="1:245" x14ac:dyDescent="0.2">
      <c r="A161">
        <v>17</v>
      </c>
      <c r="B161">
        <v>1</v>
      </c>
      <c r="C161">
        <f>ROW(SmtRes!A78)</f>
        <v>78</v>
      </c>
      <c r="D161">
        <f>ROW(EtalonRes!A78)</f>
        <v>78</v>
      </c>
      <c r="E161" t="s">
        <v>180</v>
      </c>
      <c r="F161" t="s">
        <v>49</v>
      </c>
      <c r="G161" t="s">
        <v>50</v>
      </c>
      <c r="H161" t="s">
        <v>51</v>
      </c>
      <c r="I161">
        <v>0</v>
      </c>
      <c r="J161">
        <v>0</v>
      </c>
      <c r="O161">
        <f t="shared" si="128"/>
        <v>0</v>
      </c>
      <c r="P161">
        <f t="shared" si="129"/>
        <v>0</v>
      </c>
      <c r="Q161">
        <f t="shared" si="130"/>
        <v>0</v>
      </c>
      <c r="R161">
        <f t="shared" si="131"/>
        <v>0</v>
      </c>
      <c r="S161">
        <f t="shared" si="132"/>
        <v>0</v>
      </c>
      <c r="T161">
        <f t="shared" si="133"/>
        <v>0</v>
      </c>
      <c r="U161">
        <f t="shared" si="134"/>
        <v>0</v>
      </c>
      <c r="V161">
        <f t="shared" si="135"/>
        <v>0</v>
      </c>
      <c r="W161">
        <f t="shared" si="136"/>
        <v>0</v>
      </c>
      <c r="X161">
        <f t="shared" si="137"/>
        <v>0</v>
      </c>
      <c r="Y161">
        <f t="shared" si="137"/>
        <v>0</v>
      </c>
      <c r="AA161">
        <v>33989672</v>
      </c>
      <c r="AB161">
        <f t="shared" si="138"/>
        <v>56.8</v>
      </c>
      <c r="AC161">
        <f t="shared" si="139"/>
        <v>0</v>
      </c>
      <c r="AD161">
        <f t="shared" si="140"/>
        <v>56.8</v>
      </c>
      <c r="AE161">
        <f t="shared" si="141"/>
        <v>0</v>
      </c>
      <c r="AF161">
        <f t="shared" si="141"/>
        <v>0</v>
      </c>
      <c r="AG161">
        <f t="shared" si="142"/>
        <v>0</v>
      </c>
      <c r="AH161">
        <f t="shared" si="143"/>
        <v>0</v>
      </c>
      <c r="AI161">
        <f t="shared" si="143"/>
        <v>0</v>
      </c>
      <c r="AJ161">
        <f t="shared" si="144"/>
        <v>0</v>
      </c>
      <c r="AK161">
        <v>56.8</v>
      </c>
      <c r="AL161">
        <v>0</v>
      </c>
      <c r="AM161">
        <v>56.8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93</v>
      </c>
      <c r="AU161">
        <v>64</v>
      </c>
      <c r="AV161">
        <v>1</v>
      </c>
      <c r="AW161">
        <v>1</v>
      </c>
      <c r="AZ161">
        <v>1</v>
      </c>
      <c r="BA161">
        <v>1</v>
      </c>
      <c r="BB161">
        <v>10.11</v>
      </c>
      <c r="BC161">
        <v>1</v>
      </c>
      <c r="BD161" t="s">
        <v>3</v>
      </c>
      <c r="BE161" t="s">
        <v>3</v>
      </c>
      <c r="BF161" t="s">
        <v>3</v>
      </c>
      <c r="BG161" t="s">
        <v>3</v>
      </c>
      <c r="BH161">
        <v>0</v>
      </c>
      <c r="BI161">
        <v>4</v>
      </c>
      <c r="BJ161" t="s">
        <v>52</v>
      </c>
      <c r="BM161">
        <v>1113</v>
      </c>
      <c r="BN161">
        <v>0</v>
      </c>
      <c r="BO161" t="s">
        <v>49</v>
      </c>
      <c r="BP161">
        <v>1</v>
      </c>
      <c r="BQ161">
        <v>150</v>
      </c>
      <c r="BR161">
        <v>0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Y161" t="s">
        <v>3</v>
      </c>
      <c r="BZ161">
        <v>93</v>
      </c>
      <c r="CA161">
        <v>64</v>
      </c>
      <c r="CE161">
        <v>30</v>
      </c>
      <c r="CF161">
        <v>0</v>
      </c>
      <c r="CG161">
        <v>0</v>
      </c>
      <c r="CM161">
        <v>0</v>
      </c>
      <c r="CN161" t="s">
        <v>3</v>
      </c>
      <c r="CO161">
        <v>0</v>
      </c>
      <c r="CP161">
        <f t="shared" si="145"/>
        <v>0</v>
      </c>
      <c r="CQ161">
        <f t="shared" si="146"/>
        <v>0</v>
      </c>
      <c r="CR161">
        <f t="shared" si="147"/>
        <v>574.25</v>
      </c>
      <c r="CS161">
        <f t="shared" si="148"/>
        <v>0</v>
      </c>
      <c r="CT161">
        <f t="shared" si="149"/>
        <v>0</v>
      </c>
      <c r="CU161">
        <f t="shared" si="150"/>
        <v>0</v>
      </c>
      <c r="CV161">
        <f t="shared" si="151"/>
        <v>0</v>
      </c>
      <c r="CW161">
        <f t="shared" si="152"/>
        <v>0</v>
      </c>
      <c r="CX161">
        <f t="shared" si="152"/>
        <v>0</v>
      </c>
      <c r="CY161">
        <f t="shared" si="153"/>
        <v>0</v>
      </c>
      <c r="CZ161">
        <f t="shared" si="154"/>
        <v>0</v>
      </c>
      <c r="DC161" t="s">
        <v>3</v>
      </c>
      <c r="DD161" t="s">
        <v>3</v>
      </c>
      <c r="DE161" t="s">
        <v>3</v>
      </c>
      <c r="DF161" t="s">
        <v>3</v>
      </c>
      <c r="DG161" t="s">
        <v>3</v>
      </c>
      <c r="DH161" t="s">
        <v>3</v>
      </c>
      <c r="DI161" t="s">
        <v>3</v>
      </c>
      <c r="DJ161" t="s">
        <v>3</v>
      </c>
      <c r="DK161" t="s">
        <v>3</v>
      </c>
      <c r="DL161" t="s">
        <v>3</v>
      </c>
      <c r="DM161" t="s">
        <v>3</v>
      </c>
      <c r="DN161">
        <v>0</v>
      </c>
      <c r="DO161">
        <v>0</v>
      </c>
      <c r="DP161">
        <v>1</v>
      </c>
      <c r="DQ161">
        <v>1</v>
      </c>
      <c r="DU161">
        <v>1009</v>
      </c>
      <c r="DV161" t="s">
        <v>51</v>
      </c>
      <c r="DW161" t="s">
        <v>51</v>
      </c>
      <c r="DX161">
        <v>1000</v>
      </c>
      <c r="EE161">
        <v>33798752</v>
      </c>
      <c r="EF161">
        <v>150</v>
      </c>
      <c r="EG161" t="s">
        <v>53</v>
      </c>
      <c r="EH161">
        <v>0</v>
      </c>
      <c r="EI161" t="s">
        <v>3</v>
      </c>
      <c r="EJ161">
        <v>4</v>
      </c>
      <c r="EK161">
        <v>1113</v>
      </c>
      <c r="EL161" t="s">
        <v>54</v>
      </c>
      <c r="EM161" t="s">
        <v>55</v>
      </c>
      <c r="EO161" t="s">
        <v>3</v>
      </c>
      <c r="EQ161">
        <v>131072</v>
      </c>
      <c r="ER161">
        <v>56.8</v>
      </c>
      <c r="ES161">
        <v>0</v>
      </c>
      <c r="ET161">
        <v>56.8</v>
      </c>
      <c r="EU161">
        <v>0</v>
      </c>
      <c r="EV161">
        <v>0</v>
      </c>
      <c r="EW161">
        <v>0</v>
      </c>
      <c r="EX161">
        <v>0</v>
      </c>
      <c r="EY161">
        <v>0</v>
      </c>
      <c r="FQ161">
        <v>0</v>
      </c>
      <c r="FR161">
        <f t="shared" si="155"/>
        <v>0</v>
      </c>
      <c r="FS161">
        <v>0</v>
      </c>
      <c r="FX161">
        <v>0</v>
      </c>
      <c r="FY161">
        <v>0</v>
      </c>
      <c r="GA161" t="s">
        <v>3</v>
      </c>
      <c r="GD161">
        <v>0</v>
      </c>
      <c r="GF161">
        <v>-915290513</v>
      </c>
      <c r="GG161">
        <v>2</v>
      </c>
      <c r="GH161">
        <v>1</v>
      </c>
      <c r="GI161">
        <v>2</v>
      </c>
      <c r="GJ161">
        <v>0</v>
      </c>
      <c r="GK161">
        <f>ROUND(R161*(R12)/100,2)</f>
        <v>0</v>
      </c>
      <c r="GL161">
        <f t="shared" si="156"/>
        <v>0</v>
      </c>
      <c r="GM161">
        <f t="shared" si="157"/>
        <v>0</v>
      </c>
      <c r="GN161">
        <f t="shared" si="158"/>
        <v>0</v>
      </c>
      <c r="GO161">
        <f t="shared" si="159"/>
        <v>0</v>
      </c>
      <c r="GP161">
        <f t="shared" si="160"/>
        <v>0</v>
      </c>
      <c r="GR161">
        <v>0</v>
      </c>
      <c r="GS161">
        <v>3</v>
      </c>
      <c r="GT161">
        <v>0</v>
      </c>
      <c r="GU161" t="s">
        <v>3</v>
      </c>
      <c r="GV161">
        <f t="shared" si="161"/>
        <v>0</v>
      </c>
      <c r="GW161">
        <v>1</v>
      </c>
      <c r="GX161">
        <f t="shared" si="162"/>
        <v>0</v>
      </c>
      <c r="HA161">
        <v>0</v>
      </c>
      <c r="HB161">
        <v>0</v>
      </c>
      <c r="HC161">
        <f t="shared" si="163"/>
        <v>0</v>
      </c>
      <c r="IK161">
        <v>0</v>
      </c>
    </row>
    <row r="162" spans="1:245" x14ac:dyDescent="0.2">
      <c r="A162">
        <v>17</v>
      </c>
      <c r="B162">
        <v>1</v>
      </c>
      <c r="C162">
        <f>ROW(SmtRes!A79)</f>
        <v>79</v>
      </c>
      <c r="D162">
        <f>ROW(EtalonRes!A79)</f>
        <v>79</v>
      </c>
      <c r="E162" t="s">
        <v>181</v>
      </c>
      <c r="F162" t="s">
        <v>69</v>
      </c>
      <c r="G162" t="s">
        <v>70</v>
      </c>
      <c r="H162" t="s">
        <v>38</v>
      </c>
      <c r="I162">
        <f>ROUND(I161,9)</f>
        <v>0</v>
      </c>
      <c r="J162">
        <v>0</v>
      </c>
      <c r="O162">
        <f t="shared" si="128"/>
        <v>0</v>
      </c>
      <c r="P162">
        <f t="shared" si="129"/>
        <v>0</v>
      </c>
      <c r="Q162">
        <f t="shared" si="130"/>
        <v>0</v>
      </c>
      <c r="R162">
        <f t="shared" si="131"/>
        <v>0</v>
      </c>
      <c r="S162">
        <f t="shared" si="132"/>
        <v>0</v>
      </c>
      <c r="T162">
        <f t="shared" si="133"/>
        <v>0</v>
      </c>
      <c r="U162">
        <f t="shared" si="134"/>
        <v>0</v>
      </c>
      <c r="V162">
        <f t="shared" si="135"/>
        <v>0</v>
      </c>
      <c r="W162">
        <f t="shared" si="136"/>
        <v>0</v>
      </c>
      <c r="X162">
        <f t="shared" si="137"/>
        <v>0</v>
      </c>
      <c r="Y162">
        <f t="shared" si="137"/>
        <v>0</v>
      </c>
      <c r="AA162">
        <v>33989672</v>
      </c>
      <c r="AB162">
        <f t="shared" si="138"/>
        <v>36.590000000000003</v>
      </c>
      <c r="AC162">
        <f t="shared" si="139"/>
        <v>0</v>
      </c>
      <c r="AD162">
        <f t="shared" si="140"/>
        <v>36.590000000000003</v>
      </c>
      <c r="AE162">
        <f t="shared" si="141"/>
        <v>0</v>
      </c>
      <c r="AF162">
        <f t="shared" si="141"/>
        <v>0</v>
      </c>
      <c r="AG162">
        <f t="shared" si="142"/>
        <v>0</v>
      </c>
      <c r="AH162">
        <f t="shared" si="143"/>
        <v>0</v>
      </c>
      <c r="AI162">
        <f t="shared" si="143"/>
        <v>0</v>
      </c>
      <c r="AJ162">
        <f t="shared" si="144"/>
        <v>0</v>
      </c>
      <c r="AK162">
        <v>36.590000000000003</v>
      </c>
      <c r="AL162">
        <v>0</v>
      </c>
      <c r="AM162">
        <v>36.590000000000003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93</v>
      </c>
      <c r="AU162">
        <v>64</v>
      </c>
      <c r="AV162">
        <v>1</v>
      </c>
      <c r="AW162">
        <v>1</v>
      </c>
      <c r="AZ162">
        <v>1</v>
      </c>
      <c r="BA162">
        <v>1</v>
      </c>
      <c r="BB162">
        <v>7.63</v>
      </c>
      <c r="BC162">
        <v>1</v>
      </c>
      <c r="BD162" t="s">
        <v>3</v>
      </c>
      <c r="BE162" t="s">
        <v>3</v>
      </c>
      <c r="BF162" t="s">
        <v>3</v>
      </c>
      <c r="BG162" t="s">
        <v>3</v>
      </c>
      <c r="BH162">
        <v>0</v>
      </c>
      <c r="BI162">
        <v>4</v>
      </c>
      <c r="BJ162" t="s">
        <v>71</v>
      </c>
      <c r="BM162">
        <v>1113</v>
      </c>
      <c r="BN162">
        <v>0</v>
      </c>
      <c r="BO162" t="s">
        <v>69</v>
      </c>
      <c r="BP162">
        <v>1</v>
      </c>
      <c r="BQ162">
        <v>150</v>
      </c>
      <c r="BR162">
        <v>0</v>
      </c>
      <c r="BS162">
        <v>1</v>
      </c>
      <c r="BT162">
        <v>1</v>
      </c>
      <c r="BU162">
        <v>1</v>
      </c>
      <c r="BV162">
        <v>1</v>
      </c>
      <c r="BW162">
        <v>1</v>
      </c>
      <c r="BX162">
        <v>1</v>
      </c>
      <c r="BY162" t="s">
        <v>3</v>
      </c>
      <c r="BZ162">
        <v>93</v>
      </c>
      <c r="CA162">
        <v>64</v>
      </c>
      <c r="CE162">
        <v>30</v>
      </c>
      <c r="CF162">
        <v>0</v>
      </c>
      <c r="CG162">
        <v>0</v>
      </c>
      <c r="CM162">
        <v>0</v>
      </c>
      <c r="CN162" t="s">
        <v>3</v>
      </c>
      <c r="CO162">
        <v>0</v>
      </c>
      <c r="CP162">
        <f t="shared" si="145"/>
        <v>0</v>
      </c>
      <c r="CQ162">
        <f t="shared" si="146"/>
        <v>0</v>
      </c>
      <c r="CR162">
        <f t="shared" si="147"/>
        <v>279.18</v>
      </c>
      <c r="CS162">
        <f t="shared" si="148"/>
        <v>0</v>
      </c>
      <c r="CT162">
        <f t="shared" si="149"/>
        <v>0</v>
      </c>
      <c r="CU162">
        <f t="shared" si="150"/>
        <v>0</v>
      </c>
      <c r="CV162">
        <f t="shared" si="151"/>
        <v>0</v>
      </c>
      <c r="CW162">
        <f t="shared" si="152"/>
        <v>0</v>
      </c>
      <c r="CX162">
        <f t="shared" si="152"/>
        <v>0</v>
      </c>
      <c r="CY162">
        <f t="shared" si="153"/>
        <v>0</v>
      </c>
      <c r="CZ162">
        <f t="shared" si="154"/>
        <v>0</v>
      </c>
      <c r="DC162" t="s">
        <v>3</v>
      </c>
      <c r="DD162" t="s">
        <v>3</v>
      </c>
      <c r="DE162" t="s">
        <v>3</v>
      </c>
      <c r="DF162" t="s">
        <v>3</v>
      </c>
      <c r="DG162" t="s">
        <v>3</v>
      </c>
      <c r="DH162" t="s">
        <v>3</v>
      </c>
      <c r="DI162" t="s">
        <v>3</v>
      </c>
      <c r="DJ162" t="s">
        <v>3</v>
      </c>
      <c r="DK162" t="s">
        <v>3</v>
      </c>
      <c r="DL162" t="s">
        <v>3</v>
      </c>
      <c r="DM162" t="s">
        <v>3</v>
      </c>
      <c r="DN162">
        <v>0</v>
      </c>
      <c r="DO162">
        <v>0</v>
      </c>
      <c r="DP162">
        <v>1</v>
      </c>
      <c r="DQ162">
        <v>1</v>
      </c>
      <c r="DU162">
        <v>1013</v>
      </c>
      <c r="DV162" t="s">
        <v>38</v>
      </c>
      <c r="DW162" t="s">
        <v>38</v>
      </c>
      <c r="DX162">
        <v>1</v>
      </c>
      <c r="EE162">
        <v>33798752</v>
      </c>
      <c r="EF162">
        <v>150</v>
      </c>
      <c r="EG162" t="s">
        <v>53</v>
      </c>
      <c r="EH162">
        <v>0</v>
      </c>
      <c r="EI162" t="s">
        <v>3</v>
      </c>
      <c r="EJ162">
        <v>4</v>
      </c>
      <c r="EK162">
        <v>1113</v>
      </c>
      <c r="EL162" t="s">
        <v>54</v>
      </c>
      <c r="EM162" t="s">
        <v>55</v>
      </c>
      <c r="EO162" t="s">
        <v>3</v>
      </c>
      <c r="EQ162">
        <v>131072</v>
      </c>
      <c r="ER162">
        <v>36.590000000000003</v>
      </c>
      <c r="ES162">
        <v>0</v>
      </c>
      <c r="ET162">
        <v>36.590000000000003</v>
      </c>
      <c r="EU162">
        <v>0</v>
      </c>
      <c r="EV162">
        <v>0</v>
      </c>
      <c r="EW162">
        <v>0</v>
      </c>
      <c r="EX162">
        <v>0</v>
      </c>
      <c r="EY162">
        <v>0</v>
      </c>
      <c r="FQ162">
        <v>0</v>
      </c>
      <c r="FR162">
        <f t="shared" si="155"/>
        <v>0</v>
      </c>
      <c r="FS162">
        <v>0</v>
      </c>
      <c r="FX162">
        <v>0</v>
      </c>
      <c r="FY162">
        <v>0</v>
      </c>
      <c r="GA162" t="s">
        <v>3</v>
      </c>
      <c r="GD162">
        <v>0</v>
      </c>
      <c r="GF162">
        <v>-2064945105</v>
      </c>
      <c r="GG162">
        <v>2</v>
      </c>
      <c r="GH162">
        <v>1</v>
      </c>
      <c r="GI162">
        <v>2</v>
      </c>
      <c r="GJ162">
        <v>0</v>
      </c>
      <c r="GK162">
        <f>ROUND(R162*(R12)/100,2)</f>
        <v>0</v>
      </c>
      <c r="GL162">
        <f t="shared" si="156"/>
        <v>0</v>
      </c>
      <c r="GM162">
        <f t="shared" si="157"/>
        <v>0</v>
      </c>
      <c r="GN162">
        <f t="shared" si="158"/>
        <v>0</v>
      </c>
      <c r="GO162">
        <f t="shared" si="159"/>
        <v>0</v>
      </c>
      <c r="GP162">
        <f t="shared" si="160"/>
        <v>0</v>
      </c>
      <c r="GR162">
        <v>0</v>
      </c>
      <c r="GS162">
        <v>3</v>
      </c>
      <c r="GT162">
        <v>0</v>
      </c>
      <c r="GU162" t="s">
        <v>3</v>
      </c>
      <c r="GV162">
        <f t="shared" si="161"/>
        <v>0</v>
      </c>
      <c r="GW162">
        <v>1</v>
      </c>
      <c r="GX162">
        <f t="shared" si="162"/>
        <v>0</v>
      </c>
      <c r="HA162">
        <v>0</v>
      </c>
      <c r="HB162">
        <v>0</v>
      </c>
      <c r="HC162">
        <f t="shared" si="163"/>
        <v>0</v>
      </c>
      <c r="IK162">
        <v>0</v>
      </c>
    </row>
    <row r="163" spans="1:245" x14ac:dyDescent="0.2">
      <c r="A163">
        <v>17</v>
      </c>
      <c r="B163">
        <v>1</v>
      </c>
      <c r="C163">
        <f>ROW(SmtRes!A87)</f>
        <v>87</v>
      </c>
      <c r="D163">
        <f>ROW(EtalonRes!A87)</f>
        <v>87</v>
      </c>
      <c r="E163" t="s">
        <v>182</v>
      </c>
      <c r="F163" t="s">
        <v>183</v>
      </c>
      <c r="G163" t="s">
        <v>184</v>
      </c>
      <c r="H163" t="s">
        <v>185</v>
      </c>
      <c r="I163">
        <v>0</v>
      </c>
      <c r="J163">
        <v>0</v>
      </c>
      <c r="O163">
        <f t="shared" si="128"/>
        <v>0</v>
      </c>
      <c r="P163">
        <f t="shared" si="129"/>
        <v>0</v>
      </c>
      <c r="Q163">
        <f t="shared" si="130"/>
        <v>0</v>
      </c>
      <c r="R163">
        <f t="shared" si="131"/>
        <v>0</v>
      </c>
      <c r="S163">
        <f t="shared" si="132"/>
        <v>0</v>
      </c>
      <c r="T163">
        <f t="shared" si="133"/>
        <v>0</v>
      </c>
      <c r="U163">
        <f t="shared" si="134"/>
        <v>0</v>
      </c>
      <c r="V163">
        <f t="shared" si="135"/>
        <v>0</v>
      </c>
      <c r="W163">
        <f t="shared" si="136"/>
        <v>0</v>
      </c>
      <c r="X163">
        <f t="shared" si="137"/>
        <v>0</v>
      </c>
      <c r="Y163">
        <f t="shared" si="137"/>
        <v>0</v>
      </c>
      <c r="AA163">
        <v>33989672</v>
      </c>
      <c r="AB163">
        <f t="shared" si="138"/>
        <v>863.31</v>
      </c>
      <c r="AC163">
        <f t="shared" si="139"/>
        <v>35.35</v>
      </c>
      <c r="AD163">
        <f t="shared" si="140"/>
        <v>676.47</v>
      </c>
      <c r="AE163">
        <f t="shared" si="141"/>
        <v>119.05</v>
      </c>
      <c r="AF163">
        <f t="shared" si="141"/>
        <v>151.49</v>
      </c>
      <c r="AG163">
        <f t="shared" si="142"/>
        <v>0</v>
      </c>
      <c r="AH163">
        <f t="shared" si="143"/>
        <v>14.4</v>
      </c>
      <c r="AI163">
        <f t="shared" si="143"/>
        <v>0</v>
      </c>
      <c r="AJ163">
        <f t="shared" si="144"/>
        <v>0</v>
      </c>
      <c r="AK163">
        <v>863.31</v>
      </c>
      <c r="AL163">
        <v>35.35</v>
      </c>
      <c r="AM163">
        <v>676.47</v>
      </c>
      <c r="AN163">
        <v>119.05</v>
      </c>
      <c r="AO163">
        <v>151.49</v>
      </c>
      <c r="AP163">
        <v>0</v>
      </c>
      <c r="AQ163">
        <v>14.4</v>
      </c>
      <c r="AR163">
        <v>0</v>
      </c>
      <c r="AS163">
        <v>0</v>
      </c>
      <c r="AT163">
        <v>131</v>
      </c>
      <c r="AU163">
        <v>54</v>
      </c>
      <c r="AV163">
        <v>1</v>
      </c>
      <c r="AW163">
        <v>1</v>
      </c>
      <c r="AZ163">
        <v>1</v>
      </c>
      <c r="BA163">
        <v>24.53</v>
      </c>
      <c r="BB163">
        <v>9.4499999999999993</v>
      </c>
      <c r="BC163">
        <v>4.99</v>
      </c>
      <c r="BD163" t="s">
        <v>3</v>
      </c>
      <c r="BE163" t="s">
        <v>3</v>
      </c>
      <c r="BF163" t="s">
        <v>3</v>
      </c>
      <c r="BG163" t="s">
        <v>3</v>
      </c>
      <c r="BH163">
        <v>0</v>
      </c>
      <c r="BI163">
        <v>1</v>
      </c>
      <c r="BJ163" t="s">
        <v>186</v>
      </c>
      <c r="BM163">
        <v>146</v>
      </c>
      <c r="BN163">
        <v>0</v>
      </c>
      <c r="BO163" t="s">
        <v>183</v>
      </c>
      <c r="BP163">
        <v>1</v>
      </c>
      <c r="BQ163">
        <v>30</v>
      </c>
      <c r="BR163">
        <v>0</v>
      </c>
      <c r="BS163">
        <v>24.53</v>
      </c>
      <c r="BT163">
        <v>1</v>
      </c>
      <c r="BU163">
        <v>1</v>
      </c>
      <c r="BV163">
        <v>1</v>
      </c>
      <c r="BW163">
        <v>1</v>
      </c>
      <c r="BX163">
        <v>1</v>
      </c>
      <c r="BY163" t="s">
        <v>3</v>
      </c>
      <c r="BZ163">
        <v>131</v>
      </c>
      <c r="CA163">
        <v>54</v>
      </c>
      <c r="CE163">
        <v>30</v>
      </c>
      <c r="CF163">
        <v>0</v>
      </c>
      <c r="CG163">
        <v>0</v>
      </c>
      <c r="CM163">
        <v>0</v>
      </c>
      <c r="CN163" t="s">
        <v>3</v>
      </c>
      <c r="CO163">
        <v>0</v>
      </c>
      <c r="CP163">
        <f t="shared" si="145"/>
        <v>0</v>
      </c>
      <c r="CQ163">
        <f t="shared" si="146"/>
        <v>176.4</v>
      </c>
      <c r="CR163">
        <f t="shared" si="147"/>
        <v>6392.64</v>
      </c>
      <c r="CS163">
        <f t="shared" si="148"/>
        <v>2920.3</v>
      </c>
      <c r="CT163">
        <f t="shared" si="149"/>
        <v>3716.05</v>
      </c>
      <c r="CU163">
        <f t="shared" si="150"/>
        <v>0</v>
      </c>
      <c r="CV163">
        <f t="shared" si="151"/>
        <v>14.4</v>
      </c>
      <c r="CW163">
        <f t="shared" si="152"/>
        <v>0</v>
      </c>
      <c r="CX163">
        <f t="shared" si="152"/>
        <v>0</v>
      </c>
      <c r="CY163">
        <f t="shared" si="153"/>
        <v>0</v>
      </c>
      <c r="CZ163">
        <f t="shared" si="154"/>
        <v>0</v>
      </c>
      <c r="DC163" t="s">
        <v>3</v>
      </c>
      <c r="DD163" t="s">
        <v>3</v>
      </c>
      <c r="DE163" t="s">
        <v>3</v>
      </c>
      <c r="DF163" t="s">
        <v>3</v>
      </c>
      <c r="DG163" t="s">
        <v>3</v>
      </c>
      <c r="DH163" t="s">
        <v>3</v>
      </c>
      <c r="DI163" t="s">
        <v>3</v>
      </c>
      <c r="DJ163" t="s">
        <v>3</v>
      </c>
      <c r="DK163" t="s">
        <v>3</v>
      </c>
      <c r="DL163" t="s">
        <v>3</v>
      </c>
      <c r="DM163" t="s">
        <v>3</v>
      </c>
      <c r="DN163">
        <v>161</v>
      </c>
      <c r="DO163">
        <v>107</v>
      </c>
      <c r="DP163">
        <v>1</v>
      </c>
      <c r="DQ163">
        <v>1</v>
      </c>
      <c r="DU163">
        <v>1013</v>
      </c>
      <c r="DV163" t="s">
        <v>185</v>
      </c>
      <c r="DW163" t="s">
        <v>185</v>
      </c>
      <c r="DX163">
        <v>1</v>
      </c>
      <c r="EE163">
        <v>33797785</v>
      </c>
      <c r="EF163">
        <v>30</v>
      </c>
      <c r="EG163" t="s">
        <v>77</v>
      </c>
      <c r="EH163">
        <v>0</v>
      </c>
      <c r="EI163" t="s">
        <v>3</v>
      </c>
      <c r="EJ163">
        <v>1</v>
      </c>
      <c r="EK163">
        <v>146</v>
      </c>
      <c r="EL163" t="s">
        <v>187</v>
      </c>
      <c r="EM163" t="s">
        <v>188</v>
      </c>
      <c r="EO163" t="s">
        <v>3</v>
      </c>
      <c r="EQ163">
        <v>131072</v>
      </c>
      <c r="ER163">
        <v>863.31</v>
      </c>
      <c r="ES163">
        <v>35.35</v>
      </c>
      <c r="ET163">
        <v>676.47</v>
      </c>
      <c r="EU163">
        <v>119.05</v>
      </c>
      <c r="EV163">
        <v>151.49</v>
      </c>
      <c r="EW163">
        <v>14.4</v>
      </c>
      <c r="EX163">
        <v>0</v>
      </c>
      <c r="EY163">
        <v>0</v>
      </c>
      <c r="FQ163">
        <v>0</v>
      </c>
      <c r="FR163">
        <f t="shared" si="155"/>
        <v>0</v>
      </c>
      <c r="FS163">
        <v>0</v>
      </c>
      <c r="FX163">
        <v>161</v>
      </c>
      <c r="FY163">
        <v>107</v>
      </c>
      <c r="GA163" t="s">
        <v>3</v>
      </c>
      <c r="GD163">
        <v>0</v>
      </c>
      <c r="GF163">
        <v>-1939963274</v>
      </c>
      <c r="GG163">
        <v>2</v>
      </c>
      <c r="GH163">
        <v>1</v>
      </c>
      <c r="GI163">
        <v>2</v>
      </c>
      <c r="GJ163">
        <v>0</v>
      </c>
      <c r="GK163">
        <f>ROUND(R163*(R12)/100,2)</f>
        <v>0</v>
      </c>
      <c r="GL163">
        <f t="shared" si="156"/>
        <v>0</v>
      </c>
      <c r="GM163">
        <f t="shared" si="157"/>
        <v>0</v>
      </c>
      <c r="GN163">
        <f t="shared" si="158"/>
        <v>0</v>
      </c>
      <c r="GO163">
        <f t="shared" si="159"/>
        <v>0</v>
      </c>
      <c r="GP163">
        <f t="shared" si="160"/>
        <v>0</v>
      </c>
      <c r="GR163">
        <v>0</v>
      </c>
      <c r="GS163">
        <v>3</v>
      </c>
      <c r="GT163">
        <v>0</v>
      </c>
      <c r="GU163" t="s">
        <v>3</v>
      </c>
      <c r="GV163">
        <f t="shared" si="161"/>
        <v>0</v>
      </c>
      <c r="GW163">
        <v>1</v>
      </c>
      <c r="GX163">
        <f t="shared" si="162"/>
        <v>0</v>
      </c>
      <c r="HA163">
        <v>0</v>
      </c>
      <c r="HB163">
        <v>0</v>
      </c>
      <c r="HC163">
        <f t="shared" si="163"/>
        <v>0</v>
      </c>
      <c r="IK163">
        <v>0</v>
      </c>
    </row>
    <row r="164" spans="1:245" x14ac:dyDescent="0.2">
      <c r="A164">
        <v>18</v>
      </c>
      <c r="B164">
        <v>1</v>
      </c>
      <c r="C164">
        <v>87</v>
      </c>
      <c r="E164" t="s">
        <v>189</v>
      </c>
      <c r="F164" t="s">
        <v>190</v>
      </c>
      <c r="G164" t="s">
        <v>191</v>
      </c>
      <c r="H164" t="s">
        <v>66</v>
      </c>
      <c r="I164">
        <f>I163*J164</f>
        <v>0</v>
      </c>
      <c r="J164">
        <v>110</v>
      </c>
      <c r="O164">
        <f t="shared" si="128"/>
        <v>0</v>
      </c>
      <c r="P164">
        <f t="shared" si="129"/>
        <v>0</v>
      </c>
      <c r="Q164">
        <f t="shared" si="130"/>
        <v>0</v>
      </c>
      <c r="R164">
        <f t="shared" si="131"/>
        <v>0</v>
      </c>
      <c r="S164">
        <f t="shared" si="132"/>
        <v>0</v>
      </c>
      <c r="T164">
        <f t="shared" si="133"/>
        <v>0</v>
      </c>
      <c r="U164">
        <f t="shared" si="134"/>
        <v>0</v>
      </c>
      <c r="V164">
        <f t="shared" si="135"/>
        <v>0</v>
      </c>
      <c r="W164">
        <f t="shared" si="136"/>
        <v>0</v>
      </c>
      <c r="X164">
        <f t="shared" si="137"/>
        <v>0</v>
      </c>
      <c r="Y164">
        <f t="shared" si="137"/>
        <v>0</v>
      </c>
      <c r="AA164">
        <v>33989672</v>
      </c>
      <c r="AB164">
        <f t="shared" si="138"/>
        <v>104.99</v>
      </c>
      <c r="AC164">
        <f t="shared" si="139"/>
        <v>104.99</v>
      </c>
      <c r="AD164">
        <f t="shared" si="140"/>
        <v>0</v>
      </c>
      <c r="AE164">
        <f t="shared" si="141"/>
        <v>0</v>
      </c>
      <c r="AF164">
        <f t="shared" si="141"/>
        <v>0</v>
      </c>
      <c r="AG164">
        <f t="shared" si="142"/>
        <v>0</v>
      </c>
      <c r="AH164">
        <f t="shared" si="143"/>
        <v>0</v>
      </c>
      <c r="AI164">
        <f t="shared" si="143"/>
        <v>0</v>
      </c>
      <c r="AJ164">
        <f t="shared" si="144"/>
        <v>0</v>
      </c>
      <c r="AK164">
        <v>104.99</v>
      </c>
      <c r="AL164">
        <v>104.99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1</v>
      </c>
      <c r="AW164">
        <v>1</v>
      </c>
      <c r="AZ164">
        <v>1</v>
      </c>
      <c r="BA164">
        <v>1</v>
      </c>
      <c r="BB164">
        <v>1</v>
      </c>
      <c r="BC164">
        <v>5.26</v>
      </c>
      <c r="BD164" t="s">
        <v>3</v>
      </c>
      <c r="BE164" t="s">
        <v>3</v>
      </c>
      <c r="BF164" t="s">
        <v>3</v>
      </c>
      <c r="BG164" t="s">
        <v>3</v>
      </c>
      <c r="BH164">
        <v>3</v>
      </c>
      <c r="BI164">
        <v>1</v>
      </c>
      <c r="BJ164" t="s">
        <v>192</v>
      </c>
      <c r="BM164">
        <v>146</v>
      </c>
      <c r="BN164">
        <v>0</v>
      </c>
      <c r="BO164" t="s">
        <v>190</v>
      </c>
      <c r="BP164">
        <v>1</v>
      </c>
      <c r="BQ164">
        <v>30</v>
      </c>
      <c r="BR164">
        <v>0</v>
      </c>
      <c r="BS164">
        <v>1</v>
      </c>
      <c r="BT164">
        <v>1</v>
      </c>
      <c r="BU164">
        <v>1</v>
      </c>
      <c r="BV164">
        <v>1</v>
      </c>
      <c r="BW164">
        <v>1</v>
      </c>
      <c r="BX164">
        <v>1</v>
      </c>
      <c r="BY164" t="s">
        <v>3</v>
      </c>
      <c r="BZ164">
        <v>0</v>
      </c>
      <c r="CA164">
        <v>0</v>
      </c>
      <c r="CE164">
        <v>30</v>
      </c>
      <c r="CF164">
        <v>0</v>
      </c>
      <c r="CG164">
        <v>0</v>
      </c>
      <c r="CM164">
        <v>0</v>
      </c>
      <c r="CN164" t="s">
        <v>3</v>
      </c>
      <c r="CO164">
        <v>0</v>
      </c>
      <c r="CP164">
        <f t="shared" si="145"/>
        <v>0</v>
      </c>
      <c r="CQ164">
        <f t="shared" si="146"/>
        <v>552.25</v>
      </c>
      <c r="CR164">
        <f t="shared" si="147"/>
        <v>0</v>
      </c>
      <c r="CS164">
        <f t="shared" si="148"/>
        <v>0</v>
      </c>
      <c r="CT164">
        <f t="shared" si="149"/>
        <v>0</v>
      </c>
      <c r="CU164">
        <f t="shared" si="150"/>
        <v>0</v>
      </c>
      <c r="CV164">
        <f t="shared" si="151"/>
        <v>0</v>
      </c>
      <c r="CW164">
        <f t="shared" si="152"/>
        <v>0</v>
      </c>
      <c r="CX164">
        <f t="shared" si="152"/>
        <v>0</v>
      </c>
      <c r="CY164">
        <f t="shared" si="153"/>
        <v>0</v>
      </c>
      <c r="CZ164">
        <f t="shared" si="154"/>
        <v>0</v>
      </c>
      <c r="DC164" t="s">
        <v>3</v>
      </c>
      <c r="DD164" t="s">
        <v>3</v>
      </c>
      <c r="DE164" t="s">
        <v>3</v>
      </c>
      <c r="DF164" t="s">
        <v>3</v>
      </c>
      <c r="DG164" t="s">
        <v>3</v>
      </c>
      <c r="DH164" t="s">
        <v>3</v>
      </c>
      <c r="DI164" t="s">
        <v>3</v>
      </c>
      <c r="DJ164" t="s">
        <v>3</v>
      </c>
      <c r="DK164" t="s">
        <v>3</v>
      </c>
      <c r="DL164" t="s">
        <v>3</v>
      </c>
      <c r="DM164" t="s">
        <v>3</v>
      </c>
      <c r="DN164">
        <v>161</v>
      </c>
      <c r="DO164">
        <v>107</v>
      </c>
      <c r="DP164">
        <v>1</v>
      </c>
      <c r="DQ164">
        <v>1</v>
      </c>
      <c r="DU164">
        <v>1007</v>
      </c>
      <c r="DV164" t="s">
        <v>66</v>
      </c>
      <c r="DW164" t="s">
        <v>66</v>
      </c>
      <c r="DX164">
        <v>1</v>
      </c>
      <c r="EE164">
        <v>33797785</v>
      </c>
      <c r="EF164">
        <v>30</v>
      </c>
      <c r="EG164" t="s">
        <v>77</v>
      </c>
      <c r="EH164">
        <v>0</v>
      </c>
      <c r="EI164" t="s">
        <v>3</v>
      </c>
      <c r="EJ164">
        <v>1</v>
      </c>
      <c r="EK164">
        <v>146</v>
      </c>
      <c r="EL164" t="s">
        <v>187</v>
      </c>
      <c r="EM164" t="s">
        <v>188</v>
      </c>
      <c r="EO164" t="s">
        <v>3</v>
      </c>
      <c r="EQ164">
        <v>0</v>
      </c>
      <c r="ER164">
        <v>104.99</v>
      </c>
      <c r="ES164">
        <v>104.99</v>
      </c>
      <c r="ET164">
        <v>0</v>
      </c>
      <c r="EU164">
        <v>0</v>
      </c>
      <c r="EV164">
        <v>0</v>
      </c>
      <c r="EW164">
        <v>0</v>
      </c>
      <c r="EX164">
        <v>0</v>
      </c>
      <c r="FQ164">
        <v>0</v>
      </c>
      <c r="FR164">
        <f t="shared" si="155"/>
        <v>0</v>
      </c>
      <c r="FS164">
        <v>0</v>
      </c>
      <c r="FX164">
        <v>161</v>
      </c>
      <c r="FY164">
        <v>107</v>
      </c>
      <c r="GA164" t="s">
        <v>3</v>
      </c>
      <c r="GD164">
        <v>0</v>
      </c>
      <c r="GF164">
        <v>2069056849</v>
      </c>
      <c r="GG164">
        <v>2</v>
      </c>
      <c r="GH164">
        <v>1</v>
      </c>
      <c r="GI164">
        <v>2</v>
      </c>
      <c r="GJ164">
        <v>0</v>
      </c>
      <c r="GK164">
        <f>ROUND(R164*(R12)/100,2)</f>
        <v>0</v>
      </c>
      <c r="GL164">
        <f t="shared" si="156"/>
        <v>0</v>
      </c>
      <c r="GM164">
        <f t="shared" si="157"/>
        <v>0</v>
      </c>
      <c r="GN164">
        <f t="shared" si="158"/>
        <v>0</v>
      </c>
      <c r="GO164">
        <f t="shared" si="159"/>
        <v>0</v>
      </c>
      <c r="GP164">
        <f t="shared" si="160"/>
        <v>0</v>
      </c>
      <c r="GR164">
        <v>0</v>
      </c>
      <c r="GS164">
        <v>3</v>
      </c>
      <c r="GT164">
        <v>0</v>
      </c>
      <c r="GU164" t="s">
        <v>3</v>
      </c>
      <c r="GV164">
        <f t="shared" si="161"/>
        <v>0</v>
      </c>
      <c r="GW164">
        <v>1</v>
      </c>
      <c r="GX164">
        <f t="shared" si="162"/>
        <v>0</v>
      </c>
      <c r="HA164">
        <v>0</v>
      </c>
      <c r="HB164">
        <v>0</v>
      </c>
      <c r="HC164">
        <f t="shared" si="163"/>
        <v>0</v>
      </c>
      <c r="IK164">
        <v>0</v>
      </c>
    </row>
    <row r="165" spans="1:245" x14ac:dyDescent="0.2">
      <c r="A165">
        <v>17</v>
      </c>
      <c r="B165">
        <v>1</v>
      </c>
      <c r="C165">
        <f>ROW(SmtRes!A92)</f>
        <v>92</v>
      </c>
      <c r="D165">
        <f>ROW(EtalonRes!A93)</f>
        <v>93</v>
      </c>
      <c r="E165" t="s">
        <v>193</v>
      </c>
      <c r="F165" t="s">
        <v>194</v>
      </c>
      <c r="G165" t="s">
        <v>195</v>
      </c>
      <c r="H165" t="s">
        <v>26</v>
      </c>
      <c r="I165">
        <f>ROUND(3497/100,5)</f>
        <v>34.97</v>
      </c>
      <c r="J165">
        <v>0</v>
      </c>
      <c r="O165">
        <f t="shared" si="128"/>
        <v>1589940.06</v>
      </c>
      <c r="P165">
        <f t="shared" si="129"/>
        <v>898186.68</v>
      </c>
      <c r="Q165">
        <f t="shared" si="130"/>
        <v>33724.11</v>
      </c>
      <c r="R165">
        <f t="shared" si="131"/>
        <v>9496.0499999999993</v>
      </c>
      <c r="S165">
        <f t="shared" si="132"/>
        <v>658029.27</v>
      </c>
      <c r="T165">
        <f t="shared" si="133"/>
        <v>0</v>
      </c>
      <c r="U165">
        <f t="shared" si="134"/>
        <v>2440.9059999999999</v>
      </c>
      <c r="V165">
        <f t="shared" si="135"/>
        <v>0</v>
      </c>
      <c r="W165">
        <f t="shared" si="136"/>
        <v>0</v>
      </c>
      <c r="X165">
        <f t="shared" si="137"/>
        <v>862018.34</v>
      </c>
      <c r="Y165">
        <f t="shared" si="137"/>
        <v>355335.81</v>
      </c>
      <c r="AA165">
        <v>33989672</v>
      </c>
      <c r="AB165">
        <f t="shared" si="138"/>
        <v>5185.83</v>
      </c>
      <c r="AC165">
        <f t="shared" si="139"/>
        <v>4302.26</v>
      </c>
      <c r="AD165">
        <f t="shared" si="140"/>
        <v>116.47</v>
      </c>
      <c r="AE165">
        <f t="shared" si="141"/>
        <v>11.07</v>
      </c>
      <c r="AF165">
        <f t="shared" si="141"/>
        <v>767.1</v>
      </c>
      <c r="AG165">
        <f t="shared" si="142"/>
        <v>0</v>
      </c>
      <c r="AH165">
        <f t="shared" si="143"/>
        <v>69.8</v>
      </c>
      <c r="AI165">
        <f t="shared" si="143"/>
        <v>0</v>
      </c>
      <c r="AJ165">
        <f t="shared" si="144"/>
        <v>0</v>
      </c>
      <c r="AK165">
        <v>5185.83</v>
      </c>
      <c r="AL165">
        <v>4302.26</v>
      </c>
      <c r="AM165">
        <v>116.47</v>
      </c>
      <c r="AN165">
        <v>11.07</v>
      </c>
      <c r="AO165">
        <v>767.1</v>
      </c>
      <c r="AP165">
        <v>0</v>
      </c>
      <c r="AQ165">
        <v>69.8</v>
      </c>
      <c r="AR165">
        <v>0</v>
      </c>
      <c r="AS165">
        <v>0</v>
      </c>
      <c r="AT165">
        <v>131</v>
      </c>
      <c r="AU165">
        <v>54</v>
      </c>
      <c r="AV165">
        <v>1</v>
      </c>
      <c r="AW165">
        <v>1</v>
      </c>
      <c r="AZ165">
        <v>1</v>
      </c>
      <c r="BA165">
        <v>24.53</v>
      </c>
      <c r="BB165">
        <v>8.2799999999999994</v>
      </c>
      <c r="BC165">
        <v>5.97</v>
      </c>
      <c r="BD165" t="s">
        <v>3</v>
      </c>
      <c r="BE165" t="s">
        <v>3</v>
      </c>
      <c r="BF165" t="s">
        <v>3</v>
      </c>
      <c r="BG165" t="s">
        <v>3</v>
      </c>
      <c r="BH165">
        <v>0</v>
      </c>
      <c r="BI165">
        <v>1</v>
      </c>
      <c r="BJ165" t="s">
        <v>196</v>
      </c>
      <c r="BM165">
        <v>149</v>
      </c>
      <c r="BN165">
        <v>0</v>
      </c>
      <c r="BO165" t="s">
        <v>194</v>
      </c>
      <c r="BP165">
        <v>1</v>
      </c>
      <c r="BQ165">
        <v>30</v>
      </c>
      <c r="BR165">
        <v>0</v>
      </c>
      <c r="BS165">
        <v>24.53</v>
      </c>
      <c r="BT165">
        <v>1</v>
      </c>
      <c r="BU165">
        <v>1</v>
      </c>
      <c r="BV165">
        <v>1</v>
      </c>
      <c r="BW165">
        <v>1</v>
      </c>
      <c r="BX165">
        <v>1</v>
      </c>
      <c r="BY165" t="s">
        <v>3</v>
      </c>
      <c r="BZ165">
        <v>131</v>
      </c>
      <c r="CA165">
        <v>54</v>
      </c>
      <c r="CE165">
        <v>30</v>
      </c>
      <c r="CF165">
        <v>0</v>
      </c>
      <c r="CG165">
        <v>0</v>
      </c>
      <c r="CM165">
        <v>0</v>
      </c>
      <c r="CN165" t="s">
        <v>3</v>
      </c>
      <c r="CO165">
        <v>0</v>
      </c>
      <c r="CP165">
        <f t="shared" si="145"/>
        <v>1589940.06</v>
      </c>
      <c r="CQ165">
        <f t="shared" si="146"/>
        <v>25684.49</v>
      </c>
      <c r="CR165">
        <f t="shared" si="147"/>
        <v>964.37</v>
      </c>
      <c r="CS165">
        <f t="shared" si="148"/>
        <v>271.55</v>
      </c>
      <c r="CT165">
        <f t="shared" si="149"/>
        <v>18816.96</v>
      </c>
      <c r="CU165">
        <f t="shared" si="150"/>
        <v>0</v>
      </c>
      <c r="CV165">
        <f t="shared" si="151"/>
        <v>69.8</v>
      </c>
      <c r="CW165">
        <f t="shared" si="152"/>
        <v>0</v>
      </c>
      <c r="CX165">
        <f t="shared" si="152"/>
        <v>0</v>
      </c>
      <c r="CY165">
        <f t="shared" si="153"/>
        <v>862018.34370000008</v>
      </c>
      <c r="CZ165">
        <f t="shared" si="154"/>
        <v>355335.80580000003</v>
      </c>
      <c r="DC165" t="s">
        <v>3</v>
      </c>
      <c r="DD165" t="s">
        <v>3</v>
      </c>
      <c r="DE165" t="s">
        <v>3</v>
      </c>
      <c r="DF165" t="s">
        <v>3</v>
      </c>
      <c r="DG165" t="s">
        <v>3</v>
      </c>
      <c r="DH165" t="s">
        <v>3</v>
      </c>
      <c r="DI165" t="s">
        <v>3</v>
      </c>
      <c r="DJ165" t="s">
        <v>3</v>
      </c>
      <c r="DK165" t="s">
        <v>3</v>
      </c>
      <c r="DL165" t="s">
        <v>3</v>
      </c>
      <c r="DM165" t="s">
        <v>3</v>
      </c>
      <c r="DN165">
        <v>161</v>
      </c>
      <c r="DO165">
        <v>107</v>
      </c>
      <c r="DP165">
        <v>1</v>
      </c>
      <c r="DQ165">
        <v>1</v>
      </c>
      <c r="DU165">
        <v>1013</v>
      </c>
      <c r="DV165" t="s">
        <v>26</v>
      </c>
      <c r="DW165" t="s">
        <v>26</v>
      </c>
      <c r="DX165">
        <v>1</v>
      </c>
      <c r="EE165">
        <v>33797788</v>
      </c>
      <c r="EF165">
        <v>30</v>
      </c>
      <c r="EG165" t="s">
        <v>77</v>
      </c>
      <c r="EH165">
        <v>0</v>
      </c>
      <c r="EI165" t="s">
        <v>3</v>
      </c>
      <c r="EJ165">
        <v>1</v>
      </c>
      <c r="EK165">
        <v>149</v>
      </c>
      <c r="EL165" t="s">
        <v>197</v>
      </c>
      <c r="EM165" t="s">
        <v>198</v>
      </c>
      <c r="EO165" t="s">
        <v>3</v>
      </c>
      <c r="EQ165">
        <v>131072</v>
      </c>
      <c r="ER165">
        <v>5185.83</v>
      </c>
      <c r="ES165">
        <v>4302.26</v>
      </c>
      <c r="ET165">
        <v>116.47</v>
      </c>
      <c r="EU165">
        <v>11.07</v>
      </c>
      <c r="EV165">
        <v>767.1</v>
      </c>
      <c r="EW165">
        <v>69.8</v>
      </c>
      <c r="EX165">
        <v>0</v>
      </c>
      <c r="EY165">
        <v>0</v>
      </c>
      <c r="FQ165">
        <v>0</v>
      </c>
      <c r="FR165">
        <f t="shared" si="155"/>
        <v>0</v>
      </c>
      <c r="FS165">
        <v>0</v>
      </c>
      <c r="FX165">
        <v>161</v>
      </c>
      <c r="FY165">
        <v>107</v>
      </c>
      <c r="GA165" t="s">
        <v>3</v>
      </c>
      <c r="GD165">
        <v>0</v>
      </c>
      <c r="GF165">
        <v>1670550423</v>
      </c>
      <c r="GG165">
        <v>2</v>
      </c>
      <c r="GH165">
        <v>1</v>
      </c>
      <c r="GI165">
        <v>2</v>
      </c>
      <c r="GJ165">
        <v>0</v>
      </c>
      <c r="GK165">
        <f>ROUND(R165*(R12)/100,2)</f>
        <v>14908.8</v>
      </c>
      <c r="GL165">
        <f t="shared" si="156"/>
        <v>0</v>
      </c>
      <c r="GM165">
        <f t="shared" si="157"/>
        <v>2822203.01</v>
      </c>
      <c r="GN165">
        <f t="shared" si="158"/>
        <v>2822203.01</v>
      </c>
      <c r="GO165">
        <f t="shared" si="159"/>
        <v>0</v>
      </c>
      <c r="GP165">
        <f t="shared" si="160"/>
        <v>0</v>
      </c>
      <c r="GR165">
        <v>0</v>
      </c>
      <c r="GS165">
        <v>3</v>
      </c>
      <c r="GT165">
        <v>0</v>
      </c>
      <c r="GU165" t="s">
        <v>3</v>
      </c>
      <c r="GV165">
        <f t="shared" si="161"/>
        <v>0</v>
      </c>
      <c r="GW165">
        <v>1</v>
      </c>
      <c r="GX165">
        <f t="shared" si="162"/>
        <v>0</v>
      </c>
      <c r="HA165">
        <v>0</v>
      </c>
      <c r="HB165">
        <v>0</v>
      </c>
      <c r="HC165">
        <f t="shared" si="163"/>
        <v>0</v>
      </c>
      <c r="IK165">
        <v>0</v>
      </c>
    </row>
    <row r="167" spans="1:245" x14ac:dyDescent="0.2">
      <c r="A167" s="2">
        <v>51</v>
      </c>
      <c r="B167" s="2">
        <f>B154</f>
        <v>1</v>
      </c>
      <c r="C167" s="2">
        <f>A154</f>
        <v>4</v>
      </c>
      <c r="D167" s="2">
        <f>ROW(A154)</f>
        <v>154</v>
      </c>
      <c r="E167" s="2"/>
      <c r="F167" s="2" t="str">
        <f>IF(F154&lt;&gt;"",F154,"")</f>
        <v>Новый раздел</v>
      </c>
      <c r="G167" s="2" t="str">
        <f>IF(G154&lt;&gt;"",G154,"")</f>
        <v>5.1. Установка дорожного бортового камня БР 100.30.15 с разборкой</v>
      </c>
      <c r="H167" s="2">
        <v>0</v>
      </c>
      <c r="I167" s="2"/>
      <c r="J167" s="2"/>
      <c r="K167" s="2"/>
      <c r="L167" s="2"/>
      <c r="M167" s="2"/>
      <c r="N167" s="2"/>
      <c r="O167" s="2">
        <f t="shared" ref="O167:T167" si="164">ROUND(AB167,2)</f>
        <v>2345527.34</v>
      </c>
      <c r="P167" s="2">
        <f t="shared" si="164"/>
        <v>898186.68</v>
      </c>
      <c r="Q167" s="2">
        <f t="shared" si="164"/>
        <v>33724.11</v>
      </c>
      <c r="R167" s="2">
        <f t="shared" si="164"/>
        <v>9496.0499999999993</v>
      </c>
      <c r="S167" s="2">
        <f t="shared" si="164"/>
        <v>1413616.55</v>
      </c>
      <c r="T167" s="2">
        <f t="shared" si="164"/>
        <v>0</v>
      </c>
      <c r="U167" s="2">
        <f>AH167</f>
        <v>5209.5676256000006</v>
      </c>
      <c r="V167" s="2">
        <f>AI167</f>
        <v>0</v>
      </c>
      <c r="W167" s="2">
        <f>ROUND(AJ167,2)</f>
        <v>0</v>
      </c>
      <c r="X167" s="2">
        <f>ROUND(AK167,2)</f>
        <v>1376817.85</v>
      </c>
      <c r="Y167" s="2">
        <f>ROUND(AL167,2)</f>
        <v>665126.59</v>
      </c>
      <c r="Z167" s="2"/>
      <c r="AA167" s="2"/>
      <c r="AB167" s="2">
        <f>ROUND(SUMIF(AA158:AA165,"=33989672",O158:O165),2)</f>
        <v>2345527.34</v>
      </c>
      <c r="AC167" s="2">
        <f>ROUND(SUMIF(AA158:AA165,"=33989672",P158:P165),2)</f>
        <v>898186.68</v>
      </c>
      <c r="AD167" s="2">
        <f>ROUND(SUMIF(AA158:AA165,"=33989672",Q158:Q165),2)</f>
        <v>33724.11</v>
      </c>
      <c r="AE167" s="2">
        <f>ROUND(SUMIF(AA158:AA165,"=33989672",R158:R165),2)</f>
        <v>9496.0499999999993</v>
      </c>
      <c r="AF167" s="2">
        <f>ROUND(SUMIF(AA158:AA165,"=33989672",S158:S165),2)</f>
        <v>1413616.55</v>
      </c>
      <c r="AG167" s="2">
        <f>ROUND(SUMIF(AA158:AA165,"=33989672",T158:T165),2)</f>
        <v>0</v>
      </c>
      <c r="AH167" s="2">
        <f>SUMIF(AA158:AA165,"=33989672",U158:U165)</f>
        <v>5209.5676256000006</v>
      </c>
      <c r="AI167" s="2">
        <f>SUMIF(AA158:AA165,"=33989672",V158:V165)</f>
        <v>0</v>
      </c>
      <c r="AJ167" s="2">
        <f>ROUND(SUMIF(AA158:AA165,"=33989672",W158:W165),2)</f>
        <v>0</v>
      </c>
      <c r="AK167" s="2">
        <f>ROUND(SUMIF(AA158:AA165,"=33989672",X158:X165),2)</f>
        <v>1376817.85</v>
      </c>
      <c r="AL167" s="2">
        <f>ROUND(SUMIF(AA158:AA165,"=33989672",Y158:Y165),2)</f>
        <v>665126.59</v>
      </c>
      <c r="AM167" s="2"/>
      <c r="AN167" s="2"/>
      <c r="AO167" s="2">
        <f t="shared" ref="AO167:BD167" si="165">ROUND(BX167,2)</f>
        <v>0</v>
      </c>
      <c r="AP167" s="2">
        <f t="shared" si="165"/>
        <v>0</v>
      </c>
      <c r="AQ167" s="2">
        <f t="shared" si="165"/>
        <v>0</v>
      </c>
      <c r="AR167" s="2">
        <f t="shared" si="165"/>
        <v>4402380.58</v>
      </c>
      <c r="AS167" s="2">
        <f t="shared" si="165"/>
        <v>4402380.58</v>
      </c>
      <c r="AT167" s="2">
        <f t="shared" si="165"/>
        <v>0</v>
      </c>
      <c r="AU167" s="2">
        <f t="shared" si="165"/>
        <v>0</v>
      </c>
      <c r="AV167" s="2">
        <f t="shared" si="165"/>
        <v>898186.68</v>
      </c>
      <c r="AW167" s="2">
        <f t="shared" si="165"/>
        <v>898186.68</v>
      </c>
      <c r="AX167" s="2">
        <f t="shared" si="165"/>
        <v>0</v>
      </c>
      <c r="AY167" s="2">
        <f t="shared" si="165"/>
        <v>898186.68</v>
      </c>
      <c r="AZ167" s="2">
        <f t="shared" si="165"/>
        <v>0</v>
      </c>
      <c r="BA167" s="2">
        <f t="shared" si="165"/>
        <v>0</v>
      </c>
      <c r="BB167" s="2">
        <f t="shared" si="165"/>
        <v>0</v>
      </c>
      <c r="BC167" s="2">
        <f t="shared" si="165"/>
        <v>0</v>
      </c>
      <c r="BD167" s="2">
        <f t="shared" si="165"/>
        <v>0</v>
      </c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>
        <f>ROUND(SUMIF(AA158:AA165,"=33989672",FQ158:FQ165),2)</f>
        <v>0</v>
      </c>
      <c r="BY167" s="2">
        <f>ROUND(SUMIF(AA158:AA165,"=33989672",FR158:FR165),2)</f>
        <v>0</v>
      </c>
      <c r="BZ167" s="2">
        <f>ROUND(SUMIF(AA158:AA165,"=33989672",GL158:GL165),2)</f>
        <v>0</v>
      </c>
      <c r="CA167" s="2">
        <f>ROUND(SUMIF(AA158:AA165,"=33989672",GM158:GM165),2)</f>
        <v>4402380.58</v>
      </c>
      <c r="CB167" s="2">
        <f>ROUND(SUMIF(AA158:AA165,"=33989672",GN158:GN165),2)</f>
        <v>4402380.58</v>
      </c>
      <c r="CC167" s="2">
        <f>ROUND(SUMIF(AA158:AA165,"=33989672",GO158:GO165),2)</f>
        <v>0</v>
      </c>
      <c r="CD167" s="2">
        <f>ROUND(SUMIF(AA158:AA165,"=33989672",GP158:GP165),2)</f>
        <v>0</v>
      </c>
      <c r="CE167" s="2">
        <f>AC167-BX167</f>
        <v>898186.68</v>
      </c>
      <c r="CF167" s="2">
        <f>AC167-BY167</f>
        <v>898186.68</v>
      </c>
      <c r="CG167" s="2">
        <f>BX167-BZ167</f>
        <v>0</v>
      </c>
      <c r="CH167" s="2">
        <f>AC167-BX167-BY167+BZ167</f>
        <v>898186.68</v>
      </c>
      <c r="CI167" s="2">
        <f>BY167-BZ167</f>
        <v>0</v>
      </c>
      <c r="CJ167" s="2">
        <f>ROUND(SUMIF(AA158:AA165,"=33989672",GX158:GX165),2)</f>
        <v>0</v>
      </c>
      <c r="CK167" s="2">
        <f>ROUND(SUMIF(AA158:AA165,"=33989672",GY158:GY165),2)</f>
        <v>0</v>
      </c>
      <c r="CL167" s="2">
        <f>ROUND(SUMIF(AA158:AA165,"=33989672",GZ158:GZ165),2)</f>
        <v>0</v>
      </c>
      <c r="CM167" s="2">
        <f>ROUND(SUMIF(AA158:AA165,"=33989672",HD158:HD165),2)</f>
        <v>0</v>
      </c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>
        <v>0</v>
      </c>
    </row>
    <row r="169" spans="1:245" x14ac:dyDescent="0.2">
      <c r="A169" s="4">
        <v>50</v>
      </c>
      <c r="B169" s="4">
        <v>0</v>
      </c>
      <c r="C169" s="4">
        <v>0</v>
      </c>
      <c r="D169" s="4">
        <v>1</v>
      </c>
      <c r="E169" s="4">
        <v>201</v>
      </c>
      <c r="F169" s="4">
        <f>ROUND(Source!O167,O169)</f>
        <v>2345527.34</v>
      </c>
      <c r="G169" s="4" t="s">
        <v>89</v>
      </c>
      <c r="H169" s="4" t="s">
        <v>90</v>
      </c>
      <c r="I169" s="4"/>
      <c r="J169" s="4"/>
      <c r="K169" s="4">
        <v>201</v>
      </c>
      <c r="L169" s="4">
        <v>1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45" x14ac:dyDescent="0.2">
      <c r="A170" s="4">
        <v>50</v>
      </c>
      <c r="B170" s="4">
        <v>0</v>
      </c>
      <c r="C170" s="4">
        <v>0</v>
      </c>
      <c r="D170" s="4">
        <v>1</v>
      </c>
      <c r="E170" s="4">
        <v>202</v>
      </c>
      <c r="F170" s="4">
        <f>ROUND(Source!P167,O170)</f>
        <v>898186.68</v>
      </c>
      <c r="G170" s="4" t="s">
        <v>91</v>
      </c>
      <c r="H170" s="4" t="s">
        <v>92</v>
      </c>
      <c r="I170" s="4"/>
      <c r="J170" s="4"/>
      <c r="K170" s="4">
        <v>202</v>
      </c>
      <c r="L170" s="4">
        <v>2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45" x14ac:dyDescent="0.2">
      <c r="A171" s="4">
        <v>50</v>
      </c>
      <c r="B171" s="4">
        <v>0</v>
      </c>
      <c r="C171" s="4">
        <v>0</v>
      </c>
      <c r="D171" s="4">
        <v>1</v>
      </c>
      <c r="E171" s="4">
        <v>222</v>
      </c>
      <c r="F171" s="4">
        <f>ROUND(Source!AO167,O171)</f>
        <v>0</v>
      </c>
      <c r="G171" s="4" t="s">
        <v>93</v>
      </c>
      <c r="H171" s="4" t="s">
        <v>94</v>
      </c>
      <c r="I171" s="4"/>
      <c r="J171" s="4"/>
      <c r="K171" s="4">
        <v>222</v>
      </c>
      <c r="L171" s="4">
        <v>3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45" x14ac:dyDescent="0.2">
      <c r="A172" s="4">
        <v>50</v>
      </c>
      <c r="B172" s="4">
        <v>0</v>
      </c>
      <c r="C172" s="4">
        <v>0</v>
      </c>
      <c r="D172" s="4">
        <v>1</v>
      </c>
      <c r="E172" s="4">
        <v>225</v>
      </c>
      <c r="F172" s="4">
        <f>ROUND(Source!AV167,O172)</f>
        <v>898186.68</v>
      </c>
      <c r="G172" s="4" t="s">
        <v>95</v>
      </c>
      <c r="H172" s="4" t="s">
        <v>96</v>
      </c>
      <c r="I172" s="4"/>
      <c r="J172" s="4"/>
      <c r="K172" s="4">
        <v>225</v>
      </c>
      <c r="L172" s="4">
        <v>4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3" spans="1:245" x14ac:dyDescent="0.2">
      <c r="A173" s="4">
        <v>50</v>
      </c>
      <c r="B173" s="4">
        <v>0</v>
      </c>
      <c r="C173" s="4">
        <v>0</v>
      </c>
      <c r="D173" s="4">
        <v>1</v>
      </c>
      <c r="E173" s="4">
        <v>226</v>
      </c>
      <c r="F173" s="4">
        <f>ROUND(Source!AW167,O173)</f>
        <v>898186.68</v>
      </c>
      <c r="G173" s="4" t="s">
        <v>97</v>
      </c>
      <c r="H173" s="4" t="s">
        <v>98</v>
      </c>
      <c r="I173" s="4"/>
      <c r="J173" s="4"/>
      <c r="K173" s="4">
        <v>226</v>
      </c>
      <c r="L173" s="4">
        <v>5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/>
    </row>
    <row r="174" spans="1:245" x14ac:dyDescent="0.2">
      <c r="A174" s="4">
        <v>50</v>
      </c>
      <c r="B174" s="4">
        <v>0</v>
      </c>
      <c r="C174" s="4">
        <v>0</v>
      </c>
      <c r="D174" s="4">
        <v>1</v>
      </c>
      <c r="E174" s="4">
        <v>227</v>
      </c>
      <c r="F174" s="4">
        <f>ROUND(Source!AX167,O174)</f>
        <v>0</v>
      </c>
      <c r="G174" s="4" t="s">
        <v>99</v>
      </c>
      <c r="H174" s="4" t="s">
        <v>100</v>
      </c>
      <c r="I174" s="4"/>
      <c r="J174" s="4"/>
      <c r="K174" s="4">
        <v>227</v>
      </c>
      <c r="L174" s="4">
        <v>6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/>
    </row>
    <row r="175" spans="1:245" x14ac:dyDescent="0.2">
      <c r="A175" s="4">
        <v>50</v>
      </c>
      <c r="B175" s="4">
        <v>0</v>
      </c>
      <c r="C175" s="4">
        <v>0</v>
      </c>
      <c r="D175" s="4">
        <v>1</v>
      </c>
      <c r="E175" s="4">
        <v>228</v>
      </c>
      <c r="F175" s="4">
        <f>ROUND(Source!AY167,O175)</f>
        <v>898186.68</v>
      </c>
      <c r="G175" s="4" t="s">
        <v>101</v>
      </c>
      <c r="H175" s="4" t="s">
        <v>102</v>
      </c>
      <c r="I175" s="4"/>
      <c r="J175" s="4"/>
      <c r="K175" s="4">
        <v>228</v>
      </c>
      <c r="L175" s="4">
        <v>7</v>
      </c>
      <c r="M175" s="4">
        <v>3</v>
      </c>
      <c r="N175" s="4" t="s">
        <v>3</v>
      </c>
      <c r="O175" s="4">
        <v>2</v>
      </c>
      <c r="P175" s="4"/>
      <c r="Q175" s="4"/>
      <c r="R175" s="4"/>
      <c r="S175" s="4"/>
      <c r="T175" s="4"/>
      <c r="U175" s="4"/>
      <c r="V175" s="4"/>
      <c r="W175" s="4"/>
    </row>
    <row r="176" spans="1:245" x14ac:dyDescent="0.2">
      <c r="A176" s="4">
        <v>50</v>
      </c>
      <c r="B176" s="4">
        <v>0</v>
      </c>
      <c r="C176" s="4">
        <v>0</v>
      </c>
      <c r="D176" s="4">
        <v>1</v>
      </c>
      <c r="E176" s="4">
        <v>216</v>
      </c>
      <c r="F176" s="4">
        <f>ROUND(Source!AP167,O176)</f>
        <v>0</v>
      </c>
      <c r="G176" s="4" t="s">
        <v>103</v>
      </c>
      <c r="H176" s="4" t="s">
        <v>104</v>
      </c>
      <c r="I176" s="4"/>
      <c r="J176" s="4"/>
      <c r="K176" s="4">
        <v>216</v>
      </c>
      <c r="L176" s="4">
        <v>8</v>
      </c>
      <c r="M176" s="4">
        <v>3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/>
    </row>
    <row r="177" spans="1:23" x14ac:dyDescent="0.2">
      <c r="A177" s="4">
        <v>50</v>
      </c>
      <c r="B177" s="4">
        <v>0</v>
      </c>
      <c r="C177" s="4">
        <v>0</v>
      </c>
      <c r="D177" s="4">
        <v>1</v>
      </c>
      <c r="E177" s="4">
        <v>223</v>
      </c>
      <c r="F177" s="4">
        <f>ROUND(Source!AQ167,O177)</f>
        <v>0</v>
      </c>
      <c r="G177" s="4" t="s">
        <v>105</v>
      </c>
      <c r="H177" s="4" t="s">
        <v>106</v>
      </c>
      <c r="I177" s="4"/>
      <c r="J177" s="4"/>
      <c r="K177" s="4">
        <v>223</v>
      </c>
      <c r="L177" s="4">
        <v>9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/>
    </row>
    <row r="178" spans="1:23" x14ac:dyDescent="0.2">
      <c r="A178" s="4">
        <v>50</v>
      </c>
      <c r="B178" s="4">
        <v>0</v>
      </c>
      <c r="C178" s="4">
        <v>0</v>
      </c>
      <c r="D178" s="4">
        <v>1</v>
      </c>
      <c r="E178" s="4">
        <v>229</v>
      </c>
      <c r="F178" s="4">
        <f>ROUND(Source!AZ167,O178)</f>
        <v>0</v>
      </c>
      <c r="G178" s="4" t="s">
        <v>107</v>
      </c>
      <c r="H178" s="4" t="s">
        <v>108</v>
      </c>
      <c r="I178" s="4"/>
      <c r="J178" s="4"/>
      <c r="K178" s="4">
        <v>229</v>
      </c>
      <c r="L178" s="4">
        <v>10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3" x14ac:dyDescent="0.2">
      <c r="A179" s="4">
        <v>50</v>
      </c>
      <c r="B179" s="4">
        <v>0</v>
      </c>
      <c r="C179" s="4">
        <v>0</v>
      </c>
      <c r="D179" s="4">
        <v>1</v>
      </c>
      <c r="E179" s="4">
        <v>203</v>
      </c>
      <c r="F179" s="4">
        <f>ROUND(Source!Q167,O179)</f>
        <v>33724.11</v>
      </c>
      <c r="G179" s="4" t="s">
        <v>109</v>
      </c>
      <c r="H179" s="4" t="s">
        <v>110</v>
      </c>
      <c r="I179" s="4"/>
      <c r="J179" s="4"/>
      <c r="K179" s="4">
        <v>203</v>
      </c>
      <c r="L179" s="4">
        <v>11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3" x14ac:dyDescent="0.2">
      <c r="A180" s="4">
        <v>50</v>
      </c>
      <c r="B180" s="4">
        <v>0</v>
      </c>
      <c r="C180" s="4">
        <v>0</v>
      </c>
      <c r="D180" s="4">
        <v>1</v>
      </c>
      <c r="E180" s="4">
        <v>231</v>
      </c>
      <c r="F180" s="4">
        <f>ROUND(Source!BB167,O180)</f>
        <v>0</v>
      </c>
      <c r="G180" s="4" t="s">
        <v>111</v>
      </c>
      <c r="H180" s="4" t="s">
        <v>112</v>
      </c>
      <c r="I180" s="4"/>
      <c r="J180" s="4"/>
      <c r="K180" s="4">
        <v>231</v>
      </c>
      <c r="L180" s="4">
        <v>12</v>
      </c>
      <c r="M180" s="4">
        <v>3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/>
    </row>
    <row r="181" spans="1:23" x14ac:dyDescent="0.2">
      <c r="A181" s="4">
        <v>50</v>
      </c>
      <c r="B181" s="4">
        <v>0</v>
      </c>
      <c r="C181" s="4">
        <v>0</v>
      </c>
      <c r="D181" s="4">
        <v>1</v>
      </c>
      <c r="E181" s="4">
        <v>204</v>
      </c>
      <c r="F181" s="4">
        <f>ROUND(Source!R167,O181)</f>
        <v>9496.0499999999993</v>
      </c>
      <c r="G181" s="4" t="s">
        <v>113</v>
      </c>
      <c r="H181" s="4" t="s">
        <v>114</v>
      </c>
      <c r="I181" s="4"/>
      <c r="J181" s="4"/>
      <c r="K181" s="4">
        <v>204</v>
      </c>
      <c r="L181" s="4">
        <v>13</v>
      </c>
      <c r="M181" s="4">
        <v>3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/>
    </row>
    <row r="182" spans="1:23" x14ac:dyDescent="0.2">
      <c r="A182" s="4">
        <v>50</v>
      </c>
      <c r="B182" s="4">
        <v>0</v>
      </c>
      <c r="C182" s="4">
        <v>0</v>
      </c>
      <c r="D182" s="4">
        <v>1</v>
      </c>
      <c r="E182" s="4">
        <v>205</v>
      </c>
      <c r="F182" s="4">
        <f>ROUND(Source!S167,O182)</f>
        <v>1413616.55</v>
      </c>
      <c r="G182" s="4" t="s">
        <v>115</v>
      </c>
      <c r="H182" s="4" t="s">
        <v>116</v>
      </c>
      <c r="I182" s="4"/>
      <c r="J182" s="4"/>
      <c r="K182" s="4">
        <v>205</v>
      </c>
      <c r="L182" s="4">
        <v>14</v>
      </c>
      <c r="M182" s="4">
        <v>3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/>
    </row>
    <row r="183" spans="1:23" x14ac:dyDescent="0.2">
      <c r="A183" s="4">
        <v>50</v>
      </c>
      <c r="B183" s="4">
        <v>0</v>
      </c>
      <c r="C183" s="4">
        <v>0</v>
      </c>
      <c r="D183" s="4">
        <v>1</v>
      </c>
      <c r="E183" s="4">
        <v>232</v>
      </c>
      <c r="F183" s="4">
        <f>ROUND(Source!BC167,O183)</f>
        <v>0</v>
      </c>
      <c r="G183" s="4" t="s">
        <v>117</v>
      </c>
      <c r="H183" s="4" t="s">
        <v>118</v>
      </c>
      <c r="I183" s="4"/>
      <c r="J183" s="4"/>
      <c r="K183" s="4">
        <v>232</v>
      </c>
      <c r="L183" s="4">
        <v>15</v>
      </c>
      <c r="M183" s="4">
        <v>3</v>
      </c>
      <c r="N183" s="4" t="s">
        <v>3</v>
      </c>
      <c r="O183" s="4">
        <v>2</v>
      </c>
      <c r="P183" s="4"/>
      <c r="Q183" s="4"/>
      <c r="R183" s="4"/>
      <c r="S183" s="4"/>
      <c r="T183" s="4"/>
      <c r="U183" s="4"/>
      <c r="V183" s="4"/>
      <c r="W183" s="4"/>
    </row>
    <row r="184" spans="1:23" x14ac:dyDescent="0.2">
      <c r="A184" s="4">
        <v>50</v>
      </c>
      <c r="B184" s="4">
        <v>0</v>
      </c>
      <c r="C184" s="4">
        <v>0</v>
      </c>
      <c r="D184" s="4">
        <v>1</v>
      </c>
      <c r="E184" s="4">
        <v>214</v>
      </c>
      <c r="F184" s="4">
        <f>ROUND(Source!AS167,O184)</f>
        <v>4402380.58</v>
      </c>
      <c r="G184" s="4" t="s">
        <v>119</v>
      </c>
      <c r="H184" s="4" t="s">
        <v>120</v>
      </c>
      <c r="I184" s="4"/>
      <c r="J184" s="4"/>
      <c r="K184" s="4">
        <v>214</v>
      </c>
      <c r="L184" s="4">
        <v>16</v>
      </c>
      <c r="M184" s="4">
        <v>3</v>
      </c>
      <c r="N184" s="4" t="s">
        <v>3</v>
      </c>
      <c r="O184" s="4">
        <v>2</v>
      </c>
      <c r="P184" s="4"/>
      <c r="Q184" s="4"/>
      <c r="R184" s="4"/>
      <c r="S184" s="4"/>
      <c r="T184" s="4"/>
      <c r="U184" s="4"/>
      <c r="V184" s="4"/>
      <c r="W184" s="4"/>
    </row>
    <row r="185" spans="1:23" x14ac:dyDescent="0.2">
      <c r="A185" s="4">
        <v>50</v>
      </c>
      <c r="B185" s="4">
        <v>0</v>
      </c>
      <c r="C185" s="4">
        <v>0</v>
      </c>
      <c r="D185" s="4">
        <v>1</v>
      </c>
      <c r="E185" s="4">
        <v>215</v>
      </c>
      <c r="F185" s="4">
        <f>ROUND(Source!AT167,O185)</f>
        <v>0</v>
      </c>
      <c r="G185" s="4" t="s">
        <v>121</v>
      </c>
      <c r="H185" s="4" t="s">
        <v>122</v>
      </c>
      <c r="I185" s="4"/>
      <c r="J185" s="4"/>
      <c r="K185" s="4">
        <v>215</v>
      </c>
      <c r="L185" s="4">
        <v>17</v>
      </c>
      <c r="M185" s="4">
        <v>3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/>
    </row>
    <row r="186" spans="1:23" x14ac:dyDescent="0.2">
      <c r="A186" s="4">
        <v>50</v>
      </c>
      <c r="B186" s="4">
        <v>0</v>
      </c>
      <c r="C186" s="4">
        <v>0</v>
      </c>
      <c r="D186" s="4">
        <v>1</v>
      </c>
      <c r="E186" s="4">
        <v>217</v>
      </c>
      <c r="F186" s="4">
        <f>ROUND(Source!AU167,O186)</f>
        <v>0</v>
      </c>
      <c r="G186" s="4" t="s">
        <v>123</v>
      </c>
      <c r="H186" s="4" t="s">
        <v>124</v>
      </c>
      <c r="I186" s="4"/>
      <c r="J186" s="4"/>
      <c r="K186" s="4">
        <v>217</v>
      </c>
      <c r="L186" s="4">
        <v>18</v>
      </c>
      <c r="M186" s="4">
        <v>3</v>
      </c>
      <c r="N186" s="4" t="s">
        <v>3</v>
      </c>
      <c r="O186" s="4">
        <v>2</v>
      </c>
      <c r="P186" s="4"/>
      <c r="Q186" s="4"/>
      <c r="R186" s="4"/>
      <c r="S186" s="4"/>
      <c r="T186" s="4"/>
      <c r="U186" s="4"/>
      <c r="V186" s="4"/>
      <c r="W186" s="4"/>
    </row>
    <row r="187" spans="1:23" x14ac:dyDescent="0.2">
      <c r="A187" s="4">
        <v>50</v>
      </c>
      <c r="B187" s="4">
        <v>0</v>
      </c>
      <c r="C187" s="4">
        <v>0</v>
      </c>
      <c r="D187" s="4">
        <v>1</v>
      </c>
      <c r="E187" s="4">
        <v>230</v>
      </c>
      <c r="F187" s="4">
        <f>ROUND(Source!BA167,O187)</f>
        <v>0</v>
      </c>
      <c r="G187" s="4" t="s">
        <v>125</v>
      </c>
      <c r="H187" s="4" t="s">
        <v>126</v>
      </c>
      <c r="I187" s="4"/>
      <c r="J187" s="4"/>
      <c r="K187" s="4">
        <v>230</v>
      </c>
      <c r="L187" s="4">
        <v>19</v>
      </c>
      <c r="M187" s="4">
        <v>3</v>
      </c>
      <c r="N187" s="4" t="s">
        <v>3</v>
      </c>
      <c r="O187" s="4">
        <v>2</v>
      </c>
      <c r="P187" s="4"/>
      <c r="Q187" s="4"/>
      <c r="R187" s="4"/>
      <c r="S187" s="4"/>
      <c r="T187" s="4"/>
      <c r="U187" s="4"/>
      <c r="V187" s="4"/>
      <c r="W187" s="4"/>
    </row>
    <row r="188" spans="1:23" x14ac:dyDescent="0.2">
      <c r="A188" s="4">
        <v>50</v>
      </c>
      <c r="B188" s="4">
        <v>0</v>
      </c>
      <c r="C188" s="4">
        <v>0</v>
      </c>
      <c r="D188" s="4">
        <v>1</v>
      </c>
      <c r="E188" s="4">
        <v>206</v>
      </c>
      <c r="F188" s="4">
        <f>ROUND(Source!T167,O188)</f>
        <v>0</v>
      </c>
      <c r="G188" s="4" t="s">
        <v>127</v>
      </c>
      <c r="H188" s="4" t="s">
        <v>128</v>
      </c>
      <c r="I188" s="4"/>
      <c r="J188" s="4"/>
      <c r="K188" s="4">
        <v>206</v>
      </c>
      <c r="L188" s="4">
        <v>20</v>
      </c>
      <c r="M188" s="4">
        <v>3</v>
      </c>
      <c r="N188" s="4" t="s">
        <v>3</v>
      </c>
      <c r="O188" s="4">
        <v>2</v>
      </c>
      <c r="P188" s="4"/>
      <c r="Q188" s="4"/>
      <c r="R188" s="4"/>
      <c r="S188" s="4"/>
      <c r="T188" s="4"/>
      <c r="U188" s="4"/>
      <c r="V188" s="4"/>
      <c r="W188" s="4"/>
    </row>
    <row r="189" spans="1:23" x14ac:dyDescent="0.2">
      <c r="A189" s="4">
        <v>50</v>
      </c>
      <c r="B189" s="4">
        <v>0</v>
      </c>
      <c r="C189" s="4">
        <v>0</v>
      </c>
      <c r="D189" s="4">
        <v>1</v>
      </c>
      <c r="E189" s="4">
        <v>207</v>
      </c>
      <c r="F189" s="4">
        <f>Source!U167</f>
        <v>5209.5676256000006</v>
      </c>
      <c r="G189" s="4" t="s">
        <v>129</v>
      </c>
      <c r="H189" s="4" t="s">
        <v>130</v>
      </c>
      <c r="I189" s="4"/>
      <c r="J189" s="4"/>
      <c r="K189" s="4">
        <v>207</v>
      </c>
      <c r="L189" s="4">
        <v>21</v>
      </c>
      <c r="M189" s="4">
        <v>3</v>
      </c>
      <c r="N189" s="4" t="s">
        <v>3</v>
      </c>
      <c r="O189" s="4">
        <v>-1</v>
      </c>
      <c r="P189" s="4"/>
      <c r="Q189" s="4"/>
      <c r="R189" s="4"/>
      <c r="S189" s="4"/>
      <c r="T189" s="4"/>
      <c r="U189" s="4"/>
      <c r="V189" s="4"/>
      <c r="W189" s="4"/>
    </row>
    <row r="190" spans="1:23" x14ac:dyDescent="0.2">
      <c r="A190" s="4">
        <v>50</v>
      </c>
      <c r="B190" s="4">
        <v>0</v>
      </c>
      <c r="C190" s="4">
        <v>0</v>
      </c>
      <c r="D190" s="4">
        <v>1</v>
      </c>
      <c r="E190" s="4">
        <v>208</v>
      </c>
      <c r="F190" s="4">
        <f>Source!V167</f>
        <v>0</v>
      </c>
      <c r="G190" s="4" t="s">
        <v>131</v>
      </c>
      <c r="H190" s="4" t="s">
        <v>132</v>
      </c>
      <c r="I190" s="4"/>
      <c r="J190" s="4"/>
      <c r="K190" s="4">
        <v>208</v>
      </c>
      <c r="L190" s="4">
        <v>22</v>
      </c>
      <c r="M190" s="4">
        <v>3</v>
      </c>
      <c r="N190" s="4" t="s">
        <v>3</v>
      </c>
      <c r="O190" s="4">
        <v>-1</v>
      </c>
      <c r="P190" s="4"/>
      <c r="Q190" s="4"/>
      <c r="R190" s="4"/>
      <c r="S190" s="4"/>
      <c r="T190" s="4"/>
      <c r="U190" s="4"/>
      <c r="V190" s="4"/>
      <c r="W190" s="4"/>
    </row>
    <row r="191" spans="1:23" x14ac:dyDescent="0.2">
      <c r="A191" s="4">
        <v>50</v>
      </c>
      <c r="B191" s="4">
        <v>0</v>
      </c>
      <c r="C191" s="4">
        <v>0</v>
      </c>
      <c r="D191" s="4">
        <v>1</v>
      </c>
      <c r="E191" s="4">
        <v>209</v>
      </c>
      <c r="F191" s="4">
        <f>ROUND(Source!W167,O191)</f>
        <v>0</v>
      </c>
      <c r="G191" s="4" t="s">
        <v>133</v>
      </c>
      <c r="H191" s="4" t="s">
        <v>134</v>
      </c>
      <c r="I191" s="4"/>
      <c r="J191" s="4"/>
      <c r="K191" s="4">
        <v>209</v>
      </c>
      <c r="L191" s="4">
        <v>23</v>
      </c>
      <c r="M191" s="4">
        <v>3</v>
      </c>
      <c r="N191" s="4" t="s">
        <v>3</v>
      </c>
      <c r="O191" s="4">
        <v>2</v>
      </c>
      <c r="P191" s="4"/>
      <c r="Q191" s="4"/>
      <c r="R191" s="4"/>
      <c r="S191" s="4"/>
      <c r="T191" s="4"/>
      <c r="U191" s="4"/>
      <c r="V191" s="4"/>
      <c r="W191" s="4"/>
    </row>
    <row r="192" spans="1:23" x14ac:dyDescent="0.2">
      <c r="A192" s="4">
        <v>50</v>
      </c>
      <c r="B192" s="4">
        <v>0</v>
      </c>
      <c r="C192" s="4">
        <v>0</v>
      </c>
      <c r="D192" s="4">
        <v>1</v>
      </c>
      <c r="E192" s="4">
        <v>233</v>
      </c>
      <c r="F192" s="4">
        <f>ROUND(Source!BD167,O192)</f>
        <v>0</v>
      </c>
      <c r="G192" s="4" t="s">
        <v>135</v>
      </c>
      <c r="H192" s="4" t="s">
        <v>136</v>
      </c>
      <c r="I192" s="4"/>
      <c r="J192" s="4"/>
      <c r="K192" s="4">
        <v>233</v>
      </c>
      <c r="L192" s="4">
        <v>24</v>
      </c>
      <c r="M192" s="4">
        <v>3</v>
      </c>
      <c r="N192" s="4" t="s">
        <v>3</v>
      </c>
      <c r="O192" s="4">
        <v>2</v>
      </c>
      <c r="P192" s="4"/>
      <c r="Q192" s="4"/>
      <c r="R192" s="4"/>
      <c r="S192" s="4"/>
      <c r="T192" s="4"/>
      <c r="U192" s="4"/>
      <c r="V192" s="4"/>
      <c r="W192" s="4"/>
    </row>
    <row r="193" spans="1:245" x14ac:dyDescent="0.2">
      <c r="A193" s="4">
        <v>50</v>
      </c>
      <c r="B193" s="4">
        <v>0</v>
      </c>
      <c r="C193" s="4">
        <v>0</v>
      </c>
      <c r="D193" s="4">
        <v>1</v>
      </c>
      <c r="E193" s="4">
        <v>210</v>
      </c>
      <c r="F193" s="4">
        <f>ROUND(Source!X167,O193)</f>
        <v>1376817.85</v>
      </c>
      <c r="G193" s="4" t="s">
        <v>137</v>
      </c>
      <c r="H193" s="4" t="s">
        <v>138</v>
      </c>
      <c r="I193" s="4"/>
      <c r="J193" s="4"/>
      <c r="K193" s="4">
        <v>210</v>
      </c>
      <c r="L193" s="4">
        <v>25</v>
      </c>
      <c r="M193" s="4">
        <v>3</v>
      </c>
      <c r="N193" s="4" t="s">
        <v>3</v>
      </c>
      <c r="O193" s="4">
        <v>2</v>
      </c>
      <c r="P193" s="4"/>
      <c r="Q193" s="4"/>
      <c r="R193" s="4"/>
      <c r="S193" s="4"/>
      <c r="T193" s="4"/>
      <c r="U193" s="4"/>
      <c r="V193" s="4"/>
      <c r="W193" s="4"/>
    </row>
    <row r="194" spans="1:245" x14ac:dyDescent="0.2">
      <c r="A194" s="4">
        <v>50</v>
      </c>
      <c r="B194" s="4">
        <v>0</v>
      </c>
      <c r="C194" s="4">
        <v>0</v>
      </c>
      <c r="D194" s="4">
        <v>1</v>
      </c>
      <c r="E194" s="4">
        <v>211</v>
      </c>
      <c r="F194" s="4">
        <f>ROUND(Source!Y167,O194)</f>
        <v>665126.59</v>
      </c>
      <c r="G194" s="4" t="s">
        <v>139</v>
      </c>
      <c r="H194" s="4" t="s">
        <v>140</v>
      </c>
      <c r="I194" s="4"/>
      <c r="J194" s="4"/>
      <c r="K194" s="4">
        <v>211</v>
      </c>
      <c r="L194" s="4">
        <v>26</v>
      </c>
      <c r="M194" s="4">
        <v>3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/>
    </row>
    <row r="195" spans="1:245" x14ac:dyDescent="0.2">
      <c r="A195" s="4">
        <v>50</v>
      </c>
      <c r="B195" s="4">
        <v>0</v>
      </c>
      <c r="C195" s="4">
        <v>0</v>
      </c>
      <c r="D195" s="4">
        <v>1</v>
      </c>
      <c r="E195" s="4">
        <v>224</v>
      </c>
      <c r="F195" s="4">
        <f>ROUND(Source!AR167,O195)</f>
        <v>4402380.58</v>
      </c>
      <c r="G195" s="4" t="s">
        <v>141</v>
      </c>
      <c r="H195" s="4" t="s">
        <v>142</v>
      </c>
      <c r="I195" s="4"/>
      <c r="J195" s="4"/>
      <c r="K195" s="4">
        <v>224</v>
      </c>
      <c r="L195" s="4">
        <v>27</v>
      </c>
      <c r="M195" s="4">
        <v>3</v>
      </c>
      <c r="N195" s="4" t="s">
        <v>3</v>
      </c>
      <c r="O195" s="4">
        <v>2</v>
      </c>
      <c r="P195" s="4"/>
      <c r="Q195" s="4"/>
      <c r="R195" s="4"/>
      <c r="S195" s="4"/>
      <c r="T195" s="4"/>
      <c r="U195" s="4"/>
      <c r="V195" s="4"/>
      <c r="W195" s="4"/>
    </row>
    <row r="196" spans="1:245" x14ac:dyDescent="0.2">
      <c r="A196" s="4">
        <v>50</v>
      </c>
      <c r="B196" s="4">
        <v>1</v>
      </c>
      <c r="C196" s="4">
        <v>0</v>
      </c>
      <c r="D196" s="4">
        <v>2</v>
      </c>
      <c r="E196" s="4">
        <v>0</v>
      </c>
      <c r="F196" s="4">
        <f>ROUND(F195*1.2,O196)</f>
        <v>5282856.7</v>
      </c>
      <c r="G196" s="4" t="s">
        <v>15</v>
      </c>
      <c r="H196" s="4" t="s">
        <v>199</v>
      </c>
      <c r="I196" s="4"/>
      <c r="J196" s="4"/>
      <c r="K196" s="4">
        <v>212</v>
      </c>
      <c r="L196" s="4">
        <v>28</v>
      </c>
      <c r="M196" s="4">
        <v>0</v>
      </c>
      <c r="N196" s="4" t="s">
        <v>3</v>
      </c>
      <c r="O196" s="4">
        <v>2</v>
      </c>
      <c r="P196" s="4"/>
      <c r="Q196" s="4"/>
      <c r="R196" s="4"/>
      <c r="S196" s="4"/>
      <c r="T196" s="4"/>
      <c r="U196" s="4"/>
      <c r="V196" s="4"/>
      <c r="W196" s="4"/>
    </row>
    <row r="198" spans="1:245" x14ac:dyDescent="0.2">
      <c r="A198" s="1">
        <v>4</v>
      </c>
      <c r="B198" s="1">
        <v>1</v>
      </c>
      <c r="C198" s="1"/>
      <c r="D198" s="1">
        <f>ROW(A214)</f>
        <v>214</v>
      </c>
      <c r="E198" s="1"/>
      <c r="F198" s="1" t="s">
        <v>13</v>
      </c>
      <c r="G198" s="1" t="s">
        <v>200</v>
      </c>
      <c r="H198" s="1" t="s">
        <v>3</v>
      </c>
      <c r="I198" s="1">
        <v>0</v>
      </c>
      <c r="J198" s="1"/>
      <c r="K198" s="1">
        <v>0</v>
      </c>
      <c r="L198" s="1"/>
      <c r="M198" s="1"/>
      <c r="N198" s="1"/>
      <c r="O198" s="1"/>
      <c r="P198" s="1"/>
      <c r="Q198" s="1"/>
      <c r="R198" s="1"/>
      <c r="S198" s="1"/>
      <c r="T198" s="1"/>
      <c r="U198" s="1" t="s">
        <v>3</v>
      </c>
      <c r="V198" s="1">
        <v>0</v>
      </c>
      <c r="W198" s="1"/>
      <c r="X198" s="1"/>
      <c r="Y198" s="1"/>
      <c r="Z198" s="1"/>
      <c r="AA198" s="1"/>
      <c r="AB198" s="1" t="s">
        <v>3</v>
      </c>
      <c r="AC198" s="1" t="s">
        <v>3</v>
      </c>
      <c r="AD198" s="1" t="s">
        <v>3</v>
      </c>
      <c r="AE198" s="1" t="s">
        <v>3</v>
      </c>
      <c r="AF198" s="1" t="s">
        <v>3</v>
      </c>
      <c r="AG198" s="1" t="s">
        <v>3</v>
      </c>
      <c r="AH198" s="1"/>
      <c r="AI198" s="1"/>
      <c r="AJ198" s="1"/>
      <c r="AK198" s="1"/>
      <c r="AL198" s="1"/>
      <c r="AM198" s="1"/>
      <c r="AN198" s="1"/>
      <c r="AO198" s="1"/>
      <c r="AP198" s="1" t="s">
        <v>3</v>
      </c>
      <c r="AQ198" s="1" t="s">
        <v>3</v>
      </c>
      <c r="AR198" s="1" t="s">
        <v>3</v>
      </c>
      <c r="AS198" s="1"/>
      <c r="AT198" s="1"/>
      <c r="AU198" s="1"/>
      <c r="AV198" s="1"/>
      <c r="AW198" s="1"/>
      <c r="AX198" s="1"/>
      <c r="AY198" s="1"/>
      <c r="AZ198" s="1" t="s">
        <v>3</v>
      </c>
      <c r="BA198" s="1"/>
      <c r="BB198" s="1" t="s">
        <v>3</v>
      </c>
      <c r="BC198" s="1" t="s">
        <v>3</v>
      </c>
      <c r="BD198" s="1" t="s">
        <v>3</v>
      </c>
      <c r="BE198" s="1" t="s">
        <v>3</v>
      </c>
      <c r="BF198" s="1" t="s">
        <v>3</v>
      </c>
      <c r="BG198" s="1" t="s">
        <v>3</v>
      </c>
      <c r="BH198" s="1" t="s">
        <v>3</v>
      </c>
      <c r="BI198" s="1" t="s">
        <v>3</v>
      </c>
      <c r="BJ198" s="1" t="s">
        <v>3</v>
      </c>
      <c r="BK198" s="1" t="s">
        <v>3</v>
      </c>
      <c r="BL198" s="1" t="s">
        <v>3</v>
      </c>
      <c r="BM198" s="1" t="s">
        <v>3</v>
      </c>
      <c r="BN198" s="1" t="s">
        <v>3</v>
      </c>
      <c r="BO198" s="1" t="s">
        <v>3</v>
      </c>
      <c r="BP198" s="1" t="s">
        <v>3</v>
      </c>
      <c r="BQ198" s="1"/>
      <c r="BR198" s="1"/>
      <c r="BS198" s="1"/>
      <c r="BT198" s="1"/>
      <c r="BU198" s="1"/>
      <c r="BV198" s="1"/>
      <c r="BW198" s="1"/>
      <c r="BX198" s="1">
        <v>0</v>
      </c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>
        <v>0</v>
      </c>
    </row>
    <row r="200" spans="1:245" x14ac:dyDescent="0.2">
      <c r="A200" s="2">
        <v>52</v>
      </c>
      <c r="B200" s="2">
        <f t="shared" ref="B200:G200" si="166">B214</f>
        <v>1</v>
      </c>
      <c r="C200" s="2">
        <f t="shared" si="166"/>
        <v>4</v>
      </c>
      <c r="D200" s="2">
        <f t="shared" si="166"/>
        <v>198</v>
      </c>
      <c r="E200" s="2">
        <f t="shared" si="166"/>
        <v>0</v>
      </c>
      <c r="F200" s="2" t="str">
        <f t="shared" si="166"/>
        <v>Новый раздел</v>
      </c>
      <c r="G200" s="2" t="str">
        <f t="shared" si="166"/>
        <v>10.1. Устройство новых оснований площадок (детские, спортивные, воркаут)</v>
      </c>
      <c r="H200" s="2"/>
      <c r="I200" s="2"/>
      <c r="J200" s="2"/>
      <c r="K200" s="2"/>
      <c r="L200" s="2"/>
      <c r="M200" s="2"/>
      <c r="N200" s="2"/>
      <c r="O200" s="2">
        <f t="shared" ref="O200:AT200" si="167">O214</f>
        <v>3189104.88</v>
      </c>
      <c r="P200" s="2">
        <f t="shared" si="167"/>
        <v>2679754.85</v>
      </c>
      <c r="Q200" s="2">
        <f t="shared" si="167"/>
        <v>273332.18</v>
      </c>
      <c r="R200" s="2">
        <f t="shared" si="167"/>
        <v>149524.82</v>
      </c>
      <c r="S200" s="2">
        <f t="shared" si="167"/>
        <v>236017.85</v>
      </c>
      <c r="T200" s="2">
        <f t="shared" si="167"/>
        <v>0</v>
      </c>
      <c r="U200" s="2">
        <f t="shared" si="167"/>
        <v>881.48112719999995</v>
      </c>
      <c r="V200" s="2">
        <f t="shared" si="167"/>
        <v>0</v>
      </c>
      <c r="W200" s="2">
        <f t="shared" si="167"/>
        <v>0</v>
      </c>
      <c r="X200" s="2">
        <f t="shared" si="167"/>
        <v>239290.68</v>
      </c>
      <c r="Y200" s="2">
        <f t="shared" si="167"/>
        <v>103807.1</v>
      </c>
      <c r="Z200" s="2">
        <f t="shared" si="167"/>
        <v>0</v>
      </c>
      <c r="AA200" s="2">
        <f t="shared" si="167"/>
        <v>0</v>
      </c>
      <c r="AB200" s="2">
        <f t="shared" si="167"/>
        <v>3189104.88</v>
      </c>
      <c r="AC200" s="2">
        <f t="shared" si="167"/>
        <v>2679754.85</v>
      </c>
      <c r="AD200" s="2">
        <f t="shared" si="167"/>
        <v>273332.18</v>
      </c>
      <c r="AE200" s="2">
        <f t="shared" si="167"/>
        <v>149524.82</v>
      </c>
      <c r="AF200" s="2">
        <f t="shared" si="167"/>
        <v>236017.85</v>
      </c>
      <c r="AG200" s="2">
        <f t="shared" si="167"/>
        <v>0</v>
      </c>
      <c r="AH200" s="2">
        <f t="shared" si="167"/>
        <v>881.48112719999995</v>
      </c>
      <c r="AI200" s="2">
        <f t="shared" si="167"/>
        <v>0</v>
      </c>
      <c r="AJ200" s="2">
        <f t="shared" si="167"/>
        <v>0</v>
      </c>
      <c r="AK200" s="2">
        <f t="shared" si="167"/>
        <v>239290.68</v>
      </c>
      <c r="AL200" s="2">
        <f t="shared" si="167"/>
        <v>103807.1</v>
      </c>
      <c r="AM200" s="2">
        <f t="shared" si="167"/>
        <v>0</v>
      </c>
      <c r="AN200" s="2">
        <f t="shared" si="167"/>
        <v>0</v>
      </c>
      <c r="AO200" s="2">
        <f t="shared" si="167"/>
        <v>0</v>
      </c>
      <c r="AP200" s="2">
        <f t="shared" si="167"/>
        <v>0</v>
      </c>
      <c r="AQ200" s="2">
        <f t="shared" si="167"/>
        <v>0</v>
      </c>
      <c r="AR200" s="2">
        <f t="shared" si="167"/>
        <v>3766956.63</v>
      </c>
      <c r="AS200" s="2">
        <f t="shared" si="167"/>
        <v>3766956.63</v>
      </c>
      <c r="AT200" s="2">
        <f t="shared" si="167"/>
        <v>0</v>
      </c>
      <c r="AU200" s="2">
        <f t="shared" ref="AU200:BZ200" si="168">AU214</f>
        <v>0</v>
      </c>
      <c r="AV200" s="2">
        <f t="shared" si="168"/>
        <v>2679754.85</v>
      </c>
      <c r="AW200" s="2">
        <f t="shared" si="168"/>
        <v>2679754.85</v>
      </c>
      <c r="AX200" s="2">
        <f t="shared" si="168"/>
        <v>0</v>
      </c>
      <c r="AY200" s="2">
        <f t="shared" si="168"/>
        <v>2679754.85</v>
      </c>
      <c r="AZ200" s="2">
        <f t="shared" si="168"/>
        <v>0</v>
      </c>
      <c r="BA200" s="2">
        <f t="shared" si="168"/>
        <v>0</v>
      </c>
      <c r="BB200" s="2">
        <f t="shared" si="168"/>
        <v>0</v>
      </c>
      <c r="BC200" s="2">
        <f t="shared" si="168"/>
        <v>0</v>
      </c>
      <c r="BD200" s="2">
        <f t="shared" si="168"/>
        <v>0</v>
      </c>
      <c r="BE200" s="2">
        <f t="shared" si="168"/>
        <v>0</v>
      </c>
      <c r="BF200" s="2">
        <f t="shared" si="168"/>
        <v>0</v>
      </c>
      <c r="BG200" s="2">
        <f t="shared" si="168"/>
        <v>0</v>
      </c>
      <c r="BH200" s="2">
        <f t="shared" si="168"/>
        <v>0</v>
      </c>
      <c r="BI200" s="2">
        <f t="shared" si="168"/>
        <v>0</v>
      </c>
      <c r="BJ200" s="2">
        <f t="shared" si="168"/>
        <v>0</v>
      </c>
      <c r="BK200" s="2">
        <f t="shared" si="168"/>
        <v>0</v>
      </c>
      <c r="BL200" s="2">
        <f t="shared" si="168"/>
        <v>0</v>
      </c>
      <c r="BM200" s="2">
        <f t="shared" si="168"/>
        <v>0</v>
      </c>
      <c r="BN200" s="2">
        <f t="shared" si="168"/>
        <v>0</v>
      </c>
      <c r="BO200" s="2">
        <f t="shared" si="168"/>
        <v>0</v>
      </c>
      <c r="BP200" s="2">
        <f t="shared" si="168"/>
        <v>0</v>
      </c>
      <c r="BQ200" s="2">
        <f t="shared" si="168"/>
        <v>0</v>
      </c>
      <c r="BR200" s="2">
        <f t="shared" si="168"/>
        <v>0</v>
      </c>
      <c r="BS200" s="2">
        <f t="shared" si="168"/>
        <v>0</v>
      </c>
      <c r="BT200" s="2">
        <f t="shared" si="168"/>
        <v>0</v>
      </c>
      <c r="BU200" s="2">
        <f t="shared" si="168"/>
        <v>0</v>
      </c>
      <c r="BV200" s="2">
        <f t="shared" si="168"/>
        <v>0</v>
      </c>
      <c r="BW200" s="2">
        <f t="shared" si="168"/>
        <v>0</v>
      </c>
      <c r="BX200" s="2">
        <f t="shared" si="168"/>
        <v>0</v>
      </c>
      <c r="BY200" s="2">
        <f t="shared" si="168"/>
        <v>0</v>
      </c>
      <c r="BZ200" s="2">
        <f t="shared" si="168"/>
        <v>0</v>
      </c>
      <c r="CA200" s="2">
        <f t="shared" ref="CA200:DF200" si="169">CA214</f>
        <v>3766956.63</v>
      </c>
      <c r="CB200" s="2">
        <f t="shared" si="169"/>
        <v>3766956.63</v>
      </c>
      <c r="CC200" s="2">
        <f t="shared" si="169"/>
        <v>0</v>
      </c>
      <c r="CD200" s="2">
        <f t="shared" si="169"/>
        <v>0</v>
      </c>
      <c r="CE200" s="2">
        <f t="shared" si="169"/>
        <v>2679754.85</v>
      </c>
      <c r="CF200" s="2">
        <f t="shared" si="169"/>
        <v>2679754.85</v>
      </c>
      <c r="CG200" s="2">
        <f t="shared" si="169"/>
        <v>0</v>
      </c>
      <c r="CH200" s="2">
        <f t="shared" si="169"/>
        <v>2679754.85</v>
      </c>
      <c r="CI200" s="2">
        <f t="shared" si="169"/>
        <v>0</v>
      </c>
      <c r="CJ200" s="2">
        <f t="shared" si="169"/>
        <v>0</v>
      </c>
      <c r="CK200" s="2">
        <f t="shared" si="169"/>
        <v>0</v>
      </c>
      <c r="CL200" s="2">
        <f t="shared" si="169"/>
        <v>0</v>
      </c>
      <c r="CM200" s="2">
        <f t="shared" si="169"/>
        <v>0</v>
      </c>
      <c r="CN200" s="2">
        <f t="shared" si="169"/>
        <v>0</v>
      </c>
      <c r="CO200" s="2">
        <f t="shared" si="169"/>
        <v>0</v>
      </c>
      <c r="CP200" s="2">
        <f t="shared" si="169"/>
        <v>0</v>
      </c>
      <c r="CQ200" s="2">
        <f t="shared" si="169"/>
        <v>0</v>
      </c>
      <c r="CR200" s="2">
        <f t="shared" si="169"/>
        <v>0</v>
      </c>
      <c r="CS200" s="2">
        <f t="shared" si="169"/>
        <v>0</v>
      </c>
      <c r="CT200" s="2">
        <f t="shared" si="169"/>
        <v>0</v>
      </c>
      <c r="CU200" s="2">
        <f t="shared" si="169"/>
        <v>0</v>
      </c>
      <c r="CV200" s="2">
        <f t="shared" si="169"/>
        <v>0</v>
      </c>
      <c r="CW200" s="2">
        <f t="shared" si="169"/>
        <v>0</v>
      </c>
      <c r="CX200" s="2">
        <f t="shared" si="169"/>
        <v>0</v>
      </c>
      <c r="CY200" s="2">
        <f t="shared" si="169"/>
        <v>0</v>
      </c>
      <c r="CZ200" s="2">
        <f t="shared" si="169"/>
        <v>0</v>
      </c>
      <c r="DA200" s="2">
        <f t="shared" si="169"/>
        <v>0</v>
      </c>
      <c r="DB200" s="2">
        <f t="shared" si="169"/>
        <v>0</v>
      </c>
      <c r="DC200" s="2">
        <f t="shared" si="169"/>
        <v>0</v>
      </c>
      <c r="DD200" s="2">
        <f t="shared" si="169"/>
        <v>0</v>
      </c>
      <c r="DE200" s="2">
        <f t="shared" si="169"/>
        <v>0</v>
      </c>
      <c r="DF200" s="2">
        <f t="shared" si="169"/>
        <v>0</v>
      </c>
      <c r="DG200" s="3">
        <f t="shared" ref="DG200:EL200" si="170">DG214</f>
        <v>0</v>
      </c>
      <c r="DH200" s="3">
        <f t="shared" si="170"/>
        <v>0</v>
      </c>
      <c r="DI200" s="3">
        <f t="shared" si="170"/>
        <v>0</v>
      </c>
      <c r="DJ200" s="3">
        <f t="shared" si="170"/>
        <v>0</v>
      </c>
      <c r="DK200" s="3">
        <f t="shared" si="170"/>
        <v>0</v>
      </c>
      <c r="DL200" s="3">
        <f t="shared" si="170"/>
        <v>0</v>
      </c>
      <c r="DM200" s="3">
        <f t="shared" si="170"/>
        <v>0</v>
      </c>
      <c r="DN200" s="3">
        <f t="shared" si="170"/>
        <v>0</v>
      </c>
      <c r="DO200" s="3">
        <f t="shared" si="170"/>
        <v>0</v>
      </c>
      <c r="DP200" s="3">
        <f t="shared" si="170"/>
        <v>0</v>
      </c>
      <c r="DQ200" s="3">
        <f t="shared" si="170"/>
        <v>0</v>
      </c>
      <c r="DR200" s="3">
        <f t="shared" si="170"/>
        <v>0</v>
      </c>
      <c r="DS200" s="3">
        <f t="shared" si="170"/>
        <v>0</v>
      </c>
      <c r="DT200" s="3">
        <f t="shared" si="170"/>
        <v>0</v>
      </c>
      <c r="DU200" s="3">
        <f t="shared" si="170"/>
        <v>0</v>
      </c>
      <c r="DV200" s="3">
        <f t="shared" si="170"/>
        <v>0</v>
      </c>
      <c r="DW200" s="3">
        <f t="shared" si="170"/>
        <v>0</v>
      </c>
      <c r="DX200" s="3">
        <f t="shared" si="170"/>
        <v>0</v>
      </c>
      <c r="DY200" s="3">
        <f t="shared" si="170"/>
        <v>0</v>
      </c>
      <c r="DZ200" s="3">
        <f t="shared" si="170"/>
        <v>0</v>
      </c>
      <c r="EA200" s="3">
        <f t="shared" si="170"/>
        <v>0</v>
      </c>
      <c r="EB200" s="3">
        <f t="shared" si="170"/>
        <v>0</v>
      </c>
      <c r="EC200" s="3">
        <f t="shared" si="170"/>
        <v>0</v>
      </c>
      <c r="ED200" s="3">
        <f t="shared" si="170"/>
        <v>0</v>
      </c>
      <c r="EE200" s="3">
        <f t="shared" si="170"/>
        <v>0</v>
      </c>
      <c r="EF200" s="3">
        <f t="shared" si="170"/>
        <v>0</v>
      </c>
      <c r="EG200" s="3">
        <f t="shared" si="170"/>
        <v>0</v>
      </c>
      <c r="EH200" s="3">
        <f t="shared" si="170"/>
        <v>0</v>
      </c>
      <c r="EI200" s="3">
        <f t="shared" si="170"/>
        <v>0</v>
      </c>
      <c r="EJ200" s="3">
        <f t="shared" si="170"/>
        <v>0</v>
      </c>
      <c r="EK200" s="3">
        <f t="shared" si="170"/>
        <v>0</v>
      </c>
      <c r="EL200" s="3">
        <f t="shared" si="170"/>
        <v>0</v>
      </c>
      <c r="EM200" s="3">
        <f t="shared" ref="EM200:FR200" si="171">EM214</f>
        <v>0</v>
      </c>
      <c r="EN200" s="3">
        <f t="shared" si="171"/>
        <v>0</v>
      </c>
      <c r="EO200" s="3">
        <f t="shared" si="171"/>
        <v>0</v>
      </c>
      <c r="EP200" s="3">
        <f t="shared" si="171"/>
        <v>0</v>
      </c>
      <c r="EQ200" s="3">
        <f t="shared" si="171"/>
        <v>0</v>
      </c>
      <c r="ER200" s="3">
        <f t="shared" si="171"/>
        <v>0</v>
      </c>
      <c r="ES200" s="3">
        <f t="shared" si="171"/>
        <v>0</v>
      </c>
      <c r="ET200" s="3">
        <f t="shared" si="171"/>
        <v>0</v>
      </c>
      <c r="EU200" s="3">
        <f t="shared" si="171"/>
        <v>0</v>
      </c>
      <c r="EV200" s="3">
        <f t="shared" si="171"/>
        <v>0</v>
      </c>
      <c r="EW200" s="3">
        <f t="shared" si="171"/>
        <v>0</v>
      </c>
      <c r="EX200" s="3">
        <f t="shared" si="171"/>
        <v>0</v>
      </c>
      <c r="EY200" s="3">
        <f t="shared" si="171"/>
        <v>0</v>
      </c>
      <c r="EZ200" s="3">
        <f t="shared" si="171"/>
        <v>0</v>
      </c>
      <c r="FA200" s="3">
        <f t="shared" si="171"/>
        <v>0</v>
      </c>
      <c r="FB200" s="3">
        <f t="shared" si="171"/>
        <v>0</v>
      </c>
      <c r="FC200" s="3">
        <f t="shared" si="171"/>
        <v>0</v>
      </c>
      <c r="FD200" s="3">
        <f t="shared" si="171"/>
        <v>0</v>
      </c>
      <c r="FE200" s="3">
        <f t="shared" si="171"/>
        <v>0</v>
      </c>
      <c r="FF200" s="3">
        <f t="shared" si="171"/>
        <v>0</v>
      </c>
      <c r="FG200" s="3">
        <f t="shared" si="171"/>
        <v>0</v>
      </c>
      <c r="FH200" s="3">
        <f t="shared" si="171"/>
        <v>0</v>
      </c>
      <c r="FI200" s="3">
        <f t="shared" si="171"/>
        <v>0</v>
      </c>
      <c r="FJ200" s="3">
        <f t="shared" si="171"/>
        <v>0</v>
      </c>
      <c r="FK200" s="3">
        <f t="shared" si="171"/>
        <v>0</v>
      </c>
      <c r="FL200" s="3">
        <f t="shared" si="171"/>
        <v>0</v>
      </c>
      <c r="FM200" s="3">
        <f t="shared" si="171"/>
        <v>0</v>
      </c>
      <c r="FN200" s="3">
        <f t="shared" si="171"/>
        <v>0</v>
      </c>
      <c r="FO200" s="3">
        <f t="shared" si="171"/>
        <v>0</v>
      </c>
      <c r="FP200" s="3">
        <f t="shared" si="171"/>
        <v>0</v>
      </c>
      <c r="FQ200" s="3">
        <f t="shared" si="171"/>
        <v>0</v>
      </c>
      <c r="FR200" s="3">
        <f t="shared" si="171"/>
        <v>0</v>
      </c>
      <c r="FS200" s="3">
        <f t="shared" ref="FS200:GX200" si="172">FS214</f>
        <v>0</v>
      </c>
      <c r="FT200" s="3">
        <f t="shared" si="172"/>
        <v>0</v>
      </c>
      <c r="FU200" s="3">
        <f t="shared" si="172"/>
        <v>0</v>
      </c>
      <c r="FV200" s="3">
        <f t="shared" si="172"/>
        <v>0</v>
      </c>
      <c r="FW200" s="3">
        <f t="shared" si="172"/>
        <v>0</v>
      </c>
      <c r="FX200" s="3">
        <f t="shared" si="172"/>
        <v>0</v>
      </c>
      <c r="FY200" s="3">
        <f t="shared" si="172"/>
        <v>0</v>
      </c>
      <c r="FZ200" s="3">
        <f t="shared" si="172"/>
        <v>0</v>
      </c>
      <c r="GA200" s="3">
        <f t="shared" si="172"/>
        <v>0</v>
      </c>
      <c r="GB200" s="3">
        <f t="shared" si="172"/>
        <v>0</v>
      </c>
      <c r="GC200" s="3">
        <f t="shared" si="172"/>
        <v>0</v>
      </c>
      <c r="GD200" s="3">
        <f t="shared" si="172"/>
        <v>0</v>
      </c>
      <c r="GE200" s="3">
        <f t="shared" si="172"/>
        <v>0</v>
      </c>
      <c r="GF200" s="3">
        <f t="shared" si="172"/>
        <v>0</v>
      </c>
      <c r="GG200" s="3">
        <f t="shared" si="172"/>
        <v>0</v>
      </c>
      <c r="GH200" s="3">
        <f t="shared" si="172"/>
        <v>0</v>
      </c>
      <c r="GI200" s="3">
        <f t="shared" si="172"/>
        <v>0</v>
      </c>
      <c r="GJ200" s="3">
        <f t="shared" si="172"/>
        <v>0</v>
      </c>
      <c r="GK200" s="3">
        <f t="shared" si="172"/>
        <v>0</v>
      </c>
      <c r="GL200" s="3">
        <f t="shared" si="172"/>
        <v>0</v>
      </c>
      <c r="GM200" s="3">
        <f t="shared" si="172"/>
        <v>0</v>
      </c>
      <c r="GN200" s="3">
        <f t="shared" si="172"/>
        <v>0</v>
      </c>
      <c r="GO200" s="3">
        <f t="shared" si="172"/>
        <v>0</v>
      </c>
      <c r="GP200" s="3">
        <f t="shared" si="172"/>
        <v>0</v>
      </c>
      <c r="GQ200" s="3">
        <f t="shared" si="172"/>
        <v>0</v>
      </c>
      <c r="GR200" s="3">
        <f t="shared" si="172"/>
        <v>0</v>
      </c>
      <c r="GS200" s="3">
        <f t="shared" si="172"/>
        <v>0</v>
      </c>
      <c r="GT200" s="3">
        <f t="shared" si="172"/>
        <v>0</v>
      </c>
      <c r="GU200" s="3">
        <f t="shared" si="172"/>
        <v>0</v>
      </c>
      <c r="GV200" s="3">
        <f t="shared" si="172"/>
        <v>0</v>
      </c>
      <c r="GW200" s="3">
        <f t="shared" si="172"/>
        <v>0</v>
      </c>
      <c r="GX200" s="3">
        <f t="shared" si="172"/>
        <v>0</v>
      </c>
    </row>
    <row r="202" spans="1:245" x14ac:dyDescent="0.2">
      <c r="A202">
        <v>17</v>
      </c>
      <c r="B202">
        <v>1</v>
      </c>
      <c r="C202">
        <f>ROW(SmtRes!A95)</f>
        <v>95</v>
      </c>
      <c r="D202">
        <f>ROW(EtalonRes!A96)</f>
        <v>96</v>
      </c>
      <c r="E202" t="s">
        <v>201</v>
      </c>
      <c r="F202" t="s">
        <v>202</v>
      </c>
      <c r="G202" t="s">
        <v>203</v>
      </c>
      <c r="H202" t="s">
        <v>204</v>
      </c>
      <c r="I202">
        <f>ROUND(3243*0.42*0.9/100,9)</f>
        <v>12.25854</v>
      </c>
      <c r="J202">
        <v>0</v>
      </c>
      <c r="O202">
        <f t="shared" ref="O202:O212" si="173">ROUND(CP202,2)</f>
        <v>95433.05</v>
      </c>
      <c r="P202">
        <f t="shared" ref="P202:P212" si="174">ROUND((ROUND((AC202*AW202*I202),2)*BC202),2)</f>
        <v>0</v>
      </c>
      <c r="Q202">
        <f t="shared" ref="Q202:Q212" si="175">(ROUND((ROUND(((ET202)*AV202*I202),2)*BB202),2)+ROUND((ROUND(((AE202-(EU202))*AV202*I202),2)*BS202),2))</f>
        <v>91193.04</v>
      </c>
      <c r="R202">
        <f t="shared" ref="R202:R212" si="176">ROUND((ROUND((AE202*AV202*I202),2)*BS202),2)</f>
        <v>42242.62</v>
      </c>
      <c r="S202">
        <f t="shared" ref="S202:S212" si="177">ROUND((ROUND((AF202*AV202*I202),2)*BA202),2)</f>
        <v>4240.01</v>
      </c>
      <c r="T202">
        <f t="shared" ref="T202:T212" si="178">ROUND(CU202*I202,2)</f>
        <v>0</v>
      </c>
      <c r="U202">
        <f t="shared" ref="U202:U212" si="179">CV202*I202</f>
        <v>16.9167852</v>
      </c>
      <c r="V202">
        <f t="shared" ref="V202:V212" si="180">CW202*I202</f>
        <v>0</v>
      </c>
      <c r="W202">
        <f t="shared" ref="W202:W212" si="181">ROUND(CX202*I202,2)</f>
        <v>0</v>
      </c>
      <c r="X202">
        <f t="shared" ref="X202:X212" si="182">ROUND(CY202,2)</f>
        <v>3900.81</v>
      </c>
      <c r="Y202">
        <f t="shared" ref="Y202:Y212" si="183">ROUND(CZ202,2)</f>
        <v>2120.0100000000002</v>
      </c>
      <c r="AA202">
        <v>33989672</v>
      </c>
      <c r="AB202">
        <f t="shared" ref="AB202:AB212" si="184">ROUND((AC202+AD202+AF202),6)</f>
        <v>771.65</v>
      </c>
      <c r="AC202">
        <f t="shared" ref="AC202:AC212" si="185">ROUND((ES202),6)</f>
        <v>0</v>
      </c>
      <c r="AD202">
        <f t="shared" ref="AD202:AD212" si="186">ROUND((((ET202)-(EU202))+AE202),6)</f>
        <v>757.55</v>
      </c>
      <c r="AE202">
        <f t="shared" ref="AE202:AE212" si="187">ROUND((EU202),6)</f>
        <v>140.47999999999999</v>
      </c>
      <c r="AF202">
        <f t="shared" ref="AF202:AF212" si="188">ROUND((EV202),6)</f>
        <v>14.1</v>
      </c>
      <c r="AG202">
        <f t="shared" ref="AG202:AG212" si="189">ROUND((AP202),6)</f>
        <v>0</v>
      </c>
      <c r="AH202">
        <f t="shared" ref="AH202:AH212" si="190">(EW202)</f>
        <v>1.38</v>
      </c>
      <c r="AI202">
        <f t="shared" ref="AI202:AI212" si="191">(EX202)</f>
        <v>0</v>
      </c>
      <c r="AJ202">
        <f t="shared" ref="AJ202:AJ212" si="192">(AS202)</f>
        <v>0</v>
      </c>
      <c r="AK202">
        <v>771.65</v>
      </c>
      <c r="AL202">
        <v>0</v>
      </c>
      <c r="AM202">
        <v>757.55</v>
      </c>
      <c r="AN202">
        <v>140.47999999999999</v>
      </c>
      <c r="AO202">
        <v>14.1</v>
      </c>
      <c r="AP202">
        <v>0</v>
      </c>
      <c r="AQ202">
        <v>1.38</v>
      </c>
      <c r="AR202">
        <v>0</v>
      </c>
      <c r="AS202">
        <v>0</v>
      </c>
      <c r="AT202">
        <v>92</v>
      </c>
      <c r="AU202">
        <v>50</v>
      </c>
      <c r="AV202">
        <v>1</v>
      </c>
      <c r="AW202">
        <v>1</v>
      </c>
      <c r="AZ202">
        <v>1</v>
      </c>
      <c r="BA202">
        <v>24.53</v>
      </c>
      <c r="BB202">
        <v>9.82</v>
      </c>
      <c r="BC202">
        <v>1</v>
      </c>
      <c r="BD202" t="s">
        <v>3</v>
      </c>
      <c r="BE202" t="s">
        <v>3</v>
      </c>
      <c r="BF202" t="s">
        <v>3</v>
      </c>
      <c r="BG202" t="s">
        <v>3</v>
      </c>
      <c r="BH202">
        <v>0</v>
      </c>
      <c r="BI202">
        <v>1</v>
      </c>
      <c r="BJ202" t="s">
        <v>205</v>
      </c>
      <c r="BM202">
        <v>2</v>
      </c>
      <c r="BN202">
        <v>0</v>
      </c>
      <c r="BO202" t="s">
        <v>202</v>
      </c>
      <c r="BP202">
        <v>1</v>
      </c>
      <c r="BQ202">
        <v>30</v>
      </c>
      <c r="BR202">
        <v>0</v>
      </c>
      <c r="BS202">
        <v>24.53</v>
      </c>
      <c r="BT202">
        <v>1</v>
      </c>
      <c r="BU202">
        <v>1</v>
      </c>
      <c r="BV202">
        <v>1</v>
      </c>
      <c r="BW202">
        <v>1</v>
      </c>
      <c r="BX202">
        <v>1</v>
      </c>
      <c r="BY202" t="s">
        <v>3</v>
      </c>
      <c r="BZ202">
        <v>92</v>
      </c>
      <c r="CA202">
        <v>50</v>
      </c>
      <c r="CE202">
        <v>30</v>
      </c>
      <c r="CF202">
        <v>0</v>
      </c>
      <c r="CG202">
        <v>0</v>
      </c>
      <c r="CM202">
        <v>0</v>
      </c>
      <c r="CN202" t="s">
        <v>3</v>
      </c>
      <c r="CO202">
        <v>0</v>
      </c>
      <c r="CP202">
        <f t="shared" ref="CP202:CP212" si="193">(P202+Q202+S202)</f>
        <v>95433.049999999988</v>
      </c>
      <c r="CQ202">
        <f t="shared" ref="CQ202:CQ212" si="194">ROUND((ROUND((AC202*AW202*1),2)*BC202),2)</f>
        <v>0</v>
      </c>
      <c r="CR202">
        <f t="shared" ref="CR202:CR212" si="195">(ROUND((ROUND(((ET202)*AV202*1),2)*BB202),2)+ROUND((ROUND(((AE202-(EU202))*AV202*1),2)*BS202),2))</f>
        <v>7439.14</v>
      </c>
      <c r="CS202">
        <f t="shared" ref="CS202:CS212" si="196">ROUND((ROUND((AE202*AV202*1),2)*BS202),2)</f>
        <v>3445.97</v>
      </c>
      <c r="CT202">
        <f t="shared" ref="CT202:CT212" si="197">ROUND((ROUND((AF202*AV202*1),2)*BA202),2)</f>
        <v>345.87</v>
      </c>
      <c r="CU202">
        <f t="shared" ref="CU202:CU212" si="198">AG202</f>
        <v>0</v>
      </c>
      <c r="CV202">
        <f t="shared" ref="CV202:CV212" si="199">(AH202*AV202)</f>
        <v>1.38</v>
      </c>
      <c r="CW202">
        <f t="shared" ref="CW202:CW212" si="200">AI202</f>
        <v>0</v>
      </c>
      <c r="CX202">
        <f t="shared" ref="CX202:CX212" si="201">AJ202</f>
        <v>0</v>
      </c>
      <c r="CY202">
        <f t="shared" ref="CY202:CY212" si="202">S202*(BZ202/100)</f>
        <v>3900.8092000000001</v>
      </c>
      <c r="CZ202">
        <f t="shared" ref="CZ202:CZ212" si="203">S202*(CA202/100)</f>
        <v>2120.0050000000001</v>
      </c>
      <c r="DC202" t="s">
        <v>3</v>
      </c>
      <c r="DD202" t="s">
        <v>3</v>
      </c>
      <c r="DE202" t="s">
        <v>3</v>
      </c>
      <c r="DF202" t="s">
        <v>3</v>
      </c>
      <c r="DG202" t="s">
        <v>3</v>
      </c>
      <c r="DH202" t="s">
        <v>3</v>
      </c>
      <c r="DI202" t="s">
        <v>3</v>
      </c>
      <c r="DJ202" t="s">
        <v>3</v>
      </c>
      <c r="DK202" t="s">
        <v>3</v>
      </c>
      <c r="DL202" t="s">
        <v>3</v>
      </c>
      <c r="DM202" t="s">
        <v>3</v>
      </c>
      <c r="DN202">
        <v>98</v>
      </c>
      <c r="DO202">
        <v>77</v>
      </c>
      <c r="DP202">
        <v>1</v>
      </c>
      <c r="DQ202">
        <v>1</v>
      </c>
      <c r="DU202">
        <v>1013</v>
      </c>
      <c r="DV202" t="s">
        <v>204</v>
      </c>
      <c r="DW202" t="s">
        <v>204</v>
      </c>
      <c r="DX202">
        <v>1</v>
      </c>
      <c r="EE202">
        <v>33797685</v>
      </c>
      <c r="EF202">
        <v>30</v>
      </c>
      <c r="EG202" t="s">
        <v>77</v>
      </c>
      <c r="EH202">
        <v>0</v>
      </c>
      <c r="EI202" t="s">
        <v>3</v>
      </c>
      <c r="EJ202">
        <v>1</v>
      </c>
      <c r="EK202">
        <v>2</v>
      </c>
      <c r="EL202" t="s">
        <v>206</v>
      </c>
      <c r="EM202" t="s">
        <v>207</v>
      </c>
      <c r="EO202" t="s">
        <v>3</v>
      </c>
      <c r="EQ202">
        <v>131072</v>
      </c>
      <c r="ER202">
        <v>771.65</v>
      </c>
      <c r="ES202">
        <v>0</v>
      </c>
      <c r="ET202">
        <v>757.55</v>
      </c>
      <c r="EU202">
        <v>140.47999999999999</v>
      </c>
      <c r="EV202">
        <v>14.1</v>
      </c>
      <c r="EW202">
        <v>1.38</v>
      </c>
      <c r="EX202">
        <v>0</v>
      </c>
      <c r="EY202">
        <v>0</v>
      </c>
      <c r="FQ202">
        <v>0</v>
      </c>
      <c r="FR202">
        <f t="shared" ref="FR202:FR212" si="204">ROUND(IF(AND(BH202=3,BI202=3),P202,0),2)</f>
        <v>0</v>
      </c>
      <c r="FS202">
        <v>0</v>
      </c>
      <c r="FX202">
        <v>98</v>
      </c>
      <c r="FY202">
        <v>77</v>
      </c>
      <c r="GA202" t="s">
        <v>3</v>
      </c>
      <c r="GD202">
        <v>0</v>
      </c>
      <c r="GF202">
        <v>445216503</v>
      </c>
      <c r="GG202">
        <v>2</v>
      </c>
      <c r="GH202">
        <v>1</v>
      </c>
      <c r="GI202">
        <v>2</v>
      </c>
      <c r="GJ202">
        <v>0</v>
      </c>
      <c r="GK202">
        <f>ROUND(R202*(R12)/100,2)</f>
        <v>66320.91</v>
      </c>
      <c r="GL202">
        <f t="shared" ref="GL202:GL212" si="205">ROUND(IF(AND(BH202=3,BI202=3,FS202&lt;&gt;0),P202,0),2)</f>
        <v>0</v>
      </c>
      <c r="GM202">
        <f t="shared" ref="GM202:GM212" si="206">ROUND(O202+X202+Y202+GK202,2)+GX202</f>
        <v>167774.78</v>
      </c>
      <c r="GN202">
        <f t="shared" ref="GN202:GN212" si="207">IF(OR(BI202=0,BI202=1),ROUND(O202+X202+Y202+GK202,2),0)</f>
        <v>167774.78</v>
      </c>
      <c r="GO202">
        <f t="shared" ref="GO202:GO212" si="208">IF(BI202=2,ROUND(O202+X202+Y202+GK202,2),0)</f>
        <v>0</v>
      </c>
      <c r="GP202">
        <f t="shared" ref="GP202:GP212" si="209">IF(BI202=4,ROUND(O202+X202+Y202+GK202,2)+GX202,0)</f>
        <v>0</v>
      </c>
      <c r="GR202">
        <v>0</v>
      </c>
      <c r="GS202">
        <v>3</v>
      </c>
      <c r="GT202">
        <v>0</v>
      </c>
      <c r="GU202" t="s">
        <v>3</v>
      </c>
      <c r="GV202">
        <f t="shared" ref="GV202:GV212" si="210">ROUND((GT202),6)</f>
        <v>0</v>
      </c>
      <c r="GW202">
        <v>1</v>
      </c>
      <c r="GX202">
        <f t="shared" ref="GX202:GX212" si="211">ROUND(HC202*I202,2)</f>
        <v>0</v>
      </c>
      <c r="HA202">
        <v>0</v>
      </c>
      <c r="HB202">
        <v>0</v>
      </c>
      <c r="HC202">
        <f t="shared" ref="HC202:HC212" si="212">GV202*GW202</f>
        <v>0</v>
      </c>
      <c r="IK202">
        <v>0</v>
      </c>
    </row>
    <row r="203" spans="1:245" x14ac:dyDescent="0.2">
      <c r="A203">
        <v>17</v>
      </c>
      <c r="B203">
        <v>1</v>
      </c>
      <c r="C203">
        <f>ROW(SmtRes!A96)</f>
        <v>96</v>
      </c>
      <c r="D203">
        <f>ROW(EtalonRes!A97)</f>
        <v>97</v>
      </c>
      <c r="E203" t="s">
        <v>208</v>
      </c>
      <c r="F203" t="s">
        <v>209</v>
      </c>
      <c r="G203" t="s">
        <v>210</v>
      </c>
      <c r="H203" t="s">
        <v>204</v>
      </c>
      <c r="I203">
        <f>ROUND(3243*0.42*0.1/100,9)</f>
        <v>1.36206</v>
      </c>
      <c r="J203">
        <v>0</v>
      </c>
      <c r="O203">
        <f t="shared" si="173"/>
        <v>68246.63</v>
      </c>
      <c r="P203">
        <f t="shared" si="174"/>
        <v>0</v>
      </c>
      <c r="Q203">
        <f t="shared" si="175"/>
        <v>0</v>
      </c>
      <c r="R203">
        <f t="shared" si="176"/>
        <v>0</v>
      </c>
      <c r="S203">
        <f t="shared" si="177"/>
        <v>68246.63</v>
      </c>
      <c r="T203">
        <f t="shared" si="178"/>
        <v>0</v>
      </c>
      <c r="U203">
        <f t="shared" si="179"/>
        <v>262.46896199999998</v>
      </c>
      <c r="V203">
        <f t="shared" si="180"/>
        <v>0</v>
      </c>
      <c r="W203">
        <f t="shared" si="181"/>
        <v>0</v>
      </c>
      <c r="X203">
        <f t="shared" si="182"/>
        <v>58009.64</v>
      </c>
      <c r="Y203">
        <f t="shared" si="183"/>
        <v>27981.119999999999</v>
      </c>
      <c r="AA203">
        <v>33989672</v>
      </c>
      <c r="AB203">
        <f t="shared" si="184"/>
        <v>2042.62</v>
      </c>
      <c r="AC203">
        <f t="shared" si="185"/>
        <v>0</v>
      </c>
      <c r="AD203">
        <f t="shared" si="186"/>
        <v>0</v>
      </c>
      <c r="AE203">
        <f t="shared" si="187"/>
        <v>0</v>
      </c>
      <c r="AF203">
        <f t="shared" si="188"/>
        <v>2042.62</v>
      </c>
      <c r="AG203">
        <f t="shared" si="189"/>
        <v>0</v>
      </c>
      <c r="AH203">
        <f t="shared" si="190"/>
        <v>192.7</v>
      </c>
      <c r="AI203">
        <f t="shared" si="191"/>
        <v>0</v>
      </c>
      <c r="AJ203">
        <f t="shared" si="192"/>
        <v>0</v>
      </c>
      <c r="AK203">
        <v>2042.62</v>
      </c>
      <c r="AL203">
        <v>0</v>
      </c>
      <c r="AM203">
        <v>0</v>
      </c>
      <c r="AN203">
        <v>0</v>
      </c>
      <c r="AO203">
        <v>2042.62</v>
      </c>
      <c r="AP203">
        <v>0</v>
      </c>
      <c r="AQ203">
        <v>192.7</v>
      </c>
      <c r="AR203">
        <v>0</v>
      </c>
      <c r="AS203">
        <v>0</v>
      </c>
      <c r="AT203">
        <v>85</v>
      </c>
      <c r="AU203">
        <v>41</v>
      </c>
      <c r="AV203">
        <v>1</v>
      </c>
      <c r="AW203">
        <v>1</v>
      </c>
      <c r="AZ203">
        <v>1</v>
      </c>
      <c r="BA203">
        <v>24.53</v>
      </c>
      <c r="BB203">
        <v>1</v>
      </c>
      <c r="BC203">
        <v>1</v>
      </c>
      <c r="BD203" t="s">
        <v>3</v>
      </c>
      <c r="BE203" t="s">
        <v>3</v>
      </c>
      <c r="BF203" t="s">
        <v>3</v>
      </c>
      <c r="BG203" t="s">
        <v>3</v>
      </c>
      <c r="BH203">
        <v>0</v>
      </c>
      <c r="BI203">
        <v>1</v>
      </c>
      <c r="BJ203" t="s">
        <v>211</v>
      </c>
      <c r="BM203">
        <v>16</v>
      </c>
      <c r="BN203">
        <v>0</v>
      </c>
      <c r="BO203" t="s">
        <v>209</v>
      </c>
      <c r="BP203">
        <v>1</v>
      </c>
      <c r="BQ203">
        <v>30</v>
      </c>
      <c r="BR203">
        <v>0</v>
      </c>
      <c r="BS203">
        <v>24.53</v>
      </c>
      <c r="BT203">
        <v>1</v>
      </c>
      <c r="BU203">
        <v>1</v>
      </c>
      <c r="BV203">
        <v>1</v>
      </c>
      <c r="BW203">
        <v>1</v>
      </c>
      <c r="BX203">
        <v>1</v>
      </c>
      <c r="BY203" t="s">
        <v>3</v>
      </c>
      <c r="BZ203">
        <v>85</v>
      </c>
      <c r="CA203">
        <v>41</v>
      </c>
      <c r="CE203">
        <v>30</v>
      </c>
      <c r="CF203">
        <v>0</v>
      </c>
      <c r="CG203">
        <v>0</v>
      </c>
      <c r="CM203">
        <v>0</v>
      </c>
      <c r="CN203" t="s">
        <v>3</v>
      </c>
      <c r="CO203">
        <v>0</v>
      </c>
      <c r="CP203">
        <f t="shared" si="193"/>
        <v>68246.63</v>
      </c>
      <c r="CQ203">
        <f t="shared" si="194"/>
        <v>0</v>
      </c>
      <c r="CR203">
        <f t="shared" si="195"/>
        <v>0</v>
      </c>
      <c r="CS203">
        <f t="shared" si="196"/>
        <v>0</v>
      </c>
      <c r="CT203">
        <f t="shared" si="197"/>
        <v>50105.47</v>
      </c>
      <c r="CU203">
        <f t="shared" si="198"/>
        <v>0</v>
      </c>
      <c r="CV203">
        <f t="shared" si="199"/>
        <v>192.7</v>
      </c>
      <c r="CW203">
        <f t="shared" si="200"/>
        <v>0</v>
      </c>
      <c r="CX203">
        <f t="shared" si="201"/>
        <v>0</v>
      </c>
      <c r="CY203">
        <f t="shared" si="202"/>
        <v>58009.635500000004</v>
      </c>
      <c r="CZ203">
        <f t="shared" si="203"/>
        <v>27981.118300000002</v>
      </c>
      <c r="DC203" t="s">
        <v>3</v>
      </c>
      <c r="DD203" t="s">
        <v>3</v>
      </c>
      <c r="DE203" t="s">
        <v>3</v>
      </c>
      <c r="DF203" t="s">
        <v>3</v>
      </c>
      <c r="DG203" t="s">
        <v>3</v>
      </c>
      <c r="DH203" t="s">
        <v>3</v>
      </c>
      <c r="DI203" t="s">
        <v>3</v>
      </c>
      <c r="DJ203" t="s">
        <v>3</v>
      </c>
      <c r="DK203" t="s">
        <v>3</v>
      </c>
      <c r="DL203" t="s">
        <v>3</v>
      </c>
      <c r="DM203" t="s">
        <v>3</v>
      </c>
      <c r="DN203">
        <v>105</v>
      </c>
      <c r="DO203">
        <v>77</v>
      </c>
      <c r="DP203">
        <v>1</v>
      </c>
      <c r="DQ203">
        <v>1</v>
      </c>
      <c r="DU203">
        <v>1013</v>
      </c>
      <c r="DV203" t="s">
        <v>204</v>
      </c>
      <c r="DW203" t="s">
        <v>204</v>
      </c>
      <c r="DX203">
        <v>1</v>
      </c>
      <c r="EE203">
        <v>33797699</v>
      </c>
      <c r="EF203">
        <v>30</v>
      </c>
      <c r="EG203" t="s">
        <v>77</v>
      </c>
      <c r="EH203">
        <v>0</v>
      </c>
      <c r="EI203" t="s">
        <v>3</v>
      </c>
      <c r="EJ203">
        <v>1</v>
      </c>
      <c r="EK203">
        <v>16</v>
      </c>
      <c r="EL203" t="s">
        <v>212</v>
      </c>
      <c r="EM203" t="s">
        <v>213</v>
      </c>
      <c r="EO203" t="s">
        <v>3</v>
      </c>
      <c r="EQ203">
        <v>131072</v>
      </c>
      <c r="ER203">
        <v>2042.62</v>
      </c>
      <c r="ES203">
        <v>0</v>
      </c>
      <c r="ET203">
        <v>0</v>
      </c>
      <c r="EU203">
        <v>0</v>
      </c>
      <c r="EV203">
        <v>2042.62</v>
      </c>
      <c r="EW203">
        <v>192.7</v>
      </c>
      <c r="EX203">
        <v>0</v>
      </c>
      <c r="EY203">
        <v>0</v>
      </c>
      <c r="FQ203">
        <v>0</v>
      </c>
      <c r="FR203">
        <f t="shared" si="204"/>
        <v>0</v>
      </c>
      <c r="FS203">
        <v>0</v>
      </c>
      <c r="FX203">
        <v>105</v>
      </c>
      <c r="FY203">
        <v>77</v>
      </c>
      <c r="GA203" t="s">
        <v>3</v>
      </c>
      <c r="GD203">
        <v>0</v>
      </c>
      <c r="GF203">
        <v>-1632341149</v>
      </c>
      <c r="GG203">
        <v>2</v>
      </c>
      <c r="GH203">
        <v>1</v>
      </c>
      <c r="GI203">
        <v>2</v>
      </c>
      <c r="GJ203">
        <v>0</v>
      </c>
      <c r="GK203">
        <f>ROUND(R203*(R12)/100,2)</f>
        <v>0</v>
      </c>
      <c r="GL203">
        <f t="shared" si="205"/>
        <v>0</v>
      </c>
      <c r="GM203">
        <f t="shared" si="206"/>
        <v>154237.39000000001</v>
      </c>
      <c r="GN203">
        <f t="shared" si="207"/>
        <v>154237.39000000001</v>
      </c>
      <c r="GO203">
        <f t="shared" si="208"/>
        <v>0</v>
      </c>
      <c r="GP203">
        <f t="shared" si="209"/>
        <v>0</v>
      </c>
      <c r="GR203">
        <v>0</v>
      </c>
      <c r="GS203">
        <v>3</v>
      </c>
      <c r="GT203">
        <v>0</v>
      </c>
      <c r="GU203" t="s">
        <v>3</v>
      </c>
      <c r="GV203">
        <f t="shared" si="210"/>
        <v>0</v>
      </c>
      <c r="GW203">
        <v>1</v>
      </c>
      <c r="GX203">
        <f t="shared" si="211"/>
        <v>0</v>
      </c>
      <c r="HA203">
        <v>0</v>
      </c>
      <c r="HB203">
        <v>0</v>
      </c>
      <c r="HC203">
        <f t="shared" si="212"/>
        <v>0</v>
      </c>
      <c r="IK203">
        <v>0</v>
      </c>
    </row>
    <row r="204" spans="1:245" x14ac:dyDescent="0.2">
      <c r="A204">
        <v>17</v>
      </c>
      <c r="B204">
        <v>1</v>
      </c>
      <c r="C204">
        <f>ROW(SmtRes!A97)</f>
        <v>97</v>
      </c>
      <c r="D204">
        <f>ROW(EtalonRes!A98)</f>
        <v>98</v>
      </c>
      <c r="E204" t="s">
        <v>214</v>
      </c>
      <c r="F204" t="s">
        <v>215</v>
      </c>
      <c r="G204" t="s">
        <v>216</v>
      </c>
      <c r="H204" t="s">
        <v>204</v>
      </c>
      <c r="I204">
        <f>ROUND(I203*100/100,9)</f>
        <v>1.36206</v>
      </c>
      <c r="J204">
        <v>0</v>
      </c>
      <c r="O204">
        <f t="shared" si="173"/>
        <v>26566.73</v>
      </c>
      <c r="P204">
        <f t="shared" si="174"/>
        <v>0</v>
      </c>
      <c r="Q204">
        <f t="shared" si="175"/>
        <v>0</v>
      </c>
      <c r="R204">
        <f t="shared" si="176"/>
        <v>0</v>
      </c>
      <c r="S204">
        <f t="shared" si="177"/>
        <v>26566.73</v>
      </c>
      <c r="T204">
        <f t="shared" si="178"/>
        <v>0</v>
      </c>
      <c r="U204">
        <f t="shared" si="179"/>
        <v>113.05098000000001</v>
      </c>
      <c r="V204">
        <f t="shared" si="180"/>
        <v>0</v>
      </c>
      <c r="W204">
        <f t="shared" si="181"/>
        <v>0</v>
      </c>
      <c r="X204">
        <f t="shared" si="182"/>
        <v>19393.71</v>
      </c>
      <c r="Y204">
        <f t="shared" si="183"/>
        <v>10892.36</v>
      </c>
      <c r="AA204">
        <v>33989672</v>
      </c>
      <c r="AB204">
        <f t="shared" si="184"/>
        <v>795.14</v>
      </c>
      <c r="AC204">
        <f t="shared" si="185"/>
        <v>0</v>
      </c>
      <c r="AD204">
        <f t="shared" si="186"/>
        <v>0</v>
      </c>
      <c r="AE204">
        <f t="shared" si="187"/>
        <v>0</v>
      </c>
      <c r="AF204">
        <f t="shared" si="188"/>
        <v>795.14</v>
      </c>
      <c r="AG204">
        <f t="shared" si="189"/>
        <v>0</v>
      </c>
      <c r="AH204">
        <f t="shared" si="190"/>
        <v>83</v>
      </c>
      <c r="AI204">
        <f t="shared" si="191"/>
        <v>0</v>
      </c>
      <c r="AJ204">
        <f t="shared" si="192"/>
        <v>0</v>
      </c>
      <c r="AK204">
        <v>795.14</v>
      </c>
      <c r="AL204">
        <v>0</v>
      </c>
      <c r="AM204">
        <v>0</v>
      </c>
      <c r="AN204">
        <v>0</v>
      </c>
      <c r="AO204">
        <v>795.14</v>
      </c>
      <c r="AP204">
        <v>0</v>
      </c>
      <c r="AQ204">
        <v>83</v>
      </c>
      <c r="AR204">
        <v>0</v>
      </c>
      <c r="AS204">
        <v>0</v>
      </c>
      <c r="AT204">
        <v>73</v>
      </c>
      <c r="AU204">
        <v>41</v>
      </c>
      <c r="AV204">
        <v>1</v>
      </c>
      <c r="AW204">
        <v>1</v>
      </c>
      <c r="AZ204">
        <v>1</v>
      </c>
      <c r="BA204">
        <v>24.53</v>
      </c>
      <c r="BB204">
        <v>1</v>
      </c>
      <c r="BC204">
        <v>1</v>
      </c>
      <c r="BD204" t="s">
        <v>3</v>
      </c>
      <c r="BE204" t="s">
        <v>3</v>
      </c>
      <c r="BF204" t="s">
        <v>3</v>
      </c>
      <c r="BG204" t="s">
        <v>3</v>
      </c>
      <c r="BH204">
        <v>0</v>
      </c>
      <c r="BI204">
        <v>1</v>
      </c>
      <c r="BJ204" t="s">
        <v>217</v>
      </c>
      <c r="BM204">
        <v>393</v>
      </c>
      <c r="BN204">
        <v>0</v>
      </c>
      <c r="BO204" t="s">
        <v>215</v>
      </c>
      <c r="BP204">
        <v>1</v>
      </c>
      <c r="BQ204">
        <v>60</v>
      </c>
      <c r="BR204">
        <v>0</v>
      </c>
      <c r="BS204">
        <v>24.53</v>
      </c>
      <c r="BT204">
        <v>1</v>
      </c>
      <c r="BU204">
        <v>1</v>
      </c>
      <c r="BV204">
        <v>1</v>
      </c>
      <c r="BW204">
        <v>1</v>
      </c>
      <c r="BX204">
        <v>1</v>
      </c>
      <c r="BY204" t="s">
        <v>3</v>
      </c>
      <c r="BZ204">
        <v>73</v>
      </c>
      <c r="CA204">
        <v>41</v>
      </c>
      <c r="CE204">
        <v>30</v>
      </c>
      <c r="CF204">
        <v>0</v>
      </c>
      <c r="CG204">
        <v>0</v>
      </c>
      <c r="CM204">
        <v>0</v>
      </c>
      <c r="CN204" t="s">
        <v>3</v>
      </c>
      <c r="CO204">
        <v>0</v>
      </c>
      <c r="CP204">
        <f t="shared" si="193"/>
        <v>26566.73</v>
      </c>
      <c r="CQ204">
        <f t="shared" si="194"/>
        <v>0</v>
      </c>
      <c r="CR204">
        <f t="shared" si="195"/>
        <v>0</v>
      </c>
      <c r="CS204">
        <f t="shared" si="196"/>
        <v>0</v>
      </c>
      <c r="CT204">
        <f t="shared" si="197"/>
        <v>19504.78</v>
      </c>
      <c r="CU204">
        <f t="shared" si="198"/>
        <v>0</v>
      </c>
      <c r="CV204">
        <f t="shared" si="199"/>
        <v>83</v>
      </c>
      <c r="CW204">
        <f t="shared" si="200"/>
        <v>0</v>
      </c>
      <c r="CX204">
        <f t="shared" si="201"/>
        <v>0</v>
      </c>
      <c r="CY204">
        <f t="shared" si="202"/>
        <v>19393.712899999999</v>
      </c>
      <c r="CZ204">
        <f t="shared" si="203"/>
        <v>10892.3593</v>
      </c>
      <c r="DC204" t="s">
        <v>3</v>
      </c>
      <c r="DD204" t="s">
        <v>3</v>
      </c>
      <c r="DE204" t="s">
        <v>3</v>
      </c>
      <c r="DF204" t="s">
        <v>3</v>
      </c>
      <c r="DG204" t="s">
        <v>3</v>
      </c>
      <c r="DH204" t="s">
        <v>3</v>
      </c>
      <c r="DI204" t="s">
        <v>3</v>
      </c>
      <c r="DJ204" t="s">
        <v>3</v>
      </c>
      <c r="DK204" t="s">
        <v>3</v>
      </c>
      <c r="DL204" t="s">
        <v>3</v>
      </c>
      <c r="DM204" t="s">
        <v>3</v>
      </c>
      <c r="DN204">
        <v>91</v>
      </c>
      <c r="DO204">
        <v>67</v>
      </c>
      <c r="DP204">
        <v>1</v>
      </c>
      <c r="DQ204">
        <v>1</v>
      </c>
      <c r="DU204">
        <v>1013</v>
      </c>
      <c r="DV204" t="s">
        <v>204</v>
      </c>
      <c r="DW204" t="s">
        <v>204</v>
      </c>
      <c r="DX204">
        <v>1</v>
      </c>
      <c r="EE204">
        <v>33798032</v>
      </c>
      <c r="EF204">
        <v>60</v>
      </c>
      <c r="EG204" t="s">
        <v>20</v>
      </c>
      <c r="EH204">
        <v>0</v>
      </c>
      <c r="EI204" t="s">
        <v>3</v>
      </c>
      <c r="EJ204">
        <v>1</v>
      </c>
      <c r="EK204">
        <v>393</v>
      </c>
      <c r="EL204" t="s">
        <v>218</v>
      </c>
      <c r="EM204" t="s">
        <v>219</v>
      </c>
      <c r="EO204" t="s">
        <v>3</v>
      </c>
      <c r="EQ204">
        <v>131072</v>
      </c>
      <c r="ER204">
        <v>795.14</v>
      </c>
      <c r="ES204">
        <v>0</v>
      </c>
      <c r="ET204">
        <v>0</v>
      </c>
      <c r="EU204">
        <v>0</v>
      </c>
      <c r="EV204">
        <v>795.14</v>
      </c>
      <c r="EW204">
        <v>83</v>
      </c>
      <c r="EX204">
        <v>0</v>
      </c>
      <c r="EY204">
        <v>0</v>
      </c>
      <c r="FQ204">
        <v>0</v>
      </c>
      <c r="FR204">
        <f t="shared" si="204"/>
        <v>0</v>
      </c>
      <c r="FS204">
        <v>0</v>
      </c>
      <c r="FX204">
        <v>91</v>
      </c>
      <c r="FY204">
        <v>67</v>
      </c>
      <c r="GA204" t="s">
        <v>3</v>
      </c>
      <c r="GD204">
        <v>0</v>
      </c>
      <c r="GF204">
        <v>2144161260</v>
      </c>
      <c r="GG204">
        <v>2</v>
      </c>
      <c r="GH204">
        <v>1</v>
      </c>
      <c r="GI204">
        <v>2</v>
      </c>
      <c r="GJ204">
        <v>0</v>
      </c>
      <c r="GK204">
        <f>ROUND(R204*(R12)/100,2)</f>
        <v>0</v>
      </c>
      <c r="GL204">
        <f t="shared" si="205"/>
        <v>0</v>
      </c>
      <c r="GM204">
        <f t="shared" si="206"/>
        <v>56852.800000000003</v>
      </c>
      <c r="GN204">
        <f t="shared" si="207"/>
        <v>56852.800000000003</v>
      </c>
      <c r="GO204">
        <f t="shared" si="208"/>
        <v>0</v>
      </c>
      <c r="GP204">
        <f t="shared" si="209"/>
        <v>0</v>
      </c>
      <c r="GR204">
        <v>0</v>
      </c>
      <c r="GS204">
        <v>3</v>
      </c>
      <c r="GT204">
        <v>0</v>
      </c>
      <c r="GU204" t="s">
        <v>3</v>
      </c>
      <c r="GV204">
        <f t="shared" si="210"/>
        <v>0</v>
      </c>
      <c r="GW204">
        <v>1</v>
      </c>
      <c r="GX204">
        <f t="shared" si="211"/>
        <v>0</v>
      </c>
      <c r="HA204">
        <v>0</v>
      </c>
      <c r="HB204">
        <v>0</v>
      </c>
      <c r="HC204">
        <f t="shared" si="212"/>
        <v>0</v>
      </c>
      <c r="IK204">
        <v>0</v>
      </c>
    </row>
    <row r="205" spans="1:245" x14ac:dyDescent="0.2">
      <c r="A205">
        <v>17</v>
      </c>
      <c r="B205">
        <v>1</v>
      </c>
      <c r="C205">
        <f>ROW(SmtRes!A98)</f>
        <v>98</v>
      </c>
      <c r="D205">
        <f>ROW(EtalonRes!A99)</f>
        <v>99</v>
      </c>
      <c r="E205" t="s">
        <v>220</v>
      </c>
      <c r="F205" t="s">
        <v>221</v>
      </c>
      <c r="G205" t="s">
        <v>222</v>
      </c>
      <c r="H205" t="s">
        <v>51</v>
      </c>
      <c r="I205">
        <v>0</v>
      </c>
      <c r="J205">
        <v>0</v>
      </c>
      <c r="O205">
        <f t="shared" si="173"/>
        <v>0</v>
      </c>
      <c r="P205">
        <f t="shared" si="174"/>
        <v>0</v>
      </c>
      <c r="Q205">
        <f t="shared" si="175"/>
        <v>0</v>
      </c>
      <c r="R205">
        <f t="shared" si="176"/>
        <v>0</v>
      </c>
      <c r="S205">
        <f t="shared" si="177"/>
        <v>0</v>
      </c>
      <c r="T205">
        <f t="shared" si="178"/>
        <v>0</v>
      </c>
      <c r="U205">
        <f t="shared" si="179"/>
        <v>0</v>
      </c>
      <c r="V205">
        <f t="shared" si="180"/>
        <v>0</v>
      </c>
      <c r="W205">
        <f t="shared" si="181"/>
        <v>0</v>
      </c>
      <c r="X205">
        <f t="shared" si="182"/>
        <v>0</v>
      </c>
      <c r="Y205">
        <f t="shared" si="183"/>
        <v>0</v>
      </c>
      <c r="AA205">
        <v>33989672</v>
      </c>
      <c r="AB205">
        <f t="shared" si="184"/>
        <v>48.38</v>
      </c>
      <c r="AC205">
        <f t="shared" si="185"/>
        <v>0</v>
      </c>
      <c r="AD205">
        <f t="shared" si="186"/>
        <v>48.38</v>
      </c>
      <c r="AE205">
        <f t="shared" si="187"/>
        <v>0</v>
      </c>
      <c r="AF205">
        <f t="shared" si="188"/>
        <v>0</v>
      </c>
      <c r="AG205">
        <f t="shared" si="189"/>
        <v>0</v>
      </c>
      <c r="AH205">
        <f t="shared" si="190"/>
        <v>0</v>
      </c>
      <c r="AI205">
        <f t="shared" si="191"/>
        <v>0</v>
      </c>
      <c r="AJ205">
        <f t="shared" si="192"/>
        <v>0</v>
      </c>
      <c r="AK205">
        <v>48.38</v>
      </c>
      <c r="AL205">
        <v>0</v>
      </c>
      <c r="AM205">
        <v>48.38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93</v>
      </c>
      <c r="AU205">
        <v>64</v>
      </c>
      <c r="AV205">
        <v>1</v>
      </c>
      <c r="AW205">
        <v>1</v>
      </c>
      <c r="AZ205">
        <v>1</v>
      </c>
      <c r="BA205">
        <v>1</v>
      </c>
      <c r="BB205">
        <v>10.61</v>
      </c>
      <c r="BC205">
        <v>1</v>
      </c>
      <c r="BD205" t="s">
        <v>3</v>
      </c>
      <c r="BE205" t="s">
        <v>3</v>
      </c>
      <c r="BF205" t="s">
        <v>3</v>
      </c>
      <c r="BG205" t="s">
        <v>3</v>
      </c>
      <c r="BH205">
        <v>0</v>
      </c>
      <c r="BI205">
        <v>4</v>
      </c>
      <c r="BJ205" t="s">
        <v>223</v>
      </c>
      <c r="BM205">
        <v>1111</v>
      </c>
      <c r="BN205">
        <v>0</v>
      </c>
      <c r="BO205" t="s">
        <v>221</v>
      </c>
      <c r="BP205">
        <v>1</v>
      </c>
      <c r="BQ205">
        <v>150</v>
      </c>
      <c r="BR205">
        <v>0</v>
      </c>
      <c r="BS205">
        <v>1</v>
      </c>
      <c r="BT205">
        <v>1</v>
      </c>
      <c r="BU205">
        <v>1</v>
      </c>
      <c r="BV205">
        <v>1</v>
      </c>
      <c r="BW205">
        <v>1</v>
      </c>
      <c r="BX205">
        <v>1</v>
      </c>
      <c r="BY205" t="s">
        <v>3</v>
      </c>
      <c r="BZ205">
        <v>93</v>
      </c>
      <c r="CA205">
        <v>64</v>
      </c>
      <c r="CE205">
        <v>30</v>
      </c>
      <c r="CF205">
        <v>0</v>
      </c>
      <c r="CG205">
        <v>0</v>
      </c>
      <c r="CM205">
        <v>0</v>
      </c>
      <c r="CN205" t="s">
        <v>3</v>
      </c>
      <c r="CO205">
        <v>0</v>
      </c>
      <c r="CP205">
        <f t="shared" si="193"/>
        <v>0</v>
      </c>
      <c r="CQ205">
        <f t="shared" si="194"/>
        <v>0</v>
      </c>
      <c r="CR205">
        <f t="shared" si="195"/>
        <v>513.30999999999995</v>
      </c>
      <c r="CS205">
        <f t="shared" si="196"/>
        <v>0</v>
      </c>
      <c r="CT205">
        <f t="shared" si="197"/>
        <v>0</v>
      </c>
      <c r="CU205">
        <f t="shared" si="198"/>
        <v>0</v>
      </c>
      <c r="CV205">
        <f t="shared" si="199"/>
        <v>0</v>
      </c>
      <c r="CW205">
        <f t="shared" si="200"/>
        <v>0</v>
      </c>
      <c r="CX205">
        <f t="shared" si="201"/>
        <v>0</v>
      </c>
      <c r="CY205">
        <f t="shared" si="202"/>
        <v>0</v>
      </c>
      <c r="CZ205">
        <f t="shared" si="203"/>
        <v>0</v>
      </c>
      <c r="DC205" t="s">
        <v>3</v>
      </c>
      <c r="DD205" t="s">
        <v>3</v>
      </c>
      <c r="DE205" t="s">
        <v>3</v>
      </c>
      <c r="DF205" t="s">
        <v>3</v>
      </c>
      <c r="DG205" t="s">
        <v>3</v>
      </c>
      <c r="DH205" t="s">
        <v>3</v>
      </c>
      <c r="DI205" t="s">
        <v>3</v>
      </c>
      <c r="DJ205" t="s">
        <v>3</v>
      </c>
      <c r="DK205" t="s">
        <v>3</v>
      </c>
      <c r="DL205" t="s">
        <v>3</v>
      </c>
      <c r="DM205" t="s">
        <v>3</v>
      </c>
      <c r="DN205">
        <v>0</v>
      </c>
      <c r="DO205">
        <v>0</v>
      </c>
      <c r="DP205">
        <v>1</v>
      </c>
      <c r="DQ205">
        <v>1</v>
      </c>
      <c r="DU205">
        <v>1009</v>
      </c>
      <c r="DV205" t="s">
        <v>51</v>
      </c>
      <c r="DW205" t="s">
        <v>51</v>
      </c>
      <c r="DX205">
        <v>1000</v>
      </c>
      <c r="EE205">
        <v>33798750</v>
      </c>
      <c r="EF205">
        <v>150</v>
      </c>
      <c r="EG205" t="s">
        <v>53</v>
      </c>
      <c r="EH205">
        <v>0</v>
      </c>
      <c r="EI205" t="s">
        <v>3</v>
      </c>
      <c r="EJ205">
        <v>4</v>
      </c>
      <c r="EK205">
        <v>1111</v>
      </c>
      <c r="EL205" t="s">
        <v>224</v>
      </c>
      <c r="EM205" t="s">
        <v>225</v>
      </c>
      <c r="EO205" t="s">
        <v>3</v>
      </c>
      <c r="EQ205">
        <v>131072</v>
      </c>
      <c r="ER205">
        <v>48.38</v>
      </c>
      <c r="ES205">
        <v>0</v>
      </c>
      <c r="ET205">
        <v>48.38</v>
      </c>
      <c r="EU205">
        <v>0</v>
      </c>
      <c r="EV205">
        <v>0</v>
      </c>
      <c r="EW205">
        <v>0</v>
      </c>
      <c r="EX205">
        <v>0</v>
      </c>
      <c r="EY205">
        <v>0</v>
      </c>
      <c r="FQ205">
        <v>0</v>
      </c>
      <c r="FR205">
        <f t="shared" si="204"/>
        <v>0</v>
      </c>
      <c r="FS205">
        <v>0</v>
      </c>
      <c r="FX205">
        <v>0</v>
      </c>
      <c r="FY205">
        <v>0</v>
      </c>
      <c r="GA205" t="s">
        <v>3</v>
      </c>
      <c r="GD205">
        <v>0</v>
      </c>
      <c r="GF205">
        <v>-680019624</v>
      </c>
      <c r="GG205">
        <v>2</v>
      </c>
      <c r="GH205">
        <v>1</v>
      </c>
      <c r="GI205">
        <v>2</v>
      </c>
      <c r="GJ205">
        <v>0</v>
      </c>
      <c r="GK205">
        <f>ROUND(R205*(R12)/100,2)</f>
        <v>0</v>
      </c>
      <c r="GL205">
        <f t="shared" si="205"/>
        <v>0</v>
      </c>
      <c r="GM205">
        <f t="shared" si="206"/>
        <v>0</v>
      </c>
      <c r="GN205">
        <f t="shared" si="207"/>
        <v>0</v>
      </c>
      <c r="GO205">
        <f t="shared" si="208"/>
        <v>0</v>
      </c>
      <c r="GP205">
        <f t="shared" si="209"/>
        <v>0</v>
      </c>
      <c r="GR205">
        <v>0</v>
      </c>
      <c r="GS205">
        <v>3</v>
      </c>
      <c r="GT205">
        <v>0</v>
      </c>
      <c r="GU205" t="s">
        <v>3</v>
      </c>
      <c r="GV205">
        <f t="shared" si="210"/>
        <v>0</v>
      </c>
      <c r="GW205">
        <v>1</v>
      </c>
      <c r="GX205">
        <f t="shared" si="211"/>
        <v>0</v>
      </c>
      <c r="HA205">
        <v>0</v>
      </c>
      <c r="HB205">
        <v>0</v>
      </c>
      <c r="HC205">
        <f t="shared" si="212"/>
        <v>0</v>
      </c>
      <c r="IK205">
        <v>0</v>
      </c>
    </row>
    <row r="206" spans="1:245" x14ac:dyDescent="0.2">
      <c r="A206">
        <v>17</v>
      </c>
      <c r="B206">
        <v>1</v>
      </c>
      <c r="C206">
        <f>ROW(SmtRes!A99)</f>
        <v>99</v>
      </c>
      <c r="D206">
        <f>ROW(EtalonRes!A100)</f>
        <v>100</v>
      </c>
      <c r="E206" t="s">
        <v>226</v>
      </c>
      <c r="F206" t="s">
        <v>227</v>
      </c>
      <c r="G206" t="s">
        <v>228</v>
      </c>
      <c r="H206" t="s">
        <v>38</v>
      </c>
      <c r="I206">
        <v>0</v>
      </c>
      <c r="J206">
        <v>0</v>
      </c>
      <c r="O206">
        <f t="shared" si="173"/>
        <v>0</v>
      </c>
      <c r="P206">
        <f t="shared" si="174"/>
        <v>0</v>
      </c>
      <c r="Q206">
        <f t="shared" si="175"/>
        <v>0</v>
      </c>
      <c r="R206">
        <f t="shared" si="176"/>
        <v>0</v>
      </c>
      <c r="S206">
        <f t="shared" si="177"/>
        <v>0</v>
      </c>
      <c r="T206">
        <f t="shared" si="178"/>
        <v>0</v>
      </c>
      <c r="U206">
        <f t="shared" si="179"/>
        <v>0</v>
      </c>
      <c r="V206">
        <f t="shared" si="180"/>
        <v>0</v>
      </c>
      <c r="W206">
        <f t="shared" si="181"/>
        <v>0</v>
      </c>
      <c r="X206">
        <f t="shared" si="182"/>
        <v>0</v>
      </c>
      <c r="Y206">
        <f t="shared" si="183"/>
        <v>0</v>
      </c>
      <c r="AA206">
        <v>33989672</v>
      </c>
      <c r="AB206">
        <f t="shared" si="184"/>
        <v>12.61</v>
      </c>
      <c r="AC206">
        <f t="shared" si="185"/>
        <v>0</v>
      </c>
      <c r="AD206">
        <f t="shared" si="186"/>
        <v>12.61</v>
      </c>
      <c r="AE206">
        <f t="shared" si="187"/>
        <v>0</v>
      </c>
      <c r="AF206">
        <f t="shared" si="188"/>
        <v>0</v>
      </c>
      <c r="AG206">
        <f t="shared" si="189"/>
        <v>0</v>
      </c>
      <c r="AH206">
        <f t="shared" si="190"/>
        <v>0</v>
      </c>
      <c r="AI206">
        <f t="shared" si="191"/>
        <v>0</v>
      </c>
      <c r="AJ206">
        <f t="shared" si="192"/>
        <v>0</v>
      </c>
      <c r="AK206">
        <v>12.61</v>
      </c>
      <c r="AL206">
        <v>0</v>
      </c>
      <c r="AM206">
        <v>12.61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93</v>
      </c>
      <c r="AU206">
        <v>64</v>
      </c>
      <c r="AV206">
        <v>1</v>
      </c>
      <c r="AW206">
        <v>1</v>
      </c>
      <c r="AZ206">
        <v>1</v>
      </c>
      <c r="BA206">
        <v>1</v>
      </c>
      <c r="BB206">
        <v>7.63</v>
      </c>
      <c r="BC206">
        <v>1</v>
      </c>
      <c r="BD206" t="s">
        <v>3</v>
      </c>
      <c r="BE206" t="s">
        <v>3</v>
      </c>
      <c r="BF206" t="s">
        <v>3</v>
      </c>
      <c r="BG206" t="s">
        <v>3</v>
      </c>
      <c r="BH206">
        <v>0</v>
      </c>
      <c r="BI206">
        <v>4</v>
      </c>
      <c r="BJ206" t="s">
        <v>229</v>
      </c>
      <c r="BM206">
        <v>1113</v>
      </c>
      <c r="BN206">
        <v>0</v>
      </c>
      <c r="BO206" t="s">
        <v>227</v>
      </c>
      <c r="BP206">
        <v>1</v>
      </c>
      <c r="BQ206">
        <v>150</v>
      </c>
      <c r="BR206">
        <v>0</v>
      </c>
      <c r="BS206">
        <v>1</v>
      </c>
      <c r="BT206">
        <v>1</v>
      </c>
      <c r="BU206">
        <v>1</v>
      </c>
      <c r="BV206">
        <v>1</v>
      </c>
      <c r="BW206">
        <v>1</v>
      </c>
      <c r="BX206">
        <v>1</v>
      </c>
      <c r="BY206" t="s">
        <v>3</v>
      </c>
      <c r="BZ206">
        <v>93</v>
      </c>
      <c r="CA206">
        <v>64</v>
      </c>
      <c r="CE206">
        <v>30</v>
      </c>
      <c r="CF206">
        <v>0</v>
      </c>
      <c r="CG206">
        <v>0</v>
      </c>
      <c r="CM206">
        <v>0</v>
      </c>
      <c r="CN206" t="s">
        <v>3</v>
      </c>
      <c r="CO206">
        <v>0</v>
      </c>
      <c r="CP206">
        <f t="shared" si="193"/>
        <v>0</v>
      </c>
      <c r="CQ206">
        <f t="shared" si="194"/>
        <v>0</v>
      </c>
      <c r="CR206">
        <f t="shared" si="195"/>
        <v>96.21</v>
      </c>
      <c r="CS206">
        <f t="shared" si="196"/>
        <v>0</v>
      </c>
      <c r="CT206">
        <f t="shared" si="197"/>
        <v>0</v>
      </c>
      <c r="CU206">
        <f t="shared" si="198"/>
        <v>0</v>
      </c>
      <c r="CV206">
        <f t="shared" si="199"/>
        <v>0</v>
      </c>
      <c r="CW206">
        <f t="shared" si="200"/>
        <v>0</v>
      </c>
      <c r="CX206">
        <f t="shared" si="201"/>
        <v>0</v>
      </c>
      <c r="CY206">
        <f t="shared" si="202"/>
        <v>0</v>
      </c>
      <c r="CZ206">
        <f t="shared" si="203"/>
        <v>0</v>
      </c>
      <c r="DC206" t="s">
        <v>3</v>
      </c>
      <c r="DD206" t="s">
        <v>3</v>
      </c>
      <c r="DE206" t="s">
        <v>3</v>
      </c>
      <c r="DF206" t="s">
        <v>3</v>
      </c>
      <c r="DG206" t="s">
        <v>3</v>
      </c>
      <c r="DH206" t="s">
        <v>3</v>
      </c>
      <c r="DI206" t="s">
        <v>3</v>
      </c>
      <c r="DJ206" t="s">
        <v>3</v>
      </c>
      <c r="DK206" t="s">
        <v>3</v>
      </c>
      <c r="DL206" t="s">
        <v>3</v>
      </c>
      <c r="DM206" t="s">
        <v>3</v>
      </c>
      <c r="DN206">
        <v>0</v>
      </c>
      <c r="DO206">
        <v>0</v>
      </c>
      <c r="DP206">
        <v>1</v>
      </c>
      <c r="DQ206">
        <v>1</v>
      </c>
      <c r="DU206">
        <v>1013</v>
      </c>
      <c r="DV206" t="s">
        <v>38</v>
      </c>
      <c r="DW206" t="s">
        <v>38</v>
      </c>
      <c r="DX206">
        <v>1</v>
      </c>
      <c r="EE206">
        <v>33798752</v>
      </c>
      <c r="EF206">
        <v>150</v>
      </c>
      <c r="EG206" t="s">
        <v>53</v>
      </c>
      <c r="EH206">
        <v>0</v>
      </c>
      <c r="EI206" t="s">
        <v>3</v>
      </c>
      <c r="EJ206">
        <v>4</v>
      </c>
      <c r="EK206">
        <v>1113</v>
      </c>
      <c r="EL206" t="s">
        <v>54</v>
      </c>
      <c r="EM206" t="s">
        <v>55</v>
      </c>
      <c r="EO206" t="s">
        <v>3</v>
      </c>
      <c r="EQ206">
        <v>131072</v>
      </c>
      <c r="ER206">
        <v>12.61</v>
      </c>
      <c r="ES206">
        <v>0</v>
      </c>
      <c r="ET206">
        <v>12.61</v>
      </c>
      <c r="EU206">
        <v>0</v>
      </c>
      <c r="EV206">
        <v>0</v>
      </c>
      <c r="EW206">
        <v>0</v>
      </c>
      <c r="EX206">
        <v>0</v>
      </c>
      <c r="EY206">
        <v>0</v>
      </c>
      <c r="FQ206">
        <v>0</v>
      </c>
      <c r="FR206">
        <f t="shared" si="204"/>
        <v>0</v>
      </c>
      <c r="FS206">
        <v>0</v>
      </c>
      <c r="FX206">
        <v>0</v>
      </c>
      <c r="FY206">
        <v>0</v>
      </c>
      <c r="GA206" t="s">
        <v>3</v>
      </c>
      <c r="GD206">
        <v>0</v>
      </c>
      <c r="GF206">
        <v>-1630031867</v>
      </c>
      <c r="GG206">
        <v>2</v>
      </c>
      <c r="GH206">
        <v>1</v>
      </c>
      <c r="GI206">
        <v>2</v>
      </c>
      <c r="GJ206">
        <v>0</v>
      </c>
      <c r="GK206">
        <f>ROUND(R206*(R12)/100,2)</f>
        <v>0</v>
      </c>
      <c r="GL206">
        <f t="shared" si="205"/>
        <v>0</v>
      </c>
      <c r="GM206">
        <f t="shared" si="206"/>
        <v>0</v>
      </c>
      <c r="GN206">
        <f t="shared" si="207"/>
        <v>0</v>
      </c>
      <c r="GO206">
        <f t="shared" si="208"/>
        <v>0</v>
      </c>
      <c r="GP206">
        <f t="shared" si="209"/>
        <v>0</v>
      </c>
      <c r="GR206">
        <v>0</v>
      </c>
      <c r="GS206">
        <v>3</v>
      </c>
      <c r="GT206">
        <v>0</v>
      </c>
      <c r="GU206" t="s">
        <v>3</v>
      </c>
      <c r="GV206">
        <f t="shared" si="210"/>
        <v>0</v>
      </c>
      <c r="GW206">
        <v>1</v>
      </c>
      <c r="GX206">
        <f t="shared" si="211"/>
        <v>0</v>
      </c>
      <c r="HA206">
        <v>0</v>
      </c>
      <c r="HB206">
        <v>0</v>
      </c>
      <c r="HC206">
        <f t="shared" si="212"/>
        <v>0</v>
      </c>
      <c r="IK206">
        <v>0</v>
      </c>
    </row>
    <row r="207" spans="1:245" x14ac:dyDescent="0.2">
      <c r="A207">
        <v>17</v>
      </c>
      <c r="B207">
        <v>1</v>
      </c>
      <c r="C207">
        <f>ROW(SmtRes!A107)</f>
        <v>107</v>
      </c>
      <c r="D207">
        <f>ROW(EtalonRes!A108)</f>
        <v>108</v>
      </c>
      <c r="E207" t="s">
        <v>230</v>
      </c>
      <c r="F207" t="s">
        <v>183</v>
      </c>
      <c r="G207" t="s">
        <v>184</v>
      </c>
      <c r="H207" t="s">
        <v>185</v>
      </c>
      <c r="I207">
        <f>ROUND(3243*0.2/100,9)</f>
        <v>6.4859999999999998</v>
      </c>
      <c r="J207">
        <v>0</v>
      </c>
      <c r="O207">
        <f t="shared" si="173"/>
        <v>66708.94</v>
      </c>
      <c r="P207">
        <f t="shared" si="174"/>
        <v>1144.1099999999999</v>
      </c>
      <c r="Q207">
        <f t="shared" si="175"/>
        <v>41462.629999999997</v>
      </c>
      <c r="R207">
        <f t="shared" si="176"/>
        <v>18941.080000000002</v>
      </c>
      <c r="S207">
        <f t="shared" si="177"/>
        <v>24102.2</v>
      </c>
      <c r="T207">
        <f t="shared" si="178"/>
        <v>0</v>
      </c>
      <c r="U207">
        <f t="shared" si="179"/>
        <v>93.398399999999995</v>
      </c>
      <c r="V207">
        <f t="shared" si="180"/>
        <v>0</v>
      </c>
      <c r="W207">
        <f t="shared" si="181"/>
        <v>0</v>
      </c>
      <c r="X207">
        <f t="shared" si="182"/>
        <v>31573.88</v>
      </c>
      <c r="Y207">
        <f t="shared" si="183"/>
        <v>13015.19</v>
      </c>
      <c r="AA207">
        <v>33989672</v>
      </c>
      <c r="AB207">
        <f t="shared" si="184"/>
        <v>863.31</v>
      </c>
      <c r="AC207">
        <f t="shared" si="185"/>
        <v>35.35</v>
      </c>
      <c r="AD207">
        <f t="shared" si="186"/>
        <v>676.47</v>
      </c>
      <c r="AE207">
        <f t="shared" si="187"/>
        <v>119.05</v>
      </c>
      <c r="AF207">
        <f t="shared" si="188"/>
        <v>151.49</v>
      </c>
      <c r="AG207">
        <f t="shared" si="189"/>
        <v>0</v>
      </c>
      <c r="AH207">
        <f t="shared" si="190"/>
        <v>14.4</v>
      </c>
      <c r="AI207">
        <f t="shared" si="191"/>
        <v>0</v>
      </c>
      <c r="AJ207">
        <f t="shared" si="192"/>
        <v>0</v>
      </c>
      <c r="AK207">
        <v>863.31</v>
      </c>
      <c r="AL207">
        <v>35.35</v>
      </c>
      <c r="AM207">
        <v>676.47</v>
      </c>
      <c r="AN207">
        <v>119.05</v>
      </c>
      <c r="AO207">
        <v>151.49</v>
      </c>
      <c r="AP207">
        <v>0</v>
      </c>
      <c r="AQ207">
        <v>14.4</v>
      </c>
      <c r="AR207">
        <v>0</v>
      </c>
      <c r="AS207">
        <v>0</v>
      </c>
      <c r="AT207">
        <v>131</v>
      </c>
      <c r="AU207">
        <v>54</v>
      </c>
      <c r="AV207">
        <v>1</v>
      </c>
      <c r="AW207">
        <v>1</v>
      </c>
      <c r="AZ207">
        <v>1</v>
      </c>
      <c r="BA207">
        <v>24.53</v>
      </c>
      <c r="BB207">
        <v>9.4499999999999993</v>
      </c>
      <c r="BC207">
        <v>4.99</v>
      </c>
      <c r="BD207" t="s">
        <v>3</v>
      </c>
      <c r="BE207" t="s">
        <v>3</v>
      </c>
      <c r="BF207" t="s">
        <v>3</v>
      </c>
      <c r="BG207" t="s">
        <v>3</v>
      </c>
      <c r="BH207">
        <v>0</v>
      </c>
      <c r="BI207">
        <v>1</v>
      </c>
      <c r="BJ207" t="s">
        <v>186</v>
      </c>
      <c r="BM207">
        <v>146</v>
      </c>
      <c r="BN207">
        <v>0</v>
      </c>
      <c r="BO207" t="s">
        <v>183</v>
      </c>
      <c r="BP207">
        <v>1</v>
      </c>
      <c r="BQ207">
        <v>30</v>
      </c>
      <c r="BR207">
        <v>0</v>
      </c>
      <c r="BS207">
        <v>24.53</v>
      </c>
      <c r="BT207">
        <v>1</v>
      </c>
      <c r="BU207">
        <v>1</v>
      </c>
      <c r="BV207">
        <v>1</v>
      </c>
      <c r="BW207">
        <v>1</v>
      </c>
      <c r="BX207">
        <v>1</v>
      </c>
      <c r="BY207" t="s">
        <v>3</v>
      </c>
      <c r="BZ207">
        <v>131</v>
      </c>
      <c r="CA207">
        <v>54</v>
      </c>
      <c r="CE207">
        <v>30</v>
      </c>
      <c r="CF207">
        <v>0</v>
      </c>
      <c r="CG207">
        <v>0</v>
      </c>
      <c r="CM207">
        <v>0</v>
      </c>
      <c r="CN207" t="s">
        <v>3</v>
      </c>
      <c r="CO207">
        <v>0</v>
      </c>
      <c r="CP207">
        <f t="shared" si="193"/>
        <v>66708.94</v>
      </c>
      <c r="CQ207">
        <f t="shared" si="194"/>
        <v>176.4</v>
      </c>
      <c r="CR207">
        <f t="shared" si="195"/>
        <v>6392.64</v>
      </c>
      <c r="CS207">
        <f t="shared" si="196"/>
        <v>2920.3</v>
      </c>
      <c r="CT207">
        <f t="shared" si="197"/>
        <v>3716.05</v>
      </c>
      <c r="CU207">
        <f t="shared" si="198"/>
        <v>0</v>
      </c>
      <c r="CV207">
        <f t="shared" si="199"/>
        <v>14.4</v>
      </c>
      <c r="CW207">
        <f t="shared" si="200"/>
        <v>0</v>
      </c>
      <c r="CX207">
        <f t="shared" si="201"/>
        <v>0</v>
      </c>
      <c r="CY207">
        <f t="shared" si="202"/>
        <v>31573.882000000001</v>
      </c>
      <c r="CZ207">
        <f t="shared" si="203"/>
        <v>13015.188000000002</v>
      </c>
      <c r="DC207" t="s">
        <v>3</v>
      </c>
      <c r="DD207" t="s">
        <v>3</v>
      </c>
      <c r="DE207" t="s">
        <v>3</v>
      </c>
      <c r="DF207" t="s">
        <v>3</v>
      </c>
      <c r="DG207" t="s">
        <v>3</v>
      </c>
      <c r="DH207" t="s">
        <v>3</v>
      </c>
      <c r="DI207" t="s">
        <v>3</v>
      </c>
      <c r="DJ207" t="s">
        <v>3</v>
      </c>
      <c r="DK207" t="s">
        <v>3</v>
      </c>
      <c r="DL207" t="s">
        <v>3</v>
      </c>
      <c r="DM207" t="s">
        <v>3</v>
      </c>
      <c r="DN207">
        <v>161</v>
      </c>
      <c r="DO207">
        <v>107</v>
      </c>
      <c r="DP207">
        <v>1</v>
      </c>
      <c r="DQ207">
        <v>1</v>
      </c>
      <c r="DU207">
        <v>1013</v>
      </c>
      <c r="DV207" t="s">
        <v>185</v>
      </c>
      <c r="DW207" t="s">
        <v>185</v>
      </c>
      <c r="DX207">
        <v>1</v>
      </c>
      <c r="EE207">
        <v>33797785</v>
      </c>
      <c r="EF207">
        <v>30</v>
      </c>
      <c r="EG207" t="s">
        <v>77</v>
      </c>
      <c r="EH207">
        <v>0</v>
      </c>
      <c r="EI207" t="s">
        <v>3</v>
      </c>
      <c r="EJ207">
        <v>1</v>
      </c>
      <c r="EK207">
        <v>146</v>
      </c>
      <c r="EL207" t="s">
        <v>187</v>
      </c>
      <c r="EM207" t="s">
        <v>188</v>
      </c>
      <c r="EO207" t="s">
        <v>3</v>
      </c>
      <c r="EQ207">
        <v>131072</v>
      </c>
      <c r="ER207">
        <v>863.31</v>
      </c>
      <c r="ES207">
        <v>35.35</v>
      </c>
      <c r="ET207">
        <v>676.47</v>
      </c>
      <c r="EU207">
        <v>119.05</v>
      </c>
      <c r="EV207">
        <v>151.49</v>
      </c>
      <c r="EW207">
        <v>14.4</v>
      </c>
      <c r="EX207">
        <v>0</v>
      </c>
      <c r="EY207">
        <v>0</v>
      </c>
      <c r="FQ207">
        <v>0</v>
      </c>
      <c r="FR207">
        <f t="shared" si="204"/>
        <v>0</v>
      </c>
      <c r="FS207">
        <v>0</v>
      </c>
      <c r="FX207">
        <v>161</v>
      </c>
      <c r="FY207">
        <v>107</v>
      </c>
      <c r="GA207" t="s">
        <v>3</v>
      </c>
      <c r="GD207">
        <v>0</v>
      </c>
      <c r="GF207">
        <v>-1939963274</v>
      </c>
      <c r="GG207">
        <v>2</v>
      </c>
      <c r="GH207">
        <v>1</v>
      </c>
      <c r="GI207">
        <v>2</v>
      </c>
      <c r="GJ207">
        <v>0</v>
      </c>
      <c r="GK207">
        <f>ROUND(R207*(R12)/100,2)</f>
        <v>29737.5</v>
      </c>
      <c r="GL207">
        <f t="shared" si="205"/>
        <v>0</v>
      </c>
      <c r="GM207">
        <f t="shared" si="206"/>
        <v>141035.51</v>
      </c>
      <c r="GN207">
        <f t="shared" si="207"/>
        <v>141035.51</v>
      </c>
      <c r="GO207">
        <f t="shared" si="208"/>
        <v>0</v>
      </c>
      <c r="GP207">
        <f t="shared" si="209"/>
        <v>0</v>
      </c>
      <c r="GR207">
        <v>0</v>
      </c>
      <c r="GS207">
        <v>3</v>
      </c>
      <c r="GT207">
        <v>0</v>
      </c>
      <c r="GU207" t="s">
        <v>3</v>
      </c>
      <c r="GV207">
        <f t="shared" si="210"/>
        <v>0</v>
      </c>
      <c r="GW207">
        <v>1</v>
      </c>
      <c r="GX207">
        <f t="shared" si="211"/>
        <v>0</v>
      </c>
      <c r="HA207">
        <v>0</v>
      </c>
      <c r="HB207">
        <v>0</v>
      </c>
      <c r="HC207">
        <f t="shared" si="212"/>
        <v>0</v>
      </c>
      <c r="IK207">
        <v>0</v>
      </c>
    </row>
    <row r="208" spans="1:245" x14ac:dyDescent="0.2">
      <c r="A208">
        <v>18</v>
      </c>
      <c r="B208">
        <v>1</v>
      </c>
      <c r="C208">
        <v>107</v>
      </c>
      <c r="E208" t="s">
        <v>231</v>
      </c>
      <c r="F208" t="s">
        <v>190</v>
      </c>
      <c r="G208" t="s">
        <v>191</v>
      </c>
      <c r="H208" t="s">
        <v>66</v>
      </c>
      <c r="I208">
        <f>I207*J208</f>
        <v>713.46</v>
      </c>
      <c r="J208">
        <v>110.00000000000001</v>
      </c>
      <c r="O208">
        <f t="shared" si="173"/>
        <v>394006.45</v>
      </c>
      <c r="P208">
        <f t="shared" si="174"/>
        <v>394006.45</v>
      </c>
      <c r="Q208">
        <f t="shared" si="175"/>
        <v>0</v>
      </c>
      <c r="R208">
        <f t="shared" si="176"/>
        <v>0</v>
      </c>
      <c r="S208">
        <f t="shared" si="177"/>
        <v>0</v>
      </c>
      <c r="T208">
        <f t="shared" si="178"/>
        <v>0</v>
      </c>
      <c r="U208">
        <f t="shared" si="179"/>
        <v>0</v>
      </c>
      <c r="V208">
        <f t="shared" si="180"/>
        <v>0</v>
      </c>
      <c r="W208">
        <f t="shared" si="181"/>
        <v>0</v>
      </c>
      <c r="X208">
        <f t="shared" si="182"/>
        <v>0</v>
      </c>
      <c r="Y208">
        <f t="shared" si="183"/>
        <v>0</v>
      </c>
      <c r="AA208">
        <v>33989672</v>
      </c>
      <c r="AB208">
        <f t="shared" si="184"/>
        <v>104.99</v>
      </c>
      <c r="AC208">
        <f t="shared" si="185"/>
        <v>104.99</v>
      </c>
      <c r="AD208">
        <f t="shared" si="186"/>
        <v>0</v>
      </c>
      <c r="AE208">
        <f t="shared" si="187"/>
        <v>0</v>
      </c>
      <c r="AF208">
        <f t="shared" si="188"/>
        <v>0</v>
      </c>
      <c r="AG208">
        <f t="shared" si="189"/>
        <v>0</v>
      </c>
      <c r="AH208">
        <f t="shared" si="190"/>
        <v>0</v>
      </c>
      <c r="AI208">
        <f t="shared" si="191"/>
        <v>0</v>
      </c>
      <c r="AJ208">
        <f t="shared" si="192"/>
        <v>0</v>
      </c>
      <c r="AK208">
        <v>104.99</v>
      </c>
      <c r="AL208">
        <v>104.99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1</v>
      </c>
      <c r="AW208">
        <v>1</v>
      </c>
      <c r="AZ208">
        <v>1</v>
      </c>
      <c r="BA208">
        <v>1</v>
      </c>
      <c r="BB208">
        <v>1</v>
      </c>
      <c r="BC208">
        <v>5.26</v>
      </c>
      <c r="BD208" t="s">
        <v>3</v>
      </c>
      <c r="BE208" t="s">
        <v>3</v>
      </c>
      <c r="BF208" t="s">
        <v>3</v>
      </c>
      <c r="BG208" t="s">
        <v>3</v>
      </c>
      <c r="BH208">
        <v>3</v>
      </c>
      <c r="BI208">
        <v>1</v>
      </c>
      <c r="BJ208" t="s">
        <v>192</v>
      </c>
      <c r="BM208">
        <v>146</v>
      </c>
      <c r="BN208">
        <v>0</v>
      </c>
      <c r="BO208" t="s">
        <v>190</v>
      </c>
      <c r="BP208">
        <v>1</v>
      </c>
      <c r="BQ208">
        <v>30</v>
      </c>
      <c r="BR208">
        <v>0</v>
      </c>
      <c r="BS208">
        <v>1</v>
      </c>
      <c r="BT208">
        <v>1</v>
      </c>
      <c r="BU208">
        <v>1</v>
      </c>
      <c r="BV208">
        <v>1</v>
      </c>
      <c r="BW208">
        <v>1</v>
      </c>
      <c r="BX208">
        <v>1</v>
      </c>
      <c r="BY208" t="s">
        <v>3</v>
      </c>
      <c r="BZ208">
        <v>0</v>
      </c>
      <c r="CA208">
        <v>0</v>
      </c>
      <c r="CE208">
        <v>30</v>
      </c>
      <c r="CF208">
        <v>0</v>
      </c>
      <c r="CG208">
        <v>0</v>
      </c>
      <c r="CM208">
        <v>0</v>
      </c>
      <c r="CN208" t="s">
        <v>3</v>
      </c>
      <c r="CO208">
        <v>0</v>
      </c>
      <c r="CP208">
        <f t="shared" si="193"/>
        <v>394006.45</v>
      </c>
      <c r="CQ208">
        <f t="shared" si="194"/>
        <v>552.25</v>
      </c>
      <c r="CR208">
        <f t="shared" si="195"/>
        <v>0</v>
      </c>
      <c r="CS208">
        <f t="shared" si="196"/>
        <v>0</v>
      </c>
      <c r="CT208">
        <f t="shared" si="197"/>
        <v>0</v>
      </c>
      <c r="CU208">
        <f t="shared" si="198"/>
        <v>0</v>
      </c>
      <c r="CV208">
        <f t="shared" si="199"/>
        <v>0</v>
      </c>
      <c r="CW208">
        <f t="shared" si="200"/>
        <v>0</v>
      </c>
      <c r="CX208">
        <f t="shared" si="201"/>
        <v>0</v>
      </c>
      <c r="CY208">
        <f t="shared" si="202"/>
        <v>0</v>
      </c>
      <c r="CZ208">
        <f t="shared" si="203"/>
        <v>0</v>
      </c>
      <c r="DC208" t="s">
        <v>3</v>
      </c>
      <c r="DD208" t="s">
        <v>3</v>
      </c>
      <c r="DE208" t="s">
        <v>3</v>
      </c>
      <c r="DF208" t="s">
        <v>3</v>
      </c>
      <c r="DG208" t="s">
        <v>3</v>
      </c>
      <c r="DH208" t="s">
        <v>3</v>
      </c>
      <c r="DI208" t="s">
        <v>3</v>
      </c>
      <c r="DJ208" t="s">
        <v>3</v>
      </c>
      <c r="DK208" t="s">
        <v>3</v>
      </c>
      <c r="DL208" t="s">
        <v>3</v>
      </c>
      <c r="DM208" t="s">
        <v>3</v>
      </c>
      <c r="DN208">
        <v>161</v>
      </c>
      <c r="DO208">
        <v>107</v>
      </c>
      <c r="DP208">
        <v>1</v>
      </c>
      <c r="DQ208">
        <v>1</v>
      </c>
      <c r="DU208">
        <v>1007</v>
      </c>
      <c r="DV208" t="s">
        <v>66</v>
      </c>
      <c r="DW208" t="s">
        <v>66</v>
      </c>
      <c r="DX208">
        <v>1</v>
      </c>
      <c r="EE208">
        <v>33797785</v>
      </c>
      <c r="EF208">
        <v>30</v>
      </c>
      <c r="EG208" t="s">
        <v>77</v>
      </c>
      <c r="EH208">
        <v>0</v>
      </c>
      <c r="EI208" t="s">
        <v>3</v>
      </c>
      <c r="EJ208">
        <v>1</v>
      </c>
      <c r="EK208">
        <v>146</v>
      </c>
      <c r="EL208" t="s">
        <v>187</v>
      </c>
      <c r="EM208" t="s">
        <v>188</v>
      </c>
      <c r="EO208" t="s">
        <v>3</v>
      </c>
      <c r="EQ208">
        <v>0</v>
      </c>
      <c r="ER208">
        <v>104.99</v>
      </c>
      <c r="ES208">
        <v>104.99</v>
      </c>
      <c r="ET208">
        <v>0</v>
      </c>
      <c r="EU208">
        <v>0</v>
      </c>
      <c r="EV208">
        <v>0</v>
      </c>
      <c r="EW208">
        <v>0</v>
      </c>
      <c r="EX208">
        <v>0</v>
      </c>
      <c r="FQ208">
        <v>0</v>
      </c>
      <c r="FR208">
        <f t="shared" si="204"/>
        <v>0</v>
      </c>
      <c r="FS208">
        <v>0</v>
      </c>
      <c r="FX208">
        <v>161</v>
      </c>
      <c r="FY208">
        <v>107</v>
      </c>
      <c r="GA208" t="s">
        <v>3</v>
      </c>
      <c r="GD208">
        <v>0</v>
      </c>
      <c r="GF208">
        <v>2069056849</v>
      </c>
      <c r="GG208">
        <v>2</v>
      </c>
      <c r="GH208">
        <v>1</v>
      </c>
      <c r="GI208">
        <v>2</v>
      </c>
      <c r="GJ208">
        <v>0</v>
      </c>
      <c r="GK208">
        <f>ROUND(R208*(R12)/100,2)</f>
        <v>0</v>
      </c>
      <c r="GL208">
        <f t="shared" si="205"/>
        <v>0</v>
      </c>
      <c r="GM208">
        <f t="shared" si="206"/>
        <v>394006.45</v>
      </c>
      <c r="GN208">
        <f t="shared" si="207"/>
        <v>394006.45</v>
      </c>
      <c r="GO208">
        <f t="shared" si="208"/>
        <v>0</v>
      </c>
      <c r="GP208">
        <f t="shared" si="209"/>
        <v>0</v>
      </c>
      <c r="GR208">
        <v>0</v>
      </c>
      <c r="GS208">
        <v>3</v>
      </c>
      <c r="GT208">
        <v>0</v>
      </c>
      <c r="GU208" t="s">
        <v>3</v>
      </c>
      <c r="GV208">
        <f t="shared" si="210"/>
        <v>0</v>
      </c>
      <c r="GW208">
        <v>1</v>
      </c>
      <c r="GX208">
        <f t="shared" si="211"/>
        <v>0</v>
      </c>
      <c r="HA208">
        <v>0</v>
      </c>
      <c r="HB208">
        <v>0</v>
      </c>
      <c r="HC208">
        <f t="shared" si="212"/>
        <v>0</v>
      </c>
      <c r="IK208">
        <v>0</v>
      </c>
    </row>
    <row r="209" spans="1:245" x14ac:dyDescent="0.2">
      <c r="A209">
        <v>17</v>
      </c>
      <c r="B209">
        <v>1</v>
      </c>
      <c r="C209">
        <f>ROW(SmtRes!A116)</f>
        <v>116</v>
      </c>
      <c r="D209">
        <f>ROW(EtalonRes!A117)</f>
        <v>117</v>
      </c>
      <c r="E209" t="s">
        <v>232</v>
      </c>
      <c r="F209" t="s">
        <v>233</v>
      </c>
      <c r="G209" t="s">
        <v>234</v>
      </c>
      <c r="H209" t="s">
        <v>185</v>
      </c>
      <c r="I209">
        <f>ROUND(3243*0.15/100,9)</f>
        <v>4.8644999999999996</v>
      </c>
      <c r="J209">
        <v>0</v>
      </c>
      <c r="O209">
        <f t="shared" si="173"/>
        <v>152939.20000000001</v>
      </c>
      <c r="P209">
        <f t="shared" si="174"/>
        <v>1201.29</v>
      </c>
      <c r="Q209">
        <f t="shared" si="175"/>
        <v>124623.43</v>
      </c>
      <c r="R209">
        <f t="shared" si="176"/>
        <v>75438.09</v>
      </c>
      <c r="S209">
        <f t="shared" si="177"/>
        <v>27114.48</v>
      </c>
      <c r="T209">
        <f t="shared" si="178"/>
        <v>0</v>
      </c>
      <c r="U209">
        <f t="shared" si="179"/>
        <v>105.0732</v>
      </c>
      <c r="V209">
        <f t="shared" si="180"/>
        <v>0</v>
      </c>
      <c r="W209">
        <f t="shared" si="181"/>
        <v>0</v>
      </c>
      <c r="X209">
        <f t="shared" si="182"/>
        <v>35519.97</v>
      </c>
      <c r="Y209">
        <f t="shared" si="183"/>
        <v>14641.82</v>
      </c>
      <c r="AA209">
        <v>33989672</v>
      </c>
      <c r="AB209">
        <f t="shared" si="184"/>
        <v>3301.39</v>
      </c>
      <c r="AC209">
        <f t="shared" si="185"/>
        <v>49.49</v>
      </c>
      <c r="AD209">
        <f t="shared" si="186"/>
        <v>3024.67</v>
      </c>
      <c r="AE209">
        <f t="shared" si="187"/>
        <v>632.20000000000005</v>
      </c>
      <c r="AF209">
        <f t="shared" si="188"/>
        <v>227.23</v>
      </c>
      <c r="AG209">
        <f t="shared" si="189"/>
        <v>0</v>
      </c>
      <c r="AH209">
        <f t="shared" si="190"/>
        <v>21.6</v>
      </c>
      <c r="AI209">
        <f t="shared" si="191"/>
        <v>0</v>
      </c>
      <c r="AJ209">
        <f t="shared" si="192"/>
        <v>0</v>
      </c>
      <c r="AK209">
        <v>3301.39</v>
      </c>
      <c r="AL209">
        <v>49.49</v>
      </c>
      <c r="AM209">
        <v>3024.67</v>
      </c>
      <c r="AN209">
        <v>632.20000000000005</v>
      </c>
      <c r="AO209">
        <v>227.23</v>
      </c>
      <c r="AP209">
        <v>0</v>
      </c>
      <c r="AQ209">
        <v>21.6</v>
      </c>
      <c r="AR209">
        <v>0</v>
      </c>
      <c r="AS209">
        <v>0</v>
      </c>
      <c r="AT209">
        <v>131</v>
      </c>
      <c r="AU209">
        <v>54</v>
      </c>
      <c r="AV209">
        <v>1</v>
      </c>
      <c r="AW209">
        <v>1</v>
      </c>
      <c r="AZ209">
        <v>1</v>
      </c>
      <c r="BA209">
        <v>24.53</v>
      </c>
      <c r="BB209">
        <v>8.4700000000000006</v>
      </c>
      <c r="BC209">
        <v>4.99</v>
      </c>
      <c r="BD209" t="s">
        <v>3</v>
      </c>
      <c r="BE209" t="s">
        <v>3</v>
      </c>
      <c r="BF209" t="s">
        <v>3</v>
      </c>
      <c r="BG209" t="s">
        <v>3</v>
      </c>
      <c r="BH209">
        <v>0</v>
      </c>
      <c r="BI209">
        <v>1</v>
      </c>
      <c r="BJ209" t="s">
        <v>235</v>
      </c>
      <c r="BM209">
        <v>146</v>
      </c>
      <c r="BN209">
        <v>0</v>
      </c>
      <c r="BO209" t="s">
        <v>233</v>
      </c>
      <c r="BP209">
        <v>1</v>
      </c>
      <c r="BQ209">
        <v>30</v>
      </c>
      <c r="BR209">
        <v>0</v>
      </c>
      <c r="BS209">
        <v>24.53</v>
      </c>
      <c r="BT209">
        <v>1</v>
      </c>
      <c r="BU209">
        <v>1</v>
      </c>
      <c r="BV209">
        <v>1</v>
      </c>
      <c r="BW209">
        <v>1</v>
      </c>
      <c r="BX209">
        <v>1</v>
      </c>
      <c r="BY209" t="s">
        <v>3</v>
      </c>
      <c r="BZ209">
        <v>131</v>
      </c>
      <c r="CA209">
        <v>54</v>
      </c>
      <c r="CE209">
        <v>30</v>
      </c>
      <c r="CF209">
        <v>0</v>
      </c>
      <c r="CG209">
        <v>0</v>
      </c>
      <c r="CM209">
        <v>0</v>
      </c>
      <c r="CN209" t="s">
        <v>3</v>
      </c>
      <c r="CO209">
        <v>0</v>
      </c>
      <c r="CP209">
        <f t="shared" si="193"/>
        <v>152939.19999999998</v>
      </c>
      <c r="CQ209">
        <f t="shared" si="194"/>
        <v>246.96</v>
      </c>
      <c r="CR209">
        <f t="shared" si="195"/>
        <v>25618.95</v>
      </c>
      <c r="CS209">
        <f t="shared" si="196"/>
        <v>15507.87</v>
      </c>
      <c r="CT209">
        <f t="shared" si="197"/>
        <v>5573.95</v>
      </c>
      <c r="CU209">
        <f t="shared" si="198"/>
        <v>0</v>
      </c>
      <c r="CV209">
        <f t="shared" si="199"/>
        <v>21.6</v>
      </c>
      <c r="CW209">
        <f t="shared" si="200"/>
        <v>0</v>
      </c>
      <c r="CX209">
        <f t="shared" si="201"/>
        <v>0</v>
      </c>
      <c r="CY209">
        <f t="shared" si="202"/>
        <v>35519.968800000002</v>
      </c>
      <c r="CZ209">
        <f t="shared" si="203"/>
        <v>14641.8192</v>
      </c>
      <c r="DC209" t="s">
        <v>3</v>
      </c>
      <c r="DD209" t="s">
        <v>3</v>
      </c>
      <c r="DE209" t="s">
        <v>3</v>
      </c>
      <c r="DF209" t="s">
        <v>3</v>
      </c>
      <c r="DG209" t="s">
        <v>3</v>
      </c>
      <c r="DH209" t="s">
        <v>3</v>
      </c>
      <c r="DI209" t="s">
        <v>3</v>
      </c>
      <c r="DJ209" t="s">
        <v>3</v>
      </c>
      <c r="DK209" t="s">
        <v>3</v>
      </c>
      <c r="DL209" t="s">
        <v>3</v>
      </c>
      <c r="DM209" t="s">
        <v>3</v>
      </c>
      <c r="DN209">
        <v>161</v>
      </c>
      <c r="DO209">
        <v>107</v>
      </c>
      <c r="DP209">
        <v>1</v>
      </c>
      <c r="DQ209">
        <v>1</v>
      </c>
      <c r="DU209">
        <v>1013</v>
      </c>
      <c r="DV209" t="s">
        <v>185</v>
      </c>
      <c r="DW209" t="s">
        <v>185</v>
      </c>
      <c r="DX209">
        <v>1</v>
      </c>
      <c r="EE209">
        <v>33797785</v>
      </c>
      <c r="EF209">
        <v>30</v>
      </c>
      <c r="EG209" t="s">
        <v>77</v>
      </c>
      <c r="EH209">
        <v>0</v>
      </c>
      <c r="EI209" t="s">
        <v>3</v>
      </c>
      <c r="EJ209">
        <v>1</v>
      </c>
      <c r="EK209">
        <v>146</v>
      </c>
      <c r="EL209" t="s">
        <v>187</v>
      </c>
      <c r="EM209" t="s">
        <v>188</v>
      </c>
      <c r="EO209" t="s">
        <v>3</v>
      </c>
      <c r="EQ209">
        <v>131072</v>
      </c>
      <c r="ER209">
        <v>3301.39</v>
      </c>
      <c r="ES209">
        <v>49.49</v>
      </c>
      <c r="ET209">
        <v>3024.67</v>
      </c>
      <c r="EU209">
        <v>632.20000000000005</v>
      </c>
      <c r="EV209">
        <v>227.23</v>
      </c>
      <c r="EW209">
        <v>21.6</v>
      </c>
      <c r="EX209">
        <v>0</v>
      </c>
      <c r="EY209">
        <v>0</v>
      </c>
      <c r="FQ209">
        <v>0</v>
      </c>
      <c r="FR209">
        <f t="shared" si="204"/>
        <v>0</v>
      </c>
      <c r="FS209">
        <v>0</v>
      </c>
      <c r="FX209">
        <v>161</v>
      </c>
      <c r="FY209">
        <v>107</v>
      </c>
      <c r="GA209" t="s">
        <v>3</v>
      </c>
      <c r="GD209">
        <v>0</v>
      </c>
      <c r="GF209">
        <v>-668565501</v>
      </c>
      <c r="GG209">
        <v>2</v>
      </c>
      <c r="GH209">
        <v>1</v>
      </c>
      <c r="GI209">
        <v>2</v>
      </c>
      <c r="GJ209">
        <v>0</v>
      </c>
      <c r="GK209">
        <f>ROUND(R209*(R12)/100,2)</f>
        <v>118437.8</v>
      </c>
      <c r="GL209">
        <f t="shared" si="205"/>
        <v>0</v>
      </c>
      <c r="GM209">
        <f t="shared" si="206"/>
        <v>321538.78999999998</v>
      </c>
      <c r="GN209">
        <f t="shared" si="207"/>
        <v>321538.78999999998</v>
      </c>
      <c r="GO209">
        <f t="shared" si="208"/>
        <v>0</v>
      </c>
      <c r="GP209">
        <f t="shared" si="209"/>
        <v>0</v>
      </c>
      <c r="GR209">
        <v>0</v>
      </c>
      <c r="GS209">
        <v>3</v>
      </c>
      <c r="GT209">
        <v>0</v>
      </c>
      <c r="GU209" t="s">
        <v>3</v>
      </c>
      <c r="GV209">
        <f t="shared" si="210"/>
        <v>0</v>
      </c>
      <c r="GW209">
        <v>1</v>
      </c>
      <c r="GX209">
        <f t="shared" si="211"/>
        <v>0</v>
      </c>
      <c r="HA209">
        <v>0</v>
      </c>
      <c r="HB209">
        <v>0</v>
      </c>
      <c r="HC209">
        <f t="shared" si="212"/>
        <v>0</v>
      </c>
      <c r="IK209">
        <v>0</v>
      </c>
    </row>
    <row r="210" spans="1:245" x14ac:dyDescent="0.2">
      <c r="A210">
        <v>18</v>
      </c>
      <c r="B210">
        <v>1</v>
      </c>
      <c r="C210">
        <v>116</v>
      </c>
      <c r="E210" t="s">
        <v>236</v>
      </c>
      <c r="F210" t="s">
        <v>64</v>
      </c>
      <c r="G210" t="s">
        <v>65</v>
      </c>
      <c r="H210" t="s">
        <v>66</v>
      </c>
      <c r="I210">
        <f>I209*J210</f>
        <v>612.92700000000002</v>
      </c>
      <c r="J210">
        <v>126.00000000000001</v>
      </c>
      <c r="O210">
        <f t="shared" si="173"/>
        <v>1145516.76</v>
      </c>
      <c r="P210">
        <f t="shared" si="174"/>
        <v>1145516.76</v>
      </c>
      <c r="Q210">
        <f t="shared" si="175"/>
        <v>0</v>
      </c>
      <c r="R210">
        <f t="shared" si="176"/>
        <v>0</v>
      </c>
      <c r="S210">
        <f t="shared" si="177"/>
        <v>0</v>
      </c>
      <c r="T210">
        <f t="shared" si="178"/>
        <v>0</v>
      </c>
      <c r="U210">
        <f t="shared" si="179"/>
        <v>0</v>
      </c>
      <c r="V210">
        <f t="shared" si="180"/>
        <v>0</v>
      </c>
      <c r="W210">
        <f t="shared" si="181"/>
        <v>0</v>
      </c>
      <c r="X210">
        <f t="shared" si="182"/>
        <v>0</v>
      </c>
      <c r="Y210">
        <f t="shared" si="183"/>
        <v>0</v>
      </c>
      <c r="AA210">
        <v>33989672</v>
      </c>
      <c r="AB210">
        <f t="shared" si="184"/>
        <v>173.37</v>
      </c>
      <c r="AC210">
        <f t="shared" si="185"/>
        <v>173.37</v>
      </c>
      <c r="AD210">
        <f t="shared" si="186"/>
        <v>0</v>
      </c>
      <c r="AE210">
        <f t="shared" si="187"/>
        <v>0</v>
      </c>
      <c r="AF210">
        <f t="shared" si="188"/>
        <v>0</v>
      </c>
      <c r="AG210">
        <f t="shared" si="189"/>
        <v>0</v>
      </c>
      <c r="AH210">
        <f t="shared" si="190"/>
        <v>0</v>
      </c>
      <c r="AI210">
        <f t="shared" si="191"/>
        <v>0</v>
      </c>
      <c r="AJ210">
        <f t="shared" si="192"/>
        <v>0</v>
      </c>
      <c r="AK210">
        <v>173.37</v>
      </c>
      <c r="AL210">
        <v>173.37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1</v>
      </c>
      <c r="AW210">
        <v>1</v>
      </c>
      <c r="AZ210">
        <v>1</v>
      </c>
      <c r="BA210">
        <v>1</v>
      </c>
      <c r="BB210">
        <v>1</v>
      </c>
      <c r="BC210">
        <v>10.78</v>
      </c>
      <c r="BD210" t="s">
        <v>3</v>
      </c>
      <c r="BE210" t="s">
        <v>3</v>
      </c>
      <c r="BF210" t="s">
        <v>3</v>
      </c>
      <c r="BG210" t="s">
        <v>3</v>
      </c>
      <c r="BH210">
        <v>3</v>
      </c>
      <c r="BI210">
        <v>1</v>
      </c>
      <c r="BJ210" t="s">
        <v>67</v>
      </c>
      <c r="BM210">
        <v>146</v>
      </c>
      <c r="BN210">
        <v>0</v>
      </c>
      <c r="BO210" t="s">
        <v>64</v>
      </c>
      <c r="BP210">
        <v>1</v>
      </c>
      <c r="BQ210">
        <v>30</v>
      </c>
      <c r="BR210">
        <v>0</v>
      </c>
      <c r="BS210">
        <v>1</v>
      </c>
      <c r="BT210">
        <v>1</v>
      </c>
      <c r="BU210">
        <v>1</v>
      </c>
      <c r="BV210">
        <v>1</v>
      </c>
      <c r="BW210">
        <v>1</v>
      </c>
      <c r="BX210">
        <v>1</v>
      </c>
      <c r="BY210" t="s">
        <v>3</v>
      </c>
      <c r="BZ210">
        <v>0</v>
      </c>
      <c r="CA210">
        <v>0</v>
      </c>
      <c r="CE210">
        <v>30</v>
      </c>
      <c r="CF210">
        <v>0</v>
      </c>
      <c r="CG210">
        <v>0</v>
      </c>
      <c r="CM210">
        <v>0</v>
      </c>
      <c r="CN210" t="s">
        <v>3</v>
      </c>
      <c r="CO210">
        <v>0</v>
      </c>
      <c r="CP210">
        <f t="shared" si="193"/>
        <v>1145516.76</v>
      </c>
      <c r="CQ210">
        <f t="shared" si="194"/>
        <v>1868.93</v>
      </c>
      <c r="CR210">
        <f t="shared" si="195"/>
        <v>0</v>
      </c>
      <c r="CS210">
        <f t="shared" si="196"/>
        <v>0</v>
      </c>
      <c r="CT210">
        <f t="shared" si="197"/>
        <v>0</v>
      </c>
      <c r="CU210">
        <f t="shared" si="198"/>
        <v>0</v>
      </c>
      <c r="CV210">
        <f t="shared" si="199"/>
        <v>0</v>
      </c>
      <c r="CW210">
        <f t="shared" si="200"/>
        <v>0</v>
      </c>
      <c r="CX210">
        <f t="shared" si="201"/>
        <v>0</v>
      </c>
      <c r="CY210">
        <f t="shared" si="202"/>
        <v>0</v>
      </c>
      <c r="CZ210">
        <f t="shared" si="203"/>
        <v>0</v>
      </c>
      <c r="DC210" t="s">
        <v>3</v>
      </c>
      <c r="DD210" t="s">
        <v>3</v>
      </c>
      <c r="DE210" t="s">
        <v>3</v>
      </c>
      <c r="DF210" t="s">
        <v>3</v>
      </c>
      <c r="DG210" t="s">
        <v>3</v>
      </c>
      <c r="DH210" t="s">
        <v>3</v>
      </c>
      <c r="DI210" t="s">
        <v>3</v>
      </c>
      <c r="DJ210" t="s">
        <v>3</v>
      </c>
      <c r="DK210" t="s">
        <v>3</v>
      </c>
      <c r="DL210" t="s">
        <v>3</v>
      </c>
      <c r="DM210" t="s">
        <v>3</v>
      </c>
      <c r="DN210">
        <v>161</v>
      </c>
      <c r="DO210">
        <v>107</v>
      </c>
      <c r="DP210">
        <v>1</v>
      </c>
      <c r="DQ210">
        <v>1</v>
      </c>
      <c r="DU210">
        <v>1007</v>
      </c>
      <c r="DV210" t="s">
        <v>66</v>
      </c>
      <c r="DW210" t="s">
        <v>66</v>
      </c>
      <c r="DX210">
        <v>1</v>
      </c>
      <c r="EE210">
        <v>33797785</v>
      </c>
      <c r="EF210">
        <v>30</v>
      </c>
      <c r="EG210" t="s">
        <v>77</v>
      </c>
      <c r="EH210">
        <v>0</v>
      </c>
      <c r="EI210" t="s">
        <v>3</v>
      </c>
      <c r="EJ210">
        <v>1</v>
      </c>
      <c r="EK210">
        <v>146</v>
      </c>
      <c r="EL210" t="s">
        <v>187</v>
      </c>
      <c r="EM210" t="s">
        <v>188</v>
      </c>
      <c r="EO210" t="s">
        <v>3</v>
      </c>
      <c r="EQ210">
        <v>0</v>
      </c>
      <c r="ER210">
        <v>173.37</v>
      </c>
      <c r="ES210">
        <v>173.37</v>
      </c>
      <c r="ET210">
        <v>0</v>
      </c>
      <c r="EU210">
        <v>0</v>
      </c>
      <c r="EV210">
        <v>0</v>
      </c>
      <c r="EW210">
        <v>0</v>
      </c>
      <c r="EX210">
        <v>0</v>
      </c>
      <c r="FQ210">
        <v>0</v>
      </c>
      <c r="FR210">
        <f t="shared" si="204"/>
        <v>0</v>
      </c>
      <c r="FS210">
        <v>0</v>
      </c>
      <c r="FX210">
        <v>161</v>
      </c>
      <c r="FY210">
        <v>107</v>
      </c>
      <c r="GA210" t="s">
        <v>3</v>
      </c>
      <c r="GD210">
        <v>0</v>
      </c>
      <c r="GF210">
        <v>-820942871</v>
      </c>
      <c r="GG210">
        <v>2</v>
      </c>
      <c r="GH210">
        <v>1</v>
      </c>
      <c r="GI210">
        <v>2</v>
      </c>
      <c r="GJ210">
        <v>0</v>
      </c>
      <c r="GK210">
        <f>ROUND(R210*(R12)/100,2)</f>
        <v>0</v>
      </c>
      <c r="GL210">
        <f t="shared" si="205"/>
        <v>0</v>
      </c>
      <c r="GM210">
        <f t="shared" si="206"/>
        <v>1145516.76</v>
      </c>
      <c r="GN210">
        <f t="shared" si="207"/>
        <v>1145516.76</v>
      </c>
      <c r="GO210">
        <f t="shared" si="208"/>
        <v>0</v>
      </c>
      <c r="GP210">
        <f t="shared" si="209"/>
        <v>0</v>
      </c>
      <c r="GR210">
        <v>0</v>
      </c>
      <c r="GS210">
        <v>3</v>
      </c>
      <c r="GT210">
        <v>0</v>
      </c>
      <c r="GU210" t="s">
        <v>3</v>
      </c>
      <c r="GV210">
        <f t="shared" si="210"/>
        <v>0</v>
      </c>
      <c r="GW210">
        <v>1</v>
      </c>
      <c r="GX210">
        <f t="shared" si="211"/>
        <v>0</v>
      </c>
      <c r="HA210">
        <v>0</v>
      </c>
      <c r="HB210">
        <v>0</v>
      </c>
      <c r="HC210">
        <f t="shared" si="212"/>
        <v>0</v>
      </c>
      <c r="IK210">
        <v>0</v>
      </c>
    </row>
    <row r="211" spans="1:245" x14ac:dyDescent="0.2">
      <c r="A211">
        <v>17</v>
      </c>
      <c r="B211">
        <v>1</v>
      </c>
      <c r="C211">
        <f>ROW(SmtRes!A120)</f>
        <v>120</v>
      </c>
      <c r="D211">
        <f>ROW(EtalonRes!A121)</f>
        <v>121</v>
      </c>
      <c r="E211" t="s">
        <v>237</v>
      </c>
      <c r="F211" t="s">
        <v>161</v>
      </c>
      <c r="G211" t="s">
        <v>162</v>
      </c>
      <c r="H211" t="s">
        <v>75</v>
      </c>
      <c r="I211">
        <f>ROUND(3243/100,5)</f>
        <v>32.43</v>
      </c>
      <c r="J211">
        <v>0</v>
      </c>
      <c r="O211">
        <f t="shared" si="173"/>
        <v>144046.87</v>
      </c>
      <c r="P211">
        <f t="shared" si="174"/>
        <v>42245.99</v>
      </c>
      <c r="Q211">
        <f t="shared" si="175"/>
        <v>16053.08</v>
      </c>
      <c r="R211">
        <f t="shared" si="176"/>
        <v>12903.03</v>
      </c>
      <c r="S211">
        <f t="shared" si="177"/>
        <v>85747.8</v>
      </c>
      <c r="T211">
        <f t="shared" si="178"/>
        <v>0</v>
      </c>
      <c r="U211">
        <f t="shared" si="179"/>
        <v>290.57280000000003</v>
      </c>
      <c r="V211">
        <f t="shared" si="180"/>
        <v>0</v>
      </c>
      <c r="W211">
        <f t="shared" si="181"/>
        <v>0</v>
      </c>
      <c r="X211">
        <f t="shared" si="182"/>
        <v>90892.67</v>
      </c>
      <c r="Y211">
        <f t="shared" si="183"/>
        <v>35156.6</v>
      </c>
      <c r="AA211">
        <v>33989672</v>
      </c>
      <c r="AB211">
        <f t="shared" si="184"/>
        <v>378.12</v>
      </c>
      <c r="AC211">
        <f t="shared" si="185"/>
        <v>210.11</v>
      </c>
      <c r="AD211">
        <f t="shared" si="186"/>
        <v>60.22</v>
      </c>
      <c r="AE211">
        <f t="shared" si="187"/>
        <v>16.22</v>
      </c>
      <c r="AF211">
        <f t="shared" si="188"/>
        <v>107.79</v>
      </c>
      <c r="AG211">
        <f t="shared" si="189"/>
        <v>0</v>
      </c>
      <c r="AH211">
        <f t="shared" si="190"/>
        <v>8.9600000000000009</v>
      </c>
      <c r="AI211">
        <f t="shared" si="191"/>
        <v>0</v>
      </c>
      <c r="AJ211">
        <f t="shared" si="192"/>
        <v>0</v>
      </c>
      <c r="AK211">
        <v>378.12</v>
      </c>
      <c r="AL211">
        <v>210.11</v>
      </c>
      <c r="AM211">
        <v>60.22</v>
      </c>
      <c r="AN211">
        <v>16.22</v>
      </c>
      <c r="AO211">
        <v>107.79</v>
      </c>
      <c r="AP211">
        <v>0</v>
      </c>
      <c r="AQ211">
        <v>8.9600000000000009</v>
      </c>
      <c r="AR211">
        <v>0</v>
      </c>
      <c r="AS211">
        <v>0</v>
      </c>
      <c r="AT211">
        <v>106</v>
      </c>
      <c r="AU211">
        <v>41</v>
      </c>
      <c r="AV211">
        <v>1</v>
      </c>
      <c r="AW211">
        <v>1</v>
      </c>
      <c r="AZ211">
        <v>1</v>
      </c>
      <c r="BA211">
        <v>24.53</v>
      </c>
      <c r="BB211">
        <v>8.2200000000000006</v>
      </c>
      <c r="BC211">
        <v>6.2</v>
      </c>
      <c r="BD211" t="s">
        <v>3</v>
      </c>
      <c r="BE211" t="s">
        <v>3</v>
      </c>
      <c r="BF211" t="s">
        <v>3</v>
      </c>
      <c r="BG211" t="s">
        <v>3</v>
      </c>
      <c r="BH211">
        <v>0</v>
      </c>
      <c r="BI211">
        <v>1</v>
      </c>
      <c r="BJ211" t="s">
        <v>163</v>
      </c>
      <c r="BM211">
        <v>159</v>
      </c>
      <c r="BN211">
        <v>0</v>
      </c>
      <c r="BO211" t="s">
        <v>161</v>
      </c>
      <c r="BP211">
        <v>1</v>
      </c>
      <c r="BQ211">
        <v>30</v>
      </c>
      <c r="BR211">
        <v>0</v>
      </c>
      <c r="BS211">
        <v>24.53</v>
      </c>
      <c r="BT211">
        <v>1</v>
      </c>
      <c r="BU211">
        <v>1</v>
      </c>
      <c r="BV211">
        <v>1</v>
      </c>
      <c r="BW211">
        <v>1</v>
      </c>
      <c r="BX211">
        <v>1</v>
      </c>
      <c r="BY211" t="s">
        <v>3</v>
      </c>
      <c r="BZ211">
        <v>106</v>
      </c>
      <c r="CA211">
        <v>41</v>
      </c>
      <c r="CE211">
        <v>30</v>
      </c>
      <c r="CF211">
        <v>0</v>
      </c>
      <c r="CG211">
        <v>0</v>
      </c>
      <c r="CM211">
        <v>0</v>
      </c>
      <c r="CN211" t="s">
        <v>3</v>
      </c>
      <c r="CO211">
        <v>0</v>
      </c>
      <c r="CP211">
        <f t="shared" si="193"/>
        <v>144046.87</v>
      </c>
      <c r="CQ211">
        <f t="shared" si="194"/>
        <v>1302.68</v>
      </c>
      <c r="CR211">
        <f t="shared" si="195"/>
        <v>495.01</v>
      </c>
      <c r="CS211">
        <f t="shared" si="196"/>
        <v>397.88</v>
      </c>
      <c r="CT211">
        <f t="shared" si="197"/>
        <v>2644.09</v>
      </c>
      <c r="CU211">
        <f t="shared" si="198"/>
        <v>0</v>
      </c>
      <c r="CV211">
        <f t="shared" si="199"/>
        <v>8.9600000000000009</v>
      </c>
      <c r="CW211">
        <f t="shared" si="200"/>
        <v>0</v>
      </c>
      <c r="CX211">
        <f t="shared" si="201"/>
        <v>0</v>
      </c>
      <c r="CY211">
        <f t="shared" si="202"/>
        <v>90892.668000000005</v>
      </c>
      <c r="CZ211">
        <f t="shared" si="203"/>
        <v>35156.597999999998</v>
      </c>
      <c r="DC211" t="s">
        <v>3</v>
      </c>
      <c r="DD211" t="s">
        <v>3</v>
      </c>
      <c r="DE211" t="s">
        <v>3</v>
      </c>
      <c r="DF211" t="s">
        <v>3</v>
      </c>
      <c r="DG211" t="s">
        <v>3</v>
      </c>
      <c r="DH211" t="s">
        <v>3</v>
      </c>
      <c r="DI211" t="s">
        <v>3</v>
      </c>
      <c r="DJ211" t="s">
        <v>3</v>
      </c>
      <c r="DK211" t="s">
        <v>3</v>
      </c>
      <c r="DL211" t="s">
        <v>3</v>
      </c>
      <c r="DM211" t="s">
        <v>3</v>
      </c>
      <c r="DN211">
        <v>134</v>
      </c>
      <c r="DO211">
        <v>83</v>
      </c>
      <c r="DP211">
        <v>1</v>
      </c>
      <c r="DQ211">
        <v>1</v>
      </c>
      <c r="DU211">
        <v>1013</v>
      </c>
      <c r="DV211" t="s">
        <v>75</v>
      </c>
      <c r="DW211" t="s">
        <v>75</v>
      </c>
      <c r="DX211">
        <v>1</v>
      </c>
      <c r="EE211">
        <v>33797798</v>
      </c>
      <c r="EF211">
        <v>30</v>
      </c>
      <c r="EG211" t="s">
        <v>77</v>
      </c>
      <c r="EH211">
        <v>0</v>
      </c>
      <c r="EI211" t="s">
        <v>3</v>
      </c>
      <c r="EJ211">
        <v>1</v>
      </c>
      <c r="EK211">
        <v>159</v>
      </c>
      <c r="EL211" t="s">
        <v>164</v>
      </c>
      <c r="EM211" t="s">
        <v>165</v>
      </c>
      <c r="EO211" t="s">
        <v>3</v>
      </c>
      <c r="EQ211">
        <v>131072</v>
      </c>
      <c r="ER211">
        <v>378.12</v>
      </c>
      <c r="ES211">
        <v>210.11</v>
      </c>
      <c r="ET211">
        <v>60.22</v>
      </c>
      <c r="EU211">
        <v>16.22</v>
      </c>
      <c r="EV211">
        <v>107.79</v>
      </c>
      <c r="EW211">
        <v>8.9600000000000009</v>
      </c>
      <c r="EX211">
        <v>0</v>
      </c>
      <c r="EY211">
        <v>0</v>
      </c>
      <c r="FQ211">
        <v>0</v>
      </c>
      <c r="FR211">
        <f t="shared" si="204"/>
        <v>0</v>
      </c>
      <c r="FS211">
        <v>0</v>
      </c>
      <c r="FX211">
        <v>134</v>
      </c>
      <c r="FY211">
        <v>83</v>
      </c>
      <c r="GA211" t="s">
        <v>3</v>
      </c>
      <c r="GD211">
        <v>0</v>
      </c>
      <c r="GF211">
        <v>-1628242315</v>
      </c>
      <c r="GG211">
        <v>2</v>
      </c>
      <c r="GH211">
        <v>1</v>
      </c>
      <c r="GI211">
        <v>2</v>
      </c>
      <c r="GJ211">
        <v>0</v>
      </c>
      <c r="GK211">
        <f>ROUND(R211*(R12)/100,2)</f>
        <v>20257.759999999998</v>
      </c>
      <c r="GL211">
        <f t="shared" si="205"/>
        <v>0</v>
      </c>
      <c r="GM211">
        <f t="shared" si="206"/>
        <v>290353.90000000002</v>
      </c>
      <c r="GN211">
        <f t="shared" si="207"/>
        <v>290353.90000000002</v>
      </c>
      <c r="GO211">
        <f t="shared" si="208"/>
        <v>0</v>
      </c>
      <c r="GP211">
        <f t="shared" si="209"/>
        <v>0</v>
      </c>
      <c r="GR211">
        <v>0</v>
      </c>
      <c r="GS211">
        <v>3</v>
      </c>
      <c r="GT211">
        <v>0</v>
      </c>
      <c r="GU211" t="s">
        <v>3</v>
      </c>
      <c r="GV211">
        <f t="shared" si="210"/>
        <v>0</v>
      </c>
      <c r="GW211">
        <v>1</v>
      </c>
      <c r="GX211">
        <f t="shared" si="211"/>
        <v>0</v>
      </c>
      <c r="HA211">
        <v>0</v>
      </c>
      <c r="HB211">
        <v>0</v>
      </c>
      <c r="HC211">
        <f t="shared" si="212"/>
        <v>0</v>
      </c>
      <c r="IK211">
        <v>0</v>
      </c>
    </row>
    <row r="212" spans="1:245" x14ac:dyDescent="0.2">
      <c r="A212">
        <v>18</v>
      </c>
      <c r="B212">
        <v>1</v>
      </c>
      <c r="C212">
        <v>120</v>
      </c>
      <c r="E212" t="s">
        <v>238</v>
      </c>
      <c r="F212" t="s">
        <v>167</v>
      </c>
      <c r="G212" t="s">
        <v>168</v>
      </c>
      <c r="H212" t="s">
        <v>51</v>
      </c>
      <c r="I212">
        <f>I211*J212</f>
        <v>418.18484999999998</v>
      </c>
      <c r="J212">
        <v>12.895</v>
      </c>
      <c r="O212">
        <f t="shared" si="173"/>
        <v>1095640.25</v>
      </c>
      <c r="P212">
        <f t="shared" si="174"/>
        <v>1095640.25</v>
      </c>
      <c r="Q212">
        <f t="shared" si="175"/>
        <v>0</v>
      </c>
      <c r="R212">
        <f t="shared" si="176"/>
        <v>0</v>
      </c>
      <c r="S212">
        <f t="shared" si="177"/>
        <v>0</v>
      </c>
      <c r="T212">
        <f t="shared" si="178"/>
        <v>0</v>
      </c>
      <c r="U212">
        <f t="shared" si="179"/>
        <v>0</v>
      </c>
      <c r="V212">
        <f t="shared" si="180"/>
        <v>0</v>
      </c>
      <c r="W212">
        <f t="shared" si="181"/>
        <v>0</v>
      </c>
      <c r="X212">
        <f t="shared" si="182"/>
        <v>0</v>
      </c>
      <c r="Y212">
        <f t="shared" si="183"/>
        <v>0</v>
      </c>
      <c r="AA212">
        <v>33989672</v>
      </c>
      <c r="AB212">
        <f t="shared" si="184"/>
        <v>317.95999999999998</v>
      </c>
      <c r="AC212">
        <f t="shared" si="185"/>
        <v>317.95999999999998</v>
      </c>
      <c r="AD212">
        <f t="shared" si="186"/>
        <v>0</v>
      </c>
      <c r="AE212">
        <f t="shared" si="187"/>
        <v>0</v>
      </c>
      <c r="AF212">
        <f t="shared" si="188"/>
        <v>0</v>
      </c>
      <c r="AG212">
        <f t="shared" si="189"/>
        <v>0</v>
      </c>
      <c r="AH212">
        <f t="shared" si="190"/>
        <v>0</v>
      </c>
      <c r="AI212">
        <f t="shared" si="191"/>
        <v>0</v>
      </c>
      <c r="AJ212">
        <f t="shared" si="192"/>
        <v>0</v>
      </c>
      <c r="AK212">
        <v>317.95999999999998</v>
      </c>
      <c r="AL212">
        <v>317.95999999999998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1</v>
      </c>
      <c r="AW212">
        <v>1</v>
      </c>
      <c r="AZ212">
        <v>1</v>
      </c>
      <c r="BA212">
        <v>1</v>
      </c>
      <c r="BB212">
        <v>1</v>
      </c>
      <c r="BC212">
        <v>8.24</v>
      </c>
      <c r="BD212" t="s">
        <v>3</v>
      </c>
      <c r="BE212" t="s">
        <v>3</v>
      </c>
      <c r="BF212" t="s">
        <v>3</v>
      </c>
      <c r="BG212" t="s">
        <v>3</v>
      </c>
      <c r="BH212">
        <v>3</v>
      </c>
      <c r="BI212">
        <v>1</v>
      </c>
      <c r="BJ212" t="s">
        <v>169</v>
      </c>
      <c r="BM212">
        <v>159</v>
      </c>
      <c r="BN212">
        <v>0</v>
      </c>
      <c r="BO212" t="s">
        <v>167</v>
      </c>
      <c r="BP212">
        <v>1</v>
      </c>
      <c r="BQ212">
        <v>30</v>
      </c>
      <c r="BR212">
        <v>0</v>
      </c>
      <c r="BS212">
        <v>1</v>
      </c>
      <c r="BT212">
        <v>1</v>
      </c>
      <c r="BU212">
        <v>1</v>
      </c>
      <c r="BV212">
        <v>1</v>
      </c>
      <c r="BW212">
        <v>1</v>
      </c>
      <c r="BX212">
        <v>1</v>
      </c>
      <c r="BY212" t="s">
        <v>3</v>
      </c>
      <c r="BZ212">
        <v>0</v>
      </c>
      <c r="CA212">
        <v>0</v>
      </c>
      <c r="CE212">
        <v>30</v>
      </c>
      <c r="CF212">
        <v>0</v>
      </c>
      <c r="CG212">
        <v>0</v>
      </c>
      <c r="CM212">
        <v>0</v>
      </c>
      <c r="CN212" t="s">
        <v>3</v>
      </c>
      <c r="CO212">
        <v>0</v>
      </c>
      <c r="CP212">
        <f t="shared" si="193"/>
        <v>1095640.25</v>
      </c>
      <c r="CQ212">
        <f t="shared" si="194"/>
        <v>2619.9899999999998</v>
      </c>
      <c r="CR212">
        <f t="shared" si="195"/>
        <v>0</v>
      </c>
      <c r="CS212">
        <f t="shared" si="196"/>
        <v>0</v>
      </c>
      <c r="CT212">
        <f t="shared" si="197"/>
        <v>0</v>
      </c>
      <c r="CU212">
        <f t="shared" si="198"/>
        <v>0</v>
      </c>
      <c r="CV212">
        <f t="shared" si="199"/>
        <v>0</v>
      </c>
      <c r="CW212">
        <f t="shared" si="200"/>
        <v>0</v>
      </c>
      <c r="CX212">
        <f t="shared" si="201"/>
        <v>0</v>
      </c>
      <c r="CY212">
        <f t="shared" si="202"/>
        <v>0</v>
      </c>
      <c r="CZ212">
        <f t="shared" si="203"/>
        <v>0</v>
      </c>
      <c r="DC212" t="s">
        <v>3</v>
      </c>
      <c r="DD212" t="s">
        <v>3</v>
      </c>
      <c r="DE212" t="s">
        <v>3</v>
      </c>
      <c r="DF212" t="s">
        <v>3</v>
      </c>
      <c r="DG212" t="s">
        <v>3</v>
      </c>
      <c r="DH212" t="s">
        <v>3</v>
      </c>
      <c r="DI212" t="s">
        <v>3</v>
      </c>
      <c r="DJ212" t="s">
        <v>3</v>
      </c>
      <c r="DK212" t="s">
        <v>3</v>
      </c>
      <c r="DL212" t="s">
        <v>3</v>
      </c>
      <c r="DM212" t="s">
        <v>3</v>
      </c>
      <c r="DN212">
        <v>134</v>
      </c>
      <c r="DO212">
        <v>83</v>
      </c>
      <c r="DP212">
        <v>1</v>
      </c>
      <c r="DQ212">
        <v>1</v>
      </c>
      <c r="DU212">
        <v>1009</v>
      </c>
      <c r="DV212" t="s">
        <v>51</v>
      </c>
      <c r="DW212" t="s">
        <v>51</v>
      </c>
      <c r="DX212">
        <v>1000</v>
      </c>
      <c r="EE212">
        <v>33797798</v>
      </c>
      <c r="EF212">
        <v>30</v>
      </c>
      <c r="EG212" t="s">
        <v>77</v>
      </c>
      <c r="EH212">
        <v>0</v>
      </c>
      <c r="EI212" t="s">
        <v>3</v>
      </c>
      <c r="EJ212">
        <v>1</v>
      </c>
      <c r="EK212">
        <v>159</v>
      </c>
      <c r="EL212" t="s">
        <v>164</v>
      </c>
      <c r="EM212" t="s">
        <v>165</v>
      </c>
      <c r="EO212" t="s">
        <v>3</v>
      </c>
      <c r="EQ212">
        <v>0</v>
      </c>
      <c r="ER212">
        <v>317.95999999999998</v>
      </c>
      <c r="ES212">
        <v>317.95999999999998</v>
      </c>
      <c r="ET212">
        <v>0</v>
      </c>
      <c r="EU212">
        <v>0</v>
      </c>
      <c r="EV212">
        <v>0</v>
      </c>
      <c r="EW212">
        <v>0</v>
      </c>
      <c r="EX212">
        <v>0</v>
      </c>
      <c r="FQ212">
        <v>0</v>
      </c>
      <c r="FR212">
        <f t="shared" si="204"/>
        <v>0</v>
      </c>
      <c r="FS212">
        <v>0</v>
      </c>
      <c r="FX212">
        <v>134</v>
      </c>
      <c r="FY212">
        <v>83</v>
      </c>
      <c r="GA212" t="s">
        <v>3</v>
      </c>
      <c r="GD212">
        <v>0</v>
      </c>
      <c r="GF212">
        <v>-956564323</v>
      </c>
      <c r="GG212">
        <v>2</v>
      </c>
      <c r="GH212">
        <v>1</v>
      </c>
      <c r="GI212">
        <v>2</v>
      </c>
      <c r="GJ212">
        <v>0</v>
      </c>
      <c r="GK212">
        <f>ROUND(R212*(R12)/100,2)</f>
        <v>0</v>
      </c>
      <c r="GL212">
        <f t="shared" si="205"/>
        <v>0</v>
      </c>
      <c r="GM212">
        <f t="shared" si="206"/>
        <v>1095640.25</v>
      </c>
      <c r="GN212">
        <f t="shared" si="207"/>
        <v>1095640.25</v>
      </c>
      <c r="GO212">
        <f t="shared" si="208"/>
        <v>0</v>
      </c>
      <c r="GP212">
        <f t="shared" si="209"/>
        <v>0</v>
      </c>
      <c r="GR212">
        <v>0</v>
      </c>
      <c r="GS212">
        <v>3</v>
      </c>
      <c r="GT212">
        <v>0</v>
      </c>
      <c r="GU212" t="s">
        <v>3</v>
      </c>
      <c r="GV212">
        <f t="shared" si="210"/>
        <v>0</v>
      </c>
      <c r="GW212">
        <v>1</v>
      </c>
      <c r="GX212">
        <f t="shared" si="211"/>
        <v>0</v>
      </c>
      <c r="HA212">
        <v>0</v>
      </c>
      <c r="HB212">
        <v>0</v>
      </c>
      <c r="HC212">
        <f t="shared" si="212"/>
        <v>0</v>
      </c>
      <c r="IK212">
        <v>0</v>
      </c>
    </row>
    <row r="214" spans="1:245" x14ac:dyDescent="0.2">
      <c r="A214" s="2">
        <v>51</v>
      </c>
      <c r="B214" s="2">
        <f>B198</f>
        <v>1</v>
      </c>
      <c r="C214" s="2">
        <f>A198</f>
        <v>4</v>
      </c>
      <c r="D214" s="2">
        <f>ROW(A198)</f>
        <v>198</v>
      </c>
      <c r="E214" s="2"/>
      <c r="F214" s="2" t="str">
        <f>IF(F198&lt;&gt;"",F198,"")</f>
        <v>Новый раздел</v>
      </c>
      <c r="G214" s="2" t="str">
        <f>IF(G198&lt;&gt;"",G198,"")</f>
        <v>10.1. Устройство новых оснований площадок (детские, спортивные, воркаут)</v>
      </c>
      <c r="H214" s="2">
        <v>0</v>
      </c>
      <c r="I214" s="2"/>
      <c r="J214" s="2"/>
      <c r="K214" s="2"/>
      <c r="L214" s="2"/>
      <c r="M214" s="2"/>
      <c r="N214" s="2"/>
      <c r="O214" s="2">
        <f t="shared" ref="O214:T214" si="213">ROUND(AB214,2)</f>
        <v>3189104.88</v>
      </c>
      <c r="P214" s="2">
        <f t="shared" si="213"/>
        <v>2679754.85</v>
      </c>
      <c r="Q214" s="2">
        <f t="shared" si="213"/>
        <v>273332.18</v>
      </c>
      <c r="R214" s="2">
        <f t="shared" si="213"/>
        <v>149524.82</v>
      </c>
      <c r="S214" s="2">
        <f t="shared" si="213"/>
        <v>236017.85</v>
      </c>
      <c r="T214" s="2">
        <f t="shared" si="213"/>
        <v>0</v>
      </c>
      <c r="U214" s="2">
        <f>AH214</f>
        <v>881.48112719999995</v>
      </c>
      <c r="V214" s="2">
        <f>AI214</f>
        <v>0</v>
      </c>
      <c r="W214" s="2">
        <f>ROUND(AJ214,2)</f>
        <v>0</v>
      </c>
      <c r="X214" s="2">
        <f>ROUND(AK214,2)</f>
        <v>239290.68</v>
      </c>
      <c r="Y214" s="2">
        <f>ROUND(AL214,2)</f>
        <v>103807.1</v>
      </c>
      <c r="Z214" s="2"/>
      <c r="AA214" s="2"/>
      <c r="AB214" s="2">
        <f>ROUND(SUMIF(AA202:AA212,"=33989672",O202:O212),2)</f>
        <v>3189104.88</v>
      </c>
      <c r="AC214" s="2">
        <f>ROUND(SUMIF(AA202:AA212,"=33989672",P202:P212),2)</f>
        <v>2679754.85</v>
      </c>
      <c r="AD214" s="2">
        <f>ROUND(SUMIF(AA202:AA212,"=33989672",Q202:Q212),2)</f>
        <v>273332.18</v>
      </c>
      <c r="AE214" s="2">
        <f>ROUND(SUMIF(AA202:AA212,"=33989672",R202:R212),2)</f>
        <v>149524.82</v>
      </c>
      <c r="AF214" s="2">
        <f>ROUND(SUMIF(AA202:AA212,"=33989672",S202:S212),2)</f>
        <v>236017.85</v>
      </c>
      <c r="AG214" s="2">
        <f>ROUND(SUMIF(AA202:AA212,"=33989672",T202:T212),2)</f>
        <v>0</v>
      </c>
      <c r="AH214" s="2">
        <f>SUMIF(AA202:AA212,"=33989672",U202:U212)</f>
        <v>881.48112719999995</v>
      </c>
      <c r="AI214" s="2">
        <f>SUMIF(AA202:AA212,"=33989672",V202:V212)</f>
        <v>0</v>
      </c>
      <c r="AJ214" s="2">
        <f>ROUND(SUMIF(AA202:AA212,"=33989672",W202:W212),2)</f>
        <v>0</v>
      </c>
      <c r="AK214" s="2">
        <f>ROUND(SUMIF(AA202:AA212,"=33989672",X202:X212),2)</f>
        <v>239290.68</v>
      </c>
      <c r="AL214" s="2">
        <f>ROUND(SUMIF(AA202:AA212,"=33989672",Y202:Y212),2)</f>
        <v>103807.1</v>
      </c>
      <c r="AM214" s="2"/>
      <c r="AN214" s="2"/>
      <c r="AO214" s="2">
        <f t="shared" ref="AO214:BD214" si="214">ROUND(BX214,2)</f>
        <v>0</v>
      </c>
      <c r="AP214" s="2">
        <f t="shared" si="214"/>
        <v>0</v>
      </c>
      <c r="AQ214" s="2">
        <f t="shared" si="214"/>
        <v>0</v>
      </c>
      <c r="AR214" s="2">
        <f t="shared" si="214"/>
        <v>3766956.63</v>
      </c>
      <c r="AS214" s="2">
        <f t="shared" si="214"/>
        <v>3766956.63</v>
      </c>
      <c r="AT214" s="2">
        <f t="shared" si="214"/>
        <v>0</v>
      </c>
      <c r="AU214" s="2">
        <f t="shared" si="214"/>
        <v>0</v>
      </c>
      <c r="AV214" s="2">
        <f t="shared" si="214"/>
        <v>2679754.85</v>
      </c>
      <c r="AW214" s="2">
        <f t="shared" si="214"/>
        <v>2679754.85</v>
      </c>
      <c r="AX214" s="2">
        <f t="shared" si="214"/>
        <v>0</v>
      </c>
      <c r="AY214" s="2">
        <f t="shared" si="214"/>
        <v>2679754.85</v>
      </c>
      <c r="AZ214" s="2">
        <f t="shared" si="214"/>
        <v>0</v>
      </c>
      <c r="BA214" s="2">
        <f t="shared" si="214"/>
        <v>0</v>
      </c>
      <c r="BB214" s="2">
        <f t="shared" si="214"/>
        <v>0</v>
      </c>
      <c r="BC214" s="2">
        <f t="shared" si="214"/>
        <v>0</v>
      </c>
      <c r="BD214" s="2">
        <f t="shared" si="214"/>
        <v>0</v>
      </c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>
        <f>ROUND(SUMIF(AA202:AA212,"=33989672",FQ202:FQ212),2)</f>
        <v>0</v>
      </c>
      <c r="BY214" s="2">
        <f>ROUND(SUMIF(AA202:AA212,"=33989672",FR202:FR212),2)</f>
        <v>0</v>
      </c>
      <c r="BZ214" s="2">
        <f>ROUND(SUMIF(AA202:AA212,"=33989672",GL202:GL212),2)</f>
        <v>0</v>
      </c>
      <c r="CA214" s="2">
        <f>ROUND(SUMIF(AA202:AA212,"=33989672",GM202:GM212),2)</f>
        <v>3766956.63</v>
      </c>
      <c r="CB214" s="2">
        <f>ROUND(SUMIF(AA202:AA212,"=33989672",GN202:GN212),2)</f>
        <v>3766956.63</v>
      </c>
      <c r="CC214" s="2">
        <f>ROUND(SUMIF(AA202:AA212,"=33989672",GO202:GO212),2)</f>
        <v>0</v>
      </c>
      <c r="CD214" s="2">
        <f>ROUND(SUMIF(AA202:AA212,"=33989672",GP202:GP212),2)</f>
        <v>0</v>
      </c>
      <c r="CE214" s="2">
        <f>AC214-BX214</f>
        <v>2679754.85</v>
      </c>
      <c r="CF214" s="2">
        <f>AC214-BY214</f>
        <v>2679754.85</v>
      </c>
      <c r="CG214" s="2">
        <f>BX214-BZ214</f>
        <v>0</v>
      </c>
      <c r="CH214" s="2">
        <f>AC214-BX214-BY214+BZ214</f>
        <v>2679754.85</v>
      </c>
      <c r="CI214" s="2">
        <f>BY214-BZ214</f>
        <v>0</v>
      </c>
      <c r="CJ214" s="2">
        <f>ROUND(SUMIF(AA202:AA212,"=33989672",GX202:GX212),2)</f>
        <v>0</v>
      </c>
      <c r="CK214" s="2">
        <f>ROUND(SUMIF(AA202:AA212,"=33989672",GY202:GY212),2)</f>
        <v>0</v>
      </c>
      <c r="CL214" s="2">
        <f>ROUND(SUMIF(AA202:AA212,"=33989672",GZ202:GZ212),2)</f>
        <v>0</v>
      </c>
      <c r="CM214" s="2">
        <f>ROUND(SUMIF(AA202:AA212,"=33989672",HD202:HD212),2)</f>
        <v>0</v>
      </c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>
        <v>0</v>
      </c>
    </row>
    <row r="216" spans="1:245" x14ac:dyDescent="0.2">
      <c r="A216" s="4">
        <v>50</v>
      </c>
      <c r="B216" s="4">
        <v>0</v>
      </c>
      <c r="C216" s="4">
        <v>0</v>
      </c>
      <c r="D216" s="4">
        <v>1</v>
      </c>
      <c r="E216" s="4">
        <v>201</v>
      </c>
      <c r="F216" s="4">
        <f>ROUND(Source!O214,O216)</f>
        <v>3189104.88</v>
      </c>
      <c r="G216" s="4" t="s">
        <v>89</v>
      </c>
      <c r="H216" s="4" t="s">
        <v>90</v>
      </c>
      <c r="I216" s="4"/>
      <c r="J216" s="4"/>
      <c r="K216" s="4">
        <v>201</v>
      </c>
      <c r="L216" s="4">
        <v>1</v>
      </c>
      <c r="M216" s="4">
        <v>3</v>
      </c>
      <c r="N216" s="4" t="s">
        <v>3</v>
      </c>
      <c r="O216" s="4">
        <v>2</v>
      </c>
      <c r="P216" s="4"/>
      <c r="Q216" s="4"/>
      <c r="R216" s="4"/>
      <c r="S216" s="4"/>
      <c r="T216" s="4"/>
      <c r="U216" s="4"/>
      <c r="V216" s="4"/>
      <c r="W216" s="4"/>
    </row>
    <row r="217" spans="1:245" x14ac:dyDescent="0.2">
      <c r="A217" s="4">
        <v>50</v>
      </c>
      <c r="B217" s="4">
        <v>0</v>
      </c>
      <c r="C217" s="4">
        <v>0</v>
      </c>
      <c r="D217" s="4">
        <v>1</v>
      </c>
      <c r="E217" s="4">
        <v>202</v>
      </c>
      <c r="F217" s="4">
        <f>ROUND(Source!P214,O217)</f>
        <v>2679754.85</v>
      </c>
      <c r="G217" s="4" t="s">
        <v>91</v>
      </c>
      <c r="H217" s="4" t="s">
        <v>92</v>
      </c>
      <c r="I217" s="4"/>
      <c r="J217" s="4"/>
      <c r="K217" s="4">
        <v>202</v>
      </c>
      <c r="L217" s="4">
        <v>2</v>
      </c>
      <c r="M217" s="4">
        <v>3</v>
      </c>
      <c r="N217" s="4" t="s">
        <v>3</v>
      </c>
      <c r="O217" s="4">
        <v>2</v>
      </c>
      <c r="P217" s="4"/>
      <c r="Q217" s="4"/>
      <c r="R217" s="4"/>
      <c r="S217" s="4"/>
      <c r="T217" s="4"/>
      <c r="U217" s="4"/>
      <c r="V217" s="4"/>
      <c r="W217" s="4"/>
    </row>
    <row r="218" spans="1:245" x14ac:dyDescent="0.2">
      <c r="A218" s="4">
        <v>50</v>
      </c>
      <c r="B218" s="4">
        <v>0</v>
      </c>
      <c r="C218" s="4">
        <v>0</v>
      </c>
      <c r="D218" s="4">
        <v>1</v>
      </c>
      <c r="E218" s="4">
        <v>222</v>
      </c>
      <c r="F218" s="4">
        <f>ROUND(Source!AO214,O218)</f>
        <v>0</v>
      </c>
      <c r="G218" s="4" t="s">
        <v>93</v>
      </c>
      <c r="H218" s="4" t="s">
        <v>94</v>
      </c>
      <c r="I218" s="4"/>
      <c r="J218" s="4"/>
      <c r="K218" s="4">
        <v>222</v>
      </c>
      <c r="L218" s="4">
        <v>3</v>
      </c>
      <c r="M218" s="4">
        <v>3</v>
      </c>
      <c r="N218" s="4" t="s">
        <v>3</v>
      </c>
      <c r="O218" s="4">
        <v>2</v>
      </c>
      <c r="P218" s="4"/>
      <c r="Q218" s="4"/>
      <c r="R218" s="4"/>
      <c r="S218" s="4"/>
      <c r="T218" s="4"/>
      <c r="U218" s="4"/>
      <c r="V218" s="4"/>
      <c r="W218" s="4"/>
    </row>
    <row r="219" spans="1:245" x14ac:dyDescent="0.2">
      <c r="A219" s="4">
        <v>50</v>
      </c>
      <c r="B219" s="4">
        <v>0</v>
      </c>
      <c r="C219" s="4">
        <v>0</v>
      </c>
      <c r="D219" s="4">
        <v>1</v>
      </c>
      <c r="E219" s="4">
        <v>225</v>
      </c>
      <c r="F219" s="4">
        <f>ROUND(Source!AV214,O219)</f>
        <v>2679754.85</v>
      </c>
      <c r="G219" s="4" t="s">
        <v>95</v>
      </c>
      <c r="H219" s="4" t="s">
        <v>96</v>
      </c>
      <c r="I219" s="4"/>
      <c r="J219" s="4"/>
      <c r="K219" s="4">
        <v>225</v>
      </c>
      <c r="L219" s="4">
        <v>4</v>
      </c>
      <c r="M219" s="4">
        <v>3</v>
      </c>
      <c r="N219" s="4" t="s">
        <v>3</v>
      </c>
      <c r="O219" s="4">
        <v>2</v>
      </c>
      <c r="P219" s="4"/>
      <c r="Q219" s="4"/>
      <c r="R219" s="4"/>
      <c r="S219" s="4"/>
      <c r="T219" s="4"/>
      <c r="U219" s="4"/>
      <c r="V219" s="4"/>
      <c r="W219" s="4"/>
    </row>
    <row r="220" spans="1:245" x14ac:dyDescent="0.2">
      <c r="A220" s="4">
        <v>50</v>
      </c>
      <c r="B220" s="4">
        <v>0</v>
      </c>
      <c r="C220" s="4">
        <v>0</v>
      </c>
      <c r="D220" s="4">
        <v>1</v>
      </c>
      <c r="E220" s="4">
        <v>226</v>
      </c>
      <c r="F220" s="4">
        <f>ROUND(Source!AW214,O220)</f>
        <v>2679754.85</v>
      </c>
      <c r="G220" s="4" t="s">
        <v>97</v>
      </c>
      <c r="H220" s="4" t="s">
        <v>98</v>
      </c>
      <c r="I220" s="4"/>
      <c r="J220" s="4"/>
      <c r="K220" s="4">
        <v>226</v>
      </c>
      <c r="L220" s="4">
        <v>5</v>
      </c>
      <c r="M220" s="4">
        <v>3</v>
      </c>
      <c r="N220" s="4" t="s">
        <v>3</v>
      </c>
      <c r="O220" s="4">
        <v>2</v>
      </c>
      <c r="P220" s="4"/>
      <c r="Q220" s="4"/>
      <c r="R220" s="4"/>
      <c r="S220" s="4"/>
      <c r="T220" s="4"/>
      <c r="U220" s="4"/>
      <c r="V220" s="4"/>
      <c r="W220" s="4"/>
    </row>
    <row r="221" spans="1:245" x14ac:dyDescent="0.2">
      <c r="A221" s="4">
        <v>50</v>
      </c>
      <c r="B221" s="4">
        <v>0</v>
      </c>
      <c r="C221" s="4">
        <v>0</v>
      </c>
      <c r="D221" s="4">
        <v>1</v>
      </c>
      <c r="E221" s="4">
        <v>227</v>
      </c>
      <c r="F221" s="4">
        <f>ROUND(Source!AX214,O221)</f>
        <v>0</v>
      </c>
      <c r="G221" s="4" t="s">
        <v>99</v>
      </c>
      <c r="H221" s="4" t="s">
        <v>100</v>
      </c>
      <c r="I221" s="4"/>
      <c r="J221" s="4"/>
      <c r="K221" s="4">
        <v>227</v>
      </c>
      <c r="L221" s="4">
        <v>6</v>
      </c>
      <c r="M221" s="4">
        <v>3</v>
      </c>
      <c r="N221" s="4" t="s">
        <v>3</v>
      </c>
      <c r="O221" s="4">
        <v>2</v>
      </c>
      <c r="P221" s="4"/>
      <c r="Q221" s="4"/>
      <c r="R221" s="4"/>
      <c r="S221" s="4"/>
      <c r="T221" s="4"/>
      <c r="U221" s="4"/>
      <c r="V221" s="4"/>
      <c r="W221" s="4"/>
    </row>
    <row r="222" spans="1:245" x14ac:dyDescent="0.2">
      <c r="A222" s="4">
        <v>50</v>
      </c>
      <c r="B222" s="4">
        <v>0</v>
      </c>
      <c r="C222" s="4">
        <v>0</v>
      </c>
      <c r="D222" s="4">
        <v>1</v>
      </c>
      <c r="E222" s="4">
        <v>228</v>
      </c>
      <c r="F222" s="4">
        <f>ROUND(Source!AY214,O222)</f>
        <v>2679754.85</v>
      </c>
      <c r="G222" s="4" t="s">
        <v>101</v>
      </c>
      <c r="H222" s="4" t="s">
        <v>102</v>
      </c>
      <c r="I222" s="4"/>
      <c r="J222" s="4"/>
      <c r="K222" s="4">
        <v>228</v>
      </c>
      <c r="L222" s="4">
        <v>7</v>
      </c>
      <c r="M222" s="4">
        <v>3</v>
      </c>
      <c r="N222" s="4" t="s">
        <v>3</v>
      </c>
      <c r="O222" s="4">
        <v>2</v>
      </c>
      <c r="P222" s="4"/>
      <c r="Q222" s="4"/>
      <c r="R222" s="4"/>
      <c r="S222" s="4"/>
      <c r="T222" s="4"/>
      <c r="U222" s="4"/>
      <c r="V222" s="4"/>
      <c r="W222" s="4"/>
    </row>
    <row r="223" spans="1:245" x14ac:dyDescent="0.2">
      <c r="A223" s="4">
        <v>50</v>
      </c>
      <c r="B223" s="4">
        <v>0</v>
      </c>
      <c r="C223" s="4">
        <v>0</v>
      </c>
      <c r="D223" s="4">
        <v>1</v>
      </c>
      <c r="E223" s="4">
        <v>216</v>
      </c>
      <c r="F223" s="4">
        <f>ROUND(Source!AP214,O223)</f>
        <v>0</v>
      </c>
      <c r="G223" s="4" t="s">
        <v>103</v>
      </c>
      <c r="H223" s="4" t="s">
        <v>104</v>
      </c>
      <c r="I223" s="4"/>
      <c r="J223" s="4"/>
      <c r="K223" s="4">
        <v>216</v>
      </c>
      <c r="L223" s="4">
        <v>8</v>
      </c>
      <c r="M223" s="4">
        <v>3</v>
      </c>
      <c r="N223" s="4" t="s">
        <v>3</v>
      </c>
      <c r="O223" s="4">
        <v>2</v>
      </c>
      <c r="P223" s="4"/>
      <c r="Q223" s="4"/>
      <c r="R223" s="4"/>
      <c r="S223" s="4"/>
      <c r="T223" s="4"/>
      <c r="U223" s="4"/>
      <c r="V223" s="4"/>
      <c r="W223" s="4"/>
    </row>
    <row r="224" spans="1:245" x14ac:dyDescent="0.2">
      <c r="A224" s="4">
        <v>50</v>
      </c>
      <c r="B224" s="4">
        <v>0</v>
      </c>
      <c r="C224" s="4">
        <v>0</v>
      </c>
      <c r="D224" s="4">
        <v>1</v>
      </c>
      <c r="E224" s="4">
        <v>223</v>
      </c>
      <c r="F224" s="4">
        <f>ROUND(Source!AQ214,O224)</f>
        <v>0</v>
      </c>
      <c r="G224" s="4" t="s">
        <v>105</v>
      </c>
      <c r="H224" s="4" t="s">
        <v>106</v>
      </c>
      <c r="I224" s="4"/>
      <c r="J224" s="4"/>
      <c r="K224" s="4">
        <v>223</v>
      </c>
      <c r="L224" s="4">
        <v>9</v>
      </c>
      <c r="M224" s="4">
        <v>3</v>
      </c>
      <c r="N224" s="4" t="s">
        <v>3</v>
      </c>
      <c r="O224" s="4">
        <v>2</v>
      </c>
      <c r="P224" s="4"/>
      <c r="Q224" s="4"/>
      <c r="R224" s="4"/>
      <c r="S224" s="4"/>
      <c r="T224" s="4"/>
      <c r="U224" s="4"/>
      <c r="V224" s="4"/>
      <c r="W224" s="4"/>
    </row>
    <row r="225" spans="1:23" x14ac:dyDescent="0.2">
      <c r="A225" s="4">
        <v>50</v>
      </c>
      <c r="B225" s="4">
        <v>0</v>
      </c>
      <c r="C225" s="4">
        <v>0</v>
      </c>
      <c r="D225" s="4">
        <v>1</v>
      </c>
      <c r="E225" s="4">
        <v>229</v>
      </c>
      <c r="F225" s="4">
        <f>ROUND(Source!AZ214,O225)</f>
        <v>0</v>
      </c>
      <c r="G225" s="4" t="s">
        <v>107</v>
      </c>
      <c r="H225" s="4" t="s">
        <v>108</v>
      </c>
      <c r="I225" s="4"/>
      <c r="J225" s="4"/>
      <c r="K225" s="4">
        <v>229</v>
      </c>
      <c r="L225" s="4">
        <v>10</v>
      </c>
      <c r="M225" s="4">
        <v>3</v>
      </c>
      <c r="N225" s="4" t="s">
        <v>3</v>
      </c>
      <c r="O225" s="4">
        <v>2</v>
      </c>
      <c r="P225" s="4"/>
      <c r="Q225" s="4"/>
      <c r="R225" s="4"/>
      <c r="S225" s="4"/>
      <c r="T225" s="4"/>
      <c r="U225" s="4"/>
      <c r="V225" s="4"/>
      <c r="W225" s="4"/>
    </row>
    <row r="226" spans="1:23" x14ac:dyDescent="0.2">
      <c r="A226" s="4">
        <v>50</v>
      </c>
      <c r="B226" s="4">
        <v>0</v>
      </c>
      <c r="C226" s="4">
        <v>0</v>
      </c>
      <c r="D226" s="4">
        <v>1</v>
      </c>
      <c r="E226" s="4">
        <v>203</v>
      </c>
      <c r="F226" s="4">
        <f>ROUND(Source!Q214,O226)</f>
        <v>273332.18</v>
      </c>
      <c r="G226" s="4" t="s">
        <v>109</v>
      </c>
      <c r="H226" s="4" t="s">
        <v>110</v>
      </c>
      <c r="I226" s="4"/>
      <c r="J226" s="4"/>
      <c r="K226" s="4">
        <v>203</v>
      </c>
      <c r="L226" s="4">
        <v>11</v>
      </c>
      <c r="M226" s="4">
        <v>3</v>
      </c>
      <c r="N226" s="4" t="s">
        <v>3</v>
      </c>
      <c r="O226" s="4">
        <v>2</v>
      </c>
      <c r="P226" s="4"/>
      <c r="Q226" s="4"/>
      <c r="R226" s="4"/>
      <c r="S226" s="4"/>
      <c r="T226" s="4"/>
      <c r="U226" s="4"/>
      <c r="V226" s="4"/>
      <c r="W226" s="4"/>
    </row>
    <row r="227" spans="1:23" x14ac:dyDescent="0.2">
      <c r="A227" s="4">
        <v>50</v>
      </c>
      <c r="B227" s="4">
        <v>0</v>
      </c>
      <c r="C227" s="4">
        <v>0</v>
      </c>
      <c r="D227" s="4">
        <v>1</v>
      </c>
      <c r="E227" s="4">
        <v>231</v>
      </c>
      <c r="F227" s="4">
        <f>ROUND(Source!BB214,O227)</f>
        <v>0</v>
      </c>
      <c r="G227" s="4" t="s">
        <v>111</v>
      </c>
      <c r="H227" s="4" t="s">
        <v>112</v>
      </c>
      <c r="I227" s="4"/>
      <c r="J227" s="4"/>
      <c r="K227" s="4">
        <v>231</v>
      </c>
      <c r="L227" s="4">
        <v>12</v>
      </c>
      <c r="M227" s="4">
        <v>3</v>
      </c>
      <c r="N227" s="4" t="s">
        <v>3</v>
      </c>
      <c r="O227" s="4">
        <v>2</v>
      </c>
      <c r="P227" s="4"/>
      <c r="Q227" s="4"/>
      <c r="R227" s="4"/>
      <c r="S227" s="4"/>
      <c r="T227" s="4"/>
      <c r="U227" s="4"/>
      <c r="V227" s="4"/>
      <c r="W227" s="4"/>
    </row>
    <row r="228" spans="1:23" x14ac:dyDescent="0.2">
      <c r="A228" s="4">
        <v>50</v>
      </c>
      <c r="B228" s="4">
        <v>0</v>
      </c>
      <c r="C228" s="4">
        <v>0</v>
      </c>
      <c r="D228" s="4">
        <v>1</v>
      </c>
      <c r="E228" s="4">
        <v>204</v>
      </c>
      <c r="F228" s="4">
        <f>ROUND(Source!R214,O228)</f>
        <v>149524.82</v>
      </c>
      <c r="G228" s="4" t="s">
        <v>113</v>
      </c>
      <c r="H228" s="4" t="s">
        <v>114</v>
      </c>
      <c r="I228" s="4"/>
      <c r="J228" s="4"/>
      <c r="K228" s="4">
        <v>204</v>
      </c>
      <c r="L228" s="4">
        <v>13</v>
      </c>
      <c r="M228" s="4">
        <v>3</v>
      </c>
      <c r="N228" s="4" t="s">
        <v>3</v>
      </c>
      <c r="O228" s="4">
        <v>2</v>
      </c>
      <c r="P228" s="4"/>
      <c r="Q228" s="4"/>
      <c r="R228" s="4"/>
      <c r="S228" s="4"/>
      <c r="T228" s="4"/>
      <c r="U228" s="4"/>
      <c r="V228" s="4"/>
      <c r="W228" s="4"/>
    </row>
    <row r="229" spans="1:23" x14ac:dyDescent="0.2">
      <c r="A229" s="4">
        <v>50</v>
      </c>
      <c r="B229" s="4">
        <v>0</v>
      </c>
      <c r="C229" s="4">
        <v>0</v>
      </c>
      <c r="D229" s="4">
        <v>1</v>
      </c>
      <c r="E229" s="4">
        <v>205</v>
      </c>
      <c r="F229" s="4">
        <f>ROUND(Source!S214,O229)</f>
        <v>236017.85</v>
      </c>
      <c r="G229" s="4" t="s">
        <v>115</v>
      </c>
      <c r="H229" s="4" t="s">
        <v>116</v>
      </c>
      <c r="I229" s="4"/>
      <c r="J229" s="4"/>
      <c r="K229" s="4">
        <v>205</v>
      </c>
      <c r="L229" s="4">
        <v>14</v>
      </c>
      <c r="M229" s="4">
        <v>3</v>
      </c>
      <c r="N229" s="4" t="s">
        <v>3</v>
      </c>
      <c r="O229" s="4">
        <v>2</v>
      </c>
      <c r="P229" s="4"/>
      <c r="Q229" s="4"/>
      <c r="R229" s="4"/>
      <c r="S229" s="4"/>
      <c r="T229" s="4"/>
      <c r="U229" s="4"/>
      <c r="V229" s="4"/>
      <c r="W229" s="4"/>
    </row>
    <row r="230" spans="1:23" x14ac:dyDescent="0.2">
      <c r="A230" s="4">
        <v>50</v>
      </c>
      <c r="B230" s="4">
        <v>0</v>
      </c>
      <c r="C230" s="4">
        <v>0</v>
      </c>
      <c r="D230" s="4">
        <v>1</v>
      </c>
      <c r="E230" s="4">
        <v>232</v>
      </c>
      <c r="F230" s="4">
        <f>ROUND(Source!BC214,O230)</f>
        <v>0</v>
      </c>
      <c r="G230" s="4" t="s">
        <v>117</v>
      </c>
      <c r="H230" s="4" t="s">
        <v>118</v>
      </c>
      <c r="I230" s="4"/>
      <c r="J230" s="4"/>
      <c r="K230" s="4">
        <v>232</v>
      </c>
      <c r="L230" s="4">
        <v>15</v>
      </c>
      <c r="M230" s="4">
        <v>3</v>
      </c>
      <c r="N230" s="4" t="s">
        <v>3</v>
      </c>
      <c r="O230" s="4">
        <v>2</v>
      </c>
      <c r="P230" s="4"/>
      <c r="Q230" s="4"/>
      <c r="R230" s="4"/>
      <c r="S230" s="4"/>
      <c r="T230" s="4"/>
      <c r="U230" s="4"/>
      <c r="V230" s="4"/>
      <c r="W230" s="4"/>
    </row>
    <row r="231" spans="1:23" x14ac:dyDescent="0.2">
      <c r="A231" s="4">
        <v>50</v>
      </c>
      <c r="B231" s="4">
        <v>0</v>
      </c>
      <c r="C231" s="4">
        <v>0</v>
      </c>
      <c r="D231" s="4">
        <v>1</v>
      </c>
      <c r="E231" s="4">
        <v>214</v>
      </c>
      <c r="F231" s="4">
        <f>ROUND(Source!AS214,O231)</f>
        <v>3766956.63</v>
      </c>
      <c r="G231" s="4" t="s">
        <v>119</v>
      </c>
      <c r="H231" s="4" t="s">
        <v>120</v>
      </c>
      <c r="I231" s="4"/>
      <c r="J231" s="4"/>
      <c r="K231" s="4">
        <v>214</v>
      </c>
      <c r="L231" s="4">
        <v>16</v>
      </c>
      <c r="M231" s="4">
        <v>3</v>
      </c>
      <c r="N231" s="4" t="s">
        <v>3</v>
      </c>
      <c r="O231" s="4">
        <v>2</v>
      </c>
      <c r="P231" s="4"/>
      <c r="Q231" s="4"/>
      <c r="R231" s="4"/>
      <c r="S231" s="4"/>
      <c r="T231" s="4"/>
      <c r="U231" s="4"/>
      <c r="V231" s="4"/>
      <c r="W231" s="4"/>
    </row>
    <row r="232" spans="1:23" x14ac:dyDescent="0.2">
      <c r="A232" s="4">
        <v>50</v>
      </c>
      <c r="B232" s="4">
        <v>0</v>
      </c>
      <c r="C232" s="4">
        <v>0</v>
      </c>
      <c r="D232" s="4">
        <v>1</v>
      </c>
      <c r="E232" s="4">
        <v>215</v>
      </c>
      <c r="F232" s="4">
        <f>ROUND(Source!AT214,O232)</f>
        <v>0</v>
      </c>
      <c r="G232" s="4" t="s">
        <v>121</v>
      </c>
      <c r="H232" s="4" t="s">
        <v>122</v>
      </c>
      <c r="I232" s="4"/>
      <c r="J232" s="4"/>
      <c r="K232" s="4">
        <v>215</v>
      </c>
      <c r="L232" s="4">
        <v>17</v>
      </c>
      <c r="M232" s="4">
        <v>3</v>
      </c>
      <c r="N232" s="4" t="s">
        <v>3</v>
      </c>
      <c r="O232" s="4">
        <v>2</v>
      </c>
      <c r="P232" s="4"/>
      <c r="Q232" s="4"/>
      <c r="R232" s="4"/>
      <c r="S232" s="4"/>
      <c r="T232" s="4"/>
      <c r="U232" s="4"/>
      <c r="V232" s="4"/>
      <c r="W232" s="4"/>
    </row>
    <row r="233" spans="1:23" x14ac:dyDescent="0.2">
      <c r="A233" s="4">
        <v>50</v>
      </c>
      <c r="B233" s="4">
        <v>0</v>
      </c>
      <c r="C233" s="4">
        <v>0</v>
      </c>
      <c r="D233" s="4">
        <v>1</v>
      </c>
      <c r="E233" s="4">
        <v>217</v>
      </c>
      <c r="F233" s="4">
        <f>ROUND(Source!AU214,O233)</f>
        <v>0</v>
      </c>
      <c r="G233" s="4" t="s">
        <v>123</v>
      </c>
      <c r="H233" s="4" t="s">
        <v>124</v>
      </c>
      <c r="I233" s="4"/>
      <c r="J233" s="4"/>
      <c r="K233" s="4">
        <v>217</v>
      </c>
      <c r="L233" s="4">
        <v>18</v>
      </c>
      <c r="M233" s="4">
        <v>3</v>
      </c>
      <c r="N233" s="4" t="s">
        <v>3</v>
      </c>
      <c r="O233" s="4">
        <v>2</v>
      </c>
      <c r="P233" s="4"/>
      <c r="Q233" s="4"/>
      <c r="R233" s="4"/>
      <c r="S233" s="4"/>
      <c r="T233" s="4"/>
      <c r="U233" s="4"/>
      <c r="V233" s="4"/>
      <c r="W233" s="4"/>
    </row>
    <row r="234" spans="1:23" x14ac:dyDescent="0.2">
      <c r="A234" s="4">
        <v>50</v>
      </c>
      <c r="B234" s="4">
        <v>0</v>
      </c>
      <c r="C234" s="4">
        <v>0</v>
      </c>
      <c r="D234" s="4">
        <v>1</v>
      </c>
      <c r="E234" s="4">
        <v>230</v>
      </c>
      <c r="F234" s="4">
        <f>ROUND(Source!BA214,O234)</f>
        <v>0</v>
      </c>
      <c r="G234" s="4" t="s">
        <v>125</v>
      </c>
      <c r="H234" s="4" t="s">
        <v>126</v>
      </c>
      <c r="I234" s="4"/>
      <c r="J234" s="4"/>
      <c r="K234" s="4">
        <v>230</v>
      </c>
      <c r="L234" s="4">
        <v>19</v>
      </c>
      <c r="M234" s="4">
        <v>3</v>
      </c>
      <c r="N234" s="4" t="s">
        <v>3</v>
      </c>
      <c r="O234" s="4">
        <v>2</v>
      </c>
      <c r="P234" s="4"/>
      <c r="Q234" s="4"/>
      <c r="R234" s="4"/>
      <c r="S234" s="4"/>
      <c r="T234" s="4"/>
      <c r="U234" s="4"/>
      <c r="V234" s="4"/>
      <c r="W234" s="4"/>
    </row>
    <row r="235" spans="1:23" x14ac:dyDescent="0.2">
      <c r="A235" s="4">
        <v>50</v>
      </c>
      <c r="B235" s="4">
        <v>0</v>
      </c>
      <c r="C235" s="4">
        <v>0</v>
      </c>
      <c r="D235" s="4">
        <v>1</v>
      </c>
      <c r="E235" s="4">
        <v>206</v>
      </c>
      <c r="F235" s="4">
        <f>ROUND(Source!T214,O235)</f>
        <v>0</v>
      </c>
      <c r="G235" s="4" t="s">
        <v>127</v>
      </c>
      <c r="H235" s="4" t="s">
        <v>128</v>
      </c>
      <c r="I235" s="4"/>
      <c r="J235" s="4"/>
      <c r="K235" s="4">
        <v>206</v>
      </c>
      <c r="L235" s="4">
        <v>20</v>
      </c>
      <c r="M235" s="4">
        <v>3</v>
      </c>
      <c r="N235" s="4" t="s">
        <v>3</v>
      </c>
      <c r="O235" s="4">
        <v>2</v>
      </c>
      <c r="P235" s="4"/>
      <c r="Q235" s="4"/>
      <c r="R235" s="4"/>
      <c r="S235" s="4"/>
      <c r="T235" s="4"/>
      <c r="U235" s="4"/>
      <c r="V235" s="4"/>
      <c r="W235" s="4"/>
    </row>
    <row r="236" spans="1:23" x14ac:dyDescent="0.2">
      <c r="A236" s="4">
        <v>50</v>
      </c>
      <c r="B236" s="4">
        <v>0</v>
      </c>
      <c r="C236" s="4">
        <v>0</v>
      </c>
      <c r="D236" s="4">
        <v>1</v>
      </c>
      <c r="E236" s="4">
        <v>207</v>
      </c>
      <c r="F236" s="4">
        <f>Source!U214</f>
        <v>881.48112719999995</v>
      </c>
      <c r="G236" s="4" t="s">
        <v>129</v>
      </c>
      <c r="H236" s="4" t="s">
        <v>130</v>
      </c>
      <c r="I236" s="4"/>
      <c r="J236" s="4"/>
      <c r="K236" s="4">
        <v>207</v>
      </c>
      <c r="L236" s="4">
        <v>21</v>
      </c>
      <c r="M236" s="4">
        <v>3</v>
      </c>
      <c r="N236" s="4" t="s">
        <v>3</v>
      </c>
      <c r="O236" s="4">
        <v>-1</v>
      </c>
      <c r="P236" s="4"/>
      <c r="Q236" s="4"/>
      <c r="R236" s="4"/>
      <c r="S236" s="4"/>
      <c r="T236" s="4"/>
      <c r="U236" s="4"/>
      <c r="V236" s="4"/>
      <c r="W236" s="4"/>
    </row>
    <row r="237" spans="1:23" x14ac:dyDescent="0.2">
      <c r="A237" s="4">
        <v>50</v>
      </c>
      <c r="B237" s="4">
        <v>0</v>
      </c>
      <c r="C237" s="4">
        <v>0</v>
      </c>
      <c r="D237" s="4">
        <v>1</v>
      </c>
      <c r="E237" s="4">
        <v>208</v>
      </c>
      <c r="F237" s="4">
        <f>Source!V214</f>
        <v>0</v>
      </c>
      <c r="G237" s="4" t="s">
        <v>131</v>
      </c>
      <c r="H237" s="4" t="s">
        <v>132</v>
      </c>
      <c r="I237" s="4"/>
      <c r="J237" s="4"/>
      <c r="K237" s="4">
        <v>208</v>
      </c>
      <c r="L237" s="4">
        <v>22</v>
      </c>
      <c r="M237" s="4">
        <v>3</v>
      </c>
      <c r="N237" s="4" t="s">
        <v>3</v>
      </c>
      <c r="O237" s="4">
        <v>-1</v>
      </c>
      <c r="P237" s="4"/>
      <c r="Q237" s="4"/>
      <c r="R237" s="4"/>
      <c r="S237" s="4"/>
      <c r="T237" s="4"/>
      <c r="U237" s="4"/>
      <c r="V237" s="4"/>
      <c r="W237" s="4"/>
    </row>
    <row r="238" spans="1:23" x14ac:dyDescent="0.2">
      <c r="A238" s="4">
        <v>50</v>
      </c>
      <c r="B238" s="4">
        <v>0</v>
      </c>
      <c r="C238" s="4">
        <v>0</v>
      </c>
      <c r="D238" s="4">
        <v>1</v>
      </c>
      <c r="E238" s="4">
        <v>209</v>
      </c>
      <c r="F238" s="4">
        <f>ROUND(Source!W214,O238)</f>
        <v>0</v>
      </c>
      <c r="G238" s="4" t="s">
        <v>133</v>
      </c>
      <c r="H238" s="4" t="s">
        <v>134</v>
      </c>
      <c r="I238" s="4"/>
      <c r="J238" s="4"/>
      <c r="K238" s="4">
        <v>209</v>
      </c>
      <c r="L238" s="4">
        <v>23</v>
      </c>
      <c r="M238" s="4">
        <v>3</v>
      </c>
      <c r="N238" s="4" t="s">
        <v>3</v>
      </c>
      <c r="O238" s="4">
        <v>2</v>
      </c>
      <c r="P238" s="4"/>
      <c r="Q238" s="4"/>
      <c r="R238" s="4"/>
      <c r="S238" s="4"/>
      <c r="T238" s="4"/>
      <c r="U238" s="4"/>
      <c r="V238" s="4"/>
      <c r="W238" s="4"/>
    </row>
    <row r="239" spans="1:23" x14ac:dyDescent="0.2">
      <c r="A239" s="4">
        <v>50</v>
      </c>
      <c r="B239" s="4">
        <v>0</v>
      </c>
      <c r="C239" s="4">
        <v>0</v>
      </c>
      <c r="D239" s="4">
        <v>1</v>
      </c>
      <c r="E239" s="4">
        <v>233</v>
      </c>
      <c r="F239" s="4">
        <f>ROUND(Source!BD214,O239)</f>
        <v>0</v>
      </c>
      <c r="G239" s="4" t="s">
        <v>135</v>
      </c>
      <c r="H239" s="4" t="s">
        <v>136</v>
      </c>
      <c r="I239" s="4"/>
      <c r="J239" s="4"/>
      <c r="K239" s="4">
        <v>233</v>
      </c>
      <c r="L239" s="4">
        <v>24</v>
      </c>
      <c r="M239" s="4">
        <v>3</v>
      </c>
      <c r="N239" s="4" t="s">
        <v>3</v>
      </c>
      <c r="O239" s="4">
        <v>2</v>
      </c>
      <c r="P239" s="4"/>
      <c r="Q239" s="4"/>
      <c r="R239" s="4"/>
      <c r="S239" s="4"/>
      <c r="T239" s="4"/>
      <c r="U239" s="4"/>
      <c r="V239" s="4"/>
      <c r="W239" s="4"/>
    </row>
    <row r="240" spans="1:23" x14ac:dyDescent="0.2">
      <c r="A240" s="4">
        <v>50</v>
      </c>
      <c r="B240" s="4">
        <v>0</v>
      </c>
      <c r="C240" s="4">
        <v>0</v>
      </c>
      <c r="D240" s="4">
        <v>1</v>
      </c>
      <c r="E240" s="4">
        <v>210</v>
      </c>
      <c r="F240" s="4">
        <f>ROUND(Source!X214,O240)</f>
        <v>239290.68</v>
      </c>
      <c r="G240" s="4" t="s">
        <v>137</v>
      </c>
      <c r="H240" s="4" t="s">
        <v>138</v>
      </c>
      <c r="I240" s="4"/>
      <c r="J240" s="4"/>
      <c r="K240" s="4">
        <v>210</v>
      </c>
      <c r="L240" s="4">
        <v>25</v>
      </c>
      <c r="M240" s="4">
        <v>3</v>
      </c>
      <c r="N240" s="4" t="s">
        <v>3</v>
      </c>
      <c r="O240" s="4">
        <v>2</v>
      </c>
      <c r="P240" s="4"/>
      <c r="Q240" s="4"/>
      <c r="R240" s="4"/>
      <c r="S240" s="4"/>
      <c r="T240" s="4"/>
      <c r="U240" s="4"/>
      <c r="V240" s="4"/>
      <c r="W240" s="4"/>
    </row>
    <row r="241" spans="1:245" x14ac:dyDescent="0.2">
      <c r="A241" s="4">
        <v>50</v>
      </c>
      <c r="B241" s="4">
        <v>0</v>
      </c>
      <c r="C241" s="4">
        <v>0</v>
      </c>
      <c r="D241" s="4">
        <v>1</v>
      </c>
      <c r="E241" s="4">
        <v>211</v>
      </c>
      <c r="F241" s="4">
        <f>ROUND(Source!Y214,O241)</f>
        <v>103807.1</v>
      </c>
      <c r="G241" s="4" t="s">
        <v>139</v>
      </c>
      <c r="H241" s="4" t="s">
        <v>140</v>
      </c>
      <c r="I241" s="4"/>
      <c r="J241" s="4"/>
      <c r="K241" s="4">
        <v>211</v>
      </c>
      <c r="L241" s="4">
        <v>26</v>
      </c>
      <c r="M241" s="4">
        <v>3</v>
      </c>
      <c r="N241" s="4" t="s">
        <v>3</v>
      </c>
      <c r="O241" s="4">
        <v>2</v>
      </c>
      <c r="P241" s="4"/>
      <c r="Q241" s="4"/>
      <c r="R241" s="4"/>
      <c r="S241" s="4"/>
      <c r="T241" s="4"/>
      <c r="U241" s="4"/>
      <c r="V241" s="4"/>
      <c r="W241" s="4"/>
    </row>
    <row r="242" spans="1:245" x14ac:dyDescent="0.2">
      <c r="A242" s="4">
        <v>50</v>
      </c>
      <c r="B242" s="4">
        <v>0</v>
      </c>
      <c r="C242" s="4">
        <v>0</v>
      </c>
      <c r="D242" s="4">
        <v>1</v>
      </c>
      <c r="E242" s="4">
        <v>224</v>
      </c>
      <c r="F242" s="4">
        <f>ROUND(Source!AR214,O242)</f>
        <v>3766956.63</v>
      </c>
      <c r="G242" s="4" t="s">
        <v>141</v>
      </c>
      <c r="H242" s="4" t="s">
        <v>142</v>
      </c>
      <c r="I242" s="4"/>
      <c r="J242" s="4"/>
      <c r="K242" s="4">
        <v>224</v>
      </c>
      <c r="L242" s="4">
        <v>27</v>
      </c>
      <c r="M242" s="4">
        <v>3</v>
      </c>
      <c r="N242" s="4" t="s">
        <v>3</v>
      </c>
      <c r="O242" s="4">
        <v>2</v>
      </c>
      <c r="P242" s="4"/>
      <c r="Q242" s="4"/>
      <c r="R242" s="4"/>
      <c r="S242" s="4"/>
      <c r="T242" s="4"/>
      <c r="U242" s="4"/>
      <c r="V242" s="4"/>
      <c r="W242" s="4"/>
    </row>
    <row r="243" spans="1:245" x14ac:dyDescent="0.2">
      <c r="A243" s="4">
        <v>50</v>
      </c>
      <c r="B243" s="4">
        <v>1</v>
      </c>
      <c r="C243" s="4">
        <v>0</v>
      </c>
      <c r="D243" s="4">
        <v>2</v>
      </c>
      <c r="E243" s="4">
        <v>0</v>
      </c>
      <c r="F243" s="4">
        <f>ROUND(F242*1.2,O243)</f>
        <v>4520347.96</v>
      </c>
      <c r="G243" s="4" t="s">
        <v>15</v>
      </c>
      <c r="H243" s="4" t="s">
        <v>239</v>
      </c>
      <c r="I243" s="4"/>
      <c r="J243" s="4"/>
      <c r="K243" s="4">
        <v>212</v>
      </c>
      <c r="L243" s="4">
        <v>28</v>
      </c>
      <c r="M243" s="4">
        <v>0</v>
      </c>
      <c r="N243" s="4" t="s">
        <v>3</v>
      </c>
      <c r="O243" s="4">
        <v>2</v>
      </c>
      <c r="P243" s="4"/>
      <c r="Q243" s="4"/>
      <c r="R243" s="4"/>
      <c r="S243" s="4"/>
      <c r="T243" s="4"/>
      <c r="U243" s="4"/>
      <c r="V243" s="4"/>
      <c r="W243" s="4"/>
    </row>
    <row r="245" spans="1:245" x14ac:dyDescent="0.2">
      <c r="A245" s="1">
        <v>4</v>
      </c>
      <c r="B245" s="1">
        <v>1</v>
      </c>
      <c r="C245" s="1"/>
      <c r="D245" s="1">
        <f>ROW(A259)</f>
        <v>259</v>
      </c>
      <c r="E245" s="1"/>
      <c r="F245" s="1" t="s">
        <v>13</v>
      </c>
      <c r="G245" s="1" t="s">
        <v>240</v>
      </c>
      <c r="H245" s="1" t="s">
        <v>3</v>
      </c>
      <c r="I245" s="1">
        <v>0</v>
      </c>
      <c r="J245" s="1"/>
      <c r="K245" s="1">
        <v>-1</v>
      </c>
      <c r="L245" s="1"/>
      <c r="M245" s="1"/>
      <c r="N245" s="1"/>
      <c r="O245" s="1"/>
      <c r="P245" s="1"/>
      <c r="Q245" s="1"/>
      <c r="R245" s="1"/>
      <c r="S245" s="1"/>
      <c r="T245" s="1"/>
      <c r="U245" s="1" t="s">
        <v>3</v>
      </c>
      <c r="V245" s="1">
        <v>0</v>
      </c>
      <c r="W245" s="1"/>
      <c r="X245" s="1"/>
      <c r="Y245" s="1"/>
      <c r="Z245" s="1"/>
      <c r="AA245" s="1"/>
      <c r="AB245" s="1" t="s">
        <v>3</v>
      </c>
      <c r="AC245" s="1" t="s">
        <v>3</v>
      </c>
      <c r="AD245" s="1" t="s">
        <v>3</v>
      </c>
      <c r="AE245" s="1" t="s">
        <v>3</v>
      </c>
      <c r="AF245" s="1" t="s">
        <v>3</v>
      </c>
      <c r="AG245" s="1" t="s">
        <v>3</v>
      </c>
      <c r="AH245" s="1"/>
      <c r="AI245" s="1"/>
      <c r="AJ245" s="1"/>
      <c r="AK245" s="1"/>
      <c r="AL245" s="1"/>
      <c r="AM245" s="1"/>
      <c r="AN245" s="1"/>
      <c r="AO245" s="1"/>
      <c r="AP245" s="1" t="s">
        <v>3</v>
      </c>
      <c r="AQ245" s="1" t="s">
        <v>3</v>
      </c>
      <c r="AR245" s="1" t="s">
        <v>3</v>
      </c>
      <c r="AS245" s="1"/>
      <c r="AT245" s="1"/>
      <c r="AU245" s="1"/>
      <c r="AV245" s="1"/>
      <c r="AW245" s="1"/>
      <c r="AX245" s="1"/>
      <c r="AY245" s="1"/>
      <c r="AZ245" s="1" t="s">
        <v>3</v>
      </c>
      <c r="BA245" s="1"/>
      <c r="BB245" s="1" t="s">
        <v>3</v>
      </c>
      <c r="BC245" s="1" t="s">
        <v>3</v>
      </c>
      <c r="BD245" s="1" t="s">
        <v>3</v>
      </c>
      <c r="BE245" s="1" t="s">
        <v>3</v>
      </c>
      <c r="BF245" s="1" t="s">
        <v>3</v>
      </c>
      <c r="BG245" s="1" t="s">
        <v>3</v>
      </c>
      <c r="BH245" s="1" t="s">
        <v>3</v>
      </c>
      <c r="BI245" s="1" t="s">
        <v>3</v>
      </c>
      <c r="BJ245" s="1" t="s">
        <v>3</v>
      </c>
      <c r="BK245" s="1" t="s">
        <v>3</v>
      </c>
      <c r="BL245" s="1" t="s">
        <v>3</v>
      </c>
      <c r="BM245" s="1" t="s">
        <v>3</v>
      </c>
      <c r="BN245" s="1" t="s">
        <v>3</v>
      </c>
      <c r="BO245" s="1" t="s">
        <v>3</v>
      </c>
      <c r="BP245" s="1" t="s">
        <v>3</v>
      </c>
      <c r="BQ245" s="1"/>
      <c r="BR245" s="1"/>
      <c r="BS245" s="1"/>
      <c r="BT245" s="1"/>
      <c r="BU245" s="1"/>
      <c r="BV245" s="1"/>
      <c r="BW245" s="1"/>
      <c r="BX245" s="1">
        <v>0</v>
      </c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>
        <v>0</v>
      </c>
    </row>
    <row r="247" spans="1:245" x14ac:dyDescent="0.2">
      <c r="A247" s="2">
        <v>52</v>
      </c>
      <c r="B247" s="2">
        <f t="shared" ref="B247:G247" si="215">B259</f>
        <v>1</v>
      </c>
      <c r="C247" s="2">
        <f t="shared" si="215"/>
        <v>4</v>
      </c>
      <c r="D247" s="2">
        <f t="shared" si="215"/>
        <v>245</v>
      </c>
      <c r="E247" s="2">
        <f t="shared" si="215"/>
        <v>0</v>
      </c>
      <c r="F247" s="2" t="str">
        <f t="shared" si="215"/>
        <v>Новый раздел</v>
      </c>
      <c r="G247" s="2" t="str">
        <f t="shared" si="215"/>
        <v>11. Камень бетонный садовый 2093м</v>
      </c>
      <c r="H247" s="2"/>
      <c r="I247" s="2"/>
      <c r="J247" s="2"/>
      <c r="K247" s="2"/>
      <c r="L247" s="2"/>
      <c r="M247" s="2"/>
      <c r="N247" s="2"/>
      <c r="O247" s="2">
        <f t="shared" ref="O247:AT247" si="216">O259</f>
        <v>1534990.61</v>
      </c>
      <c r="P247" s="2">
        <f t="shared" si="216"/>
        <v>712666.75</v>
      </c>
      <c r="Q247" s="2">
        <f t="shared" si="216"/>
        <v>12694.03</v>
      </c>
      <c r="R247" s="2">
        <f t="shared" si="216"/>
        <v>5468.23</v>
      </c>
      <c r="S247" s="2">
        <f t="shared" si="216"/>
        <v>809629.83</v>
      </c>
      <c r="T247" s="2">
        <f t="shared" si="216"/>
        <v>0</v>
      </c>
      <c r="U247" s="2">
        <f t="shared" si="216"/>
        <v>2971.1297033600003</v>
      </c>
      <c r="V247" s="2">
        <f t="shared" si="216"/>
        <v>0</v>
      </c>
      <c r="W247" s="2">
        <f t="shared" si="216"/>
        <v>0</v>
      </c>
      <c r="X247" s="2">
        <f t="shared" si="216"/>
        <v>778963.29</v>
      </c>
      <c r="Y247" s="2">
        <f t="shared" si="216"/>
        <v>379005.17</v>
      </c>
      <c r="Z247" s="2">
        <f t="shared" si="216"/>
        <v>0</v>
      </c>
      <c r="AA247" s="2">
        <f t="shared" si="216"/>
        <v>0</v>
      </c>
      <c r="AB247" s="2">
        <f t="shared" si="216"/>
        <v>1534990.61</v>
      </c>
      <c r="AC247" s="2">
        <f t="shared" si="216"/>
        <v>712666.75</v>
      </c>
      <c r="AD247" s="2">
        <f t="shared" si="216"/>
        <v>12694.03</v>
      </c>
      <c r="AE247" s="2">
        <f t="shared" si="216"/>
        <v>5468.23</v>
      </c>
      <c r="AF247" s="2">
        <f t="shared" si="216"/>
        <v>809629.83</v>
      </c>
      <c r="AG247" s="2">
        <f t="shared" si="216"/>
        <v>0</v>
      </c>
      <c r="AH247" s="2">
        <f t="shared" si="216"/>
        <v>2971.1297033600003</v>
      </c>
      <c r="AI247" s="2">
        <f t="shared" si="216"/>
        <v>0</v>
      </c>
      <c r="AJ247" s="2">
        <f t="shared" si="216"/>
        <v>0</v>
      </c>
      <c r="AK247" s="2">
        <f t="shared" si="216"/>
        <v>778963.29</v>
      </c>
      <c r="AL247" s="2">
        <f t="shared" si="216"/>
        <v>379005.17</v>
      </c>
      <c r="AM247" s="2">
        <f t="shared" si="216"/>
        <v>0</v>
      </c>
      <c r="AN247" s="2">
        <f t="shared" si="216"/>
        <v>0</v>
      </c>
      <c r="AO247" s="2">
        <f t="shared" si="216"/>
        <v>0</v>
      </c>
      <c r="AP247" s="2">
        <f t="shared" si="216"/>
        <v>0</v>
      </c>
      <c r="AQ247" s="2">
        <f t="shared" si="216"/>
        <v>0</v>
      </c>
      <c r="AR247" s="2">
        <f t="shared" si="216"/>
        <v>2701544.19</v>
      </c>
      <c r="AS247" s="2">
        <f t="shared" si="216"/>
        <v>2701544.19</v>
      </c>
      <c r="AT247" s="2">
        <f t="shared" si="216"/>
        <v>0</v>
      </c>
      <c r="AU247" s="2">
        <f t="shared" ref="AU247:BZ247" si="217">AU259</f>
        <v>0</v>
      </c>
      <c r="AV247" s="2">
        <f t="shared" si="217"/>
        <v>712666.75</v>
      </c>
      <c r="AW247" s="2">
        <f t="shared" si="217"/>
        <v>712666.75</v>
      </c>
      <c r="AX247" s="2">
        <f t="shared" si="217"/>
        <v>0</v>
      </c>
      <c r="AY247" s="2">
        <f t="shared" si="217"/>
        <v>712666.75</v>
      </c>
      <c r="AZ247" s="2">
        <f t="shared" si="217"/>
        <v>0</v>
      </c>
      <c r="BA247" s="2">
        <f t="shared" si="217"/>
        <v>0</v>
      </c>
      <c r="BB247" s="2">
        <f t="shared" si="217"/>
        <v>0</v>
      </c>
      <c r="BC247" s="2">
        <f t="shared" si="217"/>
        <v>0</v>
      </c>
      <c r="BD247" s="2">
        <f t="shared" si="217"/>
        <v>0</v>
      </c>
      <c r="BE247" s="2">
        <f t="shared" si="217"/>
        <v>0</v>
      </c>
      <c r="BF247" s="2">
        <f t="shared" si="217"/>
        <v>0</v>
      </c>
      <c r="BG247" s="2">
        <f t="shared" si="217"/>
        <v>0</v>
      </c>
      <c r="BH247" s="2">
        <f t="shared" si="217"/>
        <v>0</v>
      </c>
      <c r="BI247" s="2">
        <f t="shared" si="217"/>
        <v>0</v>
      </c>
      <c r="BJ247" s="2">
        <f t="shared" si="217"/>
        <v>0</v>
      </c>
      <c r="BK247" s="2">
        <f t="shared" si="217"/>
        <v>0</v>
      </c>
      <c r="BL247" s="2">
        <f t="shared" si="217"/>
        <v>0</v>
      </c>
      <c r="BM247" s="2">
        <f t="shared" si="217"/>
        <v>0</v>
      </c>
      <c r="BN247" s="2">
        <f t="shared" si="217"/>
        <v>0</v>
      </c>
      <c r="BO247" s="2">
        <f t="shared" si="217"/>
        <v>0</v>
      </c>
      <c r="BP247" s="2">
        <f t="shared" si="217"/>
        <v>0</v>
      </c>
      <c r="BQ247" s="2">
        <f t="shared" si="217"/>
        <v>0</v>
      </c>
      <c r="BR247" s="2">
        <f t="shared" si="217"/>
        <v>0</v>
      </c>
      <c r="BS247" s="2">
        <f t="shared" si="217"/>
        <v>0</v>
      </c>
      <c r="BT247" s="2">
        <f t="shared" si="217"/>
        <v>0</v>
      </c>
      <c r="BU247" s="2">
        <f t="shared" si="217"/>
        <v>0</v>
      </c>
      <c r="BV247" s="2">
        <f t="shared" si="217"/>
        <v>0</v>
      </c>
      <c r="BW247" s="2">
        <f t="shared" si="217"/>
        <v>0</v>
      </c>
      <c r="BX247" s="2">
        <f t="shared" si="217"/>
        <v>0</v>
      </c>
      <c r="BY247" s="2">
        <f t="shared" si="217"/>
        <v>0</v>
      </c>
      <c r="BZ247" s="2">
        <f t="shared" si="217"/>
        <v>0</v>
      </c>
      <c r="CA247" s="2">
        <f t="shared" ref="CA247:DF247" si="218">CA259</f>
        <v>2701544.19</v>
      </c>
      <c r="CB247" s="2">
        <f t="shared" si="218"/>
        <v>2701544.19</v>
      </c>
      <c r="CC247" s="2">
        <f t="shared" si="218"/>
        <v>0</v>
      </c>
      <c r="CD247" s="2">
        <f t="shared" si="218"/>
        <v>0</v>
      </c>
      <c r="CE247" s="2">
        <f t="shared" si="218"/>
        <v>712666.75</v>
      </c>
      <c r="CF247" s="2">
        <f t="shared" si="218"/>
        <v>712666.75</v>
      </c>
      <c r="CG247" s="2">
        <f t="shared" si="218"/>
        <v>0</v>
      </c>
      <c r="CH247" s="2">
        <f t="shared" si="218"/>
        <v>712666.75</v>
      </c>
      <c r="CI247" s="2">
        <f t="shared" si="218"/>
        <v>0</v>
      </c>
      <c r="CJ247" s="2">
        <f t="shared" si="218"/>
        <v>0</v>
      </c>
      <c r="CK247" s="2">
        <f t="shared" si="218"/>
        <v>0</v>
      </c>
      <c r="CL247" s="2">
        <f t="shared" si="218"/>
        <v>0</v>
      </c>
      <c r="CM247" s="2">
        <f t="shared" si="218"/>
        <v>0</v>
      </c>
      <c r="CN247" s="2">
        <f t="shared" si="218"/>
        <v>0</v>
      </c>
      <c r="CO247" s="2">
        <f t="shared" si="218"/>
        <v>0</v>
      </c>
      <c r="CP247" s="2">
        <f t="shared" si="218"/>
        <v>0</v>
      </c>
      <c r="CQ247" s="2">
        <f t="shared" si="218"/>
        <v>0</v>
      </c>
      <c r="CR247" s="2">
        <f t="shared" si="218"/>
        <v>0</v>
      </c>
      <c r="CS247" s="2">
        <f t="shared" si="218"/>
        <v>0</v>
      </c>
      <c r="CT247" s="2">
        <f t="shared" si="218"/>
        <v>0</v>
      </c>
      <c r="CU247" s="2">
        <f t="shared" si="218"/>
        <v>0</v>
      </c>
      <c r="CV247" s="2">
        <f t="shared" si="218"/>
        <v>0</v>
      </c>
      <c r="CW247" s="2">
        <f t="shared" si="218"/>
        <v>0</v>
      </c>
      <c r="CX247" s="2">
        <f t="shared" si="218"/>
        <v>0</v>
      </c>
      <c r="CY247" s="2">
        <f t="shared" si="218"/>
        <v>0</v>
      </c>
      <c r="CZ247" s="2">
        <f t="shared" si="218"/>
        <v>0</v>
      </c>
      <c r="DA247" s="2">
        <f t="shared" si="218"/>
        <v>0</v>
      </c>
      <c r="DB247" s="2">
        <f t="shared" si="218"/>
        <v>0</v>
      </c>
      <c r="DC247" s="2">
        <f t="shared" si="218"/>
        <v>0</v>
      </c>
      <c r="DD247" s="2">
        <f t="shared" si="218"/>
        <v>0</v>
      </c>
      <c r="DE247" s="2">
        <f t="shared" si="218"/>
        <v>0</v>
      </c>
      <c r="DF247" s="2">
        <f t="shared" si="218"/>
        <v>0</v>
      </c>
      <c r="DG247" s="3">
        <f t="shared" ref="DG247:EL247" si="219">DG259</f>
        <v>0</v>
      </c>
      <c r="DH247" s="3">
        <f t="shared" si="219"/>
        <v>0</v>
      </c>
      <c r="DI247" s="3">
        <f t="shared" si="219"/>
        <v>0</v>
      </c>
      <c r="DJ247" s="3">
        <f t="shared" si="219"/>
        <v>0</v>
      </c>
      <c r="DK247" s="3">
        <f t="shared" si="219"/>
        <v>0</v>
      </c>
      <c r="DL247" s="3">
        <f t="shared" si="219"/>
        <v>0</v>
      </c>
      <c r="DM247" s="3">
        <f t="shared" si="219"/>
        <v>0</v>
      </c>
      <c r="DN247" s="3">
        <f t="shared" si="219"/>
        <v>0</v>
      </c>
      <c r="DO247" s="3">
        <f t="shared" si="219"/>
        <v>0</v>
      </c>
      <c r="DP247" s="3">
        <f t="shared" si="219"/>
        <v>0</v>
      </c>
      <c r="DQ247" s="3">
        <f t="shared" si="219"/>
        <v>0</v>
      </c>
      <c r="DR247" s="3">
        <f t="shared" si="219"/>
        <v>0</v>
      </c>
      <c r="DS247" s="3">
        <f t="shared" si="219"/>
        <v>0</v>
      </c>
      <c r="DT247" s="3">
        <f t="shared" si="219"/>
        <v>0</v>
      </c>
      <c r="DU247" s="3">
        <f t="shared" si="219"/>
        <v>0</v>
      </c>
      <c r="DV247" s="3">
        <f t="shared" si="219"/>
        <v>0</v>
      </c>
      <c r="DW247" s="3">
        <f t="shared" si="219"/>
        <v>0</v>
      </c>
      <c r="DX247" s="3">
        <f t="shared" si="219"/>
        <v>0</v>
      </c>
      <c r="DY247" s="3">
        <f t="shared" si="219"/>
        <v>0</v>
      </c>
      <c r="DZ247" s="3">
        <f t="shared" si="219"/>
        <v>0</v>
      </c>
      <c r="EA247" s="3">
        <f t="shared" si="219"/>
        <v>0</v>
      </c>
      <c r="EB247" s="3">
        <f t="shared" si="219"/>
        <v>0</v>
      </c>
      <c r="EC247" s="3">
        <f t="shared" si="219"/>
        <v>0</v>
      </c>
      <c r="ED247" s="3">
        <f t="shared" si="219"/>
        <v>0</v>
      </c>
      <c r="EE247" s="3">
        <f t="shared" si="219"/>
        <v>0</v>
      </c>
      <c r="EF247" s="3">
        <f t="shared" si="219"/>
        <v>0</v>
      </c>
      <c r="EG247" s="3">
        <f t="shared" si="219"/>
        <v>0</v>
      </c>
      <c r="EH247" s="3">
        <f t="shared" si="219"/>
        <v>0</v>
      </c>
      <c r="EI247" s="3">
        <f t="shared" si="219"/>
        <v>0</v>
      </c>
      <c r="EJ247" s="3">
        <f t="shared" si="219"/>
        <v>0</v>
      </c>
      <c r="EK247" s="3">
        <f t="shared" si="219"/>
        <v>0</v>
      </c>
      <c r="EL247" s="3">
        <f t="shared" si="219"/>
        <v>0</v>
      </c>
      <c r="EM247" s="3">
        <f t="shared" ref="EM247:FR247" si="220">EM259</f>
        <v>0</v>
      </c>
      <c r="EN247" s="3">
        <f t="shared" si="220"/>
        <v>0</v>
      </c>
      <c r="EO247" s="3">
        <f t="shared" si="220"/>
        <v>0</v>
      </c>
      <c r="EP247" s="3">
        <f t="shared" si="220"/>
        <v>0</v>
      </c>
      <c r="EQ247" s="3">
        <f t="shared" si="220"/>
        <v>0</v>
      </c>
      <c r="ER247" s="3">
        <f t="shared" si="220"/>
        <v>0</v>
      </c>
      <c r="ES247" s="3">
        <f t="shared" si="220"/>
        <v>0</v>
      </c>
      <c r="ET247" s="3">
        <f t="shared" si="220"/>
        <v>0</v>
      </c>
      <c r="EU247" s="3">
        <f t="shared" si="220"/>
        <v>0</v>
      </c>
      <c r="EV247" s="3">
        <f t="shared" si="220"/>
        <v>0</v>
      </c>
      <c r="EW247" s="3">
        <f t="shared" si="220"/>
        <v>0</v>
      </c>
      <c r="EX247" s="3">
        <f t="shared" si="220"/>
        <v>0</v>
      </c>
      <c r="EY247" s="3">
        <f t="shared" si="220"/>
        <v>0</v>
      </c>
      <c r="EZ247" s="3">
        <f t="shared" si="220"/>
        <v>0</v>
      </c>
      <c r="FA247" s="3">
        <f t="shared" si="220"/>
        <v>0</v>
      </c>
      <c r="FB247" s="3">
        <f t="shared" si="220"/>
        <v>0</v>
      </c>
      <c r="FC247" s="3">
        <f t="shared" si="220"/>
        <v>0</v>
      </c>
      <c r="FD247" s="3">
        <f t="shared" si="220"/>
        <v>0</v>
      </c>
      <c r="FE247" s="3">
        <f t="shared" si="220"/>
        <v>0</v>
      </c>
      <c r="FF247" s="3">
        <f t="shared" si="220"/>
        <v>0</v>
      </c>
      <c r="FG247" s="3">
        <f t="shared" si="220"/>
        <v>0</v>
      </c>
      <c r="FH247" s="3">
        <f t="shared" si="220"/>
        <v>0</v>
      </c>
      <c r="FI247" s="3">
        <f t="shared" si="220"/>
        <v>0</v>
      </c>
      <c r="FJ247" s="3">
        <f t="shared" si="220"/>
        <v>0</v>
      </c>
      <c r="FK247" s="3">
        <f t="shared" si="220"/>
        <v>0</v>
      </c>
      <c r="FL247" s="3">
        <f t="shared" si="220"/>
        <v>0</v>
      </c>
      <c r="FM247" s="3">
        <f t="shared" si="220"/>
        <v>0</v>
      </c>
      <c r="FN247" s="3">
        <f t="shared" si="220"/>
        <v>0</v>
      </c>
      <c r="FO247" s="3">
        <f t="shared" si="220"/>
        <v>0</v>
      </c>
      <c r="FP247" s="3">
        <f t="shared" si="220"/>
        <v>0</v>
      </c>
      <c r="FQ247" s="3">
        <f t="shared" si="220"/>
        <v>0</v>
      </c>
      <c r="FR247" s="3">
        <f t="shared" si="220"/>
        <v>0</v>
      </c>
      <c r="FS247" s="3">
        <f t="shared" ref="FS247:GX247" si="221">FS259</f>
        <v>0</v>
      </c>
      <c r="FT247" s="3">
        <f t="shared" si="221"/>
        <v>0</v>
      </c>
      <c r="FU247" s="3">
        <f t="shared" si="221"/>
        <v>0</v>
      </c>
      <c r="FV247" s="3">
        <f t="shared" si="221"/>
        <v>0</v>
      </c>
      <c r="FW247" s="3">
        <f t="shared" si="221"/>
        <v>0</v>
      </c>
      <c r="FX247" s="3">
        <f t="shared" si="221"/>
        <v>0</v>
      </c>
      <c r="FY247" s="3">
        <f t="shared" si="221"/>
        <v>0</v>
      </c>
      <c r="FZ247" s="3">
        <f t="shared" si="221"/>
        <v>0</v>
      </c>
      <c r="GA247" s="3">
        <f t="shared" si="221"/>
        <v>0</v>
      </c>
      <c r="GB247" s="3">
        <f t="shared" si="221"/>
        <v>0</v>
      </c>
      <c r="GC247" s="3">
        <f t="shared" si="221"/>
        <v>0</v>
      </c>
      <c r="GD247" s="3">
        <f t="shared" si="221"/>
        <v>0</v>
      </c>
      <c r="GE247" s="3">
        <f t="shared" si="221"/>
        <v>0</v>
      </c>
      <c r="GF247" s="3">
        <f t="shared" si="221"/>
        <v>0</v>
      </c>
      <c r="GG247" s="3">
        <f t="shared" si="221"/>
        <v>0</v>
      </c>
      <c r="GH247" s="3">
        <f t="shared" si="221"/>
        <v>0</v>
      </c>
      <c r="GI247" s="3">
        <f t="shared" si="221"/>
        <v>0</v>
      </c>
      <c r="GJ247" s="3">
        <f t="shared" si="221"/>
        <v>0</v>
      </c>
      <c r="GK247" s="3">
        <f t="shared" si="221"/>
        <v>0</v>
      </c>
      <c r="GL247" s="3">
        <f t="shared" si="221"/>
        <v>0</v>
      </c>
      <c r="GM247" s="3">
        <f t="shared" si="221"/>
        <v>0</v>
      </c>
      <c r="GN247" s="3">
        <f t="shared" si="221"/>
        <v>0</v>
      </c>
      <c r="GO247" s="3">
        <f t="shared" si="221"/>
        <v>0</v>
      </c>
      <c r="GP247" s="3">
        <f t="shared" si="221"/>
        <v>0</v>
      </c>
      <c r="GQ247" s="3">
        <f t="shared" si="221"/>
        <v>0</v>
      </c>
      <c r="GR247" s="3">
        <f t="shared" si="221"/>
        <v>0</v>
      </c>
      <c r="GS247" s="3">
        <f t="shared" si="221"/>
        <v>0</v>
      </c>
      <c r="GT247" s="3">
        <f t="shared" si="221"/>
        <v>0</v>
      </c>
      <c r="GU247" s="3">
        <f t="shared" si="221"/>
        <v>0</v>
      </c>
      <c r="GV247" s="3">
        <f t="shared" si="221"/>
        <v>0</v>
      </c>
      <c r="GW247" s="3">
        <f t="shared" si="221"/>
        <v>0</v>
      </c>
      <c r="GX247" s="3">
        <f t="shared" si="221"/>
        <v>0</v>
      </c>
    </row>
    <row r="249" spans="1:245" x14ac:dyDescent="0.2">
      <c r="A249">
        <v>17</v>
      </c>
      <c r="B249">
        <v>1</v>
      </c>
      <c r="C249">
        <f>ROW(SmtRes!A121)</f>
        <v>121</v>
      </c>
      <c r="D249">
        <f>ROW(EtalonRes!A122)</f>
        <v>122</v>
      </c>
      <c r="E249" t="s">
        <v>241</v>
      </c>
      <c r="F249" t="s">
        <v>174</v>
      </c>
      <c r="G249" t="s">
        <v>175</v>
      </c>
      <c r="H249" t="s">
        <v>176</v>
      </c>
      <c r="I249">
        <f>ROUND(2093/100,5)</f>
        <v>20.93</v>
      </c>
      <c r="J249">
        <v>0</v>
      </c>
      <c r="O249">
        <f t="shared" ref="O249:O257" si="222">ROUND(CP249,2)</f>
        <v>440256.59</v>
      </c>
      <c r="P249">
        <f t="shared" ref="P249:P257" si="223">ROUND((ROUND((AC249*AW249*I249),2)*BC249),2)</f>
        <v>0</v>
      </c>
      <c r="Q249">
        <f t="shared" ref="Q249:Q257" si="224">(ROUND((ROUND(((ET249)*AV249*I249),2)*BB249),2)+ROUND((ROUND(((AE249-(EU249))*AV249*I249),2)*BS249),2))</f>
        <v>0</v>
      </c>
      <c r="R249">
        <f t="shared" ref="R249:R257" si="225">ROUND((ROUND((AE249*AV249*I249),2)*BS249),2)</f>
        <v>0</v>
      </c>
      <c r="S249">
        <f t="shared" ref="S249:S257" si="226">ROUND((ROUND((AF249*AV249*I249),2)*BA249),2)</f>
        <v>440256.59</v>
      </c>
      <c r="T249">
        <f t="shared" ref="T249:T257" si="227">ROUND(CU249*I249,2)</f>
        <v>0</v>
      </c>
      <c r="U249">
        <f t="shared" ref="U249:U257" si="228">CV249*I249</f>
        <v>1605.3310000000001</v>
      </c>
      <c r="V249">
        <f t="shared" ref="V249:V257" si="229">CW249*I249</f>
        <v>0</v>
      </c>
      <c r="W249">
        <f t="shared" ref="W249:W257" si="230">ROUND(CX249*I249,2)</f>
        <v>0</v>
      </c>
      <c r="X249">
        <f t="shared" ref="X249:X257" si="231">ROUND(CY249,2)</f>
        <v>299374.48</v>
      </c>
      <c r="Y249">
        <f t="shared" ref="Y249:Y257" si="232">ROUND(CZ249,2)</f>
        <v>180505.2</v>
      </c>
      <c r="AA249">
        <v>33989672</v>
      </c>
      <c r="AB249">
        <f t="shared" ref="AB249:AB257" si="233">ROUND((AC249+AD249+AF249),6)</f>
        <v>857.51</v>
      </c>
      <c r="AC249">
        <f t="shared" ref="AC249:AC257" si="234">ROUND((ES249),6)</f>
        <v>0</v>
      </c>
      <c r="AD249">
        <f t="shared" ref="AD249:AD257" si="235">ROUND((((ET249)-(EU249))+AE249),6)</f>
        <v>0</v>
      </c>
      <c r="AE249">
        <f t="shared" ref="AE249:AE257" si="236">ROUND((EU249),6)</f>
        <v>0</v>
      </c>
      <c r="AF249">
        <f t="shared" ref="AF249:AF257" si="237">ROUND((EV249),6)</f>
        <v>857.51</v>
      </c>
      <c r="AG249">
        <f t="shared" ref="AG249:AG257" si="238">ROUND((AP249),6)</f>
        <v>0</v>
      </c>
      <c r="AH249">
        <f t="shared" ref="AH249:AH257" si="239">(EW249)</f>
        <v>76.7</v>
      </c>
      <c r="AI249">
        <f t="shared" ref="AI249:AI257" si="240">(EX249)</f>
        <v>0</v>
      </c>
      <c r="AJ249">
        <f t="shared" ref="AJ249:AJ257" si="241">(AS249)</f>
        <v>0</v>
      </c>
      <c r="AK249">
        <v>857.51</v>
      </c>
      <c r="AL249">
        <v>0</v>
      </c>
      <c r="AM249">
        <v>0</v>
      </c>
      <c r="AN249">
        <v>0</v>
      </c>
      <c r="AO249">
        <v>857.51</v>
      </c>
      <c r="AP249">
        <v>0</v>
      </c>
      <c r="AQ249">
        <v>76.7</v>
      </c>
      <c r="AR249">
        <v>0</v>
      </c>
      <c r="AS249">
        <v>0</v>
      </c>
      <c r="AT249">
        <v>68</v>
      </c>
      <c r="AU249">
        <v>41</v>
      </c>
      <c r="AV249">
        <v>1</v>
      </c>
      <c r="AW249">
        <v>1</v>
      </c>
      <c r="AZ249">
        <v>1</v>
      </c>
      <c r="BA249">
        <v>24.53</v>
      </c>
      <c r="BB249">
        <v>1</v>
      </c>
      <c r="BC249">
        <v>1</v>
      </c>
      <c r="BD249" t="s">
        <v>3</v>
      </c>
      <c r="BE249" t="s">
        <v>3</v>
      </c>
      <c r="BF249" t="s">
        <v>3</v>
      </c>
      <c r="BG249" t="s">
        <v>3</v>
      </c>
      <c r="BH249">
        <v>0</v>
      </c>
      <c r="BI249">
        <v>1</v>
      </c>
      <c r="BJ249" t="s">
        <v>177</v>
      </c>
      <c r="BM249">
        <v>674</v>
      </c>
      <c r="BN249">
        <v>0</v>
      </c>
      <c r="BO249" t="s">
        <v>174</v>
      </c>
      <c r="BP249">
        <v>1</v>
      </c>
      <c r="BQ249">
        <v>60</v>
      </c>
      <c r="BR249">
        <v>0</v>
      </c>
      <c r="BS249">
        <v>24.53</v>
      </c>
      <c r="BT249">
        <v>1</v>
      </c>
      <c r="BU249">
        <v>1</v>
      </c>
      <c r="BV249">
        <v>1</v>
      </c>
      <c r="BW249">
        <v>1</v>
      </c>
      <c r="BX249">
        <v>1</v>
      </c>
      <c r="BY249" t="s">
        <v>3</v>
      </c>
      <c r="BZ249">
        <v>68</v>
      </c>
      <c r="CA249">
        <v>41</v>
      </c>
      <c r="CE249">
        <v>30</v>
      </c>
      <c r="CF249">
        <v>0</v>
      </c>
      <c r="CG249">
        <v>0</v>
      </c>
      <c r="CM249">
        <v>0</v>
      </c>
      <c r="CN249" t="s">
        <v>3</v>
      </c>
      <c r="CO249">
        <v>0</v>
      </c>
      <c r="CP249">
        <f t="shared" ref="CP249:CP257" si="242">(P249+Q249+S249)</f>
        <v>440256.59</v>
      </c>
      <c r="CQ249">
        <f t="shared" ref="CQ249:CQ257" si="243">ROUND((ROUND((AC249*AW249*1),2)*BC249),2)</f>
        <v>0</v>
      </c>
      <c r="CR249">
        <f t="shared" ref="CR249:CR257" si="244">(ROUND((ROUND(((ET249)*AV249*1),2)*BB249),2)+ROUND((ROUND(((AE249-(EU249))*AV249*1),2)*BS249),2))</f>
        <v>0</v>
      </c>
      <c r="CS249">
        <f t="shared" ref="CS249:CS257" si="245">ROUND((ROUND((AE249*AV249*1),2)*BS249),2)</f>
        <v>0</v>
      </c>
      <c r="CT249">
        <f t="shared" ref="CT249:CT257" si="246">ROUND((ROUND((AF249*AV249*1),2)*BA249),2)</f>
        <v>21034.720000000001</v>
      </c>
      <c r="CU249">
        <f t="shared" ref="CU249:CU257" si="247">AG249</f>
        <v>0</v>
      </c>
      <c r="CV249">
        <f t="shared" ref="CV249:CV257" si="248">(AH249*AV249)</f>
        <v>76.7</v>
      </c>
      <c r="CW249">
        <f t="shared" ref="CW249:CW257" si="249">AI249</f>
        <v>0</v>
      </c>
      <c r="CX249">
        <f t="shared" ref="CX249:CX257" si="250">AJ249</f>
        <v>0</v>
      </c>
      <c r="CY249">
        <f t="shared" ref="CY249:CY257" si="251">S249*(BZ249/100)</f>
        <v>299374.48120000004</v>
      </c>
      <c r="CZ249">
        <f t="shared" ref="CZ249:CZ257" si="252">S249*(CA249/100)</f>
        <v>180505.20189999999</v>
      </c>
      <c r="DC249" t="s">
        <v>3</v>
      </c>
      <c r="DD249" t="s">
        <v>3</v>
      </c>
      <c r="DE249" t="s">
        <v>3</v>
      </c>
      <c r="DF249" t="s">
        <v>3</v>
      </c>
      <c r="DG249" t="s">
        <v>3</v>
      </c>
      <c r="DH249" t="s">
        <v>3</v>
      </c>
      <c r="DI249" t="s">
        <v>3</v>
      </c>
      <c r="DJ249" t="s">
        <v>3</v>
      </c>
      <c r="DK249" t="s">
        <v>3</v>
      </c>
      <c r="DL249" t="s">
        <v>3</v>
      </c>
      <c r="DM249" t="s">
        <v>3</v>
      </c>
      <c r="DN249">
        <v>80</v>
      </c>
      <c r="DO249">
        <v>55</v>
      </c>
      <c r="DP249">
        <v>1</v>
      </c>
      <c r="DQ249">
        <v>1</v>
      </c>
      <c r="DU249">
        <v>1003</v>
      </c>
      <c r="DV249" t="s">
        <v>176</v>
      </c>
      <c r="DW249" t="s">
        <v>176</v>
      </c>
      <c r="DX249">
        <v>100</v>
      </c>
      <c r="EE249">
        <v>33798313</v>
      </c>
      <c r="EF249">
        <v>60</v>
      </c>
      <c r="EG249" t="s">
        <v>20</v>
      </c>
      <c r="EH249">
        <v>0</v>
      </c>
      <c r="EI249" t="s">
        <v>3</v>
      </c>
      <c r="EJ249">
        <v>1</v>
      </c>
      <c r="EK249">
        <v>674</v>
      </c>
      <c r="EL249" t="s">
        <v>33</v>
      </c>
      <c r="EM249" t="s">
        <v>34</v>
      </c>
      <c r="EO249" t="s">
        <v>3</v>
      </c>
      <c r="EQ249">
        <v>131072</v>
      </c>
      <c r="ER249">
        <v>857.51</v>
      </c>
      <c r="ES249">
        <v>0</v>
      </c>
      <c r="ET249">
        <v>0</v>
      </c>
      <c r="EU249">
        <v>0</v>
      </c>
      <c r="EV249">
        <v>857.51</v>
      </c>
      <c r="EW249">
        <v>76.7</v>
      </c>
      <c r="EX249">
        <v>0</v>
      </c>
      <c r="EY249">
        <v>0</v>
      </c>
      <c r="FQ249">
        <v>0</v>
      </c>
      <c r="FR249">
        <f t="shared" ref="FR249:FR257" si="253">ROUND(IF(AND(BH249=3,BI249=3),P249,0),2)</f>
        <v>0</v>
      </c>
      <c r="FS249">
        <v>0</v>
      </c>
      <c r="FX249">
        <v>80</v>
      </c>
      <c r="FY249">
        <v>55</v>
      </c>
      <c r="GA249" t="s">
        <v>3</v>
      </c>
      <c r="GD249">
        <v>0</v>
      </c>
      <c r="GF249">
        <v>-306614759</v>
      </c>
      <c r="GG249">
        <v>2</v>
      </c>
      <c r="GH249">
        <v>1</v>
      </c>
      <c r="GI249">
        <v>2</v>
      </c>
      <c r="GJ249">
        <v>0</v>
      </c>
      <c r="GK249">
        <f>ROUND(R249*(R12)/100,2)</f>
        <v>0</v>
      </c>
      <c r="GL249">
        <f t="shared" ref="GL249:GL257" si="254">ROUND(IF(AND(BH249=3,BI249=3,FS249&lt;&gt;0),P249,0),2)</f>
        <v>0</v>
      </c>
      <c r="GM249">
        <f t="shared" ref="GM249:GM257" si="255">ROUND(O249+X249+Y249+GK249,2)+GX249</f>
        <v>920136.27</v>
      </c>
      <c r="GN249">
        <f t="shared" ref="GN249:GN257" si="256">IF(OR(BI249=0,BI249=1),ROUND(O249+X249+Y249+GK249,2),0)</f>
        <v>920136.27</v>
      </c>
      <c r="GO249">
        <f t="shared" ref="GO249:GO257" si="257">IF(BI249=2,ROUND(O249+X249+Y249+GK249,2),0)</f>
        <v>0</v>
      </c>
      <c r="GP249">
        <f t="shared" ref="GP249:GP257" si="258">IF(BI249=4,ROUND(O249+X249+Y249+GK249,2)+GX249,0)</f>
        <v>0</v>
      </c>
      <c r="GR249">
        <v>0</v>
      </c>
      <c r="GS249">
        <v>3</v>
      </c>
      <c r="GT249">
        <v>0</v>
      </c>
      <c r="GU249" t="s">
        <v>3</v>
      </c>
      <c r="GV249">
        <f t="shared" ref="GV249:GV257" si="259">ROUND((GT249),6)</f>
        <v>0</v>
      </c>
      <c r="GW249">
        <v>1</v>
      </c>
      <c r="GX249">
        <f t="shared" ref="GX249:GX257" si="260">ROUND(HC249*I249,2)</f>
        <v>0</v>
      </c>
      <c r="HA249">
        <v>0</v>
      </c>
      <c r="HB249">
        <v>0</v>
      </c>
      <c r="HC249">
        <f t="shared" ref="HC249:HC257" si="261">GV249*GW249</f>
        <v>0</v>
      </c>
      <c r="IK249">
        <v>0</v>
      </c>
    </row>
    <row r="250" spans="1:245" x14ac:dyDescent="0.2">
      <c r="A250">
        <v>17</v>
      </c>
      <c r="B250">
        <v>1</v>
      </c>
      <c r="C250">
        <f>ROW(SmtRes!A122)</f>
        <v>122</v>
      </c>
      <c r="D250">
        <f>ROW(EtalonRes!A123)</f>
        <v>123</v>
      </c>
      <c r="E250" t="s">
        <v>242</v>
      </c>
      <c r="F250" t="s">
        <v>36</v>
      </c>
      <c r="G250" t="s">
        <v>37</v>
      </c>
      <c r="H250" t="s">
        <v>38</v>
      </c>
      <c r="I250">
        <f>ROUND(2093*(0.058*0.8+0.016)*2.4*0.1,9)</f>
        <v>31.344767999999998</v>
      </c>
      <c r="J250">
        <v>0</v>
      </c>
      <c r="O250">
        <f t="shared" si="222"/>
        <v>7396.78</v>
      </c>
      <c r="P250">
        <f t="shared" si="223"/>
        <v>0</v>
      </c>
      <c r="Q250">
        <f t="shared" si="224"/>
        <v>0</v>
      </c>
      <c r="R250">
        <f t="shared" si="225"/>
        <v>0</v>
      </c>
      <c r="S250">
        <f t="shared" si="226"/>
        <v>7396.78</v>
      </c>
      <c r="T250">
        <f t="shared" si="227"/>
        <v>0</v>
      </c>
      <c r="U250">
        <f t="shared" si="228"/>
        <v>31.971663359999997</v>
      </c>
      <c r="V250">
        <f t="shared" si="229"/>
        <v>0</v>
      </c>
      <c r="W250">
        <f t="shared" si="230"/>
        <v>0</v>
      </c>
      <c r="X250">
        <f t="shared" si="231"/>
        <v>5399.65</v>
      </c>
      <c r="Y250">
        <f t="shared" si="232"/>
        <v>3032.68</v>
      </c>
      <c r="AA250">
        <v>33989672</v>
      </c>
      <c r="AB250">
        <f t="shared" si="233"/>
        <v>9.6199999999999992</v>
      </c>
      <c r="AC250">
        <f t="shared" si="234"/>
        <v>0</v>
      </c>
      <c r="AD250">
        <f t="shared" si="235"/>
        <v>0</v>
      </c>
      <c r="AE250">
        <f t="shared" si="236"/>
        <v>0</v>
      </c>
      <c r="AF250">
        <f t="shared" si="237"/>
        <v>9.6199999999999992</v>
      </c>
      <c r="AG250">
        <f t="shared" si="238"/>
        <v>0</v>
      </c>
      <c r="AH250">
        <f t="shared" si="239"/>
        <v>1.02</v>
      </c>
      <c r="AI250">
        <f t="shared" si="240"/>
        <v>0</v>
      </c>
      <c r="AJ250">
        <f t="shared" si="241"/>
        <v>0</v>
      </c>
      <c r="AK250">
        <v>9.6199999999999992</v>
      </c>
      <c r="AL250">
        <v>0</v>
      </c>
      <c r="AM250">
        <v>0</v>
      </c>
      <c r="AN250">
        <v>0</v>
      </c>
      <c r="AO250">
        <v>9.6199999999999992</v>
      </c>
      <c r="AP250">
        <v>0</v>
      </c>
      <c r="AQ250">
        <v>1.02</v>
      </c>
      <c r="AR250">
        <v>0</v>
      </c>
      <c r="AS250">
        <v>0</v>
      </c>
      <c r="AT250">
        <v>73</v>
      </c>
      <c r="AU250">
        <v>41</v>
      </c>
      <c r="AV250">
        <v>1</v>
      </c>
      <c r="AW250">
        <v>1</v>
      </c>
      <c r="AZ250">
        <v>1</v>
      </c>
      <c r="BA250">
        <v>24.53</v>
      </c>
      <c r="BB250">
        <v>1</v>
      </c>
      <c r="BC250">
        <v>1</v>
      </c>
      <c r="BD250" t="s">
        <v>3</v>
      </c>
      <c r="BE250" t="s">
        <v>3</v>
      </c>
      <c r="BF250" t="s">
        <v>3</v>
      </c>
      <c r="BG250" t="s">
        <v>3</v>
      </c>
      <c r="BH250">
        <v>0</v>
      </c>
      <c r="BI250">
        <v>1</v>
      </c>
      <c r="BJ250" t="s">
        <v>39</v>
      </c>
      <c r="BM250">
        <v>682</v>
      </c>
      <c r="BN250">
        <v>0</v>
      </c>
      <c r="BO250" t="s">
        <v>36</v>
      </c>
      <c r="BP250">
        <v>1</v>
      </c>
      <c r="BQ250">
        <v>60</v>
      </c>
      <c r="BR250">
        <v>0</v>
      </c>
      <c r="BS250">
        <v>24.53</v>
      </c>
      <c r="BT250">
        <v>1</v>
      </c>
      <c r="BU250">
        <v>1</v>
      </c>
      <c r="BV250">
        <v>1</v>
      </c>
      <c r="BW250">
        <v>1</v>
      </c>
      <c r="BX250">
        <v>1</v>
      </c>
      <c r="BY250" t="s">
        <v>3</v>
      </c>
      <c r="BZ250">
        <v>73</v>
      </c>
      <c r="CA250">
        <v>41</v>
      </c>
      <c r="CE250">
        <v>30</v>
      </c>
      <c r="CF250">
        <v>0</v>
      </c>
      <c r="CG250">
        <v>0</v>
      </c>
      <c r="CM250">
        <v>0</v>
      </c>
      <c r="CN250" t="s">
        <v>3</v>
      </c>
      <c r="CO250">
        <v>0</v>
      </c>
      <c r="CP250">
        <f t="shared" si="242"/>
        <v>7396.78</v>
      </c>
      <c r="CQ250">
        <f t="shared" si="243"/>
        <v>0</v>
      </c>
      <c r="CR250">
        <f t="shared" si="244"/>
        <v>0</v>
      </c>
      <c r="CS250">
        <f t="shared" si="245"/>
        <v>0</v>
      </c>
      <c r="CT250">
        <f t="shared" si="246"/>
        <v>235.98</v>
      </c>
      <c r="CU250">
        <f t="shared" si="247"/>
        <v>0</v>
      </c>
      <c r="CV250">
        <f t="shared" si="248"/>
        <v>1.02</v>
      </c>
      <c r="CW250">
        <f t="shared" si="249"/>
        <v>0</v>
      </c>
      <c r="CX250">
        <f t="shared" si="250"/>
        <v>0</v>
      </c>
      <c r="CY250">
        <f t="shared" si="251"/>
        <v>5399.6493999999993</v>
      </c>
      <c r="CZ250">
        <f t="shared" si="252"/>
        <v>3032.6797999999999</v>
      </c>
      <c r="DC250" t="s">
        <v>3</v>
      </c>
      <c r="DD250" t="s">
        <v>3</v>
      </c>
      <c r="DE250" t="s">
        <v>3</v>
      </c>
      <c r="DF250" t="s">
        <v>3</v>
      </c>
      <c r="DG250" t="s">
        <v>3</v>
      </c>
      <c r="DH250" t="s">
        <v>3</v>
      </c>
      <c r="DI250" t="s">
        <v>3</v>
      </c>
      <c r="DJ250" t="s">
        <v>3</v>
      </c>
      <c r="DK250" t="s">
        <v>3</v>
      </c>
      <c r="DL250" t="s">
        <v>3</v>
      </c>
      <c r="DM250" t="s">
        <v>3</v>
      </c>
      <c r="DN250">
        <v>91</v>
      </c>
      <c r="DO250">
        <v>70</v>
      </c>
      <c r="DP250">
        <v>1</v>
      </c>
      <c r="DQ250">
        <v>1</v>
      </c>
      <c r="DU250">
        <v>1013</v>
      </c>
      <c r="DV250" t="s">
        <v>38</v>
      </c>
      <c r="DW250" t="s">
        <v>38</v>
      </c>
      <c r="DX250">
        <v>1</v>
      </c>
      <c r="EE250">
        <v>33798321</v>
      </c>
      <c r="EF250">
        <v>60</v>
      </c>
      <c r="EG250" t="s">
        <v>20</v>
      </c>
      <c r="EH250">
        <v>0</v>
      </c>
      <c r="EI250" t="s">
        <v>3</v>
      </c>
      <c r="EJ250">
        <v>1</v>
      </c>
      <c r="EK250">
        <v>682</v>
      </c>
      <c r="EL250" t="s">
        <v>40</v>
      </c>
      <c r="EM250" t="s">
        <v>41</v>
      </c>
      <c r="EO250" t="s">
        <v>3</v>
      </c>
      <c r="EQ250">
        <v>2490368</v>
      </c>
      <c r="ER250">
        <v>9.6199999999999992</v>
      </c>
      <c r="ES250">
        <v>0</v>
      </c>
      <c r="ET250">
        <v>0</v>
      </c>
      <c r="EU250">
        <v>0</v>
      </c>
      <c r="EV250">
        <v>9.6199999999999992</v>
      </c>
      <c r="EW250">
        <v>1.02</v>
      </c>
      <c r="EX250">
        <v>0</v>
      </c>
      <c r="EY250">
        <v>0</v>
      </c>
      <c r="FQ250">
        <v>0</v>
      </c>
      <c r="FR250">
        <f t="shared" si="253"/>
        <v>0</v>
      </c>
      <c r="FS250">
        <v>0</v>
      </c>
      <c r="FX250">
        <v>91</v>
      </c>
      <c r="FY250">
        <v>70</v>
      </c>
      <c r="GA250" t="s">
        <v>3</v>
      </c>
      <c r="GD250">
        <v>0</v>
      </c>
      <c r="GF250">
        <v>903638064</v>
      </c>
      <c r="GG250">
        <v>2</v>
      </c>
      <c r="GH250">
        <v>1</v>
      </c>
      <c r="GI250">
        <v>2</v>
      </c>
      <c r="GJ250">
        <v>0</v>
      </c>
      <c r="GK250">
        <f>ROUND(R250*(R12)/100,2)</f>
        <v>0</v>
      </c>
      <c r="GL250">
        <f t="shared" si="254"/>
        <v>0</v>
      </c>
      <c r="GM250">
        <f t="shared" si="255"/>
        <v>15829.11</v>
      </c>
      <c r="GN250">
        <f t="shared" si="256"/>
        <v>15829.11</v>
      </c>
      <c r="GO250">
        <f t="shared" si="257"/>
        <v>0</v>
      </c>
      <c r="GP250">
        <f t="shared" si="258"/>
        <v>0</v>
      </c>
      <c r="GR250">
        <v>0</v>
      </c>
      <c r="GS250">
        <v>3</v>
      </c>
      <c r="GT250">
        <v>0</v>
      </c>
      <c r="GU250" t="s">
        <v>3</v>
      </c>
      <c r="GV250">
        <f t="shared" si="259"/>
        <v>0</v>
      </c>
      <c r="GW250">
        <v>1</v>
      </c>
      <c r="GX250">
        <f t="shared" si="260"/>
        <v>0</v>
      </c>
      <c r="HA250">
        <v>0</v>
      </c>
      <c r="HB250">
        <v>0</v>
      </c>
      <c r="HC250">
        <f t="shared" si="261"/>
        <v>0</v>
      </c>
      <c r="IK250">
        <v>0</v>
      </c>
    </row>
    <row r="251" spans="1:245" x14ac:dyDescent="0.2">
      <c r="A251">
        <v>17</v>
      </c>
      <c r="B251">
        <v>1</v>
      </c>
      <c r="C251">
        <f>ROW(SmtRes!A123)</f>
        <v>123</v>
      </c>
      <c r="D251">
        <f>ROW(EtalonRes!A124)</f>
        <v>124</v>
      </c>
      <c r="E251" t="s">
        <v>243</v>
      </c>
      <c r="F251" t="s">
        <v>43</v>
      </c>
      <c r="G251" t="s">
        <v>44</v>
      </c>
      <c r="H251" t="s">
        <v>38</v>
      </c>
      <c r="I251">
        <v>0</v>
      </c>
      <c r="J251">
        <v>0</v>
      </c>
      <c r="O251">
        <f t="shared" si="222"/>
        <v>0</v>
      </c>
      <c r="P251">
        <f t="shared" si="223"/>
        <v>0</v>
      </c>
      <c r="Q251">
        <f t="shared" si="224"/>
        <v>0</v>
      </c>
      <c r="R251">
        <f t="shared" si="225"/>
        <v>0</v>
      </c>
      <c r="S251">
        <f t="shared" si="226"/>
        <v>0</v>
      </c>
      <c r="T251">
        <f t="shared" si="227"/>
        <v>0</v>
      </c>
      <c r="U251">
        <f t="shared" si="228"/>
        <v>0</v>
      </c>
      <c r="V251">
        <f t="shared" si="229"/>
        <v>0</v>
      </c>
      <c r="W251">
        <f t="shared" si="230"/>
        <v>0</v>
      </c>
      <c r="X251">
        <f t="shared" si="231"/>
        <v>0</v>
      </c>
      <c r="Y251">
        <f t="shared" si="232"/>
        <v>0</v>
      </c>
      <c r="AA251">
        <v>33989672</v>
      </c>
      <c r="AB251">
        <f t="shared" si="233"/>
        <v>8.86</v>
      </c>
      <c r="AC251">
        <f t="shared" si="234"/>
        <v>0</v>
      </c>
      <c r="AD251">
        <f t="shared" si="235"/>
        <v>8.86</v>
      </c>
      <c r="AE251">
        <f t="shared" si="236"/>
        <v>1.48</v>
      </c>
      <c r="AF251">
        <f t="shared" si="237"/>
        <v>0</v>
      </c>
      <c r="AG251">
        <f t="shared" si="238"/>
        <v>0</v>
      </c>
      <c r="AH251">
        <f t="shared" si="239"/>
        <v>0</v>
      </c>
      <c r="AI251">
        <f t="shared" si="240"/>
        <v>0</v>
      </c>
      <c r="AJ251">
        <f t="shared" si="241"/>
        <v>0</v>
      </c>
      <c r="AK251">
        <v>8.86</v>
      </c>
      <c r="AL251">
        <v>0</v>
      </c>
      <c r="AM251">
        <v>8.86</v>
      </c>
      <c r="AN251">
        <v>1.48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73</v>
      </c>
      <c r="AU251">
        <v>41</v>
      </c>
      <c r="AV251">
        <v>1</v>
      </c>
      <c r="AW251">
        <v>1</v>
      </c>
      <c r="AZ251">
        <v>1</v>
      </c>
      <c r="BA251">
        <v>24.53</v>
      </c>
      <c r="BB251">
        <v>8.83</v>
      </c>
      <c r="BC251">
        <v>1</v>
      </c>
      <c r="BD251" t="s">
        <v>3</v>
      </c>
      <c r="BE251" t="s">
        <v>3</v>
      </c>
      <c r="BF251" t="s">
        <v>3</v>
      </c>
      <c r="BG251" t="s">
        <v>3</v>
      </c>
      <c r="BH251">
        <v>0</v>
      </c>
      <c r="BI251">
        <v>1</v>
      </c>
      <c r="BJ251" t="s">
        <v>45</v>
      </c>
      <c r="BM251">
        <v>658</v>
      </c>
      <c r="BN251">
        <v>0</v>
      </c>
      <c r="BO251" t="s">
        <v>43</v>
      </c>
      <c r="BP251">
        <v>1</v>
      </c>
      <c r="BQ251">
        <v>60</v>
      </c>
      <c r="BR251">
        <v>0</v>
      </c>
      <c r="BS251">
        <v>24.53</v>
      </c>
      <c r="BT251">
        <v>1</v>
      </c>
      <c r="BU251">
        <v>1</v>
      </c>
      <c r="BV251">
        <v>1</v>
      </c>
      <c r="BW251">
        <v>1</v>
      </c>
      <c r="BX251">
        <v>1</v>
      </c>
      <c r="BY251" t="s">
        <v>3</v>
      </c>
      <c r="BZ251">
        <v>73</v>
      </c>
      <c r="CA251">
        <v>41</v>
      </c>
      <c r="CE251">
        <v>30</v>
      </c>
      <c r="CF251">
        <v>0</v>
      </c>
      <c r="CG251">
        <v>0</v>
      </c>
      <c r="CM251">
        <v>0</v>
      </c>
      <c r="CN251" t="s">
        <v>3</v>
      </c>
      <c r="CO251">
        <v>0</v>
      </c>
      <c r="CP251">
        <f t="shared" si="242"/>
        <v>0</v>
      </c>
      <c r="CQ251">
        <f t="shared" si="243"/>
        <v>0</v>
      </c>
      <c r="CR251">
        <f t="shared" si="244"/>
        <v>78.23</v>
      </c>
      <c r="CS251">
        <f t="shared" si="245"/>
        <v>36.299999999999997</v>
      </c>
      <c r="CT251">
        <f t="shared" si="246"/>
        <v>0</v>
      </c>
      <c r="CU251">
        <f t="shared" si="247"/>
        <v>0</v>
      </c>
      <c r="CV251">
        <f t="shared" si="248"/>
        <v>0</v>
      </c>
      <c r="CW251">
        <f t="shared" si="249"/>
        <v>0</v>
      </c>
      <c r="CX251">
        <f t="shared" si="250"/>
        <v>0</v>
      </c>
      <c r="CY251">
        <f t="shared" si="251"/>
        <v>0</v>
      </c>
      <c r="CZ251">
        <f t="shared" si="252"/>
        <v>0</v>
      </c>
      <c r="DC251" t="s">
        <v>3</v>
      </c>
      <c r="DD251" t="s">
        <v>3</v>
      </c>
      <c r="DE251" t="s">
        <v>3</v>
      </c>
      <c r="DF251" t="s">
        <v>3</v>
      </c>
      <c r="DG251" t="s">
        <v>3</v>
      </c>
      <c r="DH251" t="s">
        <v>3</v>
      </c>
      <c r="DI251" t="s">
        <v>3</v>
      </c>
      <c r="DJ251" t="s">
        <v>3</v>
      </c>
      <c r="DK251" t="s">
        <v>3</v>
      </c>
      <c r="DL251" t="s">
        <v>3</v>
      </c>
      <c r="DM251" t="s">
        <v>3</v>
      </c>
      <c r="DN251">
        <v>91</v>
      </c>
      <c r="DO251">
        <v>70</v>
      </c>
      <c r="DP251">
        <v>1</v>
      </c>
      <c r="DQ251">
        <v>1</v>
      </c>
      <c r="DU251">
        <v>1013</v>
      </c>
      <c r="DV251" t="s">
        <v>38</v>
      </c>
      <c r="DW251" t="s">
        <v>38</v>
      </c>
      <c r="DX251">
        <v>1</v>
      </c>
      <c r="EE251">
        <v>33798297</v>
      </c>
      <c r="EF251">
        <v>60</v>
      </c>
      <c r="EG251" t="s">
        <v>20</v>
      </c>
      <c r="EH251">
        <v>0</v>
      </c>
      <c r="EI251" t="s">
        <v>3</v>
      </c>
      <c r="EJ251">
        <v>1</v>
      </c>
      <c r="EK251">
        <v>658</v>
      </c>
      <c r="EL251" t="s">
        <v>46</v>
      </c>
      <c r="EM251" t="s">
        <v>47</v>
      </c>
      <c r="EO251" t="s">
        <v>3</v>
      </c>
      <c r="EQ251">
        <v>131072</v>
      </c>
      <c r="ER251">
        <v>8.86</v>
      </c>
      <c r="ES251">
        <v>0</v>
      </c>
      <c r="ET251">
        <v>8.86</v>
      </c>
      <c r="EU251">
        <v>1.48</v>
      </c>
      <c r="EV251">
        <v>0</v>
      </c>
      <c r="EW251">
        <v>0</v>
      </c>
      <c r="EX251">
        <v>0</v>
      </c>
      <c r="EY251">
        <v>0</v>
      </c>
      <c r="FQ251">
        <v>0</v>
      </c>
      <c r="FR251">
        <f t="shared" si="253"/>
        <v>0</v>
      </c>
      <c r="FS251">
        <v>0</v>
      </c>
      <c r="FX251">
        <v>91</v>
      </c>
      <c r="FY251">
        <v>70</v>
      </c>
      <c r="GA251" t="s">
        <v>3</v>
      </c>
      <c r="GD251">
        <v>0</v>
      </c>
      <c r="GF251">
        <v>-1983005167</v>
      </c>
      <c r="GG251">
        <v>2</v>
      </c>
      <c r="GH251">
        <v>1</v>
      </c>
      <c r="GI251">
        <v>2</v>
      </c>
      <c r="GJ251">
        <v>0</v>
      </c>
      <c r="GK251">
        <f>ROUND(R251*(R12)/100,2)</f>
        <v>0</v>
      </c>
      <c r="GL251">
        <f t="shared" si="254"/>
        <v>0</v>
      </c>
      <c r="GM251">
        <f t="shared" si="255"/>
        <v>0</v>
      </c>
      <c r="GN251">
        <f t="shared" si="256"/>
        <v>0</v>
      </c>
      <c r="GO251">
        <f t="shared" si="257"/>
        <v>0</v>
      </c>
      <c r="GP251">
        <f t="shared" si="258"/>
        <v>0</v>
      </c>
      <c r="GR251">
        <v>0</v>
      </c>
      <c r="GS251">
        <v>3</v>
      </c>
      <c r="GT251">
        <v>0</v>
      </c>
      <c r="GU251" t="s">
        <v>3</v>
      </c>
      <c r="GV251">
        <f t="shared" si="259"/>
        <v>0</v>
      </c>
      <c r="GW251">
        <v>1</v>
      </c>
      <c r="GX251">
        <f t="shared" si="260"/>
        <v>0</v>
      </c>
      <c r="HA251">
        <v>0</v>
      </c>
      <c r="HB251">
        <v>0</v>
      </c>
      <c r="HC251">
        <f t="shared" si="261"/>
        <v>0</v>
      </c>
      <c r="IK251">
        <v>0</v>
      </c>
    </row>
    <row r="252" spans="1:245" x14ac:dyDescent="0.2">
      <c r="A252">
        <v>17</v>
      </c>
      <c r="B252">
        <v>1</v>
      </c>
      <c r="C252">
        <f>ROW(SmtRes!A124)</f>
        <v>124</v>
      </c>
      <c r="D252">
        <f>ROW(EtalonRes!A125)</f>
        <v>125</v>
      </c>
      <c r="E252" t="s">
        <v>244</v>
      </c>
      <c r="F252" t="s">
        <v>49</v>
      </c>
      <c r="G252" t="s">
        <v>50</v>
      </c>
      <c r="H252" t="s">
        <v>51</v>
      </c>
      <c r="I252">
        <v>0</v>
      </c>
      <c r="J252">
        <v>0</v>
      </c>
      <c r="O252">
        <f t="shared" si="222"/>
        <v>0</v>
      </c>
      <c r="P252">
        <f t="shared" si="223"/>
        <v>0</v>
      </c>
      <c r="Q252">
        <f t="shared" si="224"/>
        <v>0</v>
      </c>
      <c r="R252">
        <f t="shared" si="225"/>
        <v>0</v>
      </c>
      <c r="S252">
        <f t="shared" si="226"/>
        <v>0</v>
      </c>
      <c r="T252">
        <f t="shared" si="227"/>
        <v>0</v>
      </c>
      <c r="U252">
        <f t="shared" si="228"/>
        <v>0</v>
      </c>
      <c r="V252">
        <f t="shared" si="229"/>
        <v>0</v>
      </c>
      <c r="W252">
        <f t="shared" si="230"/>
        <v>0</v>
      </c>
      <c r="X252">
        <f t="shared" si="231"/>
        <v>0</v>
      </c>
      <c r="Y252">
        <f t="shared" si="232"/>
        <v>0</v>
      </c>
      <c r="AA252">
        <v>33989672</v>
      </c>
      <c r="AB252">
        <f t="shared" si="233"/>
        <v>56.8</v>
      </c>
      <c r="AC252">
        <f t="shared" si="234"/>
        <v>0</v>
      </c>
      <c r="AD252">
        <f t="shared" si="235"/>
        <v>56.8</v>
      </c>
      <c r="AE252">
        <f t="shared" si="236"/>
        <v>0</v>
      </c>
      <c r="AF252">
        <f t="shared" si="237"/>
        <v>0</v>
      </c>
      <c r="AG252">
        <f t="shared" si="238"/>
        <v>0</v>
      </c>
      <c r="AH252">
        <f t="shared" si="239"/>
        <v>0</v>
      </c>
      <c r="AI252">
        <f t="shared" si="240"/>
        <v>0</v>
      </c>
      <c r="AJ252">
        <f t="shared" si="241"/>
        <v>0</v>
      </c>
      <c r="AK252">
        <v>56.8</v>
      </c>
      <c r="AL252">
        <v>0</v>
      </c>
      <c r="AM252">
        <v>56.8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93</v>
      </c>
      <c r="AU252">
        <v>64</v>
      </c>
      <c r="AV252">
        <v>1</v>
      </c>
      <c r="AW252">
        <v>1</v>
      </c>
      <c r="AZ252">
        <v>1</v>
      </c>
      <c r="BA252">
        <v>1</v>
      </c>
      <c r="BB252">
        <v>10.11</v>
      </c>
      <c r="BC252">
        <v>1</v>
      </c>
      <c r="BD252" t="s">
        <v>3</v>
      </c>
      <c r="BE252" t="s">
        <v>3</v>
      </c>
      <c r="BF252" t="s">
        <v>3</v>
      </c>
      <c r="BG252" t="s">
        <v>3</v>
      </c>
      <c r="BH252">
        <v>0</v>
      </c>
      <c r="BI252">
        <v>4</v>
      </c>
      <c r="BJ252" t="s">
        <v>52</v>
      </c>
      <c r="BM252">
        <v>1113</v>
      </c>
      <c r="BN252">
        <v>0</v>
      </c>
      <c r="BO252" t="s">
        <v>49</v>
      </c>
      <c r="BP252">
        <v>1</v>
      </c>
      <c r="BQ252">
        <v>150</v>
      </c>
      <c r="BR252">
        <v>0</v>
      </c>
      <c r="BS252">
        <v>1</v>
      </c>
      <c r="BT252">
        <v>1</v>
      </c>
      <c r="BU252">
        <v>1</v>
      </c>
      <c r="BV252">
        <v>1</v>
      </c>
      <c r="BW252">
        <v>1</v>
      </c>
      <c r="BX252">
        <v>1</v>
      </c>
      <c r="BY252" t="s">
        <v>3</v>
      </c>
      <c r="BZ252">
        <v>93</v>
      </c>
      <c r="CA252">
        <v>64</v>
      </c>
      <c r="CE252">
        <v>30</v>
      </c>
      <c r="CF252">
        <v>0</v>
      </c>
      <c r="CG252">
        <v>0</v>
      </c>
      <c r="CM252">
        <v>0</v>
      </c>
      <c r="CN252" t="s">
        <v>3</v>
      </c>
      <c r="CO252">
        <v>0</v>
      </c>
      <c r="CP252">
        <f t="shared" si="242"/>
        <v>0</v>
      </c>
      <c r="CQ252">
        <f t="shared" si="243"/>
        <v>0</v>
      </c>
      <c r="CR252">
        <f t="shared" si="244"/>
        <v>574.25</v>
      </c>
      <c r="CS252">
        <f t="shared" si="245"/>
        <v>0</v>
      </c>
      <c r="CT252">
        <f t="shared" si="246"/>
        <v>0</v>
      </c>
      <c r="CU252">
        <f t="shared" si="247"/>
        <v>0</v>
      </c>
      <c r="CV252">
        <f t="shared" si="248"/>
        <v>0</v>
      </c>
      <c r="CW252">
        <f t="shared" si="249"/>
        <v>0</v>
      </c>
      <c r="CX252">
        <f t="shared" si="250"/>
        <v>0</v>
      </c>
      <c r="CY252">
        <f t="shared" si="251"/>
        <v>0</v>
      </c>
      <c r="CZ252">
        <f t="shared" si="252"/>
        <v>0</v>
      </c>
      <c r="DC252" t="s">
        <v>3</v>
      </c>
      <c r="DD252" t="s">
        <v>3</v>
      </c>
      <c r="DE252" t="s">
        <v>3</v>
      </c>
      <c r="DF252" t="s">
        <v>3</v>
      </c>
      <c r="DG252" t="s">
        <v>3</v>
      </c>
      <c r="DH252" t="s">
        <v>3</v>
      </c>
      <c r="DI252" t="s">
        <v>3</v>
      </c>
      <c r="DJ252" t="s">
        <v>3</v>
      </c>
      <c r="DK252" t="s">
        <v>3</v>
      </c>
      <c r="DL252" t="s">
        <v>3</v>
      </c>
      <c r="DM252" t="s">
        <v>3</v>
      </c>
      <c r="DN252">
        <v>0</v>
      </c>
      <c r="DO252">
        <v>0</v>
      </c>
      <c r="DP252">
        <v>1</v>
      </c>
      <c r="DQ252">
        <v>1</v>
      </c>
      <c r="DU252">
        <v>1009</v>
      </c>
      <c r="DV252" t="s">
        <v>51</v>
      </c>
      <c r="DW252" t="s">
        <v>51</v>
      </c>
      <c r="DX252">
        <v>1000</v>
      </c>
      <c r="EE252">
        <v>33798752</v>
      </c>
      <c r="EF252">
        <v>150</v>
      </c>
      <c r="EG252" t="s">
        <v>53</v>
      </c>
      <c r="EH252">
        <v>0</v>
      </c>
      <c r="EI252" t="s">
        <v>3</v>
      </c>
      <c r="EJ252">
        <v>4</v>
      </c>
      <c r="EK252">
        <v>1113</v>
      </c>
      <c r="EL252" t="s">
        <v>54</v>
      </c>
      <c r="EM252" t="s">
        <v>55</v>
      </c>
      <c r="EO252" t="s">
        <v>3</v>
      </c>
      <c r="EQ252">
        <v>131072</v>
      </c>
      <c r="ER252">
        <v>56.8</v>
      </c>
      <c r="ES252">
        <v>0</v>
      </c>
      <c r="ET252">
        <v>56.8</v>
      </c>
      <c r="EU252">
        <v>0</v>
      </c>
      <c r="EV252">
        <v>0</v>
      </c>
      <c r="EW252">
        <v>0</v>
      </c>
      <c r="EX252">
        <v>0</v>
      </c>
      <c r="EY252">
        <v>0</v>
      </c>
      <c r="FQ252">
        <v>0</v>
      </c>
      <c r="FR252">
        <f t="shared" si="253"/>
        <v>0</v>
      </c>
      <c r="FS252">
        <v>0</v>
      </c>
      <c r="FX252">
        <v>0</v>
      </c>
      <c r="FY252">
        <v>0</v>
      </c>
      <c r="GA252" t="s">
        <v>3</v>
      </c>
      <c r="GD252">
        <v>0</v>
      </c>
      <c r="GF252">
        <v>-915290513</v>
      </c>
      <c r="GG252">
        <v>2</v>
      </c>
      <c r="GH252">
        <v>1</v>
      </c>
      <c r="GI252">
        <v>2</v>
      </c>
      <c r="GJ252">
        <v>0</v>
      </c>
      <c r="GK252">
        <f>ROUND(R252*(R12)/100,2)</f>
        <v>0</v>
      </c>
      <c r="GL252">
        <f t="shared" si="254"/>
        <v>0</v>
      </c>
      <c r="GM252">
        <f t="shared" si="255"/>
        <v>0</v>
      </c>
      <c r="GN252">
        <f t="shared" si="256"/>
        <v>0</v>
      </c>
      <c r="GO252">
        <f t="shared" si="257"/>
        <v>0</v>
      </c>
      <c r="GP252">
        <f t="shared" si="258"/>
        <v>0</v>
      </c>
      <c r="GR252">
        <v>0</v>
      </c>
      <c r="GS252">
        <v>3</v>
      </c>
      <c r="GT252">
        <v>0</v>
      </c>
      <c r="GU252" t="s">
        <v>3</v>
      </c>
      <c r="GV252">
        <f t="shared" si="259"/>
        <v>0</v>
      </c>
      <c r="GW252">
        <v>1</v>
      </c>
      <c r="GX252">
        <f t="shared" si="260"/>
        <v>0</v>
      </c>
      <c r="HA252">
        <v>0</v>
      </c>
      <c r="HB252">
        <v>0</v>
      </c>
      <c r="HC252">
        <f t="shared" si="261"/>
        <v>0</v>
      </c>
      <c r="IK252">
        <v>0</v>
      </c>
    </row>
    <row r="253" spans="1:245" x14ac:dyDescent="0.2">
      <c r="A253">
        <v>17</v>
      </c>
      <c r="B253">
        <v>1</v>
      </c>
      <c r="C253">
        <f>ROW(SmtRes!A125)</f>
        <v>125</v>
      </c>
      <c r="D253">
        <f>ROW(EtalonRes!A126)</f>
        <v>126</v>
      </c>
      <c r="E253" t="s">
        <v>245</v>
      </c>
      <c r="F253" t="s">
        <v>69</v>
      </c>
      <c r="G253" t="s">
        <v>70</v>
      </c>
      <c r="H253" t="s">
        <v>38</v>
      </c>
      <c r="I253">
        <v>0</v>
      </c>
      <c r="J253">
        <v>0</v>
      </c>
      <c r="O253">
        <f t="shared" si="222"/>
        <v>0</v>
      </c>
      <c r="P253">
        <f t="shared" si="223"/>
        <v>0</v>
      </c>
      <c r="Q253">
        <f t="shared" si="224"/>
        <v>0</v>
      </c>
      <c r="R253">
        <f t="shared" si="225"/>
        <v>0</v>
      </c>
      <c r="S253">
        <f t="shared" si="226"/>
        <v>0</v>
      </c>
      <c r="T253">
        <f t="shared" si="227"/>
        <v>0</v>
      </c>
      <c r="U253">
        <f t="shared" si="228"/>
        <v>0</v>
      </c>
      <c r="V253">
        <f t="shared" si="229"/>
        <v>0</v>
      </c>
      <c r="W253">
        <f t="shared" si="230"/>
        <v>0</v>
      </c>
      <c r="X253">
        <f t="shared" si="231"/>
        <v>0</v>
      </c>
      <c r="Y253">
        <f t="shared" si="232"/>
        <v>0</v>
      </c>
      <c r="AA253">
        <v>33989672</v>
      </c>
      <c r="AB253">
        <f t="shared" si="233"/>
        <v>36.590000000000003</v>
      </c>
      <c r="AC253">
        <f t="shared" si="234"/>
        <v>0</v>
      </c>
      <c r="AD253">
        <f t="shared" si="235"/>
        <v>36.590000000000003</v>
      </c>
      <c r="AE253">
        <f t="shared" si="236"/>
        <v>0</v>
      </c>
      <c r="AF253">
        <f t="shared" si="237"/>
        <v>0</v>
      </c>
      <c r="AG253">
        <f t="shared" si="238"/>
        <v>0</v>
      </c>
      <c r="AH253">
        <f t="shared" si="239"/>
        <v>0</v>
      </c>
      <c r="AI253">
        <f t="shared" si="240"/>
        <v>0</v>
      </c>
      <c r="AJ253">
        <f t="shared" si="241"/>
        <v>0</v>
      </c>
      <c r="AK253">
        <v>36.590000000000003</v>
      </c>
      <c r="AL253">
        <v>0</v>
      </c>
      <c r="AM253">
        <v>36.590000000000003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93</v>
      </c>
      <c r="AU253">
        <v>64</v>
      </c>
      <c r="AV253">
        <v>1</v>
      </c>
      <c r="AW253">
        <v>1</v>
      </c>
      <c r="AZ253">
        <v>1</v>
      </c>
      <c r="BA253">
        <v>1</v>
      </c>
      <c r="BB253">
        <v>7.63</v>
      </c>
      <c r="BC253">
        <v>1</v>
      </c>
      <c r="BD253" t="s">
        <v>3</v>
      </c>
      <c r="BE253" t="s">
        <v>3</v>
      </c>
      <c r="BF253" t="s">
        <v>3</v>
      </c>
      <c r="BG253" t="s">
        <v>3</v>
      </c>
      <c r="BH253">
        <v>0</v>
      </c>
      <c r="BI253">
        <v>4</v>
      </c>
      <c r="BJ253" t="s">
        <v>71</v>
      </c>
      <c r="BM253">
        <v>1113</v>
      </c>
      <c r="BN253">
        <v>0</v>
      </c>
      <c r="BO253" t="s">
        <v>69</v>
      </c>
      <c r="BP253">
        <v>1</v>
      </c>
      <c r="BQ253">
        <v>150</v>
      </c>
      <c r="BR253">
        <v>0</v>
      </c>
      <c r="BS253">
        <v>1</v>
      </c>
      <c r="BT253">
        <v>1</v>
      </c>
      <c r="BU253">
        <v>1</v>
      </c>
      <c r="BV253">
        <v>1</v>
      </c>
      <c r="BW253">
        <v>1</v>
      </c>
      <c r="BX253">
        <v>1</v>
      </c>
      <c r="BY253" t="s">
        <v>3</v>
      </c>
      <c r="BZ253">
        <v>93</v>
      </c>
      <c r="CA253">
        <v>64</v>
      </c>
      <c r="CE253">
        <v>30</v>
      </c>
      <c r="CF253">
        <v>0</v>
      </c>
      <c r="CG253">
        <v>0</v>
      </c>
      <c r="CM253">
        <v>0</v>
      </c>
      <c r="CN253" t="s">
        <v>3</v>
      </c>
      <c r="CO253">
        <v>0</v>
      </c>
      <c r="CP253">
        <f t="shared" si="242"/>
        <v>0</v>
      </c>
      <c r="CQ253">
        <f t="shared" si="243"/>
        <v>0</v>
      </c>
      <c r="CR253">
        <f t="shared" si="244"/>
        <v>279.18</v>
      </c>
      <c r="CS253">
        <f t="shared" si="245"/>
        <v>0</v>
      </c>
      <c r="CT253">
        <f t="shared" si="246"/>
        <v>0</v>
      </c>
      <c r="CU253">
        <f t="shared" si="247"/>
        <v>0</v>
      </c>
      <c r="CV253">
        <f t="shared" si="248"/>
        <v>0</v>
      </c>
      <c r="CW253">
        <f t="shared" si="249"/>
        <v>0</v>
      </c>
      <c r="CX253">
        <f t="shared" si="250"/>
        <v>0</v>
      </c>
      <c r="CY253">
        <f t="shared" si="251"/>
        <v>0</v>
      </c>
      <c r="CZ253">
        <f t="shared" si="252"/>
        <v>0</v>
      </c>
      <c r="DC253" t="s">
        <v>3</v>
      </c>
      <c r="DD253" t="s">
        <v>3</v>
      </c>
      <c r="DE253" t="s">
        <v>3</v>
      </c>
      <c r="DF253" t="s">
        <v>3</v>
      </c>
      <c r="DG253" t="s">
        <v>3</v>
      </c>
      <c r="DH253" t="s">
        <v>3</v>
      </c>
      <c r="DI253" t="s">
        <v>3</v>
      </c>
      <c r="DJ253" t="s">
        <v>3</v>
      </c>
      <c r="DK253" t="s">
        <v>3</v>
      </c>
      <c r="DL253" t="s">
        <v>3</v>
      </c>
      <c r="DM253" t="s">
        <v>3</v>
      </c>
      <c r="DN253">
        <v>0</v>
      </c>
      <c r="DO253">
        <v>0</v>
      </c>
      <c r="DP253">
        <v>1</v>
      </c>
      <c r="DQ253">
        <v>1</v>
      </c>
      <c r="DU253">
        <v>1013</v>
      </c>
      <c r="DV253" t="s">
        <v>38</v>
      </c>
      <c r="DW253" t="s">
        <v>38</v>
      </c>
      <c r="DX253">
        <v>1</v>
      </c>
      <c r="EE253">
        <v>33798752</v>
      </c>
      <c r="EF253">
        <v>150</v>
      </c>
      <c r="EG253" t="s">
        <v>53</v>
      </c>
      <c r="EH253">
        <v>0</v>
      </c>
      <c r="EI253" t="s">
        <v>3</v>
      </c>
      <c r="EJ253">
        <v>4</v>
      </c>
      <c r="EK253">
        <v>1113</v>
      </c>
      <c r="EL253" t="s">
        <v>54</v>
      </c>
      <c r="EM253" t="s">
        <v>55</v>
      </c>
      <c r="EO253" t="s">
        <v>3</v>
      </c>
      <c r="EQ253">
        <v>131072</v>
      </c>
      <c r="ER253">
        <v>36.590000000000003</v>
      </c>
      <c r="ES253">
        <v>0</v>
      </c>
      <c r="ET253">
        <v>36.590000000000003</v>
      </c>
      <c r="EU253">
        <v>0</v>
      </c>
      <c r="EV253">
        <v>0</v>
      </c>
      <c r="EW253">
        <v>0</v>
      </c>
      <c r="EX253">
        <v>0</v>
      </c>
      <c r="EY253">
        <v>0</v>
      </c>
      <c r="FQ253">
        <v>0</v>
      </c>
      <c r="FR253">
        <f t="shared" si="253"/>
        <v>0</v>
      </c>
      <c r="FS253">
        <v>0</v>
      </c>
      <c r="FX253">
        <v>0</v>
      </c>
      <c r="FY253">
        <v>0</v>
      </c>
      <c r="GA253" t="s">
        <v>3</v>
      </c>
      <c r="GD253">
        <v>0</v>
      </c>
      <c r="GF253">
        <v>-2064945105</v>
      </c>
      <c r="GG253">
        <v>2</v>
      </c>
      <c r="GH253">
        <v>1</v>
      </c>
      <c r="GI253">
        <v>2</v>
      </c>
      <c r="GJ253">
        <v>0</v>
      </c>
      <c r="GK253">
        <f>ROUND(R253*(R12)/100,2)</f>
        <v>0</v>
      </c>
      <c r="GL253">
        <f t="shared" si="254"/>
        <v>0</v>
      </c>
      <c r="GM253">
        <f t="shared" si="255"/>
        <v>0</v>
      </c>
      <c r="GN253">
        <f t="shared" si="256"/>
        <v>0</v>
      </c>
      <c r="GO253">
        <f t="shared" si="257"/>
        <v>0</v>
      </c>
      <c r="GP253">
        <f t="shared" si="258"/>
        <v>0</v>
      </c>
      <c r="GR253">
        <v>0</v>
      </c>
      <c r="GS253">
        <v>3</v>
      </c>
      <c r="GT253">
        <v>0</v>
      </c>
      <c r="GU253" t="s">
        <v>3</v>
      </c>
      <c r="GV253">
        <f t="shared" si="259"/>
        <v>0</v>
      </c>
      <c r="GW253">
        <v>1</v>
      </c>
      <c r="GX253">
        <f t="shared" si="260"/>
        <v>0</v>
      </c>
      <c r="HA253">
        <v>0</v>
      </c>
      <c r="HB253">
        <v>0</v>
      </c>
      <c r="HC253">
        <f t="shared" si="261"/>
        <v>0</v>
      </c>
      <c r="IK253">
        <v>0</v>
      </c>
    </row>
    <row r="254" spans="1:245" x14ac:dyDescent="0.2">
      <c r="A254">
        <v>17</v>
      </c>
      <c r="B254">
        <v>1</v>
      </c>
      <c r="C254">
        <f>ROW(SmtRes!A133)</f>
        <v>133</v>
      </c>
      <c r="D254">
        <f>ROW(EtalonRes!A134)</f>
        <v>134</v>
      </c>
      <c r="E254" t="s">
        <v>246</v>
      </c>
      <c r="F254" t="s">
        <v>183</v>
      </c>
      <c r="G254" t="s">
        <v>184</v>
      </c>
      <c r="H254" t="s">
        <v>185</v>
      </c>
      <c r="I254">
        <f>ROUND(2093*0.2*0.1/100,9)</f>
        <v>0.41860000000000003</v>
      </c>
      <c r="J254">
        <v>0</v>
      </c>
      <c r="O254">
        <f t="shared" si="222"/>
        <v>4305.26</v>
      </c>
      <c r="P254">
        <f t="shared" si="223"/>
        <v>73.849999999999994</v>
      </c>
      <c r="Q254">
        <f t="shared" si="224"/>
        <v>2675.96</v>
      </c>
      <c r="R254">
        <f t="shared" si="225"/>
        <v>1222.33</v>
      </c>
      <c r="S254">
        <f t="shared" si="226"/>
        <v>1555.45</v>
      </c>
      <c r="T254">
        <f t="shared" si="227"/>
        <v>0</v>
      </c>
      <c r="U254">
        <f t="shared" si="228"/>
        <v>6.0278400000000003</v>
      </c>
      <c r="V254">
        <f t="shared" si="229"/>
        <v>0</v>
      </c>
      <c r="W254">
        <f t="shared" si="230"/>
        <v>0</v>
      </c>
      <c r="X254">
        <f t="shared" si="231"/>
        <v>2037.64</v>
      </c>
      <c r="Y254">
        <f t="shared" si="232"/>
        <v>839.94</v>
      </c>
      <c r="AA254">
        <v>33989672</v>
      </c>
      <c r="AB254">
        <f t="shared" si="233"/>
        <v>863.31</v>
      </c>
      <c r="AC254">
        <f t="shared" si="234"/>
        <v>35.35</v>
      </c>
      <c r="AD254">
        <f t="shared" si="235"/>
        <v>676.47</v>
      </c>
      <c r="AE254">
        <f t="shared" si="236"/>
        <v>119.05</v>
      </c>
      <c r="AF254">
        <f t="shared" si="237"/>
        <v>151.49</v>
      </c>
      <c r="AG254">
        <f t="shared" si="238"/>
        <v>0</v>
      </c>
      <c r="AH254">
        <f t="shared" si="239"/>
        <v>14.4</v>
      </c>
      <c r="AI254">
        <f t="shared" si="240"/>
        <v>0</v>
      </c>
      <c r="AJ254">
        <f t="shared" si="241"/>
        <v>0</v>
      </c>
      <c r="AK254">
        <v>863.31</v>
      </c>
      <c r="AL254">
        <v>35.35</v>
      </c>
      <c r="AM254">
        <v>676.47</v>
      </c>
      <c r="AN254">
        <v>119.05</v>
      </c>
      <c r="AO254">
        <v>151.49</v>
      </c>
      <c r="AP254">
        <v>0</v>
      </c>
      <c r="AQ254">
        <v>14.4</v>
      </c>
      <c r="AR254">
        <v>0</v>
      </c>
      <c r="AS254">
        <v>0</v>
      </c>
      <c r="AT254">
        <v>131</v>
      </c>
      <c r="AU254">
        <v>54</v>
      </c>
      <c r="AV254">
        <v>1</v>
      </c>
      <c r="AW254">
        <v>1</v>
      </c>
      <c r="AZ254">
        <v>1</v>
      </c>
      <c r="BA254">
        <v>24.53</v>
      </c>
      <c r="BB254">
        <v>9.4499999999999993</v>
      </c>
      <c r="BC254">
        <v>4.99</v>
      </c>
      <c r="BD254" t="s">
        <v>3</v>
      </c>
      <c r="BE254" t="s">
        <v>3</v>
      </c>
      <c r="BF254" t="s">
        <v>3</v>
      </c>
      <c r="BG254" t="s">
        <v>3</v>
      </c>
      <c r="BH254">
        <v>0</v>
      </c>
      <c r="BI254">
        <v>1</v>
      </c>
      <c r="BJ254" t="s">
        <v>186</v>
      </c>
      <c r="BM254">
        <v>146</v>
      </c>
      <c r="BN254">
        <v>0</v>
      </c>
      <c r="BO254" t="s">
        <v>183</v>
      </c>
      <c r="BP254">
        <v>1</v>
      </c>
      <c r="BQ254">
        <v>30</v>
      </c>
      <c r="BR254">
        <v>0</v>
      </c>
      <c r="BS254">
        <v>24.53</v>
      </c>
      <c r="BT254">
        <v>1</v>
      </c>
      <c r="BU254">
        <v>1</v>
      </c>
      <c r="BV254">
        <v>1</v>
      </c>
      <c r="BW254">
        <v>1</v>
      </c>
      <c r="BX254">
        <v>1</v>
      </c>
      <c r="BY254" t="s">
        <v>3</v>
      </c>
      <c r="BZ254">
        <v>131</v>
      </c>
      <c r="CA254">
        <v>54</v>
      </c>
      <c r="CE254">
        <v>30</v>
      </c>
      <c r="CF254">
        <v>0</v>
      </c>
      <c r="CG254">
        <v>0</v>
      </c>
      <c r="CM254">
        <v>0</v>
      </c>
      <c r="CN254" t="s">
        <v>3</v>
      </c>
      <c r="CO254">
        <v>0</v>
      </c>
      <c r="CP254">
        <f t="shared" si="242"/>
        <v>4305.26</v>
      </c>
      <c r="CQ254">
        <f t="shared" si="243"/>
        <v>176.4</v>
      </c>
      <c r="CR254">
        <f t="shared" si="244"/>
        <v>6392.64</v>
      </c>
      <c r="CS254">
        <f t="shared" si="245"/>
        <v>2920.3</v>
      </c>
      <c r="CT254">
        <f t="shared" si="246"/>
        <v>3716.05</v>
      </c>
      <c r="CU254">
        <f t="shared" si="247"/>
        <v>0</v>
      </c>
      <c r="CV254">
        <f t="shared" si="248"/>
        <v>14.4</v>
      </c>
      <c r="CW254">
        <f t="shared" si="249"/>
        <v>0</v>
      </c>
      <c r="CX254">
        <f t="shared" si="250"/>
        <v>0</v>
      </c>
      <c r="CY254">
        <f t="shared" si="251"/>
        <v>2037.6395000000002</v>
      </c>
      <c r="CZ254">
        <f t="shared" si="252"/>
        <v>839.9430000000001</v>
      </c>
      <c r="DC254" t="s">
        <v>3</v>
      </c>
      <c r="DD254" t="s">
        <v>3</v>
      </c>
      <c r="DE254" t="s">
        <v>3</v>
      </c>
      <c r="DF254" t="s">
        <v>3</v>
      </c>
      <c r="DG254" t="s">
        <v>3</v>
      </c>
      <c r="DH254" t="s">
        <v>3</v>
      </c>
      <c r="DI254" t="s">
        <v>3</v>
      </c>
      <c r="DJ254" t="s">
        <v>3</v>
      </c>
      <c r="DK254" t="s">
        <v>3</v>
      </c>
      <c r="DL254" t="s">
        <v>3</v>
      </c>
      <c r="DM254" t="s">
        <v>3</v>
      </c>
      <c r="DN254">
        <v>161</v>
      </c>
      <c r="DO254">
        <v>107</v>
      </c>
      <c r="DP254">
        <v>1</v>
      </c>
      <c r="DQ254">
        <v>1</v>
      </c>
      <c r="DU254">
        <v>1013</v>
      </c>
      <c r="DV254" t="s">
        <v>185</v>
      </c>
      <c r="DW254" t="s">
        <v>185</v>
      </c>
      <c r="DX254">
        <v>1</v>
      </c>
      <c r="EE254">
        <v>33797785</v>
      </c>
      <c r="EF254">
        <v>30</v>
      </c>
      <c r="EG254" t="s">
        <v>77</v>
      </c>
      <c r="EH254">
        <v>0</v>
      </c>
      <c r="EI254" t="s">
        <v>3</v>
      </c>
      <c r="EJ254">
        <v>1</v>
      </c>
      <c r="EK254">
        <v>146</v>
      </c>
      <c r="EL254" t="s">
        <v>187</v>
      </c>
      <c r="EM254" t="s">
        <v>188</v>
      </c>
      <c r="EO254" t="s">
        <v>3</v>
      </c>
      <c r="EQ254">
        <v>131072</v>
      </c>
      <c r="ER254">
        <v>863.31</v>
      </c>
      <c r="ES254">
        <v>35.35</v>
      </c>
      <c r="ET254">
        <v>676.47</v>
      </c>
      <c r="EU254">
        <v>119.05</v>
      </c>
      <c r="EV254">
        <v>151.49</v>
      </c>
      <c r="EW254">
        <v>14.4</v>
      </c>
      <c r="EX254">
        <v>0</v>
      </c>
      <c r="EY254">
        <v>0</v>
      </c>
      <c r="FQ254">
        <v>0</v>
      </c>
      <c r="FR254">
        <f t="shared" si="253"/>
        <v>0</v>
      </c>
      <c r="FS254">
        <v>0</v>
      </c>
      <c r="FX254">
        <v>161</v>
      </c>
      <c r="FY254">
        <v>107</v>
      </c>
      <c r="GA254" t="s">
        <v>3</v>
      </c>
      <c r="GD254">
        <v>0</v>
      </c>
      <c r="GF254">
        <v>-1939963274</v>
      </c>
      <c r="GG254">
        <v>2</v>
      </c>
      <c r="GH254">
        <v>1</v>
      </c>
      <c r="GI254">
        <v>2</v>
      </c>
      <c r="GJ254">
        <v>0</v>
      </c>
      <c r="GK254">
        <f>ROUND(R254*(R12)/100,2)</f>
        <v>1919.06</v>
      </c>
      <c r="GL254">
        <f t="shared" si="254"/>
        <v>0</v>
      </c>
      <c r="GM254">
        <f t="shared" si="255"/>
        <v>9101.9</v>
      </c>
      <c r="GN254">
        <f t="shared" si="256"/>
        <v>9101.9</v>
      </c>
      <c r="GO254">
        <f t="shared" si="257"/>
        <v>0</v>
      </c>
      <c r="GP254">
        <f t="shared" si="258"/>
        <v>0</v>
      </c>
      <c r="GR254">
        <v>0</v>
      </c>
      <c r="GS254">
        <v>3</v>
      </c>
      <c r="GT254">
        <v>0</v>
      </c>
      <c r="GU254" t="s">
        <v>3</v>
      </c>
      <c r="GV254">
        <f t="shared" si="259"/>
        <v>0</v>
      </c>
      <c r="GW254">
        <v>1</v>
      </c>
      <c r="GX254">
        <f t="shared" si="260"/>
        <v>0</v>
      </c>
      <c r="HA254">
        <v>0</v>
      </c>
      <c r="HB254">
        <v>0</v>
      </c>
      <c r="HC254">
        <f t="shared" si="261"/>
        <v>0</v>
      </c>
      <c r="IK254">
        <v>0</v>
      </c>
    </row>
    <row r="255" spans="1:245" x14ac:dyDescent="0.2">
      <c r="A255">
        <v>18</v>
      </c>
      <c r="B255">
        <v>1</v>
      </c>
      <c r="C255">
        <v>133</v>
      </c>
      <c r="E255" t="s">
        <v>247</v>
      </c>
      <c r="F255" t="s">
        <v>190</v>
      </c>
      <c r="G255" t="s">
        <v>191</v>
      </c>
      <c r="H255" t="s">
        <v>66</v>
      </c>
      <c r="I255">
        <f>I254*J255</f>
        <v>46.045999999999999</v>
      </c>
      <c r="J255">
        <v>109.99999999999999</v>
      </c>
      <c r="O255">
        <f t="shared" si="222"/>
        <v>25428.79</v>
      </c>
      <c r="P255">
        <f t="shared" si="223"/>
        <v>25428.79</v>
      </c>
      <c r="Q255">
        <f t="shared" si="224"/>
        <v>0</v>
      </c>
      <c r="R255">
        <f t="shared" si="225"/>
        <v>0</v>
      </c>
      <c r="S255">
        <f t="shared" si="226"/>
        <v>0</v>
      </c>
      <c r="T255">
        <f t="shared" si="227"/>
        <v>0</v>
      </c>
      <c r="U255">
        <f t="shared" si="228"/>
        <v>0</v>
      </c>
      <c r="V255">
        <f t="shared" si="229"/>
        <v>0</v>
      </c>
      <c r="W255">
        <f t="shared" si="230"/>
        <v>0</v>
      </c>
      <c r="X255">
        <f t="shared" si="231"/>
        <v>0</v>
      </c>
      <c r="Y255">
        <f t="shared" si="232"/>
        <v>0</v>
      </c>
      <c r="AA255">
        <v>33989672</v>
      </c>
      <c r="AB255">
        <f t="shared" si="233"/>
        <v>104.99</v>
      </c>
      <c r="AC255">
        <f t="shared" si="234"/>
        <v>104.99</v>
      </c>
      <c r="AD255">
        <f t="shared" si="235"/>
        <v>0</v>
      </c>
      <c r="AE255">
        <f t="shared" si="236"/>
        <v>0</v>
      </c>
      <c r="AF255">
        <f t="shared" si="237"/>
        <v>0</v>
      </c>
      <c r="AG255">
        <f t="shared" si="238"/>
        <v>0</v>
      </c>
      <c r="AH255">
        <f t="shared" si="239"/>
        <v>0</v>
      </c>
      <c r="AI255">
        <f t="shared" si="240"/>
        <v>0</v>
      </c>
      <c r="AJ255">
        <f t="shared" si="241"/>
        <v>0</v>
      </c>
      <c r="AK255">
        <v>104.99</v>
      </c>
      <c r="AL255">
        <v>104.99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1</v>
      </c>
      <c r="AW255">
        <v>1</v>
      </c>
      <c r="AZ255">
        <v>1</v>
      </c>
      <c r="BA255">
        <v>1</v>
      </c>
      <c r="BB255">
        <v>1</v>
      </c>
      <c r="BC255">
        <v>5.26</v>
      </c>
      <c r="BD255" t="s">
        <v>3</v>
      </c>
      <c r="BE255" t="s">
        <v>3</v>
      </c>
      <c r="BF255" t="s">
        <v>3</v>
      </c>
      <c r="BG255" t="s">
        <v>3</v>
      </c>
      <c r="BH255">
        <v>3</v>
      </c>
      <c r="BI255">
        <v>1</v>
      </c>
      <c r="BJ255" t="s">
        <v>192</v>
      </c>
      <c r="BM255">
        <v>146</v>
      </c>
      <c r="BN255">
        <v>0</v>
      </c>
      <c r="BO255" t="s">
        <v>190</v>
      </c>
      <c r="BP255">
        <v>1</v>
      </c>
      <c r="BQ255">
        <v>30</v>
      </c>
      <c r="BR255">
        <v>0</v>
      </c>
      <c r="BS255">
        <v>1</v>
      </c>
      <c r="BT255">
        <v>1</v>
      </c>
      <c r="BU255">
        <v>1</v>
      </c>
      <c r="BV255">
        <v>1</v>
      </c>
      <c r="BW255">
        <v>1</v>
      </c>
      <c r="BX255">
        <v>1</v>
      </c>
      <c r="BY255" t="s">
        <v>3</v>
      </c>
      <c r="BZ255">
        <v>0</v>
      </c>
      <c r="CA255">
        <v>0</v>
      </c>
      <c r="CE255">
        <v>30</v>
      </c>
      <c r="CF255">
        <v>0</v>
      </c>
      <c r="CG255">
        <v>0</v>
      </c>
      <c r="CM255">
        <v>0</v>
      </c>
      <c r="CN255" t="s">
        <v>3</v>
      </c>
      <c r="CO255">
        <v>0</v>
      </c>
      <c r="CP255">
        <f t="shared" si="242"/>
        <v>25428.79</v>
      </c>
      <c r="CQ255">
        <f t="shared" si="243"/>
        <v>552.25</v>
      </c>
      <c r="CR255">
        <f t="shared" si="244"/>
        <v>0</v>
      </c>
      <c r="CS255">
        <f t="shared" si="245"/>
        <v>0</v>
      </c>
      <c r="CT255">
        <f t="shared" si="246"/>
        <v>0</v>
      </c>
      <c r="CU255">
        <f t="shared" si="247"/>
        <v>0</v>
      </c>
      <c r="CV255">
        <f t="shared" si="248"/>
        <v>0</v>
      </c>
      <c r="CW255">
        <f t="shared" si="249"/>
        <v>0</v>
      </c>
      <c r="CX255">
        <f t="shared" si="250"/>
        <v>0</v>
      </c>
      <c r="CY255">
        <f t="shared" si="251"/>
        <v>0</v>
      </c>
      <c r="CZ255">
        <f t="shared" si="252"/>
        <v>0</v>
      </c>
      <c r="DC255" t="s">
        <v>3</v>
      </c>
      <c r="DD255" t="s">
        <v>3</v>
      </c>
      <c r="DE255" t="s">
        <v>3</v>
      </c>
      <c r="DF255" t="s">
        <v>3</v>
      </c>
      <c r="DG255" t="s">
        <v>3</v>
      </c>
      <c r="DH255" t="s">
        <v>3</v>
      </c>
      <c r="DI255" t="s">
        <v>3</v>
      </c>
      <c r="DJ255" t="s">
        <v>3</v>
      </c>
      <c r="DK255" t="s">
        <v>3</v>
      </c>
      <c r="DL255" t="s">
        <v>3</v>
      </c>
      <c r="DM255" t="s">
        <v>3</v>
      </c>
      <c r="DN255">
        <v>161</v>
      </c>
      <c r="DO255">
        <v>107</v>
      </c>
      <c r="DP255">
        <v>1</v>
      </c>
      <c r="DQ255">
        <v>1</v>
      </c>
      <c r="DU255">
        <v>1007</v>
      </c>
      <c r="DV255" t="s">
        <v>66</v>
      </c>
      <c r="DW255" t="s">
        <v>66</v>
      </c>
      <c r="DX255">
        <v>1</v>
      </c>
      <c r="EE255">
        <v>33797785</v>
      </c>
      <c r="EF255">
        <v>30</v>
      </c>
      <c r="EG255" t="s">
        <v>77</v>
      </c>
      <c r="EH255">
        <v>0</v>
      </c>
      <c r="EI255" t="s">
        <v>3</v>
      </c>
      <c r="EJ255">
        <v>1</v>
      </c>
      <c r="EK255">
        <v>146</v>
      </c>
      <c r="EL255" t="s">
        <v>187</v>
      </c>
      <c r="EM255" t="s">
        <v>188</v>
      </c>
      <c r="EO255" t="s">
        <v>3</v>
      </c>
      <c r="EQ255">
        <v>0</v>
      </c>
      <c r="ER255">
        <v>104.99</v>
      </c>
      <c r="ES255">
        <v>104.99</v>
      </c>
      <c r="ET255">
        <v>0</v>
      </c>
      <c r="EU255">
        <v>0</v>
      </c>
      <c r="EV255">
        <v>0</v>
      </c>
      <c r="EW255">
        <v>0</v>
      </c>
      <c r="EX255">
        <v>0</v>
      </c>
      <c r="FQ255">
        <v>0</v>
      </c>
      <c r="FR255">
        <f t="shared" si="253"/>
        <v>0</v>
      </c>
      <c r="FS255">
        <v>0</v>
      </c>
      <c r="FX255">
        <v>161</v>
      </c>
      <c r="FY255">
        <v>107</v>
      </c>
      <c r="GA255" t="s">
        <v>3</v>
      </c>
      <c r="GD255">
        <v>0</v>
      </c>
      <c r="GF255">
        <v>2069056849</v>
      </c>
      <c r="GG255">
        <v>2</v>
      </c>
      <c r="GH255">
        <v>1</v>
      </c>
      <c r="GI255">
        <v>2</v>
      </c>
      <c r="GJ255">
        <v>0</v>
      </c>
      <c r="GK255">
        <f>ROUND(R255*(R12)/100,2)</f>
        <v>0</v>
      </c>
      <c r="GL255">
        <f t="shared" si="254"/>
        <v>0</v>
      </c>
      <c r="GM255">
        <f t="shared" si="255"/>
        <v>25428.79</v>
      </c>
      <c r="GN255">
        <f t="shared" si="256"/>
        <v>25428.79</v>
      </c>
      <c r="GO255">
        <f t="shared" si="257"/>
        <v>0</v>
      </c>
      <c r="GP255">
        <f t="shared" si="258"/>
        <v>0</v>
      </c>
      <c r="GR255">
        <v>0</v>
      </c>
      <c r="GS255">
        <v>3</v>
      </c>
      <c r="GT255">
        <v>0</v>
      </c>
      <c r="GU255" t="s">
        <v>3</v>
      </c>
      <c r="GV255">
        <f t="shared" si="259"/>
        <v>0</v>
      </c>
      <c r="GW255">
        <v>1</v>
      </c>
      <c r="GX255">
        <f t="shared" si="260"/>
        <v>0</v>
      </c>
      <c r="HA255">
        <v>0</v>
      </c>
      <c r="HB255">
        <v>0</v>
      </c>
      <c r="HC255">
        <f t="shared" si="261"/>
        <v>0</v>
      </c>
      <c r="IK255">
        <v>0</v>
      </c>
    </row>
    <row r="256" spans="1:245" x14ac:dyDescent="0.2">
      <c r="A256">
        <v>17</v>
      </c>
      <c r="B256">
        <v>1</v>
      </c>
      <c r="C256">
        <f>ROW(SmtRes!A142)</f>
        <v>142</v>
      </c>
      <c r="D256">
        <f>ROW(EtalonRes!A143)</f>
        <v>143</v>
      </c>
      <c r="E256" t="s">
        <v>248</v>
      </c>
      <c r="F256" t="s">
        <v>249</v>
      </c>
      <c r="G256" t="s">
        <v>250</v>
      </c>
      <c r="H256" t="s">
        <v>26</v>
      </c>
      <c r="I256">
        <f>ROUND(2093/100,9)</f>
        <v>20.93</v>
      </c>
      <c r="J256">
        <v>0</v>
      </c>
      <c r="O256">
        <f t="shared" si="222"/>
        <v>806042</v>
      </c>
      <c r="P256">
        <f t="shared" si="223"/>
        <v>435602.92</v>
      </c>
      <c r="Q256">
        <f t="shared" si="224"/>
        <v>10018.07</v>
      </c>
      <c r="R256">
        <f t="shared" si="225"/>
        <v>4245.8999999999996</v>
      </c>
      <c r="S256">
        <f t="shared" si="226"/>
        <v>360421.01</v>
      </c>
      <c r="T256">
        <f t="shared" si="227"/>
        <v>0</v>
      </c>
      <c r="U256">
        <f t="shared" si="228"/>
        <v>1327.7991999999999</v>
      </c>
      <c r="V256">
        <f t="shared" si="229"/>
        <v>0</v>
      </c>
      <c r="W256">
        <f t="shared" si="230"/>
        <v>0</v>
      </c>
      <c r="X256">
        <f t="shared" si="231"/>
        <v>472151.52</v>
      </c>
      <c r="Y256">
        <f t="shared" si="232"/>
        <v>194627.35</v>
      </c>
      <c r="AA256">
        <v>33989672</v>
      </c>
      <c r="AB256">
        <f t="shared" si="233"/>
        <v>4465.42</v>
      </c>
      <c r="AC256">
        <f t="shared" si="234"/>
        <v>3709.87</v>
      </c>
      <c r="AD256">
        <f t="shared" si="235"/>
        <v>53.54</v>
      </c>
      <c r="AE256">
        <f t="shared" si="236"/>
        <v>8.27</v>
      </c>
      <c r="AF256">
        <f t="shared" si="237"/>
        <v>702.01</v>
      </c>
      <c r="AG256">
        <f t="shared" si="238"/>
        <v>0</v>
      </c>
      <c r="AH256">
        <f t="shared" si="239"/>
        <v>63.44</v>
      </c>
      <c r="AI256">
        <f t="shared" si="240"/>
        <v>0</v>
      </c>
      <c r="AJ256">
        <f t="shared" si="241"/>
        <v>0</v>
      </c>
      <c r="AK256">
        <v>4465.42</v>
      </c>
      <c r="AL256">
        <v>3709.87</v>
      </c>
      <c r="AM256">
        <v>53.54</v>
      </c>
      <c r="AN256">
        <v>8.27</v>
      </c>
      <c r="AO256">
        <v>702.01</v>
      </c>
      <c r="AP256">
        <v>0</v>
      </c>
      <c r="AQ256">
        <v>63.44</v>
      </c>
      <c r="AR256">
        <v>0</v>
      </c>
      <c r="AS256">
        <v>0</v>
      </c>
      <c r="AT256">
        <v>131</v>
      </c>
      <c r="AU256">
        <v>54</v>
      </c>
      <c r="AV256">
        <v>1</v>
      </c>
      <c r="AW256">
        <v>1</v>
      </c>
      <c r="AZ256">
        <v>1</v>
      </c>
      <c r="BA256">
        <v>24.53</v>
      </c>
      <c r="BB256">
        <v>8.94</v>
      </c>
      <c r="BC256">
        <v>5.61</v>
      </c>
      <c r="BD256" t="s">
        <v>3</v>
      </c>
      <c r="BE256" t="s">
        <v>3</v>
      </c>
      <c r="BF256" t="s">
        <v>3</v>
      </c>
      <c r="BG256" t="s">
        <v>3</v>
      </c>
      <c r="BH256">
        <v>0</v>
      </c>
      <c r="BI256">
        <v>1</v>
      </c>
      <c r="BJ256" t="s">
        <v>251</v>
      </c>
      <c r="BM256">
        <v>1693</v>
      </c>
      <c r="BN256">
        <v>0</v>
      </c>
      <c r="BO256" t="s">
        <v>249</v>
      </c>
      <c r="BP256">
        <v>1</v>
      </c>
      <c r="BQ256">
        <v>30</v>
      </c>
      <c r="BR256">
        <v>0</v>
      </c>
      <c r="BS256">
        <v>24.53</v>
      </c>
      <c r="BT256">
        <v>1</v>
      </c>
      <c r="BU256">
        <v>1</v>
      </c>
      <c r="BV256">
        <v>1</v>
      </c>
      <c r="BW256">
        <v>1</v>
      </c>
      <c r="BX256">
        <v>1</v>
      </c>
      <c r="BY256" t="s">
        <v>3</v>
      </c>
      <c r="BZ256">
        <v>131</v>
      </c>
      <c r="CA256">
        <v>54</v>
      </c>
      <c r="CE256">
        <v>30</v>
      </c>
      <c r="CF256">
        <v>0</v>
      </c>
      <c r="CG256">
        <v>0</v>
      </c>
      <c r="CM256">
        <v>0</v>
      </c>
      <c r="CN256" t="s">
        <v>3</v>
      </c>
      <c r="CO256">
        <v>0</v>
      </c>
      <c r="CP256">
        <f t="shared" si="242"/>
        <v>806042</v>
      </c>
      <c r="CQ256">
        <f t="shared" si="243"/>
        <v>20812.37</v>
      </c>
      <c r="CR256">
        <f t="shared" si="244"/>
        <v>478.65</v>
      </c>
      <c r="CS256">
        <f t="shared" si="245"/>
        <v>202.86</v>
      </c>
      <c r="CT256">
        <f t="shared" si="246"/>
        <v>17220.310000000001</v>
      </c>
      <c r="CU256">
        <f t="shared" si="247"/>
        <v>0</v>
      </c>
      <c r="CV256">
        <f t="shared" si="248"/>
        <v>63.44</v>
      </c>
      <c r="CW256">
        <f t="shared" si="249"/>
        <v>0</v>
      </c>
      <c r="CX256">
        <f t="shared" si="250"/>
        <v>0</v>
      </c>
      <c r="CY256">
        <f t="shared" si="251"/>
        <v>472151.52310000005</v>
      </c>
      <c r="CZ256">
        <f t="shared" si="252"/>
        <v>194627.34540000002</v>
      </c>
      <c r="DC256" t="s">
        <v>3</v>
      </c>
      <c r="DD256" t="s">
        <v>3</v>
      </c>
      <c r="DE256" t="s">
        <v>3</v>
      </c>
      <c r="DF256" t="s">
        <v>3</v>
      </c>
      <c r="DG256" t="s">
        <v>3</v>
      </c>
      <c r="DH256" t="s">
        <v>3</v>
      </c>
      <c r="DI256" t="s">
        <v>3</v>
      </c>
      <c r="DJ256" t="s">
        <v>3</v>
      </c>
      <c r="DK256" t="s">
        <v>3</v>
      </c>
      <c r="DL256" t="s">
        <v>3</v>
      </c>
      <c r="DM256" t="s">
        <v>3</v>
      </c>
      <c r="DN256">
        <v>161</v>
      </c>
      <c r="DO256">
        <v>107</v>
      </c>
      <c r="DP256">
        <v>1</v>
      </c>
      <c r="DQ256">
        <v>1</v>
      </c>
      <c r="DU256">
        <v>1013</v>
      </c>
      <c r="DV256" t="s">
        <v>26</v>
      </c>
      <c r="DW256" t="s">
        <v>26</v>
      </c>
      <c r="DX256">
        <v>1</v>
      </c>
      <c r="EE256">
        <v>33799332</v>
      </c>
      <c r="EF256">
        <v>30</v>
      </c>
      <c r="EG256" t="s">
        <v>77</v>
      </c>
      <c r="EH256">
        <v>0</v>
      </c>
      <c r="EI256" t="s">
        <v>3</v>
      </c>
      <c r="EJ256">
        <v>1</v>
      </c>
      <c r="EK256">
        <v>1693</v>
      </c>
      <c r="EL256" t="s">
        <v>252</v>
      </c>
      <c r="EM256" t="s">
        <v>253</v>
      </c>
      <c r="EO256" t="s">
        <v>3</v>
      </c>
      <c r="EQ256">
        <v>131072</v>
      </c>
      <c r="ER256">
        <v>4465.42</v>
      </c>
      <c r="ES256">
        <v>3709.87</v>
      </c>
      <c r="ET256">
        <v>53.54</v>
      </c>
      <c r="EU256">
        <v>8.27</v>
      </c>
      <c r="EV256">
        <v>702.01</v>
      </c>
      <c r="EW256">
        <v>63.44</v>
      </c>
      <c r="EX256">
        <v>0</v>
      </c>
      <c r="EY256">
        <v>0</v>
      </c>
      <c r="FQ256">
        <v>0</v>
      </c>
      <c r="FR256">
        <f t="shared" si="253"/>
        <v>0</v>
      </c>
      <c r="FS256">
        <v>0</v>
      </c>
      <c r="FX256">
        <v>161</v>
      </c>
      <c r="FY256">
        <v>107</v>
      </c>
      <c r="GA256" t="s">
        <v>3</v>
      </c>
      <c r="GD256">
        <v>0</v>
      </c>
      <c r="GF256">
        <v>574270988</v>
      </c>
      <c r="GG256">
        <v>2</v>
      </c>
      <c r="GH256">
        <v>1</v>
      </c>
      <c r="GI256">
        <v>2</v>
      </c>
      <c r="GJ256">
        <v>0</v>
      </c>
      <c r="GK256">
        <f>ROUND(R256*(R12)/100,2)</f>
        <v>6666.06</v>
      </c>
      <c r="GL256">
        <f t="shared" si="254"/>
        <v>0</v>
      </c>
      <c r="GM256">
        <f t="shared" si="255"/>
        <v>1479486.93</v>
      </c>
      <c r="GN256">
        <f t="shared" si="256"/>
        <v>1479486.93</v>
      </c>
      <c r="GO256">
        <f t="shared" si="257"/>
        <v>0</v>
      </c>
      <c r="GP256">
        <f t="shared" si="258"/>
        <v>0</v>
      </c>
      <c r="GR256">
        <v>0</v>
      </c>
      <c r="GS256">
        <v>3</v>
      </c>
      <c r="GT256">
        <v>0</v>
      </c>
      <c r="GU256" t="s">
        <v>3</v>
      </c>
      <c r="GV256">
        <f t="shared" si="259"/>
        <v>0</v>
      </c>
      <c r="GW256">
        <v>1</v>
      </c>
      <c r="GX256">
        <f t="shared" si="260"/>
        <v>0</v>
      </c>
      <c r="HA256">
        <v>0</v>
      </c>
      <c r="HB256">
        <v>0</v>
      </c>
      <c r="HC256">
        <f t="shared" si="261"/>
        <v>0</v>
      </c>
      <c r="IK256">
        <v>0</v>
      </c>
    </row>
    <row r="257" spans="1:245" x14ac:dyDescent="0.2">
      <c r="A257">
        <v>18</v>
      </c>
      <c r="B257">
        <v>1</v>
      </c>
      <c r="C257">
        <v>142</v>
      </c>
      <c r="E257" t="s">
        <v>254</v>
      </c>
      <c r="F257" t="s">
        <v>255</v>
      </c>
      <c r="G257" t="s">
        <v>256</v>
      </c>
      <c r="H257" t="s">
        <v>66</v>
      </c>
      <c r="I257">
        <f>I256*J257</f>
        <v>29.536415999999999</v>
      </c>
      <c r="J257">
        <v>1.4112</v>
      </c>
      <c r="O257">
        <f t="shared" si="222"/>
        <v>251561.19</v>
      </c>
      <c r="P257">
        <f t="shared" si="223"/>
        <v>251561.19</v>
      </c>
      <c r="Q257">
        <f t="shared" si="224"/>
        <v>0</v>
      </c>
      <c r="R257">
        <f t="shared" si="225"/>
        <v>0</v>
      </c>
      <c r="S257">
        <f t="shared" si="226"/>
        <v>0</v>
      </c>
      <c r="T257">
        <f t="shared" si="227"/>
        <v>0</v>
      </c>
      <c r="U257">
        <f t="shared" si="228"/>
        <v>0</v>
      </c>
      <c r="V257">
        <f t="shared" si="229"/>
        <v>0</v>
      </c>
      <c r="W257">
        <f t="shared" si="230"/>
        <v>0</v>
      </c>
      <c r="X257">
        <f t="shared" si="231"/>
        <v>0</v>
      </c>
      <c r="Y257">
        <f t="shared" si="232"/>
        <v>0</v>
      </c>
      <c r="AA257">
        <v>33989672</v>
      </c>
      <c r="AB257">
        <f t="shared" si="233"/>
        <v>2385.71</v>
      </c>
      <c r="AC257">
        <f t="shared" si="234"/>
        <v>2385.71</v>
      </c>
      <c r="AD257">
        <f t="shared" si="235"/>
        <v>0</v>
      </c>
      <c r="AE257">
        <f t="shared" si="236"/>
        <v>0</v>
      </c>
      <c r="AF257">
        <f t="shared" si="237"/>
        <v>0</v>
      </c>
      <c r="AG257">
        <f t="shared" si="238"/>
        <v>0</v>
      </c>
      <c r="AH257">
        <f t="shared" si="239"/>
        <v>0</v>
      </c>
      <c r="AI257">
        <f t="shared" si="240"/>
        <v>0</v>
      </c>
      <c r="AJ257">
        <f t="shared" si="241"/>
        <v>0</v>
      </c>
      <c r="AK257">
        <v>2385.71</v>
      </c>
      <c r="AL257">
        <v>2385.71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1</v>
      </c>
      <c r="AW257">
        <v>1</v>
      </c>
      <c r="AZ257">
        <v>1</v>
      </c>
      <c r="BA257">
        <v>1</v>
      </c>
      <c r="BB257">
        <v>1</v>
      </c>
      <c r="BC257">
        <v>3.57</v>
      </c>
      <c r="BD257" t="s">
        <v>3</v>
      </c>
      <c r="BE257" t="s">
        <v>3</v>
      </c>
      <c r="BF257" t="s">
        <v>3</v>
      </c>
      <c r="BG257" t="s">
        <v>3</v>
      </c>
      <c r="BH257">
        <v>3</v>
      </c>
      <c r="BI257">
        <v>1</v>
      </c>
      <c r="BJ257" t="s">
        <v>257</v>
      </c>
      <c r="BM257">
        <v>1693</v>
      </c>
      <c r="BN257">
        <v>0</v>
      </c>
      <c r="BO257" t="s">
        <v>255</v>
      </c>
      <c r="BP257">
        <v>1</v>
      </c>
      <c r="BQ257">
        <v>30</v>
      </c>
      <c r="BR257">
        <v>0</v>
      </c>
      <c r="BS257">
        <v>1</v>
      </c>
      <c r="BT257">
        <v>1</v>
      </c>
      <c r="BU257">
        <v>1</v>
      </c>
      <c r="BV257">
        <v>1</v>
      </c>
      <c r="BW257">
        <v>1</v>
      </c>
      <c r="BX257">
        <v>1</v>
      </c>
      <c r="BY257" t="s">
        <v>3</v>
      </c>
      <c r="BZ257">
        <v>0</v>
      </c>
      <c r="CA257">
        <v>0</v>
      </c>
      <c r="CE257">
        <v>30</v>
      </c>
      <c r="CF257">
        <v>0</v>
      </c>
      <c r="CG257">
        <v>0</v>
      </c>
      <c r="CM257">
        <v>0</v>
      </c>
      <c r="CN257" t="s">
        <v>3</v>
      </c>
      <c r="CO257">
        <v>0</v>
      </c>
      <c r="CP257">
        <f t="shared" si="242"/>
        <v>251561.19</v>
      </c>
      <c r="CQ257">
        <f t="shared" si="243"/>
        <v>8516.98</v>
      </c>
      <c r="CR257">
        <f t="shared" si="244"/>
        <v>0</v>
      </c>
      <c r="CS257">
        <f t="shared" si="245"/>
        <v>0</v>
      </c>
      <c r="CT257">
        <f t="shared" si="246"/>
        <v>0</v>
      </c>
      <c r="CU257">
        <f t="shared" si="247"/>
        <v>0</v>
      </c>
      <c r="CV257">
        <f t="shared" si="248"/>
        <v>0</v>
      </c>
      <c r="CW257">
        <f t="shared" si="249"/>
        <v>0</v>
      </c>
      <c r="CX257">
        <f t="shared" si="250"/>
        <v>0</v>
      </c>
      <c r="CY257">
        <f t="shared" si="251"/>
        <v>0</v>
      </c>
      <c r="CZ257">
        <f t="shared" si="252"/>
        <v>0</v>
      </c>
      <c r="DC257" t="s">
        <v>3</v>
      </c>
      <c r="DD257" t="s">
        <v>3</v>
      </c>
      <c r="DE257" t="s">
        <v>3</v>
      </c>
      <c r="DF257" t="s">
        <v>3</v>
      </c>
      <c r="DG257" t="s">
        <v>3</v>
      </c>
      <c r="DH257" t="s">
        <v>3</v>
      </c>
      <c r="DI257" t="s">
        <v>3</v>
      </c>
      <c r="DJ257" t="s">
        <v>3</v>
      </c>
      <c r="DK257" t="s">
        <v>3</v>
      </c>
      <c r="DL257" t="s">
        <v>3</v>
      </c>
      <c r="DM257" t="s">
        <v>3</v>
      </c>
      <c r="DN257">
        <v>161</v>
      </c>
      <c r="DO257">
        <v>107</v>
      </c>
      <c r="DP257">
        <v>1</v>
      </c>
      <c r="DQ257">
        <v>1</v>
      </c>
      <c r="DU257">
        <v>1007</v>
      </c>
      <c r="DV257" t="s">
        <v>66</v>
      </c>
      <c r="DW257" t="s">
        <v>66</v>
      </c>
      <c r="DX257">
        <v>1</v>
      </c>
      <c r="EE257">
        <v>33799332</v>
      </c>
      <c r="EF257">
        <v>30</v>
      </c>
      <c r="EG257" t="s">
        <v>77</v>
      </c>
      <c r="EH257">
        <v>0</v>
      </c>
      <c r="EI257" t="s">
        <v>3</v>
      </c>
      <c r="EJ257">
        <v>1</v>
      </c>
      <c r="EK257">
        <v>1693</v>
      </c>
      <c r="EL257" t="s">
        <v>252</v>
      </c>
      <c r="EM257" t="s">
        <v>253</v>
      </c>
      <c r="EO257" t="s">
        <v>3</v>
      </c>
      <c r="EQ257">
        <v>0</v>
      </c>
      <c r="ER257">
        <v>2385.71</v>
      </c>
      <c r="ES257">
        <v>2385.71</v>
      </c>
      <c r="ET257">
        <v>0</v>
      </c>
      <c r="EU257">
        <v>0</v>
      </c>
      <c r="EV257">
        <v>0</v>
      </c>
      <c r="EW257">
        <v>0</v>
      </c>
      <c r="EX257">
        <v>0</v>
      </c>
      <c r="FQ257">
        <v>0</v>
      </c>
      <c r="FR257">
        <f t="shared" si="253"/>
        <v>0</v>
      </c>
      <c r="FS257">
        <v>0</v>
      </c>
      <c r="FX257">
        <v>161</v>
      </c>
      <c r="FY257">
        <v>107</v>
      </c>
      <c r="GA257" t="s">
        <v>3</v>
      </c>
      <c r="GD257">
        <v>0</v>
      </c>
      <c r="GF257">
        <v>889553512</v>
      </c>
      <c r="GG257">
        <v>2</v>
      </c>
      <c r="GH257">
        <v>1</v>
      </c>
      <c r="GI257">
        <v>2</v>
      </c>
      <c r="GJ257">
        <v>0</v>
      </c>
      <c r="GK257">
        <f>ROUND(R257*(R12)/100,2)</f>
        <v>0</v>
      </c>
      <c r="GL257">
        <f t="shared" si="254"/>
        <v>0</v>
      </c>
      <c r="GM257">
        <f t="shared" si="255"/>
        <v>251561.19</v>
      </c>
      <c r="GN257">
        <f t="shared" si="256"/>
        <v>251561.19</v>
      </c>
      <c r="GO257">
        <f t="shared" si="257"/>
        <v>0</v>
      </c>
      <c r="GP257">
        <f t="shared" si="258"/>
        <v>0</v>
      </c>
      <c r="GR257">
        <v>0</v>
      </c>
      <c r="GS257">
        <v>3</v>
      </c>
      <c r="GT257">
        <v>0</v>
      </c>
      <c r="GU257" t="s">
        <v>3</v>
      </c>
      <c r="GV257">
        <f t="shared" si="259"/>
        <v>0</v>
      </c>
      <c r="GW257">
        <v>1</v>
      </c>
      <c r="GX257">
        <f t="shared" si="260"/>
        <v>0</v>
      </c>
      <c r="HA257">
        <v>0</v>
      </c>
      <c r="HB257">
        <v>0</v>
      </c>
      <c r="HC257">
        <f t="shared" si="261"/>
        <v>0</v>
      </c>
      <c r="IK257">
        <v>0</v>
      </c>
    </row>
    <row r="259" spans="1:245" x14ac:dyDescent="0.2">
      <c r="A259" s="2">
        <v>51</v>
      </c>
      <c r="B259" s="2">
        <f>B245</f>
        <v>1</v>
      </c>
      <c r="C259" s="2">
        <f>A245</f>
        <v>4</v>
      </c>
      <c r="D259" s="2">
        <f>ROW(A245)</f>
        <v>245</v>
      </c>
      <c r="E259" s="2"/>
      <c r="F259" s="2" t="str">
        <f>IF(F245&lt;&gt;"",F245,"")</f>
        <v>Новый раздел</v>
      </c>
      <c r="G259" s="2" t="str">
        <f>IF(G245&lt;&gt;"",G245,"")</f>
        <v>11. Камень бетонный садовый 2093м</v>
      </c>
      <c r="H259" s="2">
        <v>0</v>
      </c>
      <c r="I259" s="2"/>
      <c r="J259" s="2"/>
      <c r="K259" s="2"/>
      <c r="L259" s="2"/>
      <c r="M259" s="2"/>
      <c r="N259" s="2"/>
      <c r="O259" s="2">
        <f t="shared" ref="O259:T259" si="262">ROUND(AB259,2)</f>
        <v>1534990.61</v>
      </c>
      <c r="P259" s="2">
        <f t="shared" si="262"/>
        <v>712666.75</v>
      </c>
      <c r="Q259" s="2">
        <f t="shared" si="262"/>
        <v>12694.03</v>
      </c>
      <c r="R259" s="2">
        <f t="shared" si="262"/>
        <v>5468.23</v>
      </c>
      <c r="S259" s="2">
        <f t="shared" si="262"/>
        <v>809629.83</v>
      </c>
      <c r="T259" s="2">
        <f t="shared" si="262"/>
        <v>0</v>
      </c>
      <c r="U259" s="2">
        <f>AH259</f>
        <v>2971.1297033600003</v>
      </c>
      <c r="V259" s="2">
        <f>AI259</f>
        <v>0</v>
      </c>
      <c r="W259" s="2">
        <f>ROUND(AJ259,2)</f>
        <v>0</v>
      </c>
      <c r="X259" s="2">
        <f>ROUND(AK259,2)</f>
        <v>778963.29</v>
      </c>
      <c r="Y259" s="2">
        <f>ROUND(AL259,2)</f>
        <v>379005.17</v>
      </c>
      <c r="Z259" s="2"/>
      <c r="AA259" s="2"/>
      <c r="AB259" s="2">
        <f>ROUND(SUMIF(AA249:AA257,"=33989672",O249:O257),2)</f>
        <v>1534990.61</v>
      </c>
      <c r="AC259" s="2">
        <f>ROUND(SUMIF(AA249:AA257,"=33989672",P249:P257),2)</f>
        <v>712666.75</v>
      </c>
      <c r="AD259" s="2">
        <f>ROUND(SUMIF(AA249:AA257,"=33989672",Q249:Q257),2)</f>
        <v>12694.03</v>
      </c>
      <c r="AE259" s="2">
        <f>ROUND(SUMIF(AA249:AA257,"=33989672",R249:R257),2)</f>
        <v>5468.23</v>
      </c>
      <c r="AF259" s="2">
        <f>ROUND(SUMIF(AA249:AA257,"=33989672",S249:S257),2)</f>
        <v>809629.83</v>
      </c>
      <c r="AG259" s="2">
        <f>ROUND(SUMIF(AA249:AA257,"=33989672",T249:T257),2)</f>
        <v>0</v>
      </c>
      <c r="AH259" s="2">
        <f>SUMIF(AA249:AA257,"=33989672",U249:U257)</f>
        <v>2971.1297033600003</v>
      </c>
      <c r="AI259" s="2">
        <f>SUMIF(AA249:AA257,"=33989672",V249:V257)</f>
        <v>0</v>
      </c>
      <c r="AJ259" s="2">
        <f>ROUND(SUMIF(AA249:AA257,"=33989672",W249:W257),2)</f>
        <v>0</v>
      </c>
      <c r="AK259" s="2">
        <f>ROUND(SUMIF(AA249:AA257,"=33989672",X249:X257),2)</f>
        <v>778963.29</v>
      </c>
      <c r="AL259" s="2">
        <f>ROUND(SUMIF(AA249:AA257,"=33989672",Y249:Y257),2)</f>
        <v>379005.17</v>
      </c>
      <c r="AM259" s="2"/>
      <c r="AN259" s="2"/>
      <c r="AO259" s="2">
        <f t="shared" ref="AO259:BD259" si="263">ROUND(BX259,2)</f>
        <v>0</v>
      </c>
      <c r="AP259" s="2">
        <f t="shared" si="263"/>
        <v>0</v>
      </c>
      <c r="AQ259" s="2">
        <f t="shared" si="263"/>
        <v>0</v>
      </c>
      <c r="AR259" s="2">
        <f t="shared" si="263"/>
        <v>2701544.19</v>
      </c>
      <c r="AS259" s="2">
        <f t="shared" si="263"/>
        <v>2701544.19</v>
      </c>
      <c r="AT259" s="2">
        <f t="shared" si="263"/>
        <v>0</v>
      </c>
      <c r="AU259" s="2">
        <f t="shared" si="263"/>
        <v>0</v>
      </c>
      <c r="AV259" s="2">
        <f t="shared" si="263"/>
        <v>712666.75</v>
      </c>
      <c r="AW259" s="2">
        <f t="shared" si="263"/>
        <v>712666.75</v>
      </c>
      <c r="AX259" s="2">
        <f t="shared" si="263"/>
        <v>0</v>
      </c>
      <c r="AY259" s="2">
        <f t="shared" si="263"/>
        <v>712666.75</v>
      </c>
      <c r="AZ259" s="2">
        <f t="shared" si="263"/>
        <v>0</v>
      </c>
      <c r="BA259" s="2">
        <f t="shared" si="263"/>
        <v>0</v>
      </c>
      <c r="BB259" s="2">
        <f t="shared" si="263"/>
        <v>0</v>
      </c>
      <c r="BC259" s="2">
        <f t="shared" si="263"/>
        <v>0</v>
      </c>
      <c r="BD259" s="2">
        <f t="shared" si="263"/>
        <v>0</v>
      </c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>
        <f>ROUND(SUMIF(AA249:AA257,"=33989672",FQ249:FQ257),2)</f>
        <v>0</v>
      </c>
      <c r="BY259" s="2">
        <f>ROUND(SUMIF(AA249:AA257,"=33989672",FR249:FR257),2)</f>
        <v>0</v>
      </c>
      <c r="BZ259" s="2">
        <f>ROUND(SUMIF(AA249:AA257,"=33989672",GL249:GL257),2)</f>
        <v>0</v>
      </c>
      <c r="CA259" s="2">
        <f>ROUND(SUMIF(AA249:AA257,"=33989672",GM249:GM257),2)</f>
        <v>2701544.19</v>
      </c>
      <c r="CB259" s="2">
        <f>ROUND(SUMIF(AA249:AA257,"=33989672",GN249:GN257),2)</f>
        <v>2701544.19</v>
      </c>
      <c r="CC259" s="2">
        <f>ROUND(SUMIF(AA249:AA257,"=33989672",GO249:GO257),2)</f>
        <v>0</v>
      </c>
      <c r="CD259" s="2">
        <f>ROUND(SUMIF(AA249:AA257,"=33989672",GP249:GP257),2)</f>
        <v>0</v>
      </c>
      <c r="CE259" s="2">
        <f>AC259-BX259</f>
        <v>712666.75</v>
      </c>
      <c r="CF259" s="2">
        <f>AC259-BY259</f>
        <v>712666.75</v>
      </c>
      <c r="CG259" s="2">
        <f>BX259-BZ259</f>
        <v>0</v>
      </c>
      <c r="CH259" s="2">
        <f>AC259-BX259-BY259+BZ259</f>
        <v>712666.75</v>
      </c>
      <c r="CI259" s="2">
        <f>BY259-BZ259</f>
        <v>0</v>
      </c>
      <c r="CJ259" s="2">
        <f>ROUND(SUMIF(AA249:AA257,"=33989672",GX249:GX257),2)</f>
        <v>0</v>
      </c>
      <c r="CK259" s="2">
        <f>ROUND(SUMIF(AA249:AA257,"=33989672",GY249:GY257),2)</f>
        <v>0</v>
      </c>
      <c r="CL259" s="2">
        <f>ROUND(SUMIF(AA249:AA257,"=33989672",GZ249:GZ257),2)</f>
        <v>0</v>
      </c>
      <c r="CM259" s="2">
        <f>ROUND(SUMIF(AA249:AA257,"=33989672",HD249:HD257),2)</f>
        <v>0</v>
      </c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>
        <v>0</v>
      </c>
    </row>
    <row r="261" spans="1:245" x14ac:dyDescent="0.2">
      <c r="A261" s="4">
        <v>50</v>
      </c>
      <c r="B261" s="4">
        <v>0</v>
      </c>
      <c r="C261" s="4">
        <v>0</v>
      </c>
      <c r="D261" s="4">
        <v>1</v>
      </c>
      <c r="E261" s="4">
        <v>201</v>
      </c>
      <c r="F261" s="4">
        <f>ROUND(Source!O259,O261)</f>
        <v>1534990.61</v>
      </c>
      <c r="G261" s="4" t="s">
        <v>89</v>
      </c>
      <c r="H261" s="4" t="s">
        <v>90</v>
      </c>
      <c r="I261" s="4"/>
      <c r="J261" s="4"/>
      <c r="K261" s="4">
        <v>201</v>
      </c>
      <c r="L261" s="4">
        <v>1</v>
      </c>
      <c r="M261" s="4">
        <v>3</v>
      </c>
      <c r="N261" s="4" t="s">
        <v>3</v>
      </c>
      <c r="O261" s="4">
        <v>2</v>
      </c>
      <c r="P261" s="4"/>
      <c r="Q261" s="4"/>
      <c r="R261" s="4"/>
      <c r="S261" s="4"/>
      <c r="T261" s="4"/>
      <c r="U261" s="4"/>
      <c r="V261" s="4"/>
      <c r="W261" s="4"/>
    </row>
    <row r="262" spans="1:245" x14ac:dyDescent="0.2">
      <c r="A262" s="4">
        <v>50</v>
      </c>
      <c r="B262" s="4">
        <v>0</v>
      </c>
      <c r="C262" s="4">
        <v>0</v>
      </c>
      <c r="D262" s="4">
        <v>1</v>
      </c>
      <c r="E262" s="4">
        <v>202</v>
      </c>
      <c r="F262" s="4">
        <f>ROUND(Source!P259,O262)</f>
        <v>712666.75</v>
      </c>
      <c r="G262" s="4" t="s">
        <v>91</v>
      </c>
      <c r="H262" s="4" t="s">
        <v>92</v>
      </c>
      <c r="I262" s="4"/>
      <c r="J262" s="4"/>
      <c r="K262" s="4">
        <v>202</v>
      </c>
      <c r="L262" s="4">
        <v>2</v>
      </c>
      <c r="M262" s="4">
        <v>3</v>
      </c>
      <c r="N262" s="4" t="s">
        <v>3</v>
      </c>
      <c r="O262" s="4">
        <v>2</v>
      </c>
      <c r="P262" s="4"/>
      <c r="Q262" s="4"/>
      <c r="R262" s="4"/>
      <c r="S262" s="4"/>
      <c r="T262" s="4"/>
      <c r="U262" s="4"/>
      <c r="V262" s="4"/>
      <c r="W262" s="4"/>
    </row>
    <row r="263" spans="1:245" x14ac:dyDescent="0.2">
      <c r="A263" s="4">
        <v>50</v>
      </c>
      <c r="B263" s="4">
        <v>0</v>
      </c>
      <c r="C263" s="4">
        <v>0</v>
      </c>
      <c r="D263" s="4">
        <v>1</v>
      </c>
      <c r="E263" s="4">
        <v>222</v>
      </c>
      <c r="F263" s="4">
        <f>ROUND(Source!AO259,O263)</f>
        <v>0</v>
      </c>
      <c r="G263" s="4" t="s">
        <v>93</v>
      </c>
      <c r="H263" s="4" t="s">
        <v>94</v>
      </c>
      <c r="I263" s="4"/>
      <c r="J263" s="4"/>
      <c r="K263" s="4">
        <v>222</v>
      </c>
      <c r="L263" s="4">
        <v>3</v>
      </c>
      <c r="M263" s="4">
        <v>3</v>
      </c>
      <c r="N263" s="4" t="s">
        <v>3</v>
      </c>
      <c r="O263" s="4">
        <v>2</v>
      </c>
      <c r="P263" s="4"/>
      <c r="Q263" s="4"/>
      <c r="R263" s="4"/>
      <c r="S263" s="4"/>
      <c r="T263" s="4"/>
      <c r="U263" s="4"/>
      <c r="V263" s="4"/>
      <c r="W263" s="4"/>
    </row>
    <row r="264" spans="1:245" x14ac:dyDescent="0.2">
      <c r="A264" s="4">
        <v>50</v>
      </c>
      <c r="B264" s="4">
        <v>0</v>
      </c>
      <c r="C264" s="4">
        <v>0</v>
      </c>
      <c r="D264" s="4">
        <v>1</v>
      </c>
      <c r="E264" s="4">
        <v>225</v>
      </c>
      <c r="F264" s="4">
        <f>ROUND(Source!AV259,O264)</f>
        <v>712666.75</v>
      </c>
      <c r="G264" s="4" t="s">
        <v>95</v>
      </c>
      <c r="H264" s="4" t="s">
        <v>96</v>
      </c>
      <c r="I264" s="4"/>
      <c r="J264" s="4"/>
      <c r="K264" s="4">
        <v>225</v>
      </c>
      <c r="L264" s="4">
        <v>4</v>
      </c>
      <c r="M264" s="4">
        <v>3</v>
      </c>
      <c r="N264" s="4" t="s">
        <v>3</v>
      </c>
      <c r="O264" s="4">
        <v>2</v>
      </c>
      <c r="P264" s="4"/>
      <c r="Q264" s="4"/>
      <c r="R264" s="4"/>
      <c r="S264" s="4"/>
      <c r="T264" s="4"/>
      <c r="U264" s="4"/>
      <c r="V264" s="4"/>
      <c r="W264" s="4"/>
    </row>
    <row r="265" spans="1:245" x14ac:dyDescent="0.2">
      <c r="A265" s="4">
        <v>50</v>
      </c>
      <c r="B265" s="4">
        <v>0</v>
      </c>
      <c r="C265" s="4">
        <v>0</v>
      </c>
      <c r="D265" s="4">
        <v>1</v>
      </c>
      <c r="E265" s="4">
        <v>226</v>
      </c>
      <c r="F265" s="4">
        <f>ROUND(Source!AW259,O265)</f>
        <v>712666.75</v>
      </c>
      <c r="G265" s="4" t="s">
        <v>97</v>
      </c>
      <c r="H265" s="4" t="s">
        <v>98</v>
      </c>
      <c r="I265" s="4"/>
      <c r="J265" s="4"/>
      <c r="K265" s="4">
        <v>226</v>
      </c>
      <c r="L265" s="4">
        <v>5</v>
      </c>
      <c r="M265" s="4">
        <v>3</v>
      </c>
      <c r="N265" s="4" t="s">
        <v>3</v>
      </c>
      <c r="O265" s="4">
        <v>2</v>
      </c>
      <c r="P265" s="4"/>
      <c r="Q265" s="4"/>
      <c r="R265" s="4"/>
      <c r="S265" s="4"/>
      <c r="T265" s="4"/>
      <c r="U265" s="4"/>
      <c r="V265" s="4"/>
      <c r="W265" s="4"/>
    </row>
    <row r="266" spans="1:245" x14ac:dyDescent="0.2">
      <c r="A266" s="4">
        <v>50</v>
      </c>
      <c r="B266" s="4">
        <v>0</v>
      </c>
      <c r="C266" s="4">
        <v>0</v>
      </c>
      <c r="D266" s="4">
        <v>1</v>
      </c>
      <c r="E266" s="4">
        <v>227</v>
      </c>
      <c r="F266" s="4">
        <f>ROUND(Source!AX259,O266)</f>
        <v>0</v>
      </c>
      <c r="G266" s="4" t="s">
        <v>99</v>
      </c>
      <c r="H266" s="4" t="s">
        <v>100</v>
      </c>
      <c r="I266" s="4"/>
      <c r="J266" s="4"/>
      <c r="K266" s="4">
        <v>227</v>
      </c>
      <c r="L266" s="4">
        <v>6</v>
      </c>
      <c r="M266" s="4">
        <v>3</v>
      </c>
      <c r="N266" s="4" t="s">
        <v>3</v>
      </c>
      <c r="O266" s="4">
        <v>2</v>
      </c>
      <c r="P266" s="4"/>
      <c r="Q266" s="4"/>
      <c r="R266" s="4"/>
      <c r="S266" s="4"/>
      <c r="T266" s="4"/>
      <c r="U266" s="4"/>
      <c r="V266" s="4"/>
      <c r="W266" s="4"/>
    </row>
    <row r="267" spans="1:245" x14ac:dyDescent="0.2">
      <c r="A267" s="4">
        <v>50</v>
      </c>
      <c r="B267" s="4">
        <v>0</v>
      </c>
      <c r="C267" s="4">
        <v>0</v>
      </c>
      <c r="D267" s="4">
        <v>1</v>
      </c>
      <c r="E267" s="4">
        <v>228</v>
      </c>
      <c r="F267" s="4">
        <f>ROUND(Source!AY259,O267)</f>
        <v>712666.75</v>
      </c>
      <c r="G267" s="4" t="s">
        <v>101</v>
      </c>
      <c r="H267" s="4" t="s">
        <v>102</v>
      </c>
      <c r="I267" s="4"/>
      <c r="J267" s="4"/>
      <c r="K267" s="4">
        <v>228</v>
      </c>
      <c r="L267" s="4">
        <v>7</v>
      </c>
      <c r="M267" s="4">
        <v>3</v>
      </c>
      <c r="N267" s="4" t="s">
        <v>3</v>
      </c>
      <c r="O267" s="4">
        <v>2</v>
      </c>
      <c r="P267" s="4"/>
      <c r="Q267" s="4"/>
      <c r="R267" s="4"/>
      <c r="S267" s="4"/>
      <c r="T267" s="4"/>
      <c r="U267" s="4"/>
      <c r="V267" s="4"/>
      <c r="W267" s="4"/>
    </row>
    <row r="268" spans="1:245" x14ac:dyDescent="0.2">
      <c r="A268" s="4">
        <v>50</v>
      </c>
      <c r="B268" s="4">
        <v>0</v>
      </c>
      <c r="C268" s="4">
        <v>0</v>
      </c>
      <c r="D268" s="4">
        <v>1</v>
      </c>
      <c r="E268" s="4">
        <v>216</v>
      </c>
      <c r="F268" s="4">
        <f>ROUND(Source!AP259,O268)</f>
        <v>0</v>
      </c>
      <c r="G268" s="4" t="s">
        <v>103</v>
      </c>
      <c r="H268" s="4" t="s">
        <v>104</v>
      </c>
      <c r="I268" s="4"/>
      <c r="J268" s="4"/>
      <c r="K268" s="4">
        <v>216</v>
      </c>
      <c r="L268" s="4">
        <v>8</v>
      </c>
      <c r="M268" s="4">
        <v>3</v>
      </c>
      <c r="N268" s="4" t="s">
        <v>3</v>
      </c>
      <c r="O268" s="4">
        <v>2</v>
      </c>
      <c r="P268" s="4"/>
      <c r="Q268" s="4"/>
      <c r="R268" s="4"/>
      <c r="S268" s="4"/>
      <c r="T268" s="4"/>
      <c r="U268" s="4"/>
      <c r="V268" s="4"/>
      <c r="W268" s="4"/>
    </row>
    <row r="269" spans="1:245" x14ac:dyDescent="0.2">
      <c r="A269" s="4">
        <v>50</v>
      </c>
      <c r="B269" s="4">
        <v>0</v>
      </c>
      <c r="C269" s="4">
        <v>0</v>
      </c>
      <c r="D269" s="4">
        <v>1</v>
      </c>
      <c r="E269" s="4">
        <v>223</v>
      </c>
      <c r="F269" s="4">
        <f>ROUND(Source!AQ259,O269)</f>
        <v>0</v>
      </c>
      <c r="G269" s="4" t="s">
        <v>105</v>
      </c>
      <c r="H269" s="4" t="s">
        <v>106</v>
      </c>
      <c r="I269" s="4"/>
      <c r="J269" s="4"/>
      <c r="K269" s="4">
        <v>223</v>
      </c>
      <c r="L269" s="4">
        <v>9</v>
      </c>
      <c r="M269" s="4">
        <v>3</v>
      </c>
      <c r="N269" s="4" t="s">
        <v>3</v>
      </c>
      <c r="O269" s="4">
        <v>2</v>
      </c>
      <c r="P269" s="4"/>
      <c r="Q269" s="4"/>
      <c r="R269" s="4"/>
      <c r="S269" s="4"/>
      <c r="T269" s="4"/>
      <c r="U269" s="4"/>
      <c r="V269" s="4"/>
      <c r="W269" s="4"/>
    </row>
    <row r="270" spans="1:245" x14ac:dyDescent="0.2">
      <c r="A270" s="4">
        <v>50</v>
      </c>
      <c r="B270" s="4">
        <v>0</v>
      </c>
      <c r="C270" s="4">
        <v>0</v>
      </c>
      <c r="D270" s="4">
        <v>1</v>
      </c>
      <c r="E270" s="4">
        <v>229</v>
      </c>
      <c r="F270" s="4">
        <f>ROUND(Source!AZ259,O270)</f>
        <v>0</v>
      </c>
      <c r="G270" s="4" t="s">
        <v>107</v>
      </c>
      <c r="H270" s="4" t="s">
        <v>108</v>
      </c>
      <c r="I270" s="4"/>
      <c r="J270" s="4"/>
      <c r="K270" s="4">
        <v>229</v>
      </c>
      <c r="L270" s="4">
        <v>10</v>
      </c>
      <c r="M270" s="4">
        <v>3</v>
      </c>
      <c r="N270" s="4" t="s">
        <v>3</v>
      </c>
      <c r="O270" s="4">
        <v>2</v>
      </c>
      <c r="P270" s="4"/>
      <c r="Q270" s="4"/>
      <c r="R270" s="4"/>
      <c r="S270" s="4"/>
      <c r="T270" s="4"/>
      <c r="U270" s="4"/>
      <c r="V270" s="4"/>
      <c r="W270" s="4"/>
    </row>
    <row r="271" spans="1:245" x14ac:dyDescent="0.2">
      <c r="A271" s="4">
        <v>50</v>
      </c>
      <c r="B271" s="4">
        <v>0</v>
      </c>
      <c r="C271" s="4">
        <v>0</v>
      </c>
      <c r="D271" s="4">
        <v>1</v>
      </c>
      <c r="E271" s="4">
        <v>203</v>
      </c>
      <c r="F271" s="4">
        <f>ROUND(Source!Q259,O271)</f>
        <v>12694.03</v>
      </c>
      <c r="G271" s="4" t="s">
        <v>109</v>
      </c>
      <c r="H271" s="4" t="s">
        <v>110</v>
      </c>
      <c r="I271" s="4"/>
      <c r="J271" s="4"/>
      <c r="K271" s="4">
        <v>203</v>
      </c>
      <c r="L271" s="4">
        <v>11</v>
      </c>
      <c r="M271" s="4">
        <v>3</v>
      </c>
      <c r="N271" s="4" t="s">
        <v>3</v>
      </c>
      <c r="O271" s="4">
        <v>2</v>
      </c>
      <c r="P271" s="4"/>
      <c r="Q271" s="4"/>
      <c r="R271" s="4"/>
      <c r="S271" s="4"/>
      <c r="T271" s="4"/>
      <c r="U271" s="4"/>
      <c r="V271" s="4"/>
      <c r="W271" s="4"/>
    </row>
    <row r="272" spans="1:245" x14ac:dyDescent="0.2">
      <c r="A272" s="4">
        <v>50</v>
      </c>
      <c r="B272" s="4">
        <v>0</v>
      </c>
      <c r="C272" s="4">
        <v>0</v>
      </c>
      <c r="D272" s="4">
        <v>1</v>
      </c>
      <c r="E272" s="4">
        <v>231</v>
      </c>
      <c r="F272" s="4">
        <f>ROUND(Source!BB259,O272)</f>
        <v>0</v>
      </c>
      <c r="G272" s="4" t="s">
        <v>111</v>
      </c>
      <c r="H272" s="4" t="s">
        <v>112</v>
      </c>
      <c r="I272" s="4"/>
      <c r="J272" s="4"/>
      <c r="K272" s="4">
        <v>231</v>
      </c>
      <c r="L272" s="4">
        <v>12</v>
      </c>
      <c r="M272" s="4">
        <v>3</v>
      </c>
      <c r="N272" s="4" t="s">
        <v>3</v>
      </c>
      <c r="O272" s="4">
        <v>2</v>
      </c>
      <c r="P272" s="4"/>
      <c r="Q272" s="4"/>
      <c r="R272" s="4"/>
      <c r="S272" s="4"/>
      <c r="T272" s="4"/>
      <c r="U272" s="4"/>
      <c r="V272" s="4"/>
      <c r="W272" s="4"/>
    </row>
    <row r="273" spans="1:23" x14ac:dyDescent="0.2">
      <c r="A273" s="4">
        <v>50</v>
      </c>
      <c r="B273" s="4">
        <v>0</v>
      </c>
      <c r="C273" s="4">
        <v>0</v>
      </c>
      <c r="D273" s="4">
        <v>1</v>
      </c>
      <c r="E273" s="4">
        <v>204</v>
      </c>
      <c r="F273" s="4">
        <f>ROUND(Source!R259,O273)</f>
        <v>5468.23</v>
      </c>
      <c r="G273" s="4" t="s">
        <v>113</v>
      </c>
      <c r="H273" s="4" t="s">
        <v>114</v>
      </c>
      <c r="I273" s="4"/>
      <c r="J273" s="4"/>
      <c r="K273" s="4">
        <v>204</v>
      </c>
      <c r="L273" s="4">
        <v>13</v>
      </c>
      <c r="M273" s="4">
        <v>3</v>
      </c>
      <c r="N273" s="4" t="s">
        <v>3</v>
      </c>
      <c r="O273" s="4">
        <v>2</v>
      </c>
      <c r="P273" s="4"/>
      <c r="Q273" s="4"/>
      <c r="R273" s="4"/>
      <c r="S273" s="4"/>
      <c r="T273" s="4"/>
      <c r="U273" s="4"/>
      <c r="V273" s="4"/>
      <c r="W273" s="4"/>
    </row>
    <row r="274" spans="1:23" x14ac:dyDescent="0.2">
      <c r="A274" s="4">
        <v>50</v>
      </c>
      <c r="B274" s="4">
        <v>0</v>
      </c>
      <c r="C274" s="4">
        <v>0</v>
      </c>
      <c r="D274" s="4">
        <v>1</v>
      </c>
      <c r="E274" s="4">
        <v>205</v>
      </c>
      <c r="F274" s="4">
        <f>ROUND(Source!S259,O274)</f>
        <v>809629.83</v>
      </c>
      <c r="G274" s="4" t="s">
        <v>115</v>
      </c>
      <c r="H274" s="4" t="s">
        <v>116</v>
      </c>
      <c r="I274" s="4"/>
      <c r="J274" s="4"/>
      <c r="K274" s="4">
        <v>205</v>
      </c>
      <c r="L274" s="4">
        <v>14</v>
      </c>
      <c r="M274" s="4">
        <v>3</v>
      </c>
      <c r="N274" s="4" t="s">
        <v>3</v>
      </c>
      <c r="O274" s="4">
        <v>2</v>
      </c>
      <c r="P274" s="4"/>
      <c r="Q274" s="4"/>
      <c r="R274" s="4"/>
      <c r="S274" s="4"/>
      <c r="T274" s="4"/>
      <c r="U274" s="4"/>
      <c r="V274" s="4"/>
      <c r="W274" s="4"/>
    </row>
    <row r="275" spans="1:23" x14ac:dyDescent="0.2">
      <c r="A275" s="4">
        <v>50</v>
      </c>
      <c r="B275" s="4">
        <v>0</v>
      </c>
      <c r="C275" s="4">
        <v>0</v>
      </c>
      <c r="D275" s="4">
        <v>1</v>
      </c>
      <c r="E275" s="4">
        <v>232</v>
      </c>
      <c r="F275" s="4">
        <f>ROUND(Source!BC259,O275)</f>
        <v>0</v>
      </c>
      <c r="G275" s="4" t="s">
        <v>117</v>
      </c>
      <c r="H275" s="4" t="s">
        <v>118</v>
      </c>
      <c r="I275" s="4"/>
      <c r="J275" s="4"/>
      <c r="K275" s="4">
        <v>232</v>
      </c>
      <c r="L275" s="4">
        <v>15</v>
      </c>
      <c r="M275" s="4">
        <v>3</v>
      </c>
      <c r="N275" s="4" t="s">
        <v>3</v>
      </c>
      <c r="O275" s="4">
        <v>2</v>
      </c>
      <c r="P275" s="4"/>
      <c r="Q275" s="4"/>
      <c r="R275" s="4"/>
      <c r="S275" s="4"/>
      <c r="T275" s="4"/>
      <c r="U275" s="4"/>
      <c r="V275" s="4"/>
      <c r="W275" s="4"/>
    </row>
    <row r="276" spans="1:23" x14ac:dyDescent="0.2">
      <c r="A276" s="4">
        <v>50</v>
      </c>
      <c r="B276" s="4">
        <v>0</v>
      </c>
      <c r="C276" s="4">
        <v>0</v>
      </c>
      <c r="D276" s="4">
        <v>1</v>
      </c>
      <c r="E276" s="4">
        <v>214</v>
      </c>
      <c r="F276" s="4">
        <f>ROUND(Source!AS259,O276)</f>
        <v>2701544.19</v>
      </c>
      <c r="G276" s="4" t="s">
        <v>119</v>
      </c>
      <c r="H276" s="4" t="s">
        <v>120</v>
      </c>
      <c r="I276" s="4"/>
      <c r="J276" s="4"/>
      <c r="K276" s="4">
        <v>214</v>
      </c>
      <c r="L276" s="4">
        <v>16</v>
      </c>
      <c r="M276" s="4">
        <v>3</v>
      </c>
      <c r="N276" s="4" t="s">
        <v>3</v>
      </c>
      <c r="O276" s="4">
        <v>2</v>
      </c>
      <c r="P276" s="4"/>
      <c r="Q276" s="4"/>
      <c r="R276" s="4"/>
      <c r="S276" s="4"/>
      <c r="T276" s="4"/>
      <c r="U276" s="4"/>
      <c r="V276" s="4"/>
      <c r="W276" s="4"/>
    </row>
    <row r="277" spans="1:23" x14ac:dyDescent="0.2">
      <c r="A277" s="4">
        <v>50</v>
      </c>
      <c r="B277" s="4">
        <v>0</v>
      </c>
      <c r="C277" s="4">
        <v>0</v>
      </c>
      <c r="D277" s="4">
        <v>1</v>
      </c>
      <c r="E277" s="4">
        <v>215</v>
      </c>
      <c r="F277" s="4">
        <f>ROUND(Source!AT259,O277)</f>
        <v>0</v>
      </c>
      <c r="G277" s="4" t="s">
        <v>121</v>
      </c>
      <c r="H277" s="4" t="s">
        <v>122</v>
      </c>
      <c r="I277" s="4"/>
      <c r="J277" s="4"/>
      <c r="K277" s="4">
        <v>215</v>
      </c>
      <c r="L277" s="4">
        <v>17</v>
      </c>
      <c r="M277" s="4">
        <v>3</v>
      </c>
      <c r="N277" s="4" t="s">
        <v>3</v>
      </c>
      <c r="O277" s="4">
        <v>2</v>
      </c>
      <c r="P277" s="4"/>
      <c r="Q277" s="4"/>
      <c r="R277" s="4"/>
      <c r="S277" s="4"/>
      <c r="T277" s="4"/>
      <c r="U277" s="4"/>
      <c r="V277" s="4"/>
      <c r="W277" s="4"/>
    </row>
    <row r="278" spans="1:23" x14ac:dyDescent="0.2">
      <c r="A278" s="4">
        <v>50</v>
      </c>
      <c r="B278" s="4">
        <v>0</v>
      </c>
      <c r="C278" s="4">
        <v>0</v>
      </c>
      <c r="D278" s="4">
        <v>1</v>
      </c>
      <c r="E278" s="4">
        <v>217</v>
      </c>
      <c r="F278" s="4">
        <f>ROUND(Source!AU259,O278)</f>
        <v>0</v>
      </c>
      <c r="G278" s="4" t="s">
        <v>123</v>
      </c>
      <c r="H278" s="4" t="s">
        <v>124</v>
      </c>
      <c r="I278" s="4"/>
      <c r="J278" s="4"/>
      <c r="K278" s="4">
        <v>217</v>
      </c>
      <c r="L278" s="4">
        <v>18</v>
      </c>
      <c r="M278" s="4">
        <v>3</v>
      </c>
      <c r="N278" s="4" t="s">
        <v>3</v>
      </c>
      <c r="O278" s="4">
        <v>2</v>
      </c>
      <c r="P278" s="4"/>
      <c r="Q278" s="4"/>
      <c r="R278" s="4"/>
      <c r="S278" s="4"/>
      <c r="T278" s="4"/>
      <c r="U278" s="4"/>
      <c r="V278" s="4"/>
      <c r="W278" s="4"/>
    </row>
    <row r="279" spans="1:23" x14ac:dyDescent="0.2">
      <c r="A279" s="4">
        <v>50</v>
      </c>
      <c r="B279" s="4">
        <v>0</v>
      </c>
      <c r="C279" s="4">
        <v>0</v>
      </c>
      <c r="D279" s="4">
        <v>1</v>
      </c>
      <c r="E279" s="4">
        <v>230</v>
      </c>
      <c r="F279" s="4">
        <f>ROUND(Source!BA259,O279)</f>
        <v>0</v>
      </c>
      <c r="G279" s="4" t="s">
        <v>125</v>
      </c>
      <c r="H279" s="4" t="s">
        <v>126</v>
      </c>
      <c r="I279" s="4"/>
      <c r="J279" s="4"/>
      <c r="K279" s="4">
        <v>230</v>
      </c>
      <c r="L279" s="4">
        <v>19</v>
      </c>
      <c r="M279" s="4">
        <v>3</v>
      </c>
      <c r="N279" s="4" t="s">
        <v>3</v>
      </c>
      <c r="O279" s="4">
        <v>2</v>
      </c>
      <c r="P279" s="4"/>
      <c r="Q279" s="4"/>
      <c r="R279" s="4"/>
      <c r="S279" s="4"/>
      <c r="T279" s="4"/>
      <c r="U279" s="4"/>
      <c r="V279" s="4"/>
      <c r="W279" s="4"/>
    </row>
    <row r="280" spans="1:23" x14ac:dyDescent="0.2">
      <c r="A280" s="4">
        <v>50</v>
      </c>
      <c r="B280" s="4">
        <v>0</v>
      </c>
      <c r="C280" s="4">
        <v>0</v>
      </c>
      <c r="D280" s="4">
        <v>1</v>
      </c>
      <c r="E280" s="4">
        <v>206</v>
      </c>
      <c r="F280" s="4">
        <f>ROUND(Source!T259,O280)</f>
        <v>0</v>
      </c>
      <c r="G280" s="4" t="s">
        <v>127</v>
      </c>
      <c r="H280" s="4" t="s">
        <v>128</v>
      </c>
      <c r="I280" s="4"/>
      <c r="J280" s="4"/>
      <c r="K280" s="4">
        <v>206</v>
      </c>
      <c r="L280" s="4">
        <v>20</v>
      </c>
      <c r="M280" s="4">
        <v>3</v>
      </c>
      <c r="N280" s="4" t="s">
        <v>3</v>
      </c>
      <c r="O280" s="4">
        <v>2</v>
      </c>
      <c r="P280" s="4"/>
      <c r="Q280" s="4"/>
      <c r="R280" s="4"/>
      <c r="S280" s="4"/>
      <c r="T280" s="4"/>
      <c r="U280" s="4"/>
      <c r="V280" s="4"/>
      <c r="W280" s="4"/>
    </row>
    <row r="281" spans="1:23" x14ac:dyDescent="0.2">
      <c r="A281" s="4">
        <v>50</v>
      </c>
      <c r="B281" s="4">
        <v>0</v>
      </c>
      <c r="C281" s="4">
        <v>0</v>
      </c>
      <c r="D281" s="4">
        <v>1</v>
      </c>
      <c r="E281" s="4">
        <v>207</v>
      </c>
      <c r="F281" s="4">
        <f>Source!U259</f>
        <v>2971.1297033600003</v>
      </c>
      <c r="G281" s="4" t="s">
        <v>129</v>
      </c>
      <c r="H281" s="4" t="s">
        <v>130</v>
      </c>
      <c r="I281" s="4"/>
      <c r="J281" s="4"/>
      <c r="K281" s="4">
        <v>207</v>
      </c>
      <c r="L281" s="4">
        <v>21</v>
      </c>
      <c r="M281" s="4">
        <v>3</v>
      </c>
      <c r="N281" s="4" t="s">
        <v>3</v>
      </c>
      <c r="O281" s="4">
        <v>-1</v>
      </c>
      <c r="P281" s="4"/>
      <c r="Q281" s="4"/>
      <c r="R281" s="4"/>
      <c r="S281" s="4"/>
      <c r="T281" s="4"/>
      <c r="U281" s="4"/>
      <c r="V281" s="4"/>
      <c r="W281" s="4"/>
    </row>
    <row r="282" spans="1:23" x14ac:dyDescent="0.2">
      <c r="A282" s="4">
        <v>50</v>
      </c>
      <c r="B282" s="4">
        <v>0</v>
      </c>
      <c r="C282" s="4">
        <v>0</v>
      </c>
      <c r="D282" s="4">
        <v>1</v>
      </c>
      <c r="E282" s="4">
        <v>208</v>
      </c>
      <c r="F282" s="4">
        <f>Source!V259</f>
        <v>0</v>
      </c>
      <c r="G282" s="4" t="s">
        <v>131</v>
      </c>
      <c r="H282" s="4" t="s">
        <v>132</v>
      </c>
      <c r="I282" s="4"/>
      <c r="J282" s="4"/>
      <c r="K282" s="4">
        <v>208</v>
      </c>
      <c r="L282" s="4">
        <v>22</v>
      </c>
      <c r="M282" s="4">
        <v>3</v>
      </c>
      <c r="N282" s="4" t="s">
        <v>3</v>
      </c>
      <c r="O282" s="4">
        <v>-1</v>
      </c>
      <c r="P282" s="4"/>
      <c r="Q282" s="4"/>
      <c r="R282" s="4"/>
      <c r="S282" s="4"/>
      <c r="T282" s="4"/>
      <c r="U282" s="4"/>
      <c r="V282" s="4"/>
      <c r="W282" s="4"/>
    </row>
    <row r="283" spans="1:23" x14ac:dyDescent="0.2">
      <c r="A283" s="4">
        <v>50</v>
      </c>
      <c r="B283" s="4">
        <v>0</v>
      </c>
      <c r="C283" s="4">
        <v>0</v>
      </c>
      <c r="D283" s="4">
        <v>1</v>
      </c>
      <c r="E283" s="4">
        <v>209</v>
      </c>
      <c r="F283" s="4">
        <f>ROUND(Source!W259,O283)</f>
        <v>0</v>
      </c>
      <c r="G283" s="4" t="s">
        <v>133</v>
      </c>
      <c r="H283" s="4" t="s">
        <v>134</v>
      </c>
      <c r="I283" s="4"/>
      <c r="J283" s="4"/>
      <c r="K283" s="4">
        <v>209</v>
      </c>
      <c r="L283" s="4">
        <v>23</v>
      </c>
      <c r="M283" s="4">
        <v>3</v>
      </c>
      <c r="N283" s="4" t="s">
        <v>3</v>
      </c>
      <c r="O283" s="4">
        <v>2</v>
      </c>
      <c r="P283" s="4"/>
      <c r="Q283" s="4"/>
      <c r="R283" s="4"/>
      <c r="S283" s="4"/>
      <c r="T283" s="4"/>
      <c r="U283" s="4"/>
      <c r="V283" s="4"/>
      <c r="W283" s="4"/>
    </row>
    <row r="284" spans="1:23" x14ac:dyDescent="0.2">
      <c r="A284" s="4">
        <v>50</v>
      </c>
      <c r="B284" s="4">
        <v>0</v>
      </c>
      <c r="C284" s="4">
        <v>0</v>
      </c>
      <c r="D284" s="4">
        <v>1</v>
      </c>
      <c r="E284" s="4">
        <v>233</v>
      </c>
      <c r="F284" s="4">
        <f>ROUND(Source!BD259,O284)</f>
        <v>0</v>
      </c>
      <c r="G284" s="4" t="s">
        <v>135</v>
      </c>
      <c r="H284" s="4" t="s">
        <v>136</v>
      </c>
      <c r="I284" s="4"/>
      <c r="J284" s="4"/>
      <c r="K284" s="4">
        <v>233</v>
      </c>
      <c r="L284" s="4">
        <v>24</v>
      </c>
      <c r="M284" s="4">
        <v>3</v>
      </c>
      <c r="N284" s="4" t="s">
        <v>3</v>
      </c>
      <c r="O284" s="4">
        <v>2</v>
      </c>
      <c r="P284" s="4"/>
      <c r="Q284" s="4"/>
      <c r="R284" s="4"/>
      <c r="S284" s="4"/>
      <c r="T284" s="4"/>
      <c r="U284" s="4"/>
      <c r="V284" s="4"/>
      <c r="W284" s="4"/>
    </row>
    <row r="285" spans="1:23" x14ac:dyDescent="0.2">
      <c r="A285" s="4">
        <v>50</v>
      </c>
      <c r="B285" s="4">
        <v>0</v>
      </c>
      <c r="C285" s="4">
        <v>0</v>
      </c>
      <c r="D285" s="4">
        <v>1</v>
      </c>
      <c r="E285" s="4">
        <v>210</v>
      </c>
      <c r="F285" s="4">
        <f>ROUND(Source!X259,O285)</f>
        <v>778963.29</v>
      </c>
      <c r="G285" s="4" t="s">
        <v>137</v>
      </c>
      <c r="H285" s="4" t="s">
        <v>138</v>
      </c>
      <c r="I285" s="4"/>
      <c r="J285" s="4"/>
      <c r="K285" s="4">
        <v>210</v>
      </c>
      <c r="L285" s="4">
        <v>25</v>
      </c>
      <c r="M285" s="4">
        <v>3</v>
      </c>
      <c r="N285" s="4" t="s">
        <v>3</v>
      </c>
      <c r="O285" s="4">
        <v>2</v>
      </c>
      <c r="P285" s="4"/>
      <c r="Q285" s="4"/>
      <c r="R285" s="4"/>
      <c r="S285" s="4"/>
      <c r="T285" s="4"/>
      <c r="U285" s="4"/>
      <c r="V285" s="4"/>
      <c r="W285" s="4"/>
    </row>
    <row r="286" spans="1:23" x14ac:dyDescent="0.2">
      <c r="A286" s="4">
        <v>50</v>
      </c>
      <c r="B286" s="4">
        <v>0</v>
      </c>
      <c r="C286" s="4">
        <v>0</v>
      </c>
      <c r="D286" s="4">
        <v>1</v>
      </c>
      <c r="E286" s="4">
        <v>211</v>
      </c>
      <c r="F286" s="4">
        <f>ROUND(Source!Y259,O286)</f>
        <v>379005.17</v>
      </c>
      <c r="G286" s="4" t="s">
        <v>139</v>
      </c>
      <c r="H286" s="4" t="s">
        <v>140</v>
      </c>
      <c r="I286" s="4"/>
      <c r="J286" s="4"/>
      <c r="K286" s="4">
        <v>211</v>
      </c>
      <c r="L286" s="4">
        <v>26</v>
      </c>
      <c r="M286" s="4">
        <v>3</v>
      </c>
      <c r="N286" s="4" t="s">
        <v>3</v>
      </c>
      <c r="O286" s="4">
        <v>2</v>
      </c>
      <c r="P286" s="4"/>
      <c r="Q286" s="4"/>
      <c r="R286" s="4"/>
      <c r="S286" s="4"/>
      <c r="T286" s="4"/>
      <c r="U286" s="4"/>
      <c r="V286" s="4"/>
      <c r="W286" s="4"/>
    </row>
    <row r="287" spans="1:23" x14ac:dyDescent="0.2">
      <c r="A287" s="4">
        <v>50</v>
      </c>
      <c r="B287" s="4">
        <v>0</v>
      </c>
      <c r="C287" s="4">
        <v>0</v>
      </c>
      <c r="D287" s="4">
        <v>1</v>
      </c>
      <c r="E287" s="4">
        <v>224</v>
      </c>
      <c r="F287" s="4">
        <f>ROUND(Source!AR259,O287)</f>
        <v>2701544.19</v>
      </c>
      <c r="G287" s="4" t="s">
        <v>141</v>
      </c>
      <c r="H287" s="4" t="s">
        <v>142</v>
      </c>
      <c r="I287" s="4"/>
      <c r="J287" s="4"/>
      <c r="K287" s="4">
        <v>224</v>
      </c>
      <c r="L287" s="4">
        <v>27</v>
      </c>
      <c r="M287" s="4">
        <v>3</v>
      </c>
      <c r="N287" s="4" t="s">
        <v>3</v>
      </c>
      <c r="O287" s="4">
        <v>2</v>
      </c>
      <c r="P287" s="4"/>
      <c r="Q287" s="4"/>
      <c r="R287" s="4"/>
      <c r="S287" s="4"/>
      <c r="T287" s="4"/>
      <c r="U287" s="4"/>
      <c r="V287" s="4"/>
      <c r="W287" s="4"/>
    </row>
    <row r="288" spans="1:23" x14ac:dyDescent="0.2">
      <c r="A288" s="4">
        <v>50</v>
      </c>
      <c r="B288" s="4">
        <v>1</v>
      </c>
      <c r="C288" s="4">
        <v>0</v>
      </c>
      <c r="D288" s="4">
        <v>2</v>
      </c>
      <c r="E288" s="4">
        <v>0</v>
      </c>
      <c r="F288" s="4">
        <f>ROUND(F287*1.2,O288)</f>
        <v>3241853.03</v>
      </c>
      <c r="G288" s="4" t="s">
        <v>15</v>
      </c>
      <c r="H288" s="4" t="s">
        <v>170</v>
      </c>
      <c r="I288" s="4"/>
      <c r="J288" s="4"/>
      <c r="K288" s="4">
        <v>212</v>
      </c>
      <c r="L288" s="4">
        <v>28</v>
      </c>
      <c r="M288" s="4">
        <v>0</v>
      </c>
      <c r="N288" s="4" t="s">
        <v>3</v>
      </c>
      <c r="O288" s="4">
        <v>2</v>
      </c>
      <c r="P288" s="4"/>
      <c r="Q288" s="4"/>
      <c r="R288" s="4"/>
      <c r="S288" s="4"/>
      <c r="T288" s="4"/>
      <c r="U288" s="4"/>
      <c r="V288" s="4"/>
      <c r="W288" s="4"/>
    </row>
    <row r="290" spans="1:206" x14ac:dyDescent="0.2">
      <c r="A290" s="1">
        <v>4</v>
      </c>
      <c r="B290" s="1">
        <v>1</v>
      </c>
      <c r="C290" s="1"/>
      <c r="D290" s="1">
        <f>ROW(A294)</f>
        <v>294</v>
      </c>
      <c r="E290" s="1"/>
      <c r="F290" s="1" t="s">
        <v>13</v>
      </c>
      <c r="G290" s="1" t="s">
        <v>258</v>
      </c>
      <c r="H290" s="1" t="s">
        <v>3</v>
      </c>
      <c r="I290" s="1">
        <v>0</v>
      </c>
      <c r="J290" s="1"/>
      <c r="K290" s="1">
        <v>0</v>
      </c>
      <c r="L290" s="1"/>
      <c r="M290" s="1"/>
      <c r="N290" s="1"/>
      <c r="O290" s="1"/>
      <c r="P290" s="1"/>
      <c r="Q290" s="1"/>
      <c r="R290" s="1"/>
      <c r="S290" s="1"/>
      <c r="T290" s="1"/>
      <c r="U290" s="1" t="s">
        <v>3</v>
      </c>
      <c r="V290" s="1">
        <v>0</v>
      </c>
      <c r="W290" s="1"/>
      <c r="X290" s="1"/>
      <c r="Y290" s="1"/>
      <c r="Z290" s="1"/>
      <c r="AA290" s="1"/>
      <c r="AB290" s="1" t="s">
        <v>3</v>
      </c>
      <c r="AC290" s="1" t="s">
        <v>3</v>
      </c>
      <c r="AD290" s="1" t="s">
        <v>3</v>
      </c>
      <c r="AE290" s="1" t="s">
        <v>3</v>
      </c>
      <c r="AF290" s="1" t="s">
        <v>3</v>
      </c>
      <c r="AG290" s="1" t="s">
        <v>3</v>
      </c>
      <c r="AH290" s="1"/>
      <c r="AI290" s="1"/>
      <c r="AJ290" s="1"/>
      <c r="AK290" s="1"/>
      <c r="AL290" s="1"/>
      <c r="AM290" s="1"/>
      <c r="AN290" s="1"/>
      <c r="AO290" s="1"/>
      <c r="AP290" s="1" t="s">
        <v>3</v>
      </c>
      <c r="AQ290" s="1" t="s">
        <v>3</v>
      </c>
      <c r="AR290" s="1" t="s">
        <v>3</v>
      </c>
      <c r="AS290" s="1"/>
      <c r="AT290" s="1"/>
      <c r="AU290" s="1"/>
      <c r="AV290" s="1"/>
      <c r="AW290" s="1"/>
      <c r="AX290" s="1"/>
      <c r="AY290" s="1"/>
      <c r="AZ290" s="1" t="s">
        <v>3</v>
      </c>
      <c r="BA290" s="1"/>
      <c r="BB290" s="1" t="s">
        <v>3</v>
      </c>
      <c r="BC290" s="1" t="s">
        <v>3</v>
      </c>
      <c r="BD290" s="1" t="s">
        <v>3</v>
      </c>
      <c r="BE290" s="1" t="s">
        <v>3</v>
      </c>
      <c r="BF290" s="1" t="s">
        <v>3</v>
      </c>
      <c r="BG290" s="1" t="s">
        <v>3</v>
      </c>
      <c r="BH290" s="1" t="s">
        <v>3</v>
      </c>
      <c r="BI290" s="1" t="s">
        <v>3</v>
      </c>
      <c r="BJ290" s="1" t="s">
        <v>3</v>
      </c>
      <c r="BK290" s="1" t="s">
        <v>3</v>
      </c>
      <c r="BL290" s="1" t="s">
        <v>3</v>
      </c>
      <c r="BM290" s="1" t="s">
        <v>3</v>
      </c>
      <c r="BN290" s="1" t="s">
        <v>3</v>
      </c>
      <c r="BO290" s="1" t="s">
        <v>3</v>
      </c>
      <c r="BP290" s="1" t="s">
        <v>3</v>
      </c>
      <c r="BQ290" s="1"/>
      <c r="BR290" s="1"/>
      <c r="BS290" s="1"/>
      <c r="BT290" s="1"/>
      <c r="BU290" s="1"/>
      <c r="BV290" s="1"/>
      <c r="BW290" s="1"/>
      <c r="BX290" s="1">
        <v>0</v>
      </c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>
        <v>0</v>
      </c>
    </row>
    <row r="292" spans="1:206" x14ac:dyDescent="0.2">
      <c r="A292" s="2">
        <v>52</v>
      </c>
      <c r="B292" s="2">
        <f t="shared" ref="B292:G292" si="264">B294</f>
        <v>1</v>
      </c>
      <c r="C292" s="2">
        <f t="shared" si="264"/>
        <v>4</v>
      </c>
      <c r="D292" s="2">
        <f t="shared" si="264"/>
        <v>290</v>
      </c>
      <c r="E292" s="2">
        <f t="shared" si="264"/>
        <v>0</v>
      </c>
      <c r="F292" s="2" t="str">
        <f t="shared" si="264"/>
        <v>Новый раздел</v>
      </c>
      <c r="G292" s="2" t="str">
        <f t="shared" si="264"/>
        <v>20.1. Газон посевной 15см</v>
      </c>
      <c r="H292" s="2"/>
      <c r="I292" s="2"/>
      <c r="J292" s="2"/>
      <c r="K292" s="2"/>
      <c r="L292" s="2"/>
      <c r="M292" s="2"/>
      <c r="N292" s="2"/>
      <c r="O292" s="2">
        <f t="shared" ref="O292:AT292" si="265">O294</f>
        <v>0</v>
      </c>
      <c r="P292" s="2">
        <f t="shared" si="265"/>
        <v>0</v>
      </c>
      <c r="Q292" s="2">
        <f t="shared" si="265"/>
        <v>0</v>
      </c>
      <c r="R292" s="2">
        <f t="shared" si="265"/>
        <v>0</v>
      </c>
      <c r="S292" s="2">
        <f t="shared" si="265"/>
        <v>0</v>
      </c>
      <c r="T292" s="2">
        <f t="shared" si="265"/>
        <v>0</v>
      </c>
      <c r="U292" s="2">
        <f t="shared" si="265"/>
        <v>0</v>
      </c>
      <c r="V292" s="2">
        <f t="shared" si="265"/>
        <v>0</v>
      </c>
      <c r="W292" s="2">
        <f t="shared" si="265"/>
        <v>0</v>
      </c>
      <c r="X292" s="2">
        <f t="shared" si="265"/>
        <v>0</v>
      </c>
      <c r="Y292" s="2">
        <f t="shared" si="265"/>
        <v>0</v>
      </c>
      <c r="Z292" s="2">
        <f t="shared" si="265"/>
        <v>0</v>
      </c>
      <c r="AA292" s="2">
        <f t="shared" si="265"/>
        <v>0</v>
      </c>
      <c r="AB292" s="2">
        <f t="shared" si="265"/>
        <v>0</v>
      </c>
      <c r="AC292" s="2">
        <f t="shared" si="265"/>
        <v>0</v>
      </c>
      <c r="AD292" s="2">
        <f t="shared" si="265"/>
        <v>0</v>
      </c>
      <c r="AE292" s="2">
        <f t="shared" si="265"/>
        <v>0</v>
      </c>
      <c r="AF292" s="2">
        <f t="shared" si="265"/>
        <v>0</v>
      </c>
      <c r="AG292" s="2">
        <f t="shared" si="265"/>
        <v>0</v>
      </c>
      <c r="AH292" s="2">
        <f t="shared" si="265"/>
        <v>0</v>
      </c>
      <c r="AI292" s="2">
        <f t="shared" si="265"/>
        <v>0</v>
      </c>
      <c r="AJ292" s="2">
        <f t="shared" si="265"/>
        <v>0</v>
      </c>
      <c r="AK292" s="2">
        <f t="shared" si="265"/>
        <v>0</v>
      </c>
      <c r="AL292" s="2">
        <f t="shared" si="265"/>
        <v>0</v>
      </c>
      <c r="AM292" s="2">
        <f t="shared" si="265"/>
        <v>0</v>
      </c>
      <c r="AN292" s="2">
        <f t="shared" si="265"/>
        <v>0</v>
      </c>
      <c r="AO292" s="2">
        <f t="shared" si="265"/>
        <v>0</v>
      </c>
      <c r="AP292" s="2">
        <f t="shared" si="265"/>
        <v>0</v>
      </c>
      <c r="AQ292" s="2">
        <f t="shared" si="265"/>
        <v>0</v>
      </c>
      <c r="AR292" s="2">
        <f t="shared" si="265"/>
        <v>0</v>
      </c>
      <c r="AS292" s="2">
        <f t="shared" si="265"/>
        <v>0</v>
      </c>
      <c r="AT292" s="2">
        <f t="shared" si="265"/>
        <v>0</v>
      </c>
      <c r="AU292" s="2">
        <f t="shared" ref="AU292:BZ292" si="266">AU294</f>
        <v>0</v>
      </c>
      <c r="AV292" s="2">
        <f t="shared" si="266"/>
        <v>0</v>
      </c>
      <c r="AW292" s="2">
        <f t="shared" si="266"/>
        <v>0</v>
      </c>
      <c r="AX292" s="2">
        <f t="shared" si="266"/>
        <v>0</v>
      </c>
      <c r="AY292" s="2">
        <f t="shared" si="266"/>
        <v>0</v>
      </c>
      <c r="AZ292" s="2">
        <f t="shared" si="266"/>
        <v>0</v>
      </c>
      <c r="BA292" s="2">
        <f t="shared" si="266"/>
        <v>0</v>
      </c>
      <c r="BB292" s="2">
        <f t="shared" si="266"/>
        <v>0</v>
      </c>
      <c r="BC292" s="2">
        <f t="shared" si="266"/>
        <v>0</v>
      </c>
      <c r="BD292" s="2">
        <f t="shared" si="266"/>
        <v>0</v>
      </c>
      <c r="BE292" s="2">
        <f t="shared" si="266"/>
        <v>0</v>
      </c>
      <c r="BF292" s="2">
        <f t="shared" si="266"/>
        <v>0</v>
      </c>
      <c r="BG292" s="2">
        <f t="shared" si="266"/>
        <v>0</v>
      </c>
      <c r="BH292" s="2">
        <f t="shared" si="266"/>
        <v>0</v>
      </c>
      <c r="BI292" s="2">
        <f t="shared" si="266"/>
        <v>0</v>
      </c>
      <c r="BJ292" s="2">
        <f t="shared" si="266"/>
        <v>0</v>
      </c>
      <c r="BK292" s="2">
        <f t="shared" si="266"/>
        <v>0</v>
      </c>
      <c r="BL292" s="2">
        <f t="shared" si="266"/>
        <v>0</v>
      </c>
      <c r="BM292" s="2">
        <f t="shared" si="266"/>
        <v>0</v>
      </c>
      <c r="BN292" s="2">
        <f t="shared" si="266"/>
        <v>0</v>
      </c>
      <c r="BO292" s="2">
        <f t="shared" si="266"/>
        <v>0</v>
      </c>
      <c r="BP292" s="2">
        <f t="shared" si="266"/>
        <v>0</v>
      </c>
      <c r="BQ292" s="2">
        <f t="shared" si="266"/>
        <v>0</v>
      </c>
      <c r="BR292" s="2">
        <f t="shared" si="266"/>
        <v>0</v>
      </c>
      <c r="BS292" s="2">
        <f t="shared" si="266"/>
        <v>0</v>
      </c>
      <c r="BT292" s="2">
        <f t="shared" si="266"/>
        <v>0</v>
      </c>
      <c r="BU292" s="2">
        <f t="shared" si="266"/>
        <v>0</v>
      </c>
      <c r="BV292" s="2">
        <f t="shared" si="266"/>
        <v>0</v>
      </c>
      <c r="BW292" s="2">
        <f t="shared" si="266"/>
        <v>0</v>
      </c>
      <c r="BX292" s="2">
        <f t="shared" si="266"/>
        <v>0</v>
      </c>
      <c r="BY292" s="2">
        <f t="shared" si="266"/>
        <v>0</v>
      </c>
      <c r="BZ292" s="2">
        <f t="shared" si="266"/>
        <v>0</v>
      </c>
      <c r="CA292" s="2">
        <f t="shared" ref="CA292:DF292" si="267">CA294</f>
        <v>0</v>
      </c>
      <c r="CB292" s="2">
        <f t="shared" si="267"/>
        <v>0</v>
      </c>
      <c r="CC292" s="2">
        <f t="shared" si="267"/>
        <v>0</v>
      </c>
      <c r="CD292" s="2">
        <f t="shared" si="267"/>
        <v>0</v>
      </c>
      <c r="CE292" s="2">
        <f t="shared" si="267"/>
        <v>0</v>
      </c>
      <c r="CF292" s="2">
        <f t="shared" si="267"/>
        <v>0</v>
      </c>
      <c r="CG292" s="2">
        <f t="shared" si="267"/>
        <v>0</v>
      </c>
      <c r="CH292" s="2">
        <f t="shared" si="267"/>
        <v>0</v>
      </c>
      <c r="CI292" s="2">
        <f t="shared" si="267"/>
        <v>0</v>
      </c>
      <c r="CJ292" s="2">
        <f t="shared" si="267"/>
        <v>0</v>
      </c>
      <c r="CK292" s="2">
        <f t="shared" si="267"/>
        <v>0</v>
      </c>
      <c r="CL292" s="2">
        <f t="shared" si="267"/>
        <v>0</v>
      </c>
      <c r="CM292" s="2">
        <f t="shared" si="267"/>
        <v>0</v>
      </c>
      <c r="CN292" s="2">
        <f t="shared" si="267"/>
        <v>0</v>
      </c>
      <c r="CO292" s="2">
        <f t="shared" si="267"/>
        <v>0</v>
      </c>
      <c r="CP292" s="2">
        <f t="shared" si="267"/>
        <v>0</v>
      </c>
      <c r="CQ292" s="2">
        <f t="shared" si="267"/>
        <v>0</v>
      </c>
      <c r="CR292" s="2">
        <f t="shared" si="267"/>
        <v>0</v>
      </c>
      <c r="CS292" s="2">
        <f t="shared" si="267"/>
        <v>0</v>
      </c>
      <c r="CT292" s="2">
        <f t="shared" si="267"/>
        <v>0</v>
      </c>
      <c r="CU292" s="2">
        <f t="shared" si="267"/>
        <v>0</v>
      </c>
      <c r="CV292" s="2">
        <f t="shared" si="267"/>
        <v>0</v>
      </c>
      <c r="CW292" s="2">
        <f t="shared" si="267"/>
        <v>0</v>
      </c>
      <c r="CX292" s="2">
        <f t="shared" si="267"/>
        <v>0</v>
      </c>
      <c r="CY292" s="2">
        <f t="shared" si="267"/>
        <v>0</v>
      </c>
      <c r="CZ292" s="2">
        <f t="shared" si="267"/>
        <v>0</v>
      </c>
      <c r="DA292" s="2">
        <f t="shared" si="267"/>
        <v>0</v>
      </c>
      <c r="DB292" s="2">
        <f t="shared" si="267"/>
        <v>0</v>
      </c>
      <c r="DC292" s="2">
        <f t="shared" si="267"/>
        <v>0</v>
      </c>
      <c r="DD292" s="2">
        <f t="shared" si="267"/>
        <v>0</v>
      </c>
      <c r="DE292" s="2">
        <f t="shared" si="267"/>
        <v>0</v>
      </c>
      <c r="DF292" s="2">
        <f t="shared" si="267"/>
        <v>0</v>
      </c>
      <c r="DG292" s="3">
        <f t="shared" ref="DG292:EL292" si="268">DG294</f>
        <v>0</v>
      </c>
      <c r="DH292" s="3">
        <f t="shared" si="268"/>
        <v>0</v>
      </c>
      <c r="DI292" s="3">
        <f t="shared" si="268"/>
        <v>0</v>
      </c>
      <c r="DJ292" s="3">
        <f t="shared" si="268"/>
        <v>0</v>
      </c>
      <c r="DK292" s="3">
        <f t="shared" si="268"/>
        <v>0</v>
      </c>
      <c r="DL292" s="3">
        <f t="shared" si="268"/>
        <v>0</v>
      </c>
      <c r="DM292" s="3">
        <f t="shared" si="268"/>
        <v>0</v>
      </c>
      <c r="DN292" s="3">
        <f t="shared" si="268"/>
        <v>0</v>
      </c>
      <c r="DO292" s="3">
        <f t="shared" si="268"/>
        <v>0</v>
      </c>
      <c r="DP292" s="3">
        <f t="shared" si="268"/>
        <v>0</v>
      </c>
      <c r="DQ292" s="3">
        <f t="shared" si="268"/>
        <v>0</v>
      </c>
      <c r="DR292" s="3">
        <f t="shared" si="268"/>
        <v>0</v>
      </c>
      <c r="DS292" s="3">
        <f t="shared" si="268"/>
        <v>0</v>
      </c>
      <c r="DT292" s="3">
        <f t="shared" si="268"/>
        <v>0</v>
      </c>
      <c r="DU292" s="3">
        <f t="shared" si="268"/>
        <v>0</v>
      </c>
      <c r="DV292" s="3">
        <f t="shared" si="268"/>
        <v>0</v>
      </c>
      <c r="DW292" s="3">
        <f t="shared" si="268"/>
        <v>0</v>
      </c>
      <c r="DX292" s="3">
        <f t="shared" si="268"/>
        <v>0</v>
      </c>
      <c r="DY292" s="3">
        <f t="shared" si="268"/>
        <v>0</v>
      </c>
      <c r="DZ292" s="3">
        <f t="shared" si="268"/>
        <v>0</v>
      </c>
      <c r="EA292" s="3">
        <f t="shared" si="268"/>
        <v>0</v>
      </c>
      <c r="EB292" s="3">
        <f t="shared" si="268"/>
        <v>0</v>
      </c>
      <c r="EC292" s="3">
        <f t="shared" si="268"/>
        <v>0</v>
      </c>
      <c r="ED292" s="3">
        <f t="shared" si="268"/>
        <v>0</v>
      </c>
      <c r="EE292" s="3">
        <f t="shared" si="268"/>
        <v>0</v>
      </c>
      <c r="EF292" s="3">
        <f t="shared" si="268"/>
        <v>0</v>
      </c>
      <c r="EG292" s="3">
        <f t="shared" si="268"/>
        <v>0</v>
      </c>
      <c r="EH292" s="3">
        <f t="shared" si="268"/>
        <v>0</v>
      </c>
      <c r="EI292" s="3">
        <f t="shared" si="268"/>
        <v>0</v>
      </c>
      <c r="EJ292" s="3">
        <f t="shared" si="268"/>
        <v>0</v>
      </c>
      <c r="EK292" s="3">
        <f t="shared" si="268"/>
        <v>0</v>
      </c>
      <c r="EL292" s="3">
        <f t="shared" si="268"/>
        <v>0</v>
      </c>
      <c r="EM292" s="3">
        <f t="shared" ref="EM292:FR292" si="269">EM294</f>
        <v>0</v>
      </c>
      <c r="EN292" s="3">
        <f t="shared" si="269"/>
        <v>0</v>
      </c>
      <c r="EO292" s="3">
        <f t="shared" si="269"/>
        <v>0</v>
      </c>
      <c r="EP292" s="3">
        <f t="shared" si="269"/>
        <v>0</v>
      </c>
      <c r="EQ292" s="3">
        <f t="shared" si="269"/>
        <v>0</v>
      </c>
      <c r="ER292" s="3">
        <f t="shared" si="269"/>
        <v>0</v>
      </c>
      <c r="ES292" s="3">
        <f t="shared" si="269"/>
        <v>0</v>
      </c>
      <c r="ET292" s="3">
        <f t="shared" si="269"/>
        <v>0</v>
      </c>
      <c r="EU292" s="3">
        <f t="shared" si="269"/>
        <v>0</v>
      </c>
      <c r="EV292" s="3">
        <f t="shared" si="269"/>
        <v>0</v>
      </c>
      <c r="EW292" s="3">
        <f t="shared" si="269"/>
        <v>0</v>
      </c>
      <c r="EX292" s="3">
        <f t="shared" si="269"/>
        <v>0</v>
      </c>
      <c r="EY292" s="3">
        <f t="shared" si="269"/>
        <v>0</v>
      </c>
      <c r="EZ292" s="3">
        <f t="shared" si="269"/>
        <v>0</v>
      </c>
      <c r="FA292" s="3">
        <f t="shared" si="269"/>
        <v>0</v>
      </c>
      <c r="FB292" s="3">
        <f t="shared" si="269"/>
        <v>0</v>
      </c>
      <c r="FC292" s="3">
        <f t="shared" si="269"/>
        <v>0</v>
      </c>
      <c r="FD292" s="3">
        <f t="shared" si="269"/>
        <v>0</v>
      </c>
      <c r="FE292" s="3">
        <f t="shared" si="269"/>
        <v>0</v>
      </c>
      <c r="FF292" s="3">
        <f t="shared" si="269"/>
        <v>0</v>
      </c>
      <c r="FG292" s="3">
        <f t="shared" si="269"/>
        <v>0</v>
      </c>
      <c r="FH292" s="3">
        <f t="shared" si="269"/>
        <v>0</v>
      </c>
      <c r="FI292" s="3">
        <f t="shared" si="269"/>
        <v>0</v>
      </c>
      <c r="FJ292" s="3">
        <f t="shared" si="269"/>
        <v>0</v>
      </c>
      <c r="FK292" s="3">
        <f t="shared" si="269"/>
        <v>0</v>
      </c>
      <c r="FL292" s="3">
        <f t="shared" si="269"/>
        <v>0</v>
      </c>
      <c r="FM292" s="3">
        <f t="shared" si="269"/>
        <v>0</v>
      </c>
      <c r="FN292" s="3">
        <f t="shared" si="269"/>
        <v>0</v>
      </c>
      <c r="FO292" s="3">
        <f t="shared" si="269"/>
        <v>0</v>
      </c>
      <c r="FP292" s="3">
        <f t="shared" si="269"/>
        <v>0</v>
      </c>
      <c r="FQ292" s="3">
        <f t="shared" si="269"/>
        <v>0</v>
      </c>
      <c r="FR292" s="3">
        <f t="shared" si="269"/>
        <v>0</v>
      </c>
      <c r="FS292" s="3">
        <f t="shared" ref="FS292:GX292" si="270">FS294</f>
        <v>0</v>
      </c>
      <c r="FT292" s="3">
        <f t="shared" si="270"/>
        <v>0</v>
      </c>
      <c r="FU292" s="3">
        <f t="shared" si="270"/>
        <v>0</v>
      </c>
      <c r="FV292" s="3">
        <f t="shared" si="270"/>
        <v>0</v>
      </c>
      <c r="FW292" s="3">
        <f t="shared" si="270"/>
        <v>0</v>
      </c>
      <c r="FX292" s="3">
        <f t="shared" si="270"/>
        <v>0</v>
      </c>
      <c r="FY292" s="3">
        <f t="shared" si="270"/>
        <v>0</v>
      </c>
      <c r="FZ292" s="3">
        <f t="shared" si="270"/>
        <v>0</v>
      </c>
      <c r="GA292" s="3">
        <f t="shared" si="270"/>
        <v>0</v>
      </c>
      <c r="GB292" s="3">
        <f t="shared" si="270"/>
        <v>0</v>
      </c>
      <c r="GC292" s="3">
        <f t="shared" si="270"/>
        <v>0</v>
      </c>
      <c r="GD292" s="3">
        <f t="shared" si="270"/>
        <v>0</v>
      </c>
      <c r="GE292" s="3">
        <f t="shared" si="270"/>
        <v>0</v>
      </c>
      <c r="GF292" s="3">
        <f t="shared" si="270"/>
        <v>0</v>
      </c>
      <c r="GG292" s="3">
        <f t="shared" si="270"/>
        <v>0</v>
      </c>
      <c r="GH292" s="3">
        <f t="shared" si="270"/>
        <v>0</v>
      </c>
      <c r="GI292" s="3">
        <f t="shared" si="270"/>
        <v>0</v>
      </c>
      <c r="GJ292" s="3">
        <f t="shared" si="270"/>
        <v>0</v>
      </c>
      <c r="GK292" s="3">
        <f t="shared" si="270"/>
        <v>0</v>
      </c>
      <c r="GL292" s="3">
        <f t="shared" si="270"/>
        <v>0</v>
      </c>
      <c r="GM292" s="3">
        <f t="shared" si="270"/>
        <v>0</v>
      </c>
      <c r="GN292" s="3">
        <f t="shared" si="270"/>
        <v>0</v>
      </c>
      <c r="GO292" s="3">
        <f t="shared" si="270"/>
        <v>0</v>
      </c>
      <c r="GP292" s="3">
        <f t="shared" si="270"/>
        <v>0</v>
      </c>
      <c r="GQ292" s="3">
        <f t="shared" si="270"/>
        <v>0</v>
      </c>
      <c r="GR292" s="3">
        <f t="shared" si="270"/>
        <v>0</v>
      </c>
      <c r="GS292" s="3">
        <f t="shared" si="270"/>
        <v>0</v>
      </c>
      <c r="GT292" s="3">
        <f t="shared" si="270"/>
        <v>0</v>
      </c>
      <c r="GU292" s="3">
        <f t="shared" si="270"/>
        <v>0</v>
      </c>
      <c r="GV292" s="3">
        <f t="shared" si="270"/>
        <v>0</v>
      </c>
      <c r="GW292" s="3">
        <f t="shared" si="270"/>
        <v>0</v>
      </c>
      <c r="GX292" s="3">
        <f t="shared" si="270"/>
        <v>0</v>
      </c>
    </row>
    <row r="294" spans="1:206" x14ac:dyDescent="0.2">
      <c r="A294" s="2">
        <v>51</v>
      </c>
      <c r="B294" s="2">
        <f>B290</f>
        <v>1</v>
      </c>
      <c r="C294" s="2">
        <f>A290</f>
        <v>4</v>
      </c>
      <c r="D294" s="2">
        <f>ROW(A290)</f>
        <v>290</v>
      </c>
      <c r="E294" s="2"/>
      <c r="F294" s="2" t="str">
        <f>IF(F290&lt;&gt;"",F290,"")</f>
        <v>Новый раздел</v>
      </c>
      <c r="G294" s="2" t="str">
        <f>IF(G290&lt;&gt;"",G290,"")</f>
        <v>20.1. Газон посевной 15см</v>
      </c>
      <c r="H294" s="2">
        <v>0</v>
      </c>
      <c r="I294" s="2"/>
      <c r="J294" s="2"/>
      <c r="K294" s="2"/>
      <c r="L294" s="2"/>
      <c r="M294" s="2"/>
      <c r="N294" s="2"/>
      <c r="O294" s="2">
        <f t="shared" ref="O294:T294" si="271">ROUND(AB294,2)</f>
        <v>0</v>
      </c>
      <c r="P294" s="2">
        <f t="shared" si="271"/>
        <v>0</v>
      </c>
      <c r="Q294" s="2">
        <f t="shared" si="271"/>
        <v>0</v>
      </c>
      <c r="R294" s="2">
        <f t="shared" si="271"/>
        <v>0</v>
      </c>
      <c r="S294" s="2">
        <f t="shared" si="271"/>
        <v>0</v>
      </c>
      <c r="T294" s="2">
        <f t="shared" si="271"/>
        <v>0</v>
      </c>
      <c r="U294" s="2">
        <f>AH294</f>
        <v>0</v>
      </c>
      <c r="V294" s="2">
        <f>AI294</f>
        <v>0</v>
      </c>
      <c r="W294" s="2">
        <f>ROUND(AJ294,2)</f>
        <v>0</v>
      </c>
      <c r="X294" s="2">
        <f>ROUND(AK294,2)</f>
        <v>0</v>
      </c>
      <c r="Y294" s="2">
        <f>ROUND(AL294,2)</f>
        <v>0</v>
      </c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>
        <f t="shared" ref="AO294:BD294" si="272">ROUND(BX294,2)</f>
        <v>0</v>
      </c>
      <c r="AP294" s="2">
        <f t="shared" si="272"/>
        <v>0</v>
      </c>
      <c r="AQ294" s="2">
        <f t="shared" si="272"/>
        <v>0</v>
      </c>
      <c r="AR294" s="2">
        <f t="shared" si="272"/>
        <v>0</v>
      </c>
      <c r="AS294" s="2">
        <f t="shared" si="272"/>
        <v>0</v>
      </c>
      <c r="AT294" s="2">
        <f t="shared" si="272"/>
        <v>0</v>
      </c>
      <c r="AU294" s="2">
        <f t="shared" si="272"/>
        <v>0</v>
      </c>
      <c r="AV294" s="2">
        <f t="shared" si="272"/>
        <v>0</v>
      </c>
      <c r="AW294" s="2">
        <f t="shared" si="272"/>
        <v>0</v>
      </c>
      <c r="AX294" s="2">
        <f t="shared" si="272"/>
        <v>0</v>
      </c>
      <c r="AY294" s="2">
        <f t="shared" si="272"/>
        <v>0</v>
      </c>
      <c r="AZ294" s="2">
        <f t="shared" si="272"/>
        <v>0</v>
      </c>
      <c r="BA294" s="2">
        <f t="shared" si="272"/>
        <v>0</v>
      </c>
      <c r="BB294" s="2">
        <f t="shared" si="272"/>
        <v>0</v>
      </c>
      <c r="BC294" s="2">
        <f t="shared" si="272"/>
        <v>0</v>
      </c>
      <c r="BD294" s="2">
        <f t="shared" si="272"/>
        <v>0</v>
      </c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>
        <v>0</v>
      </c>
    </row>
    <row r="296" spans="1:206" x14ac:dyDescent="0.2">
      <c r="A296" s="4">
        <v>50</v>
      </c>
      <c r="B296" s="4">
        <v>0</v>
      </c>
      <c r="C296" s="4">
        <v>0</v>
      </c>
      <c r="D296" s="4">
        <v>1</v>
      </c>
      <c r="E296" s="4">
        <v>201</v>
      </c>
      <c r="F296" s="4">
        <f>ROUND(Source!O294,O296)</f>
        <v>0</v>
      </c>
      <c r="G296" s="4" t="s">
        <v>89</v>
      </c>
      <c r="H296" s="4" t="s">
        <v>90</v>
      </c>
      <c r="I296" s="4"/>
      <c r="J296" s="4"/>
      <c r="K296" s="4">
        <v>201</v>
      </c>
      <c r="L296" s="4">
        <v>1</v>
      </c>
      <c r="M296" s="4">
        <v>3</v>
      </c>
      <c r="N296" s="4" t="s">
        <v>3</v>
      </c>
      <c r="O296" s="4">
        <v>2</v>
      </c>
      <c r="P296" s="4"/>
      <c r="Q296" s="4"/>
      <c r="R296" s="4"/>
      <c r="S296" s="4"/>
      <c r="T296" s="4"/>
      <c r="U296" s="4"/>
      <c r="V296" s="4"/>
      <c r="W296" s="4"/>
    </row>
    <row r="297" spans="1:206" x14ac:dyDescent="0.2">
      <c r="A297" s="4">
        <v>50</v>
      </c>
      <c r="B297" s="4">
        <v>0</v>
      </c>
      <c r="C297" s="4">
        <v>0</v>
      </c>
      <c r="D297" s="4">
        <v>1</v>
      </c>
      <c r="E297" s="4">
        <v>202</v>
      </c>
      <c r="F297" s="4">
        <f>ROUND(Source!P294,O297)</f>
        <v>0</v>
      </c>
      <c r="G297" s="4" t="s">
        <v>91</v>
      </c>
      <c r="H297" s="4" t="s">
        <v>92</v>
      </c>
      <c r="I297" s="4"/>
      <c r="J297" s="4"/>
      <c r="K297" s="4">
        <v>202</v>
      </c>
      <c r="L297" s="4">
        <v>2</v>
      </c>
      <c r="M297" s="4">
        <v>3</v>
      </c>
      <c r="N297" s="4" t="s">
        <v>3</v>
      </c>
      <c r="O297" s="4">
        <v>2</v>
      </c>
      <c r="P297" s="4"/>
      <c r="Q297" s="4"/>
      <c r="R297" s="4"/>
      <c r="S297" s="4"/>
      <c r="T297" s="4"/>
      <c r="U297" s="4"/>
      <c r="V297" s="4"/>
      <c r="W297" s="4"/>
    </row>
    <row r="298" spans="1:206" x14ac:dyDescent="0.2">
      <c r="A298" s="4">
        <v>50</v>
      </c>
      <c r="B298" s="4">
        <v>0</v>
      </c>
      <c r="C298" s="4">
        <v>0</v>
      </c>
      <c r="D298" s="4">
        <v>1</v>
      </c>
      <c r="E298" s="4">
        <v>222</v>
      </c>
      <c r="F298" s="4">
        <f>ROUND(Source!AO294,O298)</f>
        <v>0</v>
      </c>
      <c r="G298" s="4" t="s">
        <v>93</v>
      </c>
      <c r="H298" s="4" t="s">
        <v>94</v>
      </c>
      <c r="I298" s="4"/>
      <c r="J298" s="4"/>
      <c r="K298" s="4">
        <v>222</v>
      </c>
      <c r="L298" s="4">
        <v>3</v>
      </c>
      <c r="M298" s="4">
        <v>3</v>
      </c>
      <c r="N298" s="4" t="s">
        <v>3</v>
      </c>
      <c r="O298" s="4">
        <v>2</v>
      </c>
      <c r="P298" s="4"/>
      <c r="Q298" s="4"/>
      <c r="R298" s="4"/>
      <c r="S298" s="4"/>
      <c r="T298" s="4"/>
      <c r="U298" s="4"/>
      <c r="V298" s="4"/>
      <c r="W298" s="4"/>
    </row>
    <row r="299" spans="1:206" x14ac:dyDescent="0.2">
      <c r="A299" s="4">
        <v>50</v>
      </c>
      <c r="B299" s="4">
        <v>0</v>
      </c>
      <c r="C299" s="4">
        <v>0</v>
      </c>
      <c r="D299" s="4">
        <v>1</v>
      </c>
      <c r="E299" s="4">
        <v>225</v>
      </c>
      <c r="F299" s="4">
        <f>ROUND(Source!AV294,O299)</f>
        <v>0</v>
      </c>
      <c r="G299" s="4" t="s">
        <v>95</v>
      </c>
      <c r="H299" s="4" t="s">
        <v>96</v>
      </c>
      <c r="I299" s="4"/>
      <c r="J299" s="4"/>
      <c r="K299" s="4">
        <v>225</v>
      </c>
      <c r="L299" s="4">
        <v>4</v>
      </c>
      <c r="M299" s="4">
        <v>3</v>
      </c>
      <c r="N299" s="4" t="s">
        <v>3</v>
      </c>
      <c r="O299" s="4">
        <v>2</v>
      </c>
      <c r="P299" s="4"/>
      <c r="Q299" s="4"/>
      <c r="R299" s="4"/>
      <c r="S299" s="4"/>
      <c r="T299" s="4"/>
      <c r="U299" s="4"/>
      <c r="V299" s="4"/>
      <c r="W299" s="4"/>
    </row>
    <row r="300" spans="1:206" x14ac:dyDescent="0.2">
      <c r="A300" s="4">
        <v>50</v>
      </c>
      <c r="B300" s="4">
        <v>0</v>
      </c>
      <c r="C300" s="4">
        <v>0</v>
      </c>
      <c r="D300" s="4">
        <v>1</v>
      </c>
      <c r="E300" s="4">
        <v>226</v>
      </c>
      <c r="F300" s="4">
        <f>ROUND(Source!AW294,O300)</f>
        <v>0</v>
      </c>
      <c r="G300" s="4" t="s">
        <v>97</v>
      </c>
      <c r="H300" s="4" t="s">
        <v>98</v>
      </c>
      <c r="I300" s="4"/>
      <c r="J300" s="4"/>
      <c r="K300" s="4">
        <v>226</v>
      </c>
      <c r="L300" s="4">
        <v>5</v>
      </c>
      <c r="M300" s="4">
        <v>3</v>
      </c>
      <c r="N300" s="4" t="s">
        <v>3</v>
      </c>
      <c r="O300" s="4">
        <v>2</v>
      </c>
      <c r="P300" s="4"/>
      <c r="Q300" s="4"/>
      <c r="R300" s="4"/>
      <c r="S300" s="4"/>
      <c r="T300" s="4"/>
      <c r="U300" s="4"/>
      <c r="V300" s="4"/>
      <c r="W300" s="4"/>
    </row>
    <row r="301" spans="1:206" x14ac:dyDescent="0.2">
      <c r="A301" s="4">
        <v>50</v>
      </c>
      <c r="B301" s="4">
        <v>0</v>
      </c>
      <c r="C301" s="4">
        <v>0</v>
      </c>
      <c r="D301" s="4">
        <v>1</v>
      </c>
      <c r="E301" s="4">
        <v>227</v>
      </c>
      <c r="F301" s="4">
        <f>ROUND(Source!AX294,O301)</f>
        <v>0</v>
      </c>
      <c r="G301" s="4" t="s">
        <v>99</v>
      </c>
      <c r="H301" s="4" t="s">
        <v>100</v>
      </c>
      <c r="I301" s="4"/>
      <c r="J301" s="4"/>
      <c r="K301" s="4">
        <v>227</v>
      </c>
      <c r="L301" s="4">
        <v>6</v>
      </c>
      <c r="M301" s="4">
        <v>3</v>
      </c>
      <c r="N301" s="4" t="s">
        <v>3</v>
      </c>
      <c r="O301" s="4">
        <v>2</v>
      </c>
      <c r="P301" s="4"/>
      <c r="Q301" s="4"/>
      <c r="R301" s="4"/>
      <c r="S301" s="4"/>
      <c r="T301" s="4"/>
      <c r="U301" s="4"/>
      <c r="V301" s="4"/>
      <c r="W301" s="4"/>
    </row>
    <row r="302" spans="1:206" x14ac:dyDescent="0.2">
      <c r="A302" s="4">
        <v>50</v>
      </c>
      <c r="B302" s="4">
        <v>0</v>
      </c>
      <c r="C302" s="4">
        <v>0</v>
      </c>
      <c r="D302" s="4">
        <v>1</v>
      </c>
      <c r="E302" s="4">
        <v>228</v>
      </c>
      <c r="F302" s="4">
        <f>ROUND(Source!AY294,O302)</f>
        <v>0</v>
      </c>
      <c r="G302" s="4" t="s">
        <v>101</v>
      </c>
      <c r="H302" s="4" t="s">
        <v>102</v>
      </c>
      <c r="I302" s="4"/>
      <c r="J302" s="4"/>
      <c r="K302" s="4">
        <v>228</v>
      </c>
      <c r="L302" s="4">
        <v>7</v>
      </c>
      <c r="M302" s="4">
        <v>3</v>
      </c>
      <c r="N302" s="4" t="s">
        <v>3</v>
      </c>
      <c r="O302" s="4">
        <v>2</v>
      </c>
      <c r="P302" s="4"/>
      <c r="Q302" s="4"/>
      <c r="R302" s="4"/>
      <c r="S302" s="4"/>
      <c r="T302" s="4"/>
      <c r="U302" s="4"/>
      <c r="V302" s="4"/>
      <c r="W302" s="4"/>
    </row>
    <row r="303" spans="1:206" x14ac:dyDescent="0.2">
      <c r="A303" s="4">
        <v>50</v>
      </c>
      <c r="B303" s="4">
        <v>0</v>
      </c>
      <c r="C303" s="4">
        <v>0</v>
      </c>
      <c r="D303" s="4">
        <v>1</v>
      </c>
      <c r="E303" s="4">
        <v>216</v>
      </c>
      <c r="F303" s="4">
        <f>ROUND(Source!AP294,O303)</f>
        <v>0</v>
      </c>
      <c r="G303" s="4" t="s">
        <v>103</v>
      </c>
      <c r="H303" s="4" t="s">
        <v>104</v>
      </c>
      <c r="I303" s="4"/>
      <c r="J303" s="4"/>
      <c r="K303" s="4">
        <v>216</v>
      </c>
      <c r="L303" s="4">
        <v>8</v>
      </c>
      <c r="M303" s="4">
        <v>3</v>
      </c>
      <c r="N303" s="4" t="s">
        <v>3</v>
      </c>
      <c r="O303" s="4">
        <v>2</v>
      </c>
      <c r="P303" s="4"/>
      <c r="Q303" s="4"/>
      <c r="R303" s="4"/>
      <c r="S303" s="4"/>
      <c r="T303" s="4"/>
      <c r="U303" s="4"/>
      <c r="V303" s="4"/>
      <c r="W303" s="4"/>
    </row>
    <row r="304" spans="1:206" x14ac:dyDescent="0.2">
      <c r="A304" s="4">
        <v>50</v>
      </c>
      <c r="B304" s="4">
        <v>0</v>
      </c>
      <c r="C304" s="4">
        <v>0</v>
      </c>
      <c r="D304" s="4">
        <v>1</v>
      </c>
      <c r="E304" s="4">
        <v>223</v>
      </c>
      <c r="F304" s="4">
        <f>ROUND(Source!AQ294,O304)</f>
        <v>0</v>
      </c>
      <c r="G304" s="4" t="s">
        <v>105</v>
      </c>
      <c r="H304" s="4" t="s">
        <v>106</v>
      </c>
      <c r="I304" s="4"/>
      <c r="J304" s="4"/>
      <c r="K304" s="4">
        <v>223</v>
      </c>
      <c r="L304" s="4">
        <v>9</v>
      </c>
      <c r="M304" s="4">
        <v>3</v>
      </c>
      <c r="N304" s="4" t="s">
        <v>3</v>
      </c>
      <c r="O304" s="4">
        <v>2</v>
      </c>
      <c r="P304" s="4"/>
      <c r="Q304" s="4"/>
      <c r="R304" s="4"/>
      <c r="S304" s="4"/>
      <c r="T304" s="4"/>
      <c r="U304" s="4"/>
      <c r="V304" s="4"/>
      <c r="W304" s="4"/>
    </row>
    <row r="305" spans="1:23" x14ac:dyDescent="0.2">
      <c r="A305" s="4">
        <v>50</v>
      </c>
      <c r="B305" s="4">
        <v>0</v>
      </c>
      <c r="C305" s="4">
        <v>0</v>
      </c>
      <c r="D305" s="4">
        <v>1</v>
      </c>
      <c r="E305" s="4">
        <v>229</v>
      </c>
      <c r="F305" s="4">
        <f>ROUND(Source!AZ294,O305)</f>
        <v>0</v>
      </c>
      <c r="G305" s="4" t="s">
        <v>107</v>
      </c>
      <c r="H305" s="4" t="s">
        <v>108</v>
      </c>
      <c r="I305" s="4"/>
      <c r="J305" s="4"/>
      <c r="K305" s="4">
        <v>229</v>
      </c>
      <c r="L305" s="4">
        <v>10</v>
      </c>
      <c r="M305" s="4">
        <v>3</v>
      </c>
      <c r="N305" s="4" t="s">
        <v>3</v>
      </c>
      <c r="O305" s="4">
        <v>2</v>
      </c>
      <c r="P305" s="4"/>
      <c r="Q305" s="4"/>
      <c r="R305" s="4"/>
      <c r="S305" s="4"/>
      <c r="T305" s="4"/>
      <c r="U305" s="4"/>
      <c r="V305" s="4"/>
      <c r="W305" s="4"/>
    </row>
    <row r="306" spans="1:23" x14ac:dyDescent="0.2">
      <c r="A306" s="4">
        <v>50</v>
      </c>
      <c r="B306" s="4">
        <v>0</v>
      </c>
      <c r="C306" s="4">
        <v>0</v>
      </c>
      <c r="D306" s="4">
        <v>1</v>
      </c>
      <c r="E306" s="4">
        <v>203</v>
      </c>
      <c r="F306" s="4">
        <f>ROUND(Source!Q294,O306)</f>
        <v>0</v>
      </c>
      <c r="G306" s="4" t="s">
        <v>109</v>
      </c>
      <c r="H306" s="4" t="s">
        <v>110</v>
      </c>
      <c r="I306" s="4"/>
      <c r="J306" s="4"/>
      <c r="K306" s="4">
        <v>203</v>
      </c>
      <c r="L306" s="4">
        <v>11</v>
      </c>
      <c r="M306" s="4">
        <v>3</v>
      </c>
      <c r="N306" s="4" t="s">
        <v>3</v>
      </c>
      <c r="O306" s="4">
        <v>2</v>
      </c>
      <c r="P306" s="4"/>
      <c r="Q306" s="4"/>
      <c r="R306" s="4"/>
      <c r="S306" s="4"/>
      <c r="T306" s="4"/>
      <c r="U306" s="4"/>
      <c r="V306" s="4"/>
      <c r="W306" s="4"/>
    </row>
    <row r="307" spans="1:23" x14ac:dyDescent="0.2">
      <c r="A307" s="4">
        <v>50</v>
      </c>
      <c r="B307" s="4">
        <v>0</v>
      </c>
      <c r="C307" s="4">
        <v>0</v>
      </c>
      <c r="D307" s="4">
        <v>1</v>
      </c>
      <c r="E307" s="4">
        <v>231</v>
      </c>
      <c r="F307" s="4">
        <f>ROUND(Source!BB294,O307)</f>
        <v>0</v>
      </c>
      <c r="G307" s="4" t="s">
        <v>111</v>
      </c>
      <c r="H307" s="4" t="s">
        <v>112</v>
      </c>
      <c r="I307" s="4"/>
      <c r="J307" s="4"/>
      <c r="K307" s="4">
        <v>231</v>
      </c>
      <c r="L307" s="4">
        <v>12</v>
      </c>
      <c r="M307" s="4">
        <v>3</v>
      </c>
      <c r="N307" s="4" t="s">
        <v>3</v>
      </c>
      <c r="O307" s="4">
        <v>2</v>
      </c>
      <c r="P307" s="4"/>
      <c r="Q307" s="4"/>
      <c r="R307" s="4"/>
      <c r="S307" s="4"/>
      <c r="T307" s="4"/>
      <c r="U307" s="4"/>
      <c r="V307" s="4"/>
      <c r="W307" s="4"/>
    </row>
    <row r="308" spans="1:23" x14ac:dyDescent="0.2">
      <c r="A308" s="4">
        <v>50</v>
      </c>
      <c r="B308" s="4">
        <v>0</v>
      </c>
      <c r="C308" s="4">
        <v>0</v>
      </c>
      <c r="D308" s="4">
        <v>1</v>
      </c>
      <c r="E308" s="4">
        <v>204</v>
      </c>
      <c r="F308" s="4">
        <f>ROUND(Source!R294,O308)</f>
        <v>0</v>
      </c>
      <c r="G308" s="4" t="s">
        <v>113</v>
      </c>
      <c r="H308" s="4" t="s">
        <v>114</v>
      </c>
      <c r="I308" s="4"/>
      <c r="J308" s="4"/>
      <c r="K308" s="4">
        <v>204</v>
      </c>
      <c r="L308" s="4">
        <v>13</v>
      </c>
      <c r="M308" s="4">
        <v>3</v>
      </c>
      <c r="N308" s="4" t="s">
        <v>3</v>
      </c>
      <c r="O308" s="4">
        <v>2</v>
      </c>
      <c r="P308" s="4"/>
      <c r="Q308" s="4"/>
      <c r="R308" s="4"/>
      <c r="S308" s="4"/>
      <c r="T308" s="4"/>
      <c r="U308" s="4"/>
      <c r="V308" s="4"/>
      <c r="W308" s="4"/>
    </row>
    <row r="309" spans="1:23" x14ac:dyDescent="0.2">
      <c r="A309" s="4">
        <v>50</v>
      </c>
      <c r="B309" s="4">
        <v>0</v>
      </c>
      <c r="C309" s="4">
        <v>0</v>
      </c>
      <c r="D309" s="4">
        <v>1</v>
      </c>
      <c r="E309" s="4">
        <v>205</v>
      </c>
      <c r="F309" s="4">
        <f>ROUND(Source!S294,O309)</f>
        <v>0</v>
      </c>
      <c r="G309" s="4" t="s">
        <v>115</v>
      </c>
      <c r="H309" s="4" t="s">
        <v>116</v>
      </c>
      <c r="I309" s="4"/>
      <c r="J309" s="4"/>
      <c r="K309" s="4">
        <v>205</v>
      </c>
      <c r="L309" s="4">
        <v>14</v>
      </c>
      <c r="M309" s="4">
        <v>3</v>
      </c>
      <c r="N309" s="4" t="s">
        <v>3</v>
      </c>
      <c r="O309" s="4">
        <v>2</v>
      </c>
      <c r="P309" s="4"/>
      <c r="Q309" s="4"/>
      <c r="R309" s="4"/>
      <c r="S309" s="4"/>
      <c r="T309" s="4"/>
      <c r="U309" s="4"/>
      <c r="V309" s="4"/>
      <c r="W309" s="4"/>
    </row>
    <row r="310" spans="1:23" x14ac:dyDescent="0.2">
      <c r="A310" s="4">
        <v>50</v>
      </c>
      <c r="B310" s="4">
        <v>0</v>
      </c>
      <c r="C310" s="4">
        <v>0</v>
      </c>
      <c r="D310" s="4">
        <v>1</v>
      </c>
      <c r="E310" s="4">
        <v>232</v>
      </c>
      <c r="F310" s="4">
        <f>ROUND(Source!BC294,O310)</f>
        <v>0</v>
      </c>
      <c r="G310" s="4" t="s">
        <v>117</v>
      </c>
      <c r="H310" s="4" t="s">
        <v>118</v>
      </c>
      <c r="I310" s="4"/>
      <c r="J310" s="4"/>
      <c r="K310" s="4">
        <v>232</v>
      </c>
      <c r="L310" s="4">
        <v>15</v>
      </c>
      <c r="M310" s="4">
        <v>3</v>
      </c>
      <c r="N310" s="4" t="s">
        <v>3</v>
      </c>
      <c r="O310" s="4">
        <v>2</v>
      </c>
      <c r="P310" s="4"/>
      <c r="Q310" s="4"/>
      <c r="R310" s="4"/>
      <c r="S310" s="4"/>
      <c r="T310" s="4"/>
      <c r="U310" s="4"/>
      <c r="V310" s="4"/>
      <c r="W310" s="4"/>
    </row>
    <row r="311" spans="1:23" x14ac:dyDescent="0.2">
      <c r="A311" s="4">
        <v>50</v>
      </c>
      <c r="B311" s="4">
        <v>0</v>
      </c>
      <c r="C311" s="4">
        <v>0</v>
      </c>
      <c r="D311" s="4">
        <v>1</v>
      </c>
      <c r="E311" s="4">
        <v>214</v>
      </c>
      <c r="F311" s="4">
        <f>ROUND(Source!AS294,O311)</f>
        <v>0</v>
      </c>
      <c r="G311" s="4" t="s">
        <v>119</v>
      </c>
      <c r="H311" s="4" t="s">
        <v>120</v>
      </c>
      <c r="I311" s="4"/>
      <c r="J311" s="4"/>
      <c r="K311" s="4">
        <v>214</v>
      </c>
      <c r="L311" s="4">
        <v>16</v>
      </c>
      <c r="M311" s="4">
        <v>3</v>
      </c>
      <c r="N311" s="4" t="s">
        <v>3</v>
      </c>
      <c r="O311" s="4">
        <v>2</v>
      </c>
      <c r="P311" s="4"/>
      <c r="Q311" s="4"/>
      <c r="R311" s="4"/>
      <c r="S311" s="4"/>
      <c r="T311" s="4"/>
      <c r="U311" s="4"/>
      <c r="V311" s="4"/>
      <c r="W311" s="4"/>
    </row>
    <row r="312" spans="1:23" x14ac:dyDescent="0.2">
      <c r="A312" s="4">
        <v>50</v>
      </c>
      <c r="B312" s="4">
        <v>0</v>
      </c>
      <c r="C312" s="4">
        <v>0</v>
      </c>
      <c r="D312" s="4">
        <v>1</v>
      </c>
      <c r="E312" s="4">
        <v>215</v>
      </c>
      <c r="F312" s="4">
        <f>ROUND(Source!AT294,O312)</f>
        <v>0</v>
      </c>
      <c r="G312" s="4" t="s">
        <v>121</v>
      </c>
      <c r="H312" s="4" t="s">
        <v>122</v>
      </c>
      <c r="I312" s="4"/>
      <c r="J312" s="4"/>
      <c r="K312" s="4">
        <v>215</v>
      </c>
      <c r="L312" s="4">
        <v>17</v>
      </c>
      <c r="M312" s="4">
        <v>3</v>
      </c>
      <c r="N312" s="4" t="s">
        <v>3</v>
      </c>
      <c r="O312" s="4">
        <v>2</v>
      </c>
      <c r="P312" s="4"/>
      <c r="Q312" s="4"/>
      <c r="R312" s="4"/>
      <c r="S312" s="4"/>
      <c r="T312" s="4"/>
      <c r="U312" s="4"/>
      <c r="V312" s="4"/>
      <c r="W312" s="4"/>
    </row>
    <row r="313" spans="1:23" x14ac:dyDescent="0.2">
      <c r="A313" s="4">
        <v>50</v>
      </c>
      <c r="B313" s="4">
        <v>0</v>
      </c>
      <c r="C313" s="4">
        <v>0</v>
      </c>
      <c r="D313" s="4">
        <v>1</v>
      </c>
      <c r="E313" s="4">
        <v>217</v>
      </c>
      <c r="F313" s="4">
        <f>ROUND(Source!AU294,O313)</f>
        <v>0</v>
      </c>
      <c r="G313" s="4" t="s">
        <v>123</v>
      </c>
      <c r="H313" s="4" t="s">
        <v>124</v>
      </c>
      <c r="I313" s="4"/>
      <c r="J313" s="4"/>
      <c r="K313" s="4">
        <v>217</v>
      </c>
      <c r="L313" s="4">
        <v>18</v>
      </c>
      <c r="M313" s="4">
        <v>3</v>
      </c>
      <c r="N313" s="4" t="s">
        <v>3</v>
      </c>
      <c r="O313" s="4">
        <v>2</v>
      </c>
      <c r="P313" s="4"/>
      <c r="Q313" s="4"/>
      <c r="R313" s="4"/>
      <c r="S313" s="4"/>
      <c r="T313" s="4"/>
      <c r="U313" s="4"/>
      <c r="V313" s="4"/>
      <c r="W313" s="4"/>
    </row>
    <row r="314" spans="1:23" x14ac:dyDescent="0.2">
      <c r="A314" s="4">
        <v>50</v>
      </c>
      <c r="B314" s="4">
        <v>0</v>
      </c>
      <c r="C314" s="4">
        <v>0</v>
      </c>
      <c r="D314" s="4">
        <v>1</v>
      </c>
      <c r="E314" s="4">
        <v>230</v>
      </c>
      <c r="F314" s="4">
        <f>ROUND(Source!BA294,O314)</f>
        <v>0</v>
      </c>
      <c r="G314" s="4" t="s">
        <v>125</v>
      </c>
      <c r="H314" s="4" t="s">
        <v>126</v>
      </c>
      <c r="I314" s="4"/>
      <c r="J314" s="4"/>
      <c r="K314" s="4">
        <v>230</v>
      </c>
      <c r="L314" s="4">
        <v>19</v>
      </c>
      <c r="M314" s="4">
        <v>3</v>
      </c>
      <c r="N314" s="4" t="s">
        <v>3</v>
      </c>
      <c r="O314" s="4">
        <v>2</v>
      </c>
      <c r="P314" s="4"/>
      <c r="Q314" s="4"/>
      <c r="R314" s="4"/>
      <c r="S314" s="4"/>
      <c r="T314" s="4"/>
      <c r="U314" s="4"/>
      <c r="V314" s="4"/>
      <c r="W314" s="4"/>
    </row>
    <row r="315" spans="1:23" x14ac:dyDescent="0.2">
      <c r="A315" s="4">
        <v>50</v>
      </c>
      <c r="B315" s="4">
        <v>0</v>
      </c>
      <c r="C315" s="4">
        <v>0</v>
      </c>
      <c r="D315" s="4">
        <v>1</v>
      </c>
      <c r="E315" s="4">
        <v>206</v>
      </c>
      <c r="F315" s="4">
        <f>ROUND(Source!T294,O315)</f>
        <v>0</v>
      </c>
      <c r="G315" s="4" t="s">
        <v>127</v>
      </c>
      <c r="H315" s="4" t="s">
        <v>128</v>
      </c>
      <c r="I315" s="4"/>
      <c r="J315" s="4"/>
      <c r="K315" s="4">
        <v>206</v>
      </c>
      <c r="L315" s="4">
        <v>20</v>
      </c>
      <c r="M315" s="4">
        <v>3</v>
      </c>
      <c r="N315" s="4" t="s">
        <v>3</v>
      </c>
      <c r="O315" s="4">
        <v>2</v>
      </c>
      <c r="P315" s="4"/>
      <c r="Q315" s="4"/>
      <c r="R315" s="4"/>
      <c r="S315" s="4"/>
      <c r="T315" s="4"/>
      <c r="U315" s="4"/>
      <c r="V315" s="4"/>
      <c r="W315" s="4"/>
    </row>
    <row r="316" spans="1:23" x14ac:dyDescent="0.2">
      <c r="A316" s="4">
        <v>50</v>
      </c>
      <c r="B316" s="4">
        <v>0</v>
      </c>
      <c r="C316" s="4">
        <v>0</v>
      </c>
      <c r="D316" s="4">
        <v>1</v>
      </c>
      <c r="E316" s="4">
        <v>207</v>
      </c>
      <c r="F316" s="4">
        <f>Source!U294</f>
        <v>0</v>
      </c>
      <c r="G316" s="4" t="s">
        <v>129</v>
      </c>
      <c r="H316" s="4" t="s">
        <v>130</v>
      </c>
      <c r="I316" s="4"/>
      <c r="J316" s="4"/>
      <c r="K316" s="4">
        <v>207</v>
      </c>
      <c r="L316" s="4">
        <v>21</v>
      </c>
      <c r="M316" s="4">
        <v>3</v>
      </c>
      <c r="N316" s="4" t="s">
        <v>3</v>
      </c>
      <c r="O316" s="4">
        <v>-1</v>
      </c>
      <c r="P316" s="4"/>
      <c r="Q316" s="4"/>
      <c r="R316" s="4"/>
      <c r="S316" s="4"/>
      <c r="T316" s="4"/>
      <c r="U316" s="4"/>
      <c r="V316" s="4"/>
      <c r="W316" s="4"/>
    </row>
    <row r="317" spans="1:23" x14ac:dyDescent="0.2">
      <c r="A317" s="4">
        <v>50</v>
      </c>
      <c r="B317" s="4">
        <v>0</v>
      </c>
      <c r="C317" s="4">
        <v>0</v>
      </c>
      <c r="D317" s="4">
        <v>1</v>
      </c>
      <c r="E317" s="4">
        <v>208</v>
      </c>
      <c r="F317" s="4">
        <f>Source!V294</f>
        <v>0</v>
      </c>
      <c r="G317" s="4" t="s">
        <v>131</v>
      </c>
      <c r="H317" s="4" t="s">
        <v>132</v>
      </c>
      <c r="I317" s="4"/>
      <c r="J317" s="4"/>
      <c r="K317" s="4">
        <v>208</v>
      </c>
      <c r="L317" s="4">
        <v>22</v>
      </c>
      <c r="M317" s="4">
        <v>3</v>
      </c>
      <c r="N317" s="4" t="s">
        <v>3</v>
      </c>
      <c r="O317" s="4">
        <v>-1</v>
      </c>
      <c r="P317" s="4"/>
      <c r="Q317" s="4"/>
      <c r="R317" s="4"/>
      <c r="S317" s="4"/>
      <c r="T317" s="4"/>
      <c r="U317" s="4"/>
      <c r="V317" s="4"/>
      <c r="W317" s="4"/>
    </row>
    <row r="318" spans="1:23" x14ac:dyDescent="0.2">
      <c r="A318" s="4">
        <v>50</v>
      </c>
      <c r="B318" s="4">
        <v>0</v>
      </c>
      <c r="C318" s="4">
        <v>0</v>
      </c>
      <c r="D318" s="4">
        <v>1</v>
      </c>
      <c r="E318" s="4">
        <v>209</v>
      </c>
      <c r="F318" s="4">
        <f>ROUND(Source!W294,O318)</f>
        <v>0</v>
      </c>
      <c r="G318" s="4" t="s">
        <v>133</v>
      </c>
      <c r="H318" s="4" t="s">
        <v>134</v>
      </c>
      <c r="I318" s="4"/>
      <c r="J318" s="4"/>
      <c r="K318" s="4">
        <v>209</v>
      </c>
      <c r="L318" s="4">
        <v>23</v>
      </c>
      <c r="M318" s="4">
        <v>3</v>
      </c>
      <c r="N318" s="4" t="s">
        <v>3</v>
      </c>
      <c r="O318" s="4">
        <v>2</v>
      </c>
      <c r="P318" s="4"/>
      <c r="Q318" s="4"/>
      <c r="R318" s="4"/>
      <c r="S318" s="4"/>
      <c r="T318" s="4"/>
      <c r="U318" s="4"/>
      <c r="V318" s="4"/>
      <c r="W318" s="4"/>
    </row>
    <row r="319" spans="1:23" x14ac:dyDescent="0.2">
      <c r="A319" s="4">
        <v>50</v>
      </c>
      <c r="B319" s="4">
        <v>0</v>
      </c>
      <c r="C319" s="4">
        <v>0</v>
      </c>
      <c r="D319" s="4">
        <v>1</v>
      </c>
      <c r="E319" s="4">
        <v>233</v>
      </c>
      <c r="F319" s="4">
        <f>ROUND(Source!BD294,O319)</f>
        <v>0</v>
      </c>
      <c r="G319" s="4" t="s">
        <v>135</v>
      </c>
      <c r="H319" s="4" t="s">
        <v>136</v>
      </c>
      <c r="I319" s="4"/>
      <c r="J319" s="4"/>
      <c r="K319" s="4">
        <v>233</v>
      </c>
      <c r="L319" s="4">
        <v>24</v>
      </c>
      <c r="M319" s="4">
        <v>3</v>
      </c>
      <c r="N319" s="4" t="s">
        <v>3</v>
      </c>
      <c r="O319" s="4">
        <v>2</v>
      </c>
      <c r="P319" s="4"/>
      <c r="Q319" s="4"/>
      <c r="R319" s="4"/>
      <c r="S319" s="4"/>
      <c r="T319" s="4"/>
      <c r="U319" s="4"/>
      <c r="V319" s="4"/>
      <c r="W319" s="4"/>
    </row>
    <row r="320" spans="1:23" x14ac:dyDescent="0.2">
      <c r="A320" s="4">
        <v>50</v>
      </c>
      <c r="B320" s="4">
        <v>0</v>
      </c>
      <c r="C320" s="4">
        <v>0</v>
      </c>
      <c r="D320" s="4">
        <v>1</v>
      </c>
      <c r="E320" s="4">
        <v>210</v>
      </c>
      <c r="F320" s="4">
        <f>ROUND(Source!X294,O320)</f>
        <v>0</v>
      </c>
      <c r="G320" s="4" t="s">
        <v>137</v>
      </c>
      <c r="H320" s="4" t="s">
        <v>138</v>
      </c>
      <c r="I320" s="4"/>
      <c r="J320" s="4"/>
      <c r="K320" s="4">
        <v>210</v>
      </c>
      <c r="L320" s="4">
        <v>25</v>
      </c>
      <c r="M320" s="4">
        <v>3</v>
      </c>
      <c r="N320" s="4" t="s">
        <v>3</v>
      </c>
      <c r="O320" s="4">
        <v>2</v>
      </c>
      <c r="P320" s="4"/>
      <c r="Q320" s="4"/>
      <c r="R320" s="4"/>
      <c r="S320" s="4"/>
      <c r="T320" s="4"/>
      <c r="U320" s="4"/>
      <c r="V320" s="4"/>
      <c r="W320" s="4"/>
    </row>
    <row r="321" spans="1:245" x14ac:dyDescent="0.2">
      <c r="A321" s="4">
        <v>50</v>
      </c>
      <c r="B321" s="4">
        <v>0</v>
      </c>
      <c r="C321" s="4">
        <v>0</v>
      </c>
      <c r="D321" s="4">
        <v>1</v>
      </c>
      <c r="E321" s="4">
        <v>211</v>
      </c>
      <c r="F321" s="4">
        <f>ROUND(Source!Y294,O321)</f>
        <v>0</v>
      </c>
      <c r="G321" s="4" t="s">
        <v>139</v>
      </c>
      <c r="H321" s="4" t="s">
        <v>140</v>
      </c>
      <c r="I321" s="4"/>
      <c r="J321" s="4"/>
      <c r="K321" s="4">
        <v>211</v>
      </c>
      <c r="L321" s="4">
        <v>26</v>
      </c>
      <c r="M321" s="4">
        <v>3</v>
      </c>
      <c r="N321" s="4" t="s">
        <v>3</v>
      </c>
      <c r="O321" s="4">
        <v>2</v>
      </c>
      <c r="P321" s="4"/>
      <c r="Q321" s="4"/>
      <c r="R321" s="4"/>
      <c r="S321" s="4"/>
      <c r="T321" s="4"/>
      <c r="U321" s="4"/>
      <c r="V321" s="4"/>
      <c r="W321" s="4"/>
    </row>
    <row r="322" spans="1:245" x14ac:dyDescent="0.2">
      <c r="A322" s="4">
        <v>50</v>
      </c>
      <c r="B322" s="4">
        <v>0</v>
      </c>
      <c r="C322" s="4">
        <v>0</v>
      </c>
      <c r="D322" s="4">
        <v>1</v>
      </c>
      <c r="E322" s="4">
        <v>224</v>
      </c>
      <c r="F322" s="4">
        <f>ROUND(Source!AR294,O322)</f>
        <v>0</v>
      </c>
      <c r="G322" s="4" t="s">
        <v>141</v>
      </c>
      <c r="H322" s="4" t="s">
        <v>142</v>
      </c>
      <c r="I322" s="4"/>
      <c r="J322" s="4"/>
      <c r="K322" s="4">
        <v>224</v>
      </c>
      <c r="L322" s="4">
        <v>27</v>
      </c>
      <c r="M322" s="4">
        <v>3</v>
      </c>
      <c r="N322" s="4" t="s">
        <v>3</v>
      </c>
      <c r="O322" s="4">
        <v>2</v>
      </c>
      <c r="P322" s="4"/>
      <c r="Q322" s="4"/>
      <c r="R322" s="4"/>
      <c r="S322" s="4"/>
      <c r="T322" s="4"/>
      <c r="U322" s="4"/>
      <c r="V322" s="4"/>
      <c r="W322" s="4"/>
    </row>
    <row r="324" spans="1:245" x14ac:dyDescent="0.2">
      <c r="A324" s="1">
        <v>4</v>
      </c>
      <c r="B324" s="1">
        <v>1</v>
      </c>
      <c r="C324" s="1"/>
      <c r="D324" s="1">
        <f>ROW(A343)</f>
        <v>343</v>
      </c>
      <c r="E324" s="1"/>
      <c r="F324" s="1" t="s">
        <v>13</v>
      </c>
      <c r="G324" s="1" t="s">
        <v>259</v>
      </c>
      <c r="H324" s="1" t="s">
        <v>3</v>
      </c>
      <c r="I324" s="1">
        <v>0</v>
      </c>
      <c r="J324" s="1"/>
      <c r="K324" s="1">
        <v>0</v>
      </c>
      <c r="L324" s="1"/>
      <c r="M324" s="1"/>
      <c r="N324" s="1"/>
      <c r="O324" s="1"/>
      <c r="P324" s="1"/>
      <c r="Q324" s="1"/>
      <c r="R324" s="1"/>
      <c r="S324" s="1"/>
      <c r="T324" s="1"/>
      <c r="U324" s="1" t="s">
        <v>3</v>
      </c>
      <c r="V324" s="1">
        <v>0</v>
      </c>
      <c r="W324" s="1"/>
      <c r="X324" s="1"/>
      <c r="Y324" s="1"/>
      <c r="Z324" s="1"/>
      <c r="AA324" s="1"/>
      <c r="AB324" s="1" t="s">
        <v>3</v>
      </c>
      <c r="AC324" s="1" t="s">
        <v>3</v>
      </c>
      <c r="AD324" s="1" t="s">
        <v>3</v>
      </c>
      <c r="AE324" s="1" t="s">
        <v>3</v>
      </c>
      <c r="AF324" s="1" t="s">
        <v>3</v>
      </c>
      <c r="AG324" s="1" t="s">
        <v>3</v>
      </c>
      <c r="AH324" s="1"/>
      <c r="AI324" s="1"/>
      <c r="AJ324" s="1"/>
      <c r="AK324" s="1"/>
      <c r="AL324" s="1"/>
      <c r="AM324" s="1"/>
      <c r="AN324" s="1"/>
      <c r="AO324" s="1"/>
      <c r="AP324" s="1" t="s">
        <v>3</v>
      </c>
      <c r="AQ324" s="1" t="s">
        <v>3</v>
      </c>
      <c r="AR324" s="1" t="s">
        <v>3</v>
      </c>
      <c r="AS324" s="1"/>
      <c r="AT324" s="1"/>
      <c r="AU324" s="1"/>
      <c r="AV324" s="1"/>
      <c r="AW324" s="1"/>
      <c r="AX324" s="1"/>
      <c r="AY324" s="1"/>
      <c r="AZ324" s="1" t="s">
        <v>3</v>
      </c>
      <c r="BA324" s="1"/>
      <c r="BB324" s="1" t="s">
        <v>3</v>
      </c>
      <c r="BC324" s="1" t="s">
        <v>3</v>
      </c>
      <c r="BD324" s="1" t="s">
        <v>3</v>
      </c>
      <c r="BE324" s="1" t="s">
        <v>3</v>
      </c>
      <c r="BF324" s="1" t="s">
        <v>3</v>
      </c>
      <c r="BG324" s="1" t="s">
        <v>3</v>
      </c>
      <c r="BH324" s="1" t="s">
        <v>3</v>
      </c>
      <c r="BI324" s="1" t="s">
        <v>3</v>
      </c>
      <c r="BJ324" s="1" t="s">
        <v>3</v>
      </c>
      <c r="BK324" s="1" t="s">
        <v>3</v>
      </c>
      <c r="BL324" s="1" t="s">
        <v>3</v>
      </c>
      <c r="BM324" s="1" t="s">
        <v>3</v>
      </c>
      <c r="BN324" s="1" t="s">
        <v>3</v>
      </c>
      <c r="BO324" s="1" t="s">
        <v>3</v>
      </c>
      <c r="BP324" s="1" t="s">
        <v>3</v>
      </c>
      <c r="BQ324" s="1"/>
      <c r="BR324" s="1"/>
      <c r="BS324" s="1"/>
      <c r="BT324" s="1"/>
      <c r="BU324" s="1"/>
      <c r="BV324" s="1"/>
      <c r="BW324" s="1"/>
      <c r="BX324" s="1">
        <v>0</v>
      </c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>
        <v>0</v>
      </c>
    </row>
    <row r="326" spans="1:245" x14ac:dyDescent="0.2">
      <c r="A326" s="2">
        <v>52</v>
      </c>
      <c r="B326" s="2">
        <f t="shared" ref="B326:G326" si="273">B343</f>
        <v>1</v>
      </c>
      <c r="C326" s="2">
        <f t="shared" si="273"/>
        <v>4</v>
      </c>
      <c r="D326" s="2">
        <f t="shared" si="273"/>
        <v>324</v>
      </c>
      <c r="E326" s="2">
        <f t="shared" si="273"/>
        <v>0</v>
      </c>
      <c r="F326" s="2" t="str">
        <f t="shared" si="273"/>
        <v>Новый раздел</v>
      </c>
      <c r="G326" s="2" t="str">
        <f t="shared" si="273"/>
        <v>20.2. Газон посевной 10см</v>
      </c>
      <c r="H326" s="2"/>
      <c r="I326" s="2"/>
      <c r="J326" s="2"/>
      <c r="K326" s="2"/>
      <c r="L326" s="2"/>
      <c r="M326" s="2"/>
      <c r="N326" s="2"/>
      <c r="O326" s="2">
        <f t="shared" ref="O326:AT326" si="274">O343</f>
        <v>5395273.8300000001</v>
      </c>
      <c r="P326" s="2">
        <f t="shared" si="274"/>
        <v>2757721.75</v>
      </c>
      <c r="Q326" s="2">
        <f t="shared" si="274"/>
        <v>198615.37</v>
      </c>
      <c r="R326" s="2">
        <f t="shared" si="274"/>
        <v>92797.24</v>
      </c>
      <c r="S326" s="2">
        <f t="shared" si="274"/>
        <v>2438936.71</v>
      </c>
      <c r="T326" s="2">
        <f t="shared" si="274"/>
        <v>0</v>
      </c>
      <c r="U326" s="2">
        <f t="shared" si="274"/>
        <v>9397.791819</v>
      </c>
      <c r="V326" s="2">
        <f t="shared" si="274"/>
        <v>0</v>
      </c>
      <c r="W326" s="2">
        <f t="shared" si="274"/>
        <v>0</v>
      </c>
      <c r="X326" s="2">
        <f t="shared" si="274"/>
        <v>2483141.31</v>
      </c>
      <c r="Y326" s="2">
        <f t="shared" si="274"/>
        <v>1145800.3400000001</v>
      </c>
      <c r="Z326" s="2">
        <f t="shared" si="274"/>
        <v>0</v>
      </c>
      <c r="AA326" s="2">
        <f t="shared" si="274"/>
        <v>0</v>
      </c>
      <c r="AB326" s="2">
        <f t="shared" si="274"/>
        <v>5395273.8300000001</v>
      </c>
      <c r="AC326" s="2">
        <f t="shared" si="274"/>
        <v>2757721.75</v>
      </c>
      <c r="AD326" s="2">
        <f t="shared" si="274"/>
        <v>198615.37</v>
      </c>
      <c r="AE326" s="2">
        <f t="shared" si="274"/>
        <v>92797.24</v>
      </c>
      <c r="AF326" s="2">
        <f t="shared" si="274"/>
        <v>2438936.71</v>
      </c>
      <c r="AG326" s="2">
        <f t="shared" si="274"/>
        <v>0</v>
      </c>
      <c r="AH326" s="2">
        <f t="shared" si="274"/>
        <v>9397.791819</v>
      </c>
      <c r="AI326" s="2">
        <f t="shared" si="274"/>
        <v>0</v>
      </c>
      <c r="AJ326" s="2">
        <f t="shared" si="274"/>
        <v>0</v>
      </c>
      <c r="AK326" s="2">
        <f t="shared" si="274"/>
        <v>2483141.31</v>
      </c>
      <c r="AL326" s="2">
        <f t="shared" si="274"/>
        <v>1145800.3400000001</v>
      </c>
      <c r="AM326" s="2">
        <f t="shared" si="274"/>
        <v>0</v>
      </c>
      <c r="AN326" s="2">
        <f t="shared" si="274"/>
        <v>0</v>
      </c>
      <c r="AO326" s="2">
        <f t="shared" si="274"/>
        <v>0</v>
      </c>
      <c r="AP326" s="2">
        <f t="shared" si="274"/>
        <v>0</v>
      </c>
      <c r="AQ326" s="2">
        <f t="shared" si="274"/>
        <v>0</v>
      </c>
      <c r="AR326" s="2">
        <f t="shared" si="274"/>
        <v>9169907.1500000004</v>
      </c>
      <c r="AS326" s="2">
        <f t="shared" si="274"/>
        <v>9169907.1500000004</v>
      </c>
      <c r="AT326" s="2">
        <f t="shared" si="274"/>
        <v>0</v>
      </c>
      <c r="AU326" s="2">
        <f t="shared" ref="AU326:BZ326" si="275">AU343</f>
        <v>0</v>
      </c>
      <c r="AV326" s="2">
        <f t="shared" si="275"/>
        <v>2757721.75</v>
      </c>
      <c r="AW326" s="2">
        <f t="shared" si="275"/>
        <v>2757721.75</v>
      </c>
      <c r="AX326" s="2">
        <f t="shared" si="275"/>
        <v>0</v>
      </c>
      <c r="AY326" s="2">
        <f t="shared" si="275"/>
        <v>2757721.75</v>
      </c>
      <c r="AZ326" s="2">
        <f t="shared" si="275"/>
        <v>0</v>
      </c>
      <c r="BA326" s="2">
        <f t="shared" si="275"/>
        <v>0</v>
      </c>
      <c r="BB326" s="2">
        <f t="shared" si="275"/>
        <v>0</v>
      </c>
      <c r="BC326" s="2">
        <f t="shared" si="275"/>
        <v>0</v>
      </c>
      <c r="BD326" s="2">
        <f t="shared" si="275"/>
        <v>0</v>
      </c>
      <c r="BE326" s="2">
        <f t="shared" si="275"/>
        <v>0</v>
      </c>
      <c r="BF326" s="2">
        <f t="shared" si="275"/>
        <v>0</v>
      </c>
      <c r="BG326" s="2">
        <f t="shared" si="275"/>
        <v>0</v>
      </c>
      <c r="BH326" s="2">
        <f t="shared" si="275"/>
        <v>0</v>
      </c>
      <c r="BI326" s="2">
        <f t="shared" si="275"/>
        <v>0</v>
      </c>
      <c r="BJ326" s="2">
        <f t="shared" si="275"/>
        <v>0</v>
      </c>
      <c r="BK326" s="2">
        <f t="shared" si="275"/>
        <v>0</v>
      </c>
      <c r="BL326" s="2">
        <f t="shared" si="275"/>
        <v>0</v>
      </c>
      <c r="BM326" s="2">
        <f t="shared" si="275"/>
        <v>0</v>
      </c>
      <c r="BN326" s="2">
        <f t="shared" si="275"/>
        <v>0</v>
      </c>
      <c r="BO326" s="2">
        <f t="shared" si="275"/>
        <v>0</v>
      </c>
      <c r="BP326" s="2">
        <f t="shared" si="275"/>
        <v>0</v>
      </c>
      <c r="BQ326" s="2">
        <f t="shared" si="275"/>
        <v>0</v>
      </c>
      <c r="BR326" s="2">
        <f t="shared" si="275"/>
        <v>0</v>
      </c>
      <c r="BS326" s="2">
        <f t="shared" si="275"/>
        <v>0</v>
      </c>
      <c r="BT326" s="2">
        <f t="shared" si="275"/>
        <v>0</v>
      </c>
      <c r="BU326" s="2">
        <f t="shared" si="275"/>
        <v>0</v>
      </c>
      <c r="BV326" s="2">
        <f t="shared" si="275"/>
        <v>0</v>
      </c>
      <c r="BW326" s="2">
        <f t="shared" si="275"/>
        <v>0</v>
      </c>
      <c r="BX326" s="2">
        <f t="shared" si="275"/>
        <v>0</v>
      </c>
      <c r="BY326" s="2">
        <f t="shared" si="275"/>
        <v>0</v>
      </c>
      <c r="BZ326" s="2">
        <f t="shared" si="275"/>
        <v>0</v>
      </c>
      <c r="CA326" s="2">
        <f t="shared" ref="CA326:DF326" si="276">CA343</f>
        <v>9169907.1500000004</v>
      </c>
      <c r="CB326" s="2">
        <f t="shared" si="276"/>
        <v>9169907.1500000004</v>
      </c>
      <c r="CC326" s="2">
        <f t="shared" si="276"/>
        <v>0</v>
      </c>
      <c r="CD326" s="2">
        <f t="shared" si="276"/>
        <v>0</v>
      </c>
      <c r="CE326" s="2">
        <f t="shared" si="276"/>
        <v>2757721.75</v>
      </c>
      <c r="CF326" s="2">
        <f t="shared" si="276"/>
        <v>2757721.75</v>
      </c>
      <c r="CG326" s="2">
        <f t="shared" si="276"/>
        <v>0</v>
      </c>
      <c r="CH326" s="2">
        <f t="shared" si="276"/>
        <v>2757721.75</v>
      </c>
      <c r="CI326" s="2">
        <f t="shared" si="276"/>
        <v>0</v>
      </c>
      <c r="CJ326" s="2">
        <f t="shared" si="276"/>
        <v>0</v>
      </c>
      <c r="CK326" s="2">
        <f t="shared" si="276"/>
        <v>0</v>
      </c>
      <c r="CL326" s="2">
        <f t="shared" si="276"/>
        <v>0</v>
      </c>
      <c r="CM326" s="2">
        <f t="shared" si="276"/>
        <v>0</v>
      </c>
      <c r="CN326" s="2">
        <f t="shared" si="276"/>
        <v>0</v>
      </c>
      <c r="CO326" s="2">
        <f t="shared" si="276"/>
        <v>0</v>
      </c>
      <c r="CP326" s="2">
        <f t="shared" si="276"/>
        <v>0</v>
      </c>
      <c r="CQ326" s="2">
        <f t="shared" si="276"/>
        <v>0</v>
      </c>
      <c r="CR326" s="2">
        <f t="shared" si="276"/>
        <v>0</v>
      </c>
      <c r="CS326" s="2">
        <f t="shared" si="276"/>
        <v>0</v>
      </c>
      <c r="CT326" s="2">
        <f t="shared" si="276"/>
        <v>0</v>
      </c>
      <c r="CU326" s="2">
        <f t="shared" si="276"/>
        <v>0</v>
      </c>
      <c r="CV326" s="2">
        <f t="shared" si="276"/>
        <v>0</v>
      </c>
      <c r="CW326" s="2">
        <f t="shared" si="276"/>
        <v>0</v>
      </c>
      <c r="CX326" s="2">
        <f t="shared" si="276"/>
        <v>0</v>
      </c>
      <c r="CY326" s="2">
        <f t="shared" si="276"/>
        <v>0</v>
      </c>
      <c r="CZ326" s="2">
        <f t="shared" si="276"/>
        <v>0</v>
      </c>
      <c r="DA326" s="2">
        <f t="shared" si="276"/>
        <v>0</v>
      </c>
      <c r="DB326" s="2">
        <f t="shared" si="276"/>
        <v>0</v>
      </c>
      <c r="DC326" s="2">
        <f t="shared" si="276"/>
        <v>0</v>
      </c>
      <c r="DD326" s="2">
        <f t="shared" si="276"/>
        <v>0</v>
      </c>
      <c r="DE326" s="2">
        <f t="shared" si="276"/>
        <v>0</v>
      </c>
      <c r="DF326" s="2">
        <f t="shared" si="276"/>
        <v>0</v>
      </c>
      <c r="DG326" s="3">
        <f t="shared" ref="DG326:EL326" si="277">DG343</f>
        <v>0</v>
      </c>
      <c r="DH326" s="3">
        <f t="shared" si="277"/>
        <v>0</v>
      </c>
      <c r="DI326" s="3">
        <f t="shared" si="277"/>
        <v>0</v>
      </c>
      <c r="DJ326" s="3">
        <f t="shared" si="277"/>
        <v>0</v>
      </c>
      <c r="DK326" s="3">
        <f t="shared" si="277"/>
        <v>0</v>
      </c>
      <c r="DL326" s="3">
        <f t="shared" si="277"/>
        <v>0</v>
      </c>
      <c r="DM326" s="3">
        <f t="shared" si="277"/>
        <v>0</v>
      </c>
      <c r="DN326" s="3">
        <f t="shared" si="277"/>
        <v>0</v>
      </c>
      <c r="DO326" s="3">
        <f t="shared" si="277"/>
        <v>0</v>
      </c>
      <c r="DP326" s="3">
        <f t="shared" si="277"/>
        <v>0</v>
      </c>
      <c r="DQ326" s="3">
        <f t="shared" si="277"/>
        <v>0</v>
      </c>
      <c r="DR326" s="3">
        <f t="shared" si="277"/>
        <v>0</v>
      </c>
      <c r="DS326" s="3">
        <f t="shared" si="277"/>
        <v>0</v>
      </c>
      <c r="DT326" s="3">
        <f t="shared" si="277"/>
        <v>0</v>
      </c>
      <c r="DU326" s="3">
        <f t="shared" si="277"/>
        <v>0</v>
      </c>
      <c r="DV326" s="3">
        <f t="shared" si="277"/>
        <v>0</v>
      </c>
      <c r="DW326" s="3">
        <f t="shared" si="277"/>
        <v>0</v>
      </c>
      <c r="DX326" s="3">
        <f t="shared" si="277"/>
        <v>0</v>
      </c>
      <c r="DY326" s="3">
        <f t="shared" si="277"/>
        <v>0</v>
      </c>
      <c r="DZ326" s="3">
        <f t="shared" si="277"/>
        <v>0</v>
      </c>
      <c r="EA326" s="3">
        <f t="shared" si="277"/>
        <v>0</v>
      </c>
      <c r="EB326" s="3">
        <f t="shared" si="277"/>
        <v>0</v>
      </c>
      <c r="EC326" s="3">
        <f t="shared" si="277"/>
        <v>0</v>
      </c>
      <c r="ED326" s="3">
        <f t="shared" si="277"/>
        <v>0</v>
      </c>
      <c r="EE326" s="3">
        <f t="shared" si="277"/>
        <v>0</v>
      </c>
      <c r="EF326" s="3">
        <f t="shared" si="277"/>
        <v>0</v>
      </c>
      <c r="EG326" s="3">
        <f t="shared" si="277"/>
        <v>0</v>
      </c>
      <c r="EH326" s="3">
        <f t="shared" si="277"/>
        <v>0</v>
      </c>
      <c r="EI326" s="3">
        <f t="shared" si="277"/>
        <v>0</v>
      </c>
      <c r="EJ326" s="3">
        <f t="shared" si="277"/>
        <v>0</v>
      </c>
      <c r="EK326" s="3">
        <f t="shared" si="277"/>
        <v>0</v>
      </c>
      <c r="EL326" s="3">
        <f t="shared" si="277"/>
        <v>0</v>
      </c>
      <c r="EM326" s="3">
        <f t="shared" ref="EM326:FR326" si="278">EM343</f>
        <v>0</v>
      </c>
      <c r="EN326" s="3">
        <f t="shared" si="278"/>
        <v>0</v>
      </c>
      <c r="EO326" s="3">
        <f t="shared" si="278"/>
        <v>0</v>
      </c>
      <c r="EP326" s="3">
        <f t="shared" si="278"/>
        <v>0</v>
      </c>
      <c r="EQ326" s="3">
        <f t="shared" si="278"/>
        <v>0</v>
      </c>
      <c r="ER326" s="3">
        <f t="shared" si="278"/>
        <v>0</v>
      </c>
      <c r="ES326" s="3">
        <f t="shared" si="278"/>
        <v>0</v>
      </c>
      <c r="ET326" s="3">
        <f t="shared" si="278"/>
        <v>0</v>
      </c>
      <c r="EU326" s="3">
        <f t="shared" si="278"/>
        <v>0</v>
      </c>
      <c r="EV326" s="3">
        <f t="shared" si="278"/>
        <v>0</v>
      </c>
      <c r="EW326" s="3">
        <f t="shared" si="278"/>
        <v>0</v>
      </c>
      <c r="EX326" s="3">
        <f t="shared" si="278"/>
        <v>0</v>
      </c>
      <c r="EY326" s="3">
        <f t="shared" si="278"/>
        <v>0</v>
      </c>
      <c r="EZ326" s="3">
        <f t="shared" si="278"/>
        <v>0</v>
      </c>
      <c r="FA326" s="3">
        <f t="shared" si="278"/>
        <v>0</v>
      </c>
      <c r="FB326" s="3">
        <f t="shared" si="278"/>
        <v>0</v>
      </c>
      <c r="FC326" s="3">
        <f t="shared" si="278"/>
        <v>0</v>
      </c>
      <c r="FD326" s="3">
        <f t="shared" si="278"/>
        <v>0</v>
      </c>
      <c r="FE326" s="3">
        <f t="shared" si="278"/>
        <v>0</v>
      </c>
      <c r="FF326" s="3">
        <f t="shared" si="278"/>
        <v>0</v>
      </c>
      <c r="FG326" s="3">
        <f t="shared" si="278"/>
        <v>0</v>
      </c>
      <c r="FH326" s="3">
        <f t="shared" si="278"/>
        <v>0</v>
      </c>
      <c r="FI326" s="3">
        <f t="shared" si="278"/>
        <v>0</v>
      </c>
      <c r="FJ326" s="3">
        <f t="shared" si="278"/>
        <v>0</v>
      </c>
      <c r="FK326" s="3">
        <f t="shared" si="278"/>
        <v>0</v>
      </c>
      <c r="FL326" s="3">
        <f t="shared" si="278"/>
        <v>0</v>
      </c>
      <c r="FM326" s="3">
        <f t="shared" si="278"/>
        <v>0</v>
      </c>
      <c r="FN326" s="3">
        <f t="shared" si="278"/>
        <v>0</v>
      </c>
      <c r="FO326" s="3">
        <f t="shared" si="278"/>
        <v>0</v>
      </c>
      <c r="FP326" s="3">
        <f t="shared" si="278"/>
        <v>0</v>
      </c>
      <c r="FQ326" s="3">
        <f t="shared" si="278"/>
        <v>0</v>
      </c>
      <c r="FR326" s="3">
        <f t="shared" si="278"/>
        <v>0</v>
      </c>
      <c r="FS326" s="3">
        <f t="shared" ref="FS326:GX326" si="279">FS343</f>
        <v>0</v>
      </c>
      <c r="FT326" s="3">
        <f t="shared" si="279"/>
        <v>0</v>
      </c>
      <c r="FU326" s="3">
        <f t="shared" si="279"/>
        <v>0</v>
      </c>
      <c r="FV326" s="3">
        <f t="shared" si="279"/>
        <v>0</v>
      </c>
      <c r="FW326" s="3">
        <f t="shared" si="279"/>
        <v>0</v>
      </c>
      <c r="FX326" s="3">
        <f t="shared" si="279"/>
        <v>0</v>
      </c>
      <c r="FY326" s="3">
        <f t="shared" si="279"/>
        <v>0</v>
      </c>
      <c r="FZ326" s="3">
        <f t="shared" si="279"/>
        <v>0</v>
      </c>
      <c r="GA326" s="3">
        <f t="shared" si="279"/>
        <v>0</v>
      </c>
      <c r="GB326" s="3">
        <f t="shared" si="279"/>
        <v>0</v>
      </c>
      <c r="GC326" s="3">
        <f t="shared" si="279"/>
        <v>0</v>
      </c>
      <c r="GD326" s="3">
        <f t="shared" si="279"/>
        <v>0</v>
      </c>
      <c r="GE326" s="3">
        <f t="shared" si="279"/>
        <v>0</v>
      </c>
      <c r="GF326" s="3">
        <f t="shared" si="279"/>
        <v>0</v>
      </c>
      <c r="GG326" s="3">
        <f t="shared" si="279"/>
        <v>0</v>
      </c>
      <c r="GH326" s="3">
        <f t="shared" si="279"/>
        <v>0</v>
      </c>
      <c r="GI326" s="3">
        <f t="shared" si="279"/>
        <v>0</v>
      </c>
      <c r="GJ326" s="3">
        <f t="shared" si="279"/>
        <v>0</v>
      </c>
      <c r="GK326" s="3">
        <f t="shared" si="279"/>
        <v>0</v>
      </c>
      <c r="GL326" s="3">
        <f t="shared" si="279"/>
        <v>0</v>
      </c>
      <c r="GM326" s="3">
        <f t="shared" si="279"/>
        <v>0</v>
      </c>
      <c r="GN326" s="3">
        <f t="shared" si="279"/>
        <v>0</v>
      </c>
      <c r="GO326" s="3">
        <f t="shared" si="279"/>
        <v>0</v>
      </c>
      <c r="GP326" s="3">
        <f t="shared" si="279"/>
        <v>0</v>
      </c>
      <c r="GQ326" s="3">
        <f t="shared" si="279"/>
        <v>0</v>
      </c>
      <c r="GR326" s="3">
        <f t="shared" si="279"/>
        <v>0</v>
      </c>
      <c r="GS326" s="3">
        <f t="shared" si="279"/>
        <v>0</v>
      </c>
      <c r="GT326" s="3">
        <f t="shared" si="279"/>
        <v>0</v>
      </c>
      <c r="GU326" s="3">
        <f t="shared" si="279"/>
        <v>0</v>
      </c>
      <c r="GV326" s="3">
        <f t="shared" si="279"/>
        <v>0</v>
      </c>
      <c r="GW326" s="3">
        <f t="shared" si="279"/>
        <v>0</v>
      </c>
      <c r="GX326" s="3">
        <f t="shared" si="279"/>
        <v>0</v>
      </c>
    </row>
    <row r="328" spans="1:245" x14ac:dyDescent="0.2">
      <c r="A328">
        <v>17</v>
      </c>
      <c r="B328">
        <v>1</v>
      </c>
      <c r="C328">
        <f>ROW(SmtRes!A145)</f>
        <v>145</v>
      </c>
      <c r="D328">
        <f>ROW(EtalonRes!A146)</f>
        <v>146</v>
      </c>
      <c r="E328" t="s">
        <v>260</v>
      </c>
      <c r="F328" t="s">
        <v>202</v>
      </c>
      <c r="G328" t="s">
        <v>203</v>
      </c>
      <c r="H328" t="s">
        <v>204</v>
      </c>
      <c r="I328">
        <f>ROUND(26118*0.1*0.75/100,9)</f>
        <v>19.5885</v>
      </c>
      <c r="J328">
        <v>0</v>
      </c>
      <c r="O328">
        <f t="shared" ref="O328:O341" si="280">ROUND(CP328,2)</f>
        <v>152496.82</v>
      </c>
      <c r="P328">
        <f t="shared" ref="P328:P341" si="281">ROUND((ROUND((AC328*AW328*I328),2)*BC328),2)</f>
        <v>0</v>
      </c>
      <c r="Q328">
        <f t="shared" ref="Q328:Q341" si="282">(ROUND((ROUND(((ET328)*AV328*I328),2)*BB328),2)+ROUND((ROUND(((AE328-(EU328))*AV328*I328),2)*BS328),2))</f>
        <v>145721.63</v>
      </c>
      <c r="R328">
        <f t="shared" ref="R328:R341" si="283">ROUND((ROUND((AE328*AV328*I328),2)*BS328),2)</f>
        <v>67501.41</v>
      </c>
      <c r="S328">
        <f t="shared" ref="S328:S341" si="284">ROUND((ROUND((AF328*AV328*I328),2)*BA328),2)</f>
        <v>6775.19</v>
      </c>
      <c r="T328">
        <f t="shared" ref="T328:T341" si="285">ROUND(CU328*I328,2)</f>
        <v>0</v>
      </c>
      <c r="U328">
        <f t="shared" ref="U328:U341" si="286">CV328*I328</f>
        <v>27.032129999999999</v>
      </c>
      <c r="V328">
        <f t="shared" ref="V328:V341" si="287">CW328*I328</f>
        <v>0</v>
      </c>
      <c r="W328">
        <f t="shared" ref="W328:W341" si="288">ROUND(CX328*I328,2)</f>
        <v>0</v>
      </c>
      <c r="X328">
        <f t="shared" ref="X328:X341" si="289">ROUND(CY328,2)</f>
        <v>6233.17</v>
      </c>
      <c r="Y328">
        <f t="shared" ref="Y328:Y341" si="290">ROUND(CZ328,2)</f>
        <v>3387.6</v>
      </c>
      <c r="AA328">
        <v>33989672</v>
      </c>
      <c r="AB328">
        <f t="shared" ref="AB328:AB341" si="291">ROUND((AC328+AD328+AF328),6)</f>
        <v>771.65</v>
      </c>
      <c r="AC328">
        <f t="shared" ref="AC328:AC341" si="292">ROUND((ES328),6)</f>
        <v>0</v>
      </c>
      <c r="AD328">
        <f t="shared" ref="AD328:AD341" si="293">ROUND((((ET328)-(EU328))+AE328),6)</f>
        <v>757.55</v>
      </c>
      <c r="AE328">
        <f t="shared" ref="AE328:AE341" si="294">ROUND((EU328),6)</f>
        <v>140.47999999999999</v>
      </c>
      <c r="AF328">
        <f t="shared" ref="AF328:AF341" si="295">ROUND((EV328),6)</f>
        <v>14.1</v>
      </c>
      <c r="AG328">
        <f t="shared" ref="AG328:AG341" si="296">ROUND((AP328),6)</f>
        <v>0</v>
      </c>
      <c r="AH328">
        <f t="shared" ref="AH328:AH341" si="297">(EW328)</f>
        <v>1.38</v>
      </c>
      <c r="AI328">
        <f t="shared" ref="AI328:AI341" si="298">(EX328)</f>
        <v>0</v>
      </c>
      <c r="AJ328">
        <f t="shared" ref="AJ328:AJ341" si="299">(AS328)</f>
        <v>0</v>
      </c>
      <c r="AK328">
        <v>771.65</v>
      </c>
      <c r="AL328">
        <v>0</v>
      </c>
      <c r="AM328">
        <v>757.55</v>
      </c>
      <c r="AN328">
        <v>140.47999999999999</v>
      </c>
      <c r="AO328">
        <v>14.1</v>
      </c>
      <c r="AP328">
        <v>0</v>
      </c>
      <c r="AQ328">
        <v>1.38</v>
      </c>
      <c r="AR328">
        <v>0</v>
      </c>
      <c r="AS328">
        <v>0</v>
      </c>
      <c r="AT328">
        <v>92</v>
      </c>
      <c r="AU328">
        <v>50</v>
      </c>
      <c r="AV328">
        <v>1</v>
      </c>
      <c r="AW328">
        <v>1</v>
      </c>
      <c r="AZ328">
        <v>1</v>
      </c>
      <c r="BA328">
        <v>24.53</v>
      </c>
      <c r="BB328">
        <v>9.82</v>
      </c>
      <c r="BC328">
        <v>1</v>
      </c>
      <c r="BD328" t="s">
        <v>3</v>
      </c>
      <c r="BE328" t="s">
        <v>3</v>
      </c>
      <c r="BF328" t="s">
        <v>3</v>
      </c>
      <c r="BG328" t="s">
        <v>3</v>
      </c>
      <c r="BH328">
        <v>0</v>
      </c>
      <c r="BI328">
        <v>1</v>
      </c>
      <c r="BJ328" t="s">
        <v>205</v>
      </c>
      <c r="BM328">
        <v>2</v>
      </c>
      <c r="BN328">
        <v>0</v>
      </c>
      <c r="BO328" t="s">
        <v>202</v>
      </c>
      <c r="BP328">
        <v>1</v>
      </c>
      <c r="BQ328">
        <v>30</v>
      </c>
      <c r="BR328">
        <v>0</v>
      </c>
      <c r="BS328">
        <v>24.53</v>
      </c>
      <c r="BT328">
        <v>1</v>
      </c>
      <c r="BU328">
        <v>1</v>
      </c>
      <c r="BV328">
        <v>1</v>
      </c>
      <c r="BW328">
        <v>1</v>
      </c>
      <c r="BX328">
        <v>1</v>
      </c>
      <c r="BY328" t="s">
        <v>3</v>
      </c>
      <c r="BZ328">
        <v>92</v>
      </c>
      <c r="CA328">
        <v>50</v>
      </c>
      <c r="CE328">
        <v>30</v>
      </c>
      <c r="CF328">
        <v>0</v>
      </c>
      <c r="CG328">
        <v>0</v>
      </c>
      <c r="CM328">
        <v>0</v>
      </c>
      <c r="CN328" t="s">
        <v>3</v>
      </c>
      <c r="CO328">
        <v>0</v>
      </c>
      <c r="CP328">
        <f t="shared" ref="CP328:CP341" si="300">(P328+Q328+S328)</f>
        <v>152496.82</v>
      </c>
      <c r="CQ328">
        <f t="shared" ref="CQ328:CQ341" si="301">ROUND((ROUND((AC328*AW328*1),2)*BC328),2)</f>
        <v>0</v>
      </c>
      <c r="CR328">
        <f t="shared" ref="CR328:CR341" si="302">(ROUND((ROUND(((ET328)*AV328*1),2)*BB328),2)+ROUND((ROUND(((AE328-(EU328))*AV328*1),2)*BS328),2))</f>
        <v>7439.14</v>
      </c>
      <c r="CS328">
        <f t="shared" ref="CS328:CS341" si="303">ROUND((ROUND((AE328*AV328*1),2)*BS328),2)</f>
        <v>3445.97</v>
      </c>
      <c r="CT328">
        <f t="shared" ref="CT328:CT341" si="304">ROUND((ROUND((AF328*AV328*1),2)*BA328),2)</f>
        <v>345.87</v>
      </c>
      <c r="CU328">
        <f t="shared" ref="CU328:CU341" si="305">AG328</f>
        <v>0</v>
      </c>
      <c r="CV328">
        <f t="shared" ref="CV328:CV341" si="306">(AH328*AV328)</f>
        <v>1.38</v>
      </c>
      <c r="CW328">
        <f t="shared" ref="CW328:CW341" si="307">AI328</f>
        <v>0</v>
      </c>
      <c r="CX328">
        <f t="shared" ref="CX328:CX341" si="308">AJ328</f>
        <v>0</v>
      </c>
      <c r="CY328">
        <f t="shared" ref="CY328:CY341" si="309">S328*(BZ328/100)</f>
        <v>6233.1747999999998</v>
      </c>
      <c r="CZ328">
        <f t="shared" ref="CZ328:CZ341" si="310">S328*(CA328/100)</f>
        <v>3387.5949999999998</v>
      </c>
      <c r="DC328" t="s">
        <v>3</v>
      </c>
      <c r="DD328" t="s">
        <v>3</v>
      </c>
      <c r="DE328" t="s">
        <v>3</v>
      </c>
      <c r="DF328" t="s">
        <v>3</v>
      </c>
      <c r="DG328" t="s">
        <v>3</v>
      </c>
      <c r="DH328" t="s">
        <v>3</v>
      </c>
      <c r="DI328" t="s">
        <v>3</v>
      </c>
      <c r="DJ328" t="s">
        <v>3</v>
      </c>
      <c r="DK328" t="s">
        <v>3</v>
      </c>
      <c r="DL328" t="s">
        <v>3</v>
      </c>
      <c r="DM328" t="s">
        <v>3</v>
      </c>
      <c r="DN328">
        <v>98</v>
      </c>
      <c r="DO328">
        <v>77</v>
      </c>
      <c r="DP328">
        <v>1</v>
      </c>
      <c r="DQ328">
        <v>1</v>
      </c>
      <c r="DU328">
        <v>1013</v>
      </c>
      <c r="DV328" t="s">
        <v>204</v>
      </c>
      <c r="DW328" t="s">
        <v>204</v>
      </c>
      <c r="DX328">
        <v>1</v>
      </c>
      <c r="EE328">
        <v>33797685</v>
      </c>
      <c r="EF328">
        <v>30</v>
      </c>
      <c r="EG328" t="s">
        <v>77</v>
      </c>
      <c r="EH328">
        <v>0</v>
      </c>
      <c r="EI328" t="s">
        <v>3</v>
      </c>
      <c r="EJ328">
        <v>1</v>
      </c>
      <c r="EK328">
        <v>2</v>
      </c>
      <c r="EL328" t="s">
        <v>206</v>
      </c>
      <c r="EM328" t="s">
        <v>207</v>
      </c>
      <c r="EO328" t="s">
        <v>3</v>
      </c>
      <c r="EQ328">
        <v>131072</v>
      </c>
      <c r="ER328">
        <v>771.65</v>
      </c>
      <c r="ES328">
        <v>0</v>
      </c>
      <c r="ET328">
        <v>757.55</v>
      </c>
      <c r="EU328">
        <v>140.47999999999999</v>
      </c>
      <c r="EV328">
        <v>14.1</v>
      </c>
      <c r="EW328">
        <v>1.38</v>
      </c>
      <c r="EX328">
        <v>0</v>
      </c>
      <c r="EY328">
        <v>0</v>
      </c>
      <c r="FQ328">
        <v>0</v>
      </c>
      <c r="FR328">
        <f t="shared" ref="FR328:FR341" si="311">ROUND(IF(AND(BH328=3,BI328=3),P328,0),2)</f>
        <v>0</v>
      </c>
      <c r="FS328">
        <v>0</v>
      </c>
      <c r="FX328">
        <v>98</v>
      </c>
      <c r="FY328">
        <v>77</v>
      </c>
      <c r="GA328" t="s">
        <v>3</v>
      </c>
      <c r="GD328">
        <v>0</v>
      </c>
      <c r="GF328">
        <v>445216503</v>
      </c>
      <c r="GG328">
        <v>2</v>
      </c>
      <c r="GH328">
        <v>1</v>
      </c>
      <c r="GI328">
        <v>2</v>
      </c>
      <c r="GJ328">
        <v>0</v>
      </c>
      <c r="GK328">
        <f>ROUND(R328*(R12)/100,2)</f>
        <v>105977.21</v>
      </c>
      <c r="GL328">
        <f t="shared" ref="GL328:GL341" si="312">ROUND(IF(AND(BH328=3,BI328=3,FS328&lt;&gt;0),P328,0),2)</f>
        <v>0</v>
      </c>
      <c r="GM328">
        <f t="shared" ref="GM328:GM341" si="313">ROUND(O328+X328+Y328+GK328,2)+GX328</f>
        <v>268094.8</v>
      </c>
      <c r="GN328">
        <f t="shared" ref="GN328:GN341" si="314">IF(OR(BI328=0,BI328=1),ROUND(O328+X328+Y328+GK328,2),0)</f>
        <v>268094.8</v>
      </c>
      <c r="GO328">
        <f t="shared" ref="GO328:GO341" si="315">IF(BI328=2,ROUND(O328+X328+Y328+GK328,2),0)</f>
        <v>0</v>
      </c>
      <c r="GP328">
        <f t="shared" ref="GP328:GP341" si="316">IF(BI328=4,ROUND(O328+X328+Y328+GK328,2)+GX328,0)</f>
        <v>0</v>
      </c>
      <c r="GR328">
        <v>0</v>
      </c>
      <c r="GS328">
        <v>3</v>
      </c>
      <c r="GT328">
        <v>0</v>
      </c>
      <c r="GU328" t="s">
        <v>3</v>
      </c>
      <c r="GV328">
        <f t="shared" ref="GV328:GV341" si="317">ROUND((GT328),6)</f>
        <v>0</v>
      </c>
      <c r="GW328">
        <v>1</v>
      </c>
      <c r="GX328">
        <f t="shared" ref="GX328:GX341" si="318">ROUND(HC328*I328,2)</f>
        <v>0</v>
      </c>
      <c r="HA328">
        <v>0</v>
      </c>
      <c r="HB328">
        <v>0</v>
      </c>
      <c r="HC328">
        <f t="shared" ref="HC328:HC341" si="319">GV328*GW328</f>
        <v>0</v>
      </c>
      <c r="IK328">
        <v>0</v>
      </c>
    </row>
    <row r="329" spans="1:245" x14ac:dyDescent="0.2">
      <c r="A329">
        <v>17</v>
      </c>
      <c r="B329">
        <v>1</v>
      </c>
      <c r="C329">
        <f>ROW(SmtRes!A146)</f>
        <v>146</v>
      </c>
      <c r="D329">
        <f>ROW(EtalonRes!A147)</f>
        <v>147</v>
      </c>
      <c r="E329" t="s">
        <v>261</v>
      </c>
      <c r="F329" t="s">
        <v>262</v>
      </c>
      <c r="G329" t="s">
        <v>263</v>
      </c>
      <c r="H329" t="s">
        <v>264</v>
      </c>
      <c r="I329">
        <f>ROUND(26118*0.1*0.25,5)</f>
        <v>652.95000000000005</v>
      </c>
      <c r="J329">
        <v>0</v>
      </c>
      <c r="O329">
        <f t="shared" si="280"/>
        <v>399620.68</v>
      </c>
      <c r="P329">
        <f t="shared" si="281"/>
        <v>0</v>
      </c>
      <c r="Q329">
        <f t="shared" si="282"/>
        <v>0</v>
      </c>
      <c r="R329">
        <f t="shared" si="283"/>
        <v>0</v>
      </c>
      <c r="S329">
        <f t="shared" si="284"/>
        <v>399620.68</v>
      </c>
      <c r="T329">
        <f t="shared" si="285"/>
        <v>0</v>
      </c>
      <c r="U329">
        <f t="shared" si="286"/>
        <v>1508.3145000000002</v>
      </c>
      <c r="V329">
        <f t="shared" si="287"/>
        <v>0</v>
      </c>
      <c r="W329">
        <f t="shared" si="288"/>
        <v>0</v>
      </c>
      <c r="X329">
        <f t="shared" si="289"/>
        <v>407613.09</v>
      </c>
      <c r="Y329">
        <f t="shared" si="290"/>
        <v>187821.72</v>
      </c>
      <c r="AA329">
        <v>33989672</v>
      </c>
      <c r="AB329">
        <f t="shared" si="291"/>
        <v>24.95</v>
      </c>
      <c r="AC329">
        <f t="shared" si="292"/>
        <v>0</v>
      </c>
      <c r="AD329">
        <f t="shared" si="293"/>
        <v>0</v>
      </c>
      <c r="AE329">
        <f t="shared" si="294"/>
        <v>0</v>
      </c>
      <c r="AF329">
        <f t="shared" si="295"/>
        <v>24.95</v>
      </c>
      <c r="AG329">
        <f t="shared" si="296"/>
        <v>0</v>
      </c>
      <c r="AH329">
        <f t="shared" si="297"/>
        <v>2.31</v>
      </c>
      <c r="AI329">
        <f t="shared" si="298"/>
        <v>0</v>
      </c>
      <c r="AJ329">
        <f t="shared" si="299"/>
        <v>0</v>
      </c>
      <c r="AK329">
        <v>24.95</v>
      </c>
      <c r="AL329">
        <v>0</v>
      </c>
      <c r="AM329">
        <v>0</v>
      </c>
      <c r="AN329">
        <v>0</v>
      </c>
      <c r="AO329">
        <v>24.95</v>
      </c>
      <c r="AP329">
        <v>0</v>
      </c>
      <c r="AQ329">
        <v>2.31</v>
      </c>
      <c r="AR329">
        <v>0</v>
      </c>
      <c r="AS329">
        <v>0</v>
      </c>
      <c r="AT329">
        <v>102</v>
      </c>
      <c r="AU329">
        <v>47</v>
      </c>
      <c r="AV329">
        <v>1</v>
      </c>
      <c r="AW329">
        <v>1</v>
      </c>
      <c r="AZ329">
        <v>1</v>
      </c>
      <c r="BA329">
        <v>24.53</v>
      </c>
      <c r="BB329">
        <v>1</v>
      </c>
      <c r="BC329">
        <v>1</v>
      </c>
      <c r="BD329" t="s">
        <v>3</v>
      </c>
      <c r="BE329" t="s">
        <v>3</v>
      </c>
      <c r="BF329" t="s">
        <v>3</v>
      </c>
      <c r="BG329" t="s">
        <v>3</v>
      </c>
      <c r="BH329">
        <v>0</v>
      </c>
      <c r="BI329">
        <v>1</v>
      </c>
      <c r="BJ329" t="s">
        <v>265</v>
      </c>
      <c r="BM329">
        <v>295</v>
      </c>
      <c r="BN329">
        <v>0</v>
      </c>
      <c r="BO329" t="s">
        <v>262</v>
      </c>
      <c r="BP329">
        <v>1</v>
      </c>
      <c r="BQ329">
        <v>30</v>
      </c>
      <c r="BR329">
        <v>0</v>
      </c>
      <c r="BS329">
        <v>24.53</v>
      </c>
      <c r="BT329">
        <v>1</v>
      </c>
      <c r="BU329">
        <v>1</v>
      </c>
      <c r="BV329">
        <v>1</v>
      </c>
      <c r="BW329">
        <v>1</v>
      </c>
      <c r="BX329">
        <v>1</v>
      </c>
      <c r="BY329" t="s">
        <v>3</v>
      </c>
      <c r="BZ329">
        <v>102</v>
      </c>
      <c r="CA329">
        <v>47</v>
      </c>
      <c r="CE329">
        <v>30</v>
      </c>
      <c r="CF329">
        <v>0</v>
      </c>
      <c r="CG329">
        <v>0</v>
      </c>
      <c r="CM329">
        <v>0</v>
      </c>
      <c r="CN329" t="s">
        <v>3</v>
      </c>
      <c r="CO329">
        <v>0</v>
      </c>
      <c r="CP329">
        <f t="shared" si="300"/>
        <v>399620.68</v>
      </c>
      <c r="CQ329">
        <f t="shared" si="301"/>
        <v>0</v>
      </c>
      <c r="CR329">
        <f t="shared" si="302"/>
        <v>0</v>
      </c>
      <c r="CS329">
        <f t="shared" si="303"/>
        <v>0</v>
      </c>
      <c r="CT329">
        <f t="shared" si="304"/>
        <v>612.02</v>
      </c>
      <c r="CU329">
        <f t="shared" si="305"/>
        <v>0</v>
      </c>
      <c r="CV329">
        <f t="shared" si="306"/>
        <v>2.31</v>
      </c>
      <c r="CW329">
        <f t="shared" si="307"/>
        <v>0</v>
      </c>
      <c r="CX329">
        <f t="shared" si="308"/>
        <v>0</v>
      </c>
      <c r="CY329">
        <f t="shared" si="309"/>
        <v>407613.09360000002</v>
      </c>
      <c r="CZ329">
        <f t="shared" si="310"/>
        <v>187821.71959999998</v>
      </c>
      <c r="DC329" t="s">
        <v>3</v>
      </c>
      <c r="DD329" t="s">
        <v>3</v>
      </c>
      <c r="DE329" t="s">
        <v>3</v>
      </c>
      <c r="DF329" t="s">
        <v>3</v>
      </c>
      <c r="DG329" t="s">
        <v>3</v>
      </c>
      <c r="DH329" t="s">
        <v>3</v>
      </c>
      <c r="DI329" t="s">
        <v>3</v>
      </c>
      <c r="DJ329" t="s">
        <v>3</v>
      </c>
      <c r="DK329" t="s">
        <v>3</v>
      </c>
      <c r="DL329" t="s">
        <v>3</v>
      </c>
      <c r="DM329" t="s">
        <v>3</v>
      </c>
      <c r="DN329">
        <v>187</v>
      </c>
      <c r="DO329">
        <v>101</v>
      </c>
      <c r="DP329">
        <v>1</v>
      </c>
      <c r="DQ329">
        <v>1</v>
      </c>
      <c r="DU329">
        <v>1013</v>
      </c>
      <c r="DV329" t="s">
        <v>264</v>
      </c>
      <c r="DW329" t="s">
        <v>264</v>
      </c>
      <c r="DX329">
        <v>1</v>
      </c>
      <c r="EE329">
        <v>33797934</v>
      </c>
      <c r="EF329">
        <v>30</v>
      </c>
      <c r="EG329" t="s">
        <v>77</v>
      </c>
      <c r="EH329">
        <v>0</v>
      </c>
      <c r="EI329" t="s">
        <v>3</v>
      </c>
      <c r="EJ329">
        <v>1</v>
      </c>
      <c r="EK329">
        <v>295</v>
      </c>
      <c r="EL329" t="s">
        <v>266</v>
      </c>
      <c r="EM329" t="s">
        <v>267</v>
      </c>
      <c r="EO329" t="s">
        <v>3</v>
      </c>
      <c r="EQ329">
        <v>131072</v>
      </c>
      <c r="ER329">
        <v>24.95</v>
      </c>
      <c r="ES329">
        <v>0</v>
      </c>
      <c r="ET329">
        <v>0</v>
      </c>
      <c r="EU329">
        <v>0</v>
      </c>
      <c r="EV329">
        <v>24.95</v>
      </c>
      <c r="EW329">
        <v>2.31</v>
      </c>
      <c r="EX329">
        <v>0</v>
      </c>
      <c r="EY329">
        <v>0</v>
      </c>
      <c r="FQ329">
        <v>0</v>
      </c>
      <c r="FR329">
        <f t="shared" si="311"/>
        <v>0</v>
      </c>
      <c r="FS329">
        <v>0</v>
      </c>
      <c r="FX329">
        <v>187</v>
      </c>
      <c r="FY329">
        <v>101</v>
      </c>
      <c r="GA329" t="s">
        <v>3</v>
      </c>
      <c r="GD329">
        <v>0</v>
      </c>
      <c r="GF329">
        <v>-151503251</v>
      </c>
      <c r="GG329">
        <v>2</v>
      </c>
      <c r="GH329">
        <v>1</v>
      </c>
      <c r="GI329">
        <v>2</v>
      </c>
      <c r="GJ329">
        <v>0</v>
      </c>
      <c r="GK329">
        <f>ROUND(R329*(R12)/100,2)</f>
        <v>0</v>
      </c>
      <c r="GL329">
        <f t="shared" si="312"/>
        <v>0</v>
      </c>
      <c r="GM329">
        <f t="shared" si="313"/>
        <v>995055.49</v>
      </c>
      <c r="GN329">
        <f t="shared" si="314"/>
        <v>995055.49</v>
      </c>
      <c r="GO329">
        <f t="shared" si="315"/>
        <v>0</v>
      </c>
      <c r="GP329">
        <f t="shared" si="316"/>
        <v>0</v>
      </c>
      <c r="GR329">
        <v>0</v>
      </c>
      <c r="GS329">
        <v>3</v>
      </c>
      <c r="GT329">
        <v>0</v>
      </c>
      <c r="GU329" t="s">
        <v>3</v>
      </c>
      <c r="GV329">
        <f t="shared" si="317"/>
        <v>0</v>
      </c>
      <c r="GW329">
        <v>1</v>
      </c>
      <c r="GX329">
        <f t="shared" si="318"/>
        <v>0</v>
      </c>
      <c r="HA329">
        <v>0</v>
      </c>
      <c r="HB329">
        <v>0</v>
      </c>
      <c r="HC329">
        <f t="shared" si="319"/>
        <v>0</v>
      </c>
      <c r="IK329">
        <v>0</v>
      </c>
    </row>
    <row r="330" spans="1:245" x14ac:dyDescent="0.2">
      <c r="A330">
        <v>17</v>
      </c>
      <c r="B330">
        <v>1</v>
      </c>
      <c r="C330">
        <f>ROW(SmtRes!A149)</f>
        <v>149</v>
      </c>
      <c r="D330">
        <f>ROW(EtalonRes!A150)</f>
        <v>150</v>
      </c>
      <c r="E330" t="s">
        <v>268</v>
      </c>
      <c r="F330" t="s">
        <v>202</v>
      </c>
      <c r="G330" t="s">
        <v>203</v>
      </c>
      <c r="H330" t="s">
        <v>204</v>
      </c>
      <c r="I330">
        <f>ROUND(26118*0.1*0.25*0.9/100,9)</f>
        <v>5.8765499999999999</v>
      </c>
      <c r="J330">
        <v>0</v>
      </c>
      <c r="O330">
        <f t="shared" si="280"/>
        <v>45749.04</v>
      </c>
      <c r="P330">
        <f t="shared" si="281"/>
        <v>0</v>
      </c>
      <c r="Q330">
        <f t="shared" si="282"/>
        <v>43716.480000000003</v>
      </c>
      <c r="R330">
        <f t="shared" si="283"/>
        <v>20250.5</v>
      </c>
      <c r="S330">
        <f t="shared" si="284"/>
        <v>2032.56</v>
      </c>
      <c r="T330">
        <f t="shared" si="285"/>
        <v>0</v>
      </c>
      <c r="U330">
        <f t="shared" si="286"/>
        <v>8.1096389999999996</v>
      </c>
      <c r="V330">
        <f t="shared" si="287"/>
        <v>0</v>
      </c>
      <c r="W330">
        <f t="shared" si="288"/>
        <v>0</v>
      </c>
      <c r="X330">
        <f t="shared" si="289"/>
        <v>1869.96</v>
      </c>
      <c r="Y330">
        <f t="shared" si="290"/>
        <v>1016.28</v>
      </c>
      <c r="AA330">
        <v>33989672</v>
      </c>
      <c r="AB330">
        <f t="shared" si="291"/>
        <v>771.65</v>
      </c>
      <c r="AC330">
        <f t="shared" si="292"/>
        <v>0</v>
      </c>
      <c r="AD330">
        <f t="shared" si="293"/>
        <v>757.55</v>
      </c>
      <c r="AE330">
        <f t="shared" si="294"/>
        <v>140.47999999999999</v>
      </c>
      <c r="AF330">
        <f t="shared" si="295"/>
        <v>14.1</v>
      </c>
      <c r="AG330">
        <f t="shared" si="296"/>
        <v>0</v>
      </c>
      <c r="AH330">
        <f t="shared" si="297"/>
        <v>1.38</v>
      </c>
      <c r="AI330">
        <f t="shared" si="298"/>
        <v>0</v>
      </c>
      <c r="AJ330">
        <f t="shared" si="299"/>
        <v>0</v>
      </c>
      <c r="AK330">
        <v>771.65</v>
      </c>
      <c r="AL330">
        <v>0</v>
      </c>
      <c r="AM330">
        <v>757.55</v>
      </c>
      <c r="AN330">
        <v>140.47999999999999</v>
      </c>
      <c r="AO330">
        <v>14.1</v>
      </c>
      <c r="AP330">
        <v>0</v>
      </c>
      <c r="AQ330">
        <v>1.38</v>
      </c>
      <c r="AR330">
        <v>0</v>
      </c>
      <c r="AS330">
        <v>0</v>
      </c>
      <c r="AT330">
        <v>92</v>
      </c>
      <c r="AU330">
        <v>50</v>
      </c>
      <c r="AV330">
        <v>1</v>
      </c>
      <c r="AW330">
        <v>1</v>
      </c>
      <c r="AZ330">
        <v>1</v>
      </c>
      <c r="BA330">
        <v>24.53</v>
      </c>
      <c r="BB330">
        <v>9.82</v>
      </c>
      <c r="BC330">
        <v>1</v>
      </c>
      <c r="BD330" t="s">
        <v>3</v>
      </c>
      <c r="BE330" t="s">
        <v>3</v>
      </c>
      <c r="BF330" t="s">
        <v>3</v>
      </c>
      <c r="BG330" t="s">
        <v>3</v>
      </c>
      <c r="BH330">
        <v>0</v>
      </c>
      <c r="BI330">
        <v>1</v>
      </c>
      <c r="BJ330" t="s">
        <v>205</v>
      </c>
      <c r="BM330">
        <v>2</v>
      </c>
      <c r="BN330">
        <v>0</v>
      </c>
      <c r="BO330" t="s">
        <v>202</v>
      </c>
      <c r="BP330">
        <v>1</v>
      </c>
      <c r="BQ330">
        <v>30</v>
      </c>
      <c r="BR330">
        <v>0</v>
      </c>
      <c r="BS330">
        <v>24.53</v>
      </c>
      <c r="BT330">
        <v>1</v>
      </c>
      <c r="BU330">
        <v>1</v>
      </c>
      <c r="BV330">
        <v>1</v>
      </c>
      <c r="BW330">
        <v>1</v>
      </c>
      <c r="BX330">
        <v>1</v>
      </c>
      <c r="BY330" t="s">
        <v>3</v>
      </c>
      <c r="BZ330">
        <v>92</v>
      </c>
      <c r="CA330">
        <v>50</v>
      </c>
      <c r="CE330">
        <v>30</v>
      </c>
      <c r="CF330">
        <v>0</v>
      </c>
      <c r="CG330">
        <v>0</v>
      </c>
      <c r="CM330">
        <v>0</v>
      </c>
      <c r="CN330" t="s">
        <v>3</v>
      </c>
      <c r="CO330">
        <v>0</v>
      </c>
      <c r="CP330">
        <f t="shared" si="300"/>
        <v>45749.04</v>
      </c>
      <c r="CQ330">
        <f t="shared" si="301"/>
        <v>0</v>
      </c>
      <c r="CR330">
        <f t="shared" si="302"/>
        <v>7439.14</v>
      </c>
      <c r="CS330">
        <f t="shared" si="303"/>
        <v>3445.97</v>
      </c>
      <c r="CT330">
        <f t="shared" si="304"/>
        <v>345.87</v>
      </c>
      <c r="CU330">
        <f t="shared" si="305"/>
        <v>0</v>
      </c>
      <c r="CV330">
        <f t="shared" si="306"/>
        <v>1.38</v>
      </c>
      <c r="CW330">
        <f t="shared" si="307"/>
        <v>0</v>
      </c>
      <c r="CX330">
        <f t="shared" si="308"/>
        <v>0</v>
      </c>
      <c r="CY330">
        <f t="shared" si="309"/>
        <v>1869.9552000000001</v>
      </c>
      <c r="CZ330">
        <f t="shared" si="310"/>
        <v>1016.28</v>
      </c>
      <c r="DC330" t="s">
        <v>3</v>
      </c>
      <c r="DD330" t="s">
        <v>3</v>
      </c>
      <c r="DE330" t="s">
        <v>3</v>
      </c>
      <c r="DF330" t="s">
        <v>3</v>
      </c>
      <c r="DG330" t="s">
        <v>3</v>
      </c>
      <c r="DH330" t="s">
        <v>3</v>
      </c>
      <c r="DI330" t="s">
        <v>3</v>
      </c>
      <c r="DJ330" t="s">
        <v>3</v>
      </c>
      <c r="DK330" t="s">
        <v>3</v>
      </c>
      <c r="DL330" t="s">
        <v>3</v>
      </c>
      <c r="DM330" t="s">
        <v>3</v>
      </c>
      <c r="DN330">
        <v>98</v>
      </c>
      <c r="DO330">
        <v>77</v>
      </c>
      <c r="DP330">
        <v>1</v>
      </c>
      <c r="DQ330">
        <v>1</v>
      </c>
      <c r="DU330">
        <v>1013</v>
      </c>
      <c r="DV330" t="s">
        <v>204</v>
      </c>
      <c r="DW330" t="s">
        <v>204</v>
      </c>
      <c r="DX330">
        <v>1</v>
      </c>
      <c r="EE330">
        <v>33797685</v>
      </c>
      <c r="EF330">
        <v>30</v>
      </c>
      <c r="EG330" t="s">
        <v>77</v>
      </c>
      <c r="EH330">
        <v>0</v>
      </c>
      <c r="EI330" t="s">
        <v>3</v>
      </c>
      <c r="EJ330">
        <v>1</v>
      </c>
      <c r="EK330">
        <v>2</v>
      </c>
      <c r="EL330" t="s">
        <v>206</v>
      </c>
      <c r="EM330" t="s">
        <v>207</v>
      </c>
      <c r="EO330" t="s">
        <v>3</v>
      </c>
      <c r="EQ330">
        <v>131072</v>
      </c>
      <c r="ER330">
        <v>771.65</v>
      </c>
      <c r="ES330">
        <v>0</v>
      </c>
      <c r="ET330">
        <v>757.55</v>
      </c>
      <c r="EU330">
        <v>140.47999999999999</v>
      </c>
      <c r="EV330">
        <v>14.1</v>
      </c>
      <c r="EW330">
        <v>1.38</v>
      </c>
      <c r="EX330">
        <v>0</v>
      </c>
      <c r="EY330">
        <v>0</v>
      </c>
      <c r="FQ330">
        <v>0</v>
      </c>
      <c r="FR330">
        <f t="shared" si="311"/>
        <v>0</v>
      </c>
      <c r="FS330">
        <v>0</v>
      </c>
      <c r="FX330">
        <v>98</v>
      </c>
      <c r="FY330">
        <v>77</v>
      </c>
      <c r="GA330" t="s">
        <v>3</v>
      </c>
      <c r="GD330">
        <v>0</v>
      </c>
      <c r="GF330">
        <v>445216503</v>
      </c>
      <c r="GG330">
        <v>2</v>
      </c>
      <c r="GH330">
        <v>1</v>
      </c>
      <c r="GI330">
        <v>2</v>
      </c>
      <c r="GJ330">
        <v>0</v>
      </c>
      <c r="GK330">
        <f>ROUND(R330*(R12)/100,2)</f>
        <v>31793.29</v>
      </c>
      <c r="GL330">
        <f t="shared" si="312"/>
        <v>0</v>
      </c>
      <c r="GM330">
        <f t="shared" si="313"/>
        <v>80428.570000000007</v>
      </c>
      <c r="GN330">
        <f t="shared" si="314"/>
        <v>80428.570000000007</v>
      </c>
      <c r="GO330">
        <f t="shared" si="315"/>
        <v>0</v>
      </c>
      <c r="GP330">
        <f t="shared" si="316"/>
        <v>0</v>
      </c>
      <c r="GR330">
        <v>0</v>
      </c>
      <c r="GS330">
        <v>3</v>
      </c>
      <c r="GT330">
        <v>0</v>
      </c>
      <c r="GU330" t="s">
        <v>3</v>
      </c>
      <c r="GV330">
        <f t="shared" si="317"/>
        <v>0</v>
      </c>
      <c r="GW330">
        <v>1</v>
      </c>
      <c r="GX330">
        <f t="shared" si="318"/>
        <v>0</v>
      </c>
      <c r="HA330">
        <v>0</v>
      </c>
      <c r="HB330">
        <v>0</v>
      </c>
      <c r="HC330">
        <f t="shared" si="319"/>
        <v>0</v>
      </c>
      <c r="IK330">
        <v>0</v>
      </c>
    </row>
    <row r="331" spans="1:245" x14ac:dyDescent="0.2">
      <c r="A331">
        <v>17</v>
      </c>
      <c r="B331">
        <v>1</v>
      </c>
      <c r="C331">
        <f>ROW(SmtRes!A150)</f>
        <v>150</v>
      </c>
      <c r="D331">
        <f>ROW(EtalonRes!A151)</f>
        <v>151</v>
      </c>
      <c r="E331" t="s">
        <v>269</v>
      </c>
      <c r="F331" t="s">
        <v>215</v>
      </c>
      <c r="G331" t="s">
        <v>216</v>
      </c>
      <c r="H331" t="s">
        <v>204</v>
      </c>
      <c r="I331">
        <f>ROUND(I329*0.1/100,9)</f>
        <v>0.65295000000000003</v>
      </c>
      <c r="J331">
        <v>0</v>
      </c>
      <c r="O331">
        <f t="shared" si="280"/>
        <v>12735.73</v>
      </c>
      <c r="P331">
        <f t="shared" si="281"/>
        <v>0</v>
      </c>
      <c r="Q331">
        <f t="shared" si="282"/>
        <v>0</v>
      </c>
      <c r="R331">
        <f t="shared" si="283"/>
        <v>0</v>
      </c>
      <c r="S331">
        <f t="shared" si="284"/>
        <v>12735.73</v>
      </c>
      <c r="T331">
        <f t="shared" si="285"/>
        <v>0</v>
      </c>
      <c r="U331">
        <f t="shared" si="286"/>
        <v>54.194850000000002</v>
      </c>
      <c r="V331">
        <f t="shared" si="287"/>
        <v>0</v>
      </c>
      <c r="W331">
        <f t="shared" si="288"/>
        <v>0</v>
      </c>
      <c r="X331">
        <f t="shared" si="289"/>
        <v>9297.08</v>
      </c>
      <c r="Y331">
        <f t="shared" si="290"/>
        <v>5221.6499999999996</v>
      </c>
      <c r="AA331">
        <v>33989672</v>
      </c>
      <c r="AB331">
        <f t="shared" si="291"/>
        <v>795.14</v>
      </c>
      <c r="AC331">
        <f t="shared" si="292"/>
        <v>0</v>
      </c>
      <c r="AD331">
        <f t="shared" si="293"/>
        <v>0</v>
      </c>
      <c r="AE331">
        <f t="shared" si="294"/>
        <v>0</v>
      </c>
      <c r="AF331">
        <f t="shared" si="295"/>
        <v>795.14</v>
      </c>
      <c r="AG331">
        <f t="shared" si="296"/>
        <v>0</v>
      </c>
      <c r="AH331">
        <f t="shared" si="297"/>
        <v>83</v>
      </c>
      <c r="AI331">
        <f t="shared" si="298"/>
        <v>0</v>
      </c>
      <c r="AJ331">
        <f t="shared" si="299"/>
        <v>0</v>
      </c>
      <c r="AK331">
        <v>795.14</v>
      </c>
      <c r="AL331">
        <v>0</v>
      </c>
      <c r="AM331">
        <v>0</v>
      </c>
      <c r="AN331">
        <v>0</v>
      </c>
      <c r="AO331">
        <v>795.14</v>
      </c>
      <c r="AP331">
        <v>0</v>
      </c>
      <c r="AQ331">
        <v>83</v>
      </c>
      <c r="AR331">
        <v>0</v>
      </c>
      <c r="AS331">
        <v>0</v>
      </c>
      <c r="AT331">
        <v>73</v>
      </c>
      <c r="AU331">
        <v>41</v>
      </c>
      <c r="AV331">
        <v>1</v>
      </c>
      <c r="AW331">
        <v>1</v>
      </c>
      <c r="AZ331">
        <v>1</v>
      </c>
      <c r="BA331">
        <v>24.53</v>
      </c>
      <c r="BB331">
        <v>1</v>
      </c>
      <c r="BC331">
        <v>1</v>
      </c>
      <c r="BD331" t="s">
        <v>3</v>
      </c>
      <c r="BE331" t="s">
        <v>3</v>
      </c>
      <c r="BF331" t="s">
        <v>3</v>
      </c>
      <c r="BG331" t="s">
        <v>3</v>
      </c>
      <c r="BH331">
        <v>0</v>
      </c>
      <c r="BI331">
        <v>1</v>
      </c>
      <c r="BJ331" t="s">
        <v>217</v>
      </c>
      <c r="BM331">
        <v>393</v>
      </c>
      <c r="BN331">
        <v>0</v>
      </c>
      <c r="BO331" t="s">
        <v>215</v>
      </c>
      <c r="BP331">
        <v>1</v>
      </c>
      <c r="BQ331">
        <v>60</v>
      </c>
      <c r="BR331">
        <v>0</v>
      </c>
      <c r="BS331">
        <v>24.53</v>
      </c>
      <c r="BT331">
        <v>1</v>
      </c>
      <c r="BU331">
        <v>1</v>
      </c>
      <c r="BV331">
        <v>1</v>
      </c>
      <c r="BW331">
        <v>1</v>
      </c>
      <c r="BX331">
        <v>1</v>
      </c>
      <c r="BY331" t="s">
        <v>3</v>
      </c>
      <c r="BZ331">
        <v>73</v>
      </c>
      <c r="CA331">
        <v>41</v>
      </c>
      <c r="CE331">
        <v>30</v>
      </c>
      <c r="CF331">
        <v>0</v>
      </c>
      <c r="CG331">
        <v>0</v>
      </c>
      <c r="CM331">
        <v>0</v>
      </c>
      <c r="CN331" t="s">
        <v>3</v>
      </c>
      <c r="CO331">
        <v>0</v>
      </c>
      <c r="CP331">
        <f t="shared" si="300"/>
        <v>12735.73</v>
      </c>
      <c r="CQ331">
        <f t="shared" si="301"/>
        <v>0</v>
      </c>
      <c r="CR331">
        <f t="shared" si="302"/>
        <v>0</v>
      </c>
      <c r="CS331">
        <f t="shared" si="303"/>
        <v>0</v>
      </c>
      <c r="CT331">
        <f t="shared" si="304"/>
        <v>19504.78</v>
      </c>
      <c r="CU331">
        <f t="shared" si="305"/>
        <v>0</v>
      </c>
      <c r="CV331">
        <f t="shared" si="306"/>
        <v>83</v>
      </c>
      <c r="CW331">
        <f t="shared" si="307"/>
        <v>0</v>
      </c>
      <c r="CX331">
        <f t="shared" si="308"/>
        <v>0</v>
      </c>
      <c r="CY331">
        <f t="shared" si="309"/>
        <v>9297.0828999999994</v>
      </c>
      <c r="CZ331">
        <f t="shared" si="310"/>
        <v>5221.6492999999991</v>
      </c>
      <c r="DC331" t="s">
        <v>3</v>
      </c>
      <c r="DD331" t="s">
        <v>3</v>
      </c>
      <c r="DE331" t="s">
        <v>3</v>
      </c>
      <c r="DF331" t="s">
        <v>3</v>
      </c>
      <c r="DG331" t="s">
        <v>3</v>
      </c>
      <c r="DH331" t="s">
        <v>3</v>
      </c>
      <c r="DI331" t="s">
        <v>3</v>
      </c>
      <c r="DJ331" t="s">
        <v>3</v>
      </c>
      <c r="DK331" t="s">
        <v>3</v>
      </c>
      <c r="DL331" t="s">
        <v>3</v>
      </c>
      <c r="DM331" t="s">
        <v>3</v>
      </c>
      <c r="DN331">
        <v>91</v>
      </c>
      <c r="DO331">
        <v>67</v>
      </c>
      <c r="DP331">
        <v>1</v>
      </c>
      <c r="DQ331">
        <v>1</v>
      </c>
      <c r="DU331">
        <v>1013</v>
      </c>
      <c r="DV331" t="s">
        <v>204</v>
      </c>
      <c r="DW331" t="s">
        <v>204</v>
      </c>
      <c r="DX331">
        <v>1</v>
      </c>
      <c r="EE331">
        <v>33798032</v>
      </c>
      <c r="EF331">
        <v>60</v>
      </c>
      <c r="EG331" t="s">
        <v>20</v>
      </c>
      <c r="EH331">
        <v>0</v>
      </c>
      <c r="EI331" t="s">
        <v>3</v>
      </c>
      <c r="EJ331">
        <v>1</v>
      </c>
      <c r="EK331">
        <v>393</v>
      </c>
      <c r="EL331" t="s">
        <v>218</v>
      </c>
      <c r="EM331" t="s">
        <v>219</v>
      </c>
      <c r="EO331" t="s">
        <v>3</v>
      </c>
      <c r="EQ331">
        <v>131072</v>
      </c>
      <c r="ER331">
        <v>795.14</v>
      </c>
      <c r="ES331">
        <v>0</v>
      </c>
      <c r="ET331">
        <v>0</v>
      </c>
      <c r="EU331">
        <v>0</v>
      </c>
      <c r="EV331">
        <v>795.14</v>
      </c>
      <c r="EW331">
        <v>83</v>
      </c>
      <c r="EX331">
        <v>0</v>
      </c>
      <c r="EY331">
        <v>0</v>
      </c>
      <c r="FQ331">
        <v>0</v>
      </c>
      <c r="FR331">
        <f t="shared" si="311"/>
        <v>0</v>
      </c>
      <c r="FS331">
        <v>0</v>
      </c>
      <c r="FX331">
        <v>91</v>
      </c>
      <c r="FY331">
        <v>67</v>
      </c>
      <c r="GA331" t="s">
        <v>3</v>
      </c>
      <c r="GD331">
        <v>0</v>
      </c>
      <c r="GF331">
        <v>2144161260</v>
      </c>
      <c r="GG331">
        <v>2</v>
      </c>
      <c r="GH331">
        <v>1</v>
      </c>
      <c r="GI331">
        <v>2</v>
      </c>
      <c r="GJ331">
        <v>0</v>
      </c>
      <c r="GK331">
        <f>ROUND(R331*(R12)/100,2)</f>
        <v>0</v>
      </c>
      <c r="GL331">
        <f t="shared" si="312"/>
        <v>0</v>
      </c>
      <c r="GM331">
        <f t="shared" si="313"/>
        <v>27254.46</v>
      </c>
      <c r="GN331">
        <f t="shared" si="314"/>
        <v>27254.46</v>
      </c>
      <c r="GO331">
        <f t="shared" si="315"/>
        <v>0</v>
      </c>
      <c r="GP331">
        <f t="shared" si="316"/>
        <v>0</v>
      </c>
      <c r="GR331">
        <v>0</v>
      </c>
      <c r="GS331">
        <v>3</v>
      </c>
      <c r="GT331">
        <v>0</v>
      </c>
      <c r="GU331" t="s">
        <v>3</v>
      </c>
      <c r="GV331">
        <f t="shared" si="317"/>
        <v>0</v>
      </c>
      <c r="GW331">
        <v>1</v>
      </c>
      <c r="GX331">
        <f t="shared" si="318"/>
        <v>0</v>
      </c>
      <c r="HA331">
        <v>0</v>
      </c>
      <c r="HB331">
        <v>0</v>
      </c>
      <c r="HC331">
        <f t="shared" si="319"/>
        <v>0</v>
      </c>
      <c r="IK331">
        <v>0</v>
      </c>
    </row>
    <row r="332" spans="1:245" x14ac:dyDescent="0.2">
      <c r="A332">
        <v>17</v>
      </c>
      <c r="B332">
        <v>1</v>
      </c>
      <c r="C332">
        <f>ROW(SmtRes!A151)</f>
        <v>151</v>
      </c>
      <c r="D332">
        <f>ROW(EtalonRes!A152)</f>
        <v>152</v>
      </c>
      <c r="E332" t="s">
        <v>270</v>
      </c>
      <c r="F332" t="s">
        <v>271</v>
      </c>
      <c r="G332" t="s">
        <v>272</v>
      </c>
      <c r="H332" t="s">
        <v>51</v>
      </c>
      <c r="I332">
        <v>0</v>
      </c>
      <c r="J332">
        <v>0</v>
      </c>
      <c r="O332">
        <f t="shared" si="280"/>
        <v>0</v>
      </c>
      <c r="P332">
        <f t="shared" si="281"/>
        <v>0</v>
      </c>
      <c r="Q332">
        <f t="shared" si="282"/>
        <v>0</v>
      </c>
      <c r="R332">
        <f t="shared" si="283"/>
        <v>0</v>
      </c>
      <c r="S332">
        <f t="shared" si="284"/>
        <v>0</v>
      </c>
      <c r="T332">
        <f t="shared" si="285"/>
        <v>0</v>
      </c>
      <c r="U332">
        <f t="shared" si="286"/>
        <v>0</v>
      </c>
      <c r="V332">
        <f t="shared" si="287"/>
        <v>0</v>
      </c>
      <c r="W332">
        <f t="shared" si="288"/>
        <v>0</v>
      </c>
      <c r="X332">
        <f t="shared" si="289"/>
        <v>0</v>
      </c>
      <c r="Y332">
        <f t="shared" si="290"/>
        <v>0</v>
      </c>
      <c r="AA332">
        <v>33989672</v>
      </c>
      <c r="AB332">
        <f t="shared" si="291"/>
        <v>50.8</v>
      </c>
      <c r="AC332">
        <f t="shared" si="292"/>
        <v>0</v>
      </c>
      <c r="AD332">
        <f t="shared" si="293"/>
        <v>50.8</v>
      </c>
      <c r="AE332">
        <f t="shared" si="294"/>
        <v>0</v>
      </c>
      <c r="AF332">
        <f t="shared" si="295"/>
        <v>0</v>
      </c>
      <c r="AG332">
        <f t="shared" si="296"/>
        <v>0</v>
      </c>
      <c r="AH332">
        <f t="shared" si="297"/>
        <v>0</v>
      </c>
      <c r="AI332">
        <f t="shared" si="298"/>
        <v>0</v>
      </c>
      <c r="AJ332">
        <f t="shared" si="299"/>
        <v>0</v>
      </c>
      <c r="AK332">
        <v>50.8</v>
      </c>
      <c r="AL332">
        <v>0</v>
      </c>
      <c r="AM332">
        <v>50.8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93</v>
      </c>
      <c r="AU332">
        <v>64</v>
      </c>
      <c r="AV332">
        <v>1</v>
      </c>
      <c r="AW332">
        <v>1</v>
      </c>
      <c r="AZ332">
        <v>1</v>
      </c>
      <c r="BA332">
        <v>1</v>
      </c>
      <c r="BB332">
        <v>10.61</v>
      </c>
      <c r="BC332">
        <v>1</v>
      </c>
      <c r="BD332" t="s">
        <v>3</v>
      </c>
      <c r="BE332" t="s">
        <v>3</v>
      </c>
      <c r="BF332" t="s">
        <v>3</v>
      </c>
      <c r="BG332" t="s">
        <v>3</v>
      </c>
      <c r="BH332">
        <v>0</v>
      </c>
      <c r="BI332">
        <v>4</v>
      </c>
      <c r="BJ332" t="s">
        <v>273</v>
      </c>
      <c r="BM332">
        <v>1111</v>
      </c>
      <c r="BN332">
        <v>0</v>
      </c>
      <c r="BO332" t="s">
        <v>271</v>
      </c>
      <c r="BP332">
        <v>1</v>
      </c>
      <c r="BQ332">
        <v>150</v>
      </c>
      <c r="BR332">
        <v>0</v>
      </c>
      <c r="BS332">
        <v>1</v>
      </c>
      <c r="BT332">
        <v>1</v>
      </c>
      <c r="BU332">
        <v>1</v>
      </c>
      <c r="BV332">
        <v>1</v>
      </c>
      <c r="BW332">
        <v>1</v>
      </c>
      <c r="BX332">
        <v>1</v>
      </c>
      <c r="BY332" t="s">
        <v>3</v>
      </c>
      <c r="BZ332">
        <v>93</v>
      </c>
      <c r="CA332">
        <v>64</v>
      </c>
      <c r="CE332">
        <v>30</v>
      </c>
      <c r="CF332">
        <v>0</v>
      </c>
      <c r="CG332">
        <v>0</v>
      </c>
      <c r="CM332">
        <v>0</v>
      </c>
      <c r="CN332" t="s">
        <v>3</v>
      </c>
      <c r="CO332">
        <v>0</v>
      </c>
      <c r="CP332">
        <f t="shared" si="300"/>
        <v>0</v>
      </c>
      <c r="CQ332">
        <f t="shared" si="301"/>
        <v>0</v>
      </c>
      <c r="CR332">
        <f t="shared" si="302"/>
        <v>538.99</v>
      </c>
      <c r="CS332">
        <f t="shared" si="303"/>
        <v>0</v>
      </c>
      <c r="CT332">
        <f t="shared" si="304"/>
        <v>0</v>
      </c>
      <c r="CU332">
        <f t="shared" si="305"/>
        <v>0</v>
      </c>
      <c r="CV332">
        <f t="shared" si="306"/>
        <v>0</v>
      </c>
      <c r="CW332">
        <f t="shared" si="307"/>
        <v>0</v>
      </c>
      <c r="CX332">
        <f t="shared" si="308"/>
        <v>0</v>
      </c>
      <c r="CY332">
        <f t="shared" si="309"/>
        <v>0</v>
      </c>
      <c r="CZ332">
        <f t="shared" si="310"/>
        <v>0</v>
      </c>
      <c r="DC332" t="s">
        <v>3</v>
      </c>
      <c r="DD332" t="s">
        <v>3</v>
      </c>
      <c r="DE332" t="s">
        <v>3</v>
      </c>
      <c r="DF332" t="s">
        <v>3</v>
      </c>
      <c r="DG332" t="s">
        <v>3</v>
      </c>
      <c r="DH332" t="s">
        <v>3</v>
      </c>
      <c r="DI332" t="s">
        <v>3</v>
      </c>
      <c r="DJ332" t="s">
        <v>3</v>
      </c>
      <c r="DK332" t="s">
        <v>3</v>
      </c>
      <c r="DL332" t="s">
        <v>3</v>
      </c>
      <c r="DM332" t="s">
        <v>3</v>
      </c>
      <c r="DN332">
        <v>0</v>
      </c>
      <c r="DO332">
        <v>0</v>
      </c>
      <c r="DP332">
        <v>1</v>
      </c>
      <c r="DQ332">
        <v>1</v>
      </c>
      <c r="DU332">
        <v>1009</v>
      </c>
      <c r="DV332" t="s">
        <v>51</v>
      </c>
      <c r="DW332" t="s">
        <v>51</v>
      </c>
      <c r="DX332">
        <v>1000</v>
      </c>
      <c r="EE332">
        <v>33798750</v>
      </c>
      <c r="EF332">
        <v>150</v>
      </c>
      <c r="EG332" t="s">
        <v>53</v>
      </c>
      <c r="EH332">
        <v>0</v>
      </c>
      <c r="EI332" t="s">
        <v>3</v>
      </c>
      <c r="EJ332">
        <v>4</v>
      </c>
      <c r="EK332">
        <v>1111</v>
      </c>
      <c r="EL332" t="s">
        <v>224</v>
      </c>
      <c r="EM332" t="s">
        <v>225</v>
      </c>
      <c r="EO332" t="s">
        <v>3</v>
      </c>
      <c r="EQ332">
        <v>131072</v>
      </c>
      <c r="ER332">
        <v>50.8</v>
      </c>
      <c r="ES332">
        <v>0</v>
      </c>
      <c r="ET332">
        <v>50.8</v>
      </c>
      <c r="EU332">
        <v>0</v>
      </c>
      <c r="EV332">
        <v>0</v>
      </c>
      <c r="EW332">
        <v>0</v>
      </c>
      <c r="EX332">
        <v>0</v>
      </c>
      <c r="EY332">
        <v>0</v>
      </c>
      <c r="FQ332">
        <v>0</v>
      </c>
      <c r="FR332">
        <f t="shared" si="311"/>
        <v>0</v>
      </c>
      <c r="FS332">
        <v>0</v>
      </c>
      <c r="FX332">
        <v>0</v>
      </c>
      <c r="FY332">
        <v>0</v>
      </c>
      <c r="GA332" t="s">
        <v>3</v>
      </c>
      <c r="GD332">
        <v>0</v>
      </c>
      <c r="GF332">
        <v>-1019048002</v>
      </c>
      <c r="GG332">
        <v>2</v>
      </c>
      <c r="GH332">
        <v>1</v>
      </c>
      <c r="GI332">
        <v>2</v>
      </c>
      <c r="GJ332">
        <v>0</v>
      </c>
      <c r="GK332">
        <f>ROUND(R332*(R12)/100,2)</f>
        <v>0</v>
      </c>
      <c r="GL332">
        <f t="shared" si="312"/>
        <v>0</v>
      </c>
      <c r="GM332">
        <f t="shared" si="313"/>
        <v>0</v>
      </c>
      <c r="GN332">
        <f t="shared" si="314"/>
        <v>0</v>
      </c>
      <c r="GO332">
        <f t="shared" si="315"/>
        <v>0</v>
      </c>
      <c r="GP332">
        <f t="shared" si="316"/>
        <v>0</v>
      </c>
      <c r="GR332">
        <v>0</v>
      </c>
      <c r="GS332">
        <v>3</v>
      </c>
      <c r="GT332">
        <v>0</v>
      </c>
      <c r="GU332" t="s">
        <v>3</v>
      </c>
      <c r="GV332">
        <f t="shared" si="317"/>
        <v>0</v>
      </c>
      <c r="GW332">
        <v>1</v>
      </c>
      <c r="GX332">
        <f t="shared" si="318"/>
        <v>0</v>
      </c>
      <c r="HA332">
        <v>0</v>
      </c>
      <c r="HB332">
        <v>0</v>
      </c>
      <c r="HC332">
        <f t="shared" si="319"/>
        <v>0</v>
      </c>
      <c r="IK332">
        <v>0</v>
      </c>
    </row>
    <row r="333" spans="1:245" x14ac:dyDescent="0.2">
      <c r="A333">
        <v>17</v>
      </c>
      <c r="B333">
        <v>1</v>
      </c>
      <c r="C333">
        <f>ROW(SmtRes!A152)</f>
        <v>152</v>
      </c>
      <c r="D333">
        <f>ROW(EtalonRes!A153)</f>
        <v>153</v>
      </c>
      <c r="E333" t="s">
        <v>274</v>
      </c>
      <c r="F333" t="s">
        <v>227</v>
      </c>
      <c r="G333" t="s">
        <v>228</v>
      </c>
      <c r="H333" t="s">
        <v>38</v>
      </c>
      <c r="I333">
        <f>ROUND(I332,9)</f>
        <v>0</v>
      </c>
      <c r="J333">
        <v>0</v>
      </c>
      <c r="O333">
        <f t="shared" si="280"/>
        <v>0</v>
      </c>
      <c r="P333">
        <f t="shared" si="281"/>
        <v>0</v>
      </c>
      <c r="Q333">
        <f t="shared" si="282"/>
        <v>0</v>
      </c>
      <c r="R333">
        <f t="shared" si="283"/>
        <v>0</v>
      </c>
      <c r="S333">
        <f t="shared" si="284"/>
        <v>0</v>
      </c>
      <c r="T333">
        <f t="shared" si="285"/>
        <v>0</v>
      </c>
      <c r="U333">
        <f t="shared" si="286"/>
        <v>0</v>
      </c>
      <c r="V333">
        <f t="shared" si="287"/>
        <v>0</v>
      </c>
      <c r="W333">
        <f t="shared" si="288"/>
        <v>0</v>
      </c>
      <c r="X333">
        <f t="shared" si="289"/>
        <v>0</v>
      </c>
      <c r="Y333">
        <f t="shared" si="290"/>
        <v>0</v>
      </c>
      <c r="AA333">
        <v>33989672</v>
      </c>
      <c r="AB333">
        <f t="shared" si="291"/>
        <v>12.61</v>
      </c>
      <c r="AC333">
        <f t="shared" si="292"/>
        <v>0</v>
      </c>
      <c r="AD333">
        <f t="shared" si="293"/>
        <v>12.61</v>
      </c>
      <c r="AE333">
        <f t="shared" si="294"/>
        <v>0</v>
      </c>
      <c r="AF333">
        <f t="shared" si="295"/>
        <v>0</v>
      </c>
      <c r="AG333">
        <f t="shared" si="296"/>
        <v>0</v>
      </c>
      <c r="AH333">
        <f t="shared" si="297"/>
        <v>0</v>
      </c>
      <c r="AI333">
        <f t="shared" si="298"/>
        <v>0</v>
      </c>
      <c r="AJ333">
        <f t="shared" si="299"/>
        <v>0</v>
      </c>
      <c r="AK333">
        <v>12.61</v>
      </c>
      <c r="AL333">
        <v>0</v>
      </c>
      <c r="AM333">
        <v>12.61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93</v>
      </c>
      <c r="AU333">
        <v>64</v>
      </c>
      <c r="AV333">
        <v>1</v>
      </c>
      <c r="AW333">
        <v>1</v>
      </c>
      <c r="AZ333">
        <v>1</v>
      </c>
      <c r="BA333">
        <v>1</v>
      </c>
      <c r="BB333">
        <v>7.63</v>
      </c>
      <c r="BC333">
        <v>1</v>
      </c>
      <c r="BD333" t="s">
        <v>3</v>
      </c>
      <c r="BE333" t="s">
        <v>3</v>
      </c>
      <c r="BF333" t="s">
        <v>3</v>
      </c>
      <c r="BG333" t="s">
        <v>3</v>
      </c>
      <c r="BH333">
        <v>0</v>
      </c>
      <c r="BI333">
        <v>4</v>
      </c>
      <c r="BJ333" t="s">
        <v>229</v>
      </c>
      <c r="BM333">
        <v>1113</v>
      </c>
      <c r="BN333">
        <v>0</v>
      </c>
      <c r="BO333" t="s">
        <v>227</v>
      </c>
      <c r="BP333">
        <v>1</v>
      </c>
      <c r="BQ333">
        <v>150</v>
      </c>
      <c r="BR333">
        <v>0</v>
      </c>
      <c r="BS333">
        <v>1</v>
      </c>
      <c r="BT333">
        <v>1</v>
      </c>
      <c r="BU333">
        <v>1</v>
      </c>
      <c r="BV333">
        <v>1</v>
      </c>
      <c r="BW333">
        <v>1</v>
      </c>
      <c r="BX333">
        <v>1</v>
      </c>
      <c r="BY333" t="s">
        <v>3</v>
      </c>
      <c r="BZ333">
        <v>93</v>
      </c>
      <c r="CA333">
        <v>64</v>
      </c>
      <c r="CE333">
        <v>30</v>
      </c>
      <c r="CF333">
        <v>0</v>
      </c>
      <c r="CG333">
        <v>0</v>
      </c>
      <c r="CM333">
        <v>0</v>
      </c>
      <c r="CN333" t="s">
        <v>3</v>
      </c>
      <c r="CO333">
        <v>0</v>
      </c>
      <c r="CP333">
        <f t="shared" si="300"/>
        <v>0</v>
      </c>
      <c r="CQ333">
        <f t="shared" si="301"/>
        <v>0</v>
      </c>
      <c r="CR333">
        <f t="shared" si="302"/>
        <v>96.21</v>
      </c>
      <c r="CS333">
        <f t="shared" si="303"/>
        <v>0</v>
      </c>
      <c r="CT333">
        <f t="shared" si="304"/>
        <v>0</v>
      </c>
      <c r="CU333">
        <f t="shared" si="305"/>
        <v>0</v>
      </c>
      <c r="CV333">
        <f t="shared" si="306"/>
        <v>0</v>
      </c>
      <c r="CW333">
        <f t="shared" si="307"/>
        <v>0</v>
      </c>
      <c r="CX333">
        <f t="shared" si="308"/>
        <v>0</v>
      </c>
      <c r="CY333">
        <f t="shared" si="309"/>
        <v>0</v>
      </c>
      <c r="CZ333">
        <f t="shared" si="310"/>
        <v>0</v>
      </c>
      <c r="DC333" t="s">
        <v>3</v>
      </c>
      <c r="DD333" t="s">
        <v>3</v>
      </c>
      <c r="DE333" t="s">
        <v>3</v>
      </c>
      <c r="DF333" t="s">
        <v>3</v>
      </c>
      <c r="DG333" t="s">
        <v>3</v>
      </c>
      <c r="DH333" t="s">
        <v>3</v>
      </c>
      <c r="DI333" t="s">
        <v>3</v>
      </c>
      <c r="DJ333" t="s">
        <v>3</v>
      </c>
      <c r="DK333" t="s">
        <v>3</v>
      </c>
      <c r="DL333" t="s">
        <v>3</v>
      </c>
      <c r="DM333" t="s">
        <v>3</v>
      </c>
      <c r="DN333">
        <v>0</v>
      </c>
      <c r="DO333">
        <v>0</v>
      </c>
      <c r="DP333">
        <v>1</v>
      </c>
      <c r="DQ333">
        <v>1</v>
      </c>
      <c r="DU333">
        <v>1013</v>
      </c>
      <c r="DV333" t="s">
        <v>38</v>
      </c>
      <c r="DW333" t="s">
        <v>38</v>
      </c>
      <c r="DX333">
        <v>1</v>
      </c>
      <c r="EE333">
        <v>33798752</v>
      </c>
      <c r="EF333">
        <v>150</v>
      </c>
      <c r="EG333" t="s">
        <v>53</v>
      </c>
      <c r="EH333">
        <v>0</v>
      </c>
      <c r="EI333" t="s">
        <v>3</v>
      </c>
      <c r="EJ333">
        <v>4</v>
      </c>
      <c r="EK333">
        <v>1113</v>
      </c>
      <c r="EL333" t="s">
        <v>54</v>
      </c>
      <c r="EM333" t="s">
        <v>55</v>
      </c>
      <c r="EO333" t="s">
        <v>3</v>
      </c>
      <c r="EQ333">
        <v>131072</v>
      </c>
      <c r="ER333">
        <v>12.61</v>
      </c>
      <c r="ES333">
        <v>0</v>
      </c>
      <c r="ET333">
        <v>12.61</v>
      </c>
      <c r="EU333">
        <v>0</v>
      </c>
      <c r="EV333">
        <v>0</v>
      </c>
      <c r="EW333">
        <v>0</v>
      </c>
      <c r="EX333">
        <v>0</v>
      </c>
      <c r="EY333">
        <v>0</v>
      </c>
      <c r="FQ333">
        <v>0</v>
      </c>
      <c r="FR333">
        <f t="shared" si="311"/>
        <v>0</v>
      </c>
      <c r="FS333">
        <v>0</v>
      </c>
      <c r="FX333">
        <v>0</v>
      </c>
      <c r="FY333">
        <v>0</v>
      </c>
      <c r="GA333" t="s">
        <v>3</v>
      </c>
      <c r="GD333">
        <v>0</v>
      </c>
      <c r="GF333">
        <v>-1630031867</v>
      </c>
      <c r="GG333">
        <v>2</v>
      </c>
      <c r="GH333">
        <v>1</v>
      </c>
      <c r="GI333">
        <v>2</v>
      </c>
      <c r="GJ333">
        <v>0</v>
      </c>
      <c r="GK333">
        <f>ROUND(R333*(R12)/100,2)</f>
        <v>0</v>
      </c>
      <c r="GL333">
        <f t="shared" si="312"/>
        <v>0</v>
      </c>
      <c r="GM333">
        <f t="shared" si="313"/>
        <v>0</v>
      </c>
      <c r="GN333">
        <f t="shared" si="314"/>
        <v>0</v>
      </c>
      <c r="GO333">
        <f t="shared" si="315"/>
        <v>0</v>
      </c>
      <c r="GP333">
        <f t="shared" si="316"/>
        <v>0</v>
      </c>
      <c r="GR333">
        <v>0</v>
      </c>
      <c r="GS333">
        <v>3</v>
      </c>
      <c r="GT333">
        <v>0</v>
      </c>
      <c r="GU333" t="s">
        <v>3</v>
      </c>
      <c r="GV333">
        <f t="shared" si="317"/>
        <v>0</v>
      </c>
      <c r="GW333">
        <v>1</v>
      </c>
      <c r="GX333">
        <f t="shared" si="318"/>
        <v>0</v>
      </c>
      <c r="HA333">
        <v>0</v>
      </c>
      <c r="HB333">
        <v>0</v>
      </c>
      <c r="HC333">
        <f t="shared" si="319"/>
        <v>0</v>
      </c>
      <c r="IK333">
        <v>0</v>
      </c>
    </row>
    <row r="334" spans="1:245" x14ac:dyDescent="0.2">
      <c r="A334">
        <v>17</v>
      </c>
      <c r="B334">
        <v>1</v>
      </c>
      <c r="C334">
        <f>ROW(SmtRes!A156)</f>
        <v>156</v>
      </c>
      <c r="D334">
        <f>ROW(EtalonRes!A157)</f>
        <v>157</v>
      </c>
      <c r="E334" t="s">
        <v>275</v>
      </c>
      <c r="F334" t="s">
        <v>276</v>
      </c>
      <c r="G334" t="s">
        <v>277</v>
      </c>
      <c r="H334" t="s">
        <v>18</v>
      </c>
      <c r="I334">
        <f>ROUND(26118*0.75/100,9)</f>
        <v>195.88499999999999</v>
      </c>
      <c r="J334">
        <v>0</v>
      </c>
      <c r="O334">
        <f t="shared" si="280"/>
        <v>1348731.61</v>
      </c>
      <c r="P334">
        <f t="shared" si="281"/>
        <v>0</v>
      </c>
      <c r="Q334">
        <f t="shared" si="282"/>
        <v>9177.26</v>
      </c>
      <c r="R334">
        <f t="shared" si="283"/>
        <v>5045.33</v>
      </c>
      <c r="S334">
        <f t="shared" si="284"/>
        <v>1339554.3500000001</v>
      </c>
      <c r="T334">
        <f t="shared" si="285"/>
        <v>0</v>
      </c>
      <c r="U334">
        <f t="shared" si="286"/>
        <v>5245.8002999999999</v>
      </c>
      <c r="V334">
        <f t="shared" si="287"/>
        <v>0</v>
      </c>
      <c r="W334">
        <f t="shared" si="288"/>
        <v>0</v>
      </c>
      <c r="X334">
        <f t="shared" si="289"/>
        <v>1366345.44</v>
      </c>
      <c r="Y334">
        <f t="shared" si="290"/>
        <v>629590.54</v>
      </c>
      <c r="AA334">
        <v>33989672</v>
      </c>
      <c r="AB334">
        <f t="shared" si="291"/>
        <v>283.77999999999997</v>
      </c>
      <c r="AC334">
        <f t="shared" si="292"/>
        <v>0</v>
      </c>
      <c r="AD334">
        <f t="shared" si="293"/>
        <v>5</v>
      </c>
      <c r="AE334">
        <f t="shared" si="294"/>
        <v>1.05</v>
      </c>
      <c r="AF334">
        <f t="shared" si="295"/>
        <v>278.77999999999997</v>
      </c>
      <c r="AG334">
        <f t="shared" si="296"/>
        <v>0</v>
      </c>
      <c r="AH334">
        <f t="shared" si="297"/>
        <v>26.78</v>
      </c>
      <c r="AI334">
        <f t="shared" si="298"/>
        <v>0</v>
      </c>
      <c r="AJ334">
        <f t="shared" si="299"/>
        <v>0</v>
      </c>
      <c r="AK334">
        <v>283.77999999999997</v>
      </c>
      <c r="AL334">
        <v>0</v>
      </c>
      <c r="AM334">
        <v>5</v>
      </c>
      <c r="AN334">
        <v>1.05</v>
      </c>
      <c r="AO334">
        <v>278.77999999999997</v>
      </c>
      <c r="AP334">
        <v>0</v>
      </c>
      <c r="AQ334">
        <v>26.78</v>
      </c>
      <c r="AR334">
        <v>0</v>
      </c>
      <c r="AS334">
        <v>0</v>
      </c>
      <c r="AT334">
        <v>102</v>
      </c>
      <c r="AU334">
        <v>47</v>
      </c>
      <c r="AV334">
        <v>1</v>
      </c>
      <c r="AW334">
        <v>1</v>
      </c>
      <c r="AZ334">
        <v>1</v>
      </c>
      <c r="BA334">
        <v>24.53</v>
      </c>
      <c r="BB334">
        <v>9.3699999999999992</v>
      </c>
      <c r="BC334">
        <v>1</v>
      </c>
      <c r="BD334" t="s">
        <v>3</v>
      </c>
      <c r="BE334" t="s">
        <v>3</v>
      </c>
      <c r="BF334" t="s">
        <v>3</v>
      </c>
      <c r="BG334" t="s">
        <v>3</v>
      </c>
      <c r="BH334">
        <v>0</v>
      </c>
      <c r="BI334">
        <v>1</v>
      </c>
      <c r="BJ334" t="s">
        <v>278</v>
      </c>
      <c r="BM334">
        <v>295</v>
      </c>
      <c r="BN334">
        <v>0</v>
      </c>
      <c r="BO334" t="s">
        <v>276</v>
      </c>
      <c r="BP334">
        <v>1</v>
      </c>
      <c r="BQ334">
        <v>30</v>
      </c>
      <c r="BR334">
        <v>0</v>
      </c>
      <c r="BS334">
        <v>24.53</v>
      </c>
      <c r="BT334">
        <v>1</v>
      </c>
      <c r="BU334">
        <v>1</v>
      </c>
      <c r="BV334">
        <v>1</v>
      </c>
      <c r="BW334">
        <v>1</v>
      </c>
      <c r="BX334">
        <v>1</v>
      </c>
      <c r="BY334" t="s">
        <v>3</v>
      </c>
      <c r="BZ334">
        <v>102</v>
      </c>
      <c r="CA334">
        <v>47</v>
      </c>
      <c r="CE334">
        <v>30</v>
      </c>
      <c r="CF334">
        <v>0</v>
      </c>
      <c r="CG334">
        <v>0</v>
      </c>
      <c r="CM334">
        <v>0</v>
      </c>
      <c r="CN334" t="s">
        <v>3</v>
      </c>
      <c r="CO334">
        <v>0</v>
      </c>
      <c r="CP334">
        <f t="shared" si="300"/>
        <v>1348731.61</v>
      </c>
      <c r="CQ334">
        <f t="shared" si="301"/>
        <v>0</v>
      </c>
      <c r="CR334">
        <f t="shared" si="302"/>
        <v>46.85</v>
      </c>
      <c r="CS334">
        <f t="shared" si="303"/>
        <v>25.76</v>
      </c>
      <c r="CT334">
        <f t="shared" si="304"/>
        <v>6838.47</v>
      </c>
      <c r="CU334">
        <f t="shared" si="305"/>
        <v>0</v>
      </c>
      <c r="CV334">
        <f t="shared" si="306"/>
        <v>26.78</v>
      </c>
      <c r="CW334">
        <f t="shared" si="307"/>
        <v>0</v>
      </c>
      <c r="CX334">
        <f t="shared" si="308"/>
        <v>0</v>
      </c>
      <c r="CY334">
        <f t="shared" si="309"/>
        <v>1366345.4370000002</v>
      </c>
      <c r="CZ334">
        <f t="shared" si="310"/>
        <v>629590.54449999996</v>
      </c>
      <c r="DC334" t="s">
        <v>3</v>
      </c>
      <c r="DD334" t="s">
        <v>3</v>
      </c>
      <c r="DE334" t="s">
        <v>3</v>
      </c>
      <c r="DF334" t="s">
        <v>3</v>
      </c>
      <c r="DG334" t="s">
        <v>3</v>
      </c>
      <c r="DH334" t="s">
        <v>3</v>
      </c>
      <c r="DI334" t="s">
        <v>3</v>
      </c>
      <c r="DJ334" t="s">
        <v>3</v>
      </c>
      <c r="DK334" t="s">
        <v>3</v>
      </c>
      <c r="DL334" t="s">
        <v>3</v>
      </c>
      <c r="DM334" t="s">
        <v>3</v>
      </c>
      <c r="DN334">
        <v>187</v>
      </c>
      <c r="DO334">
        <v>101</v>
      </c>
      <c r="DP334">
        <v>1</v>
      </c>
      <c r="DQ334">
        <v>1</v>
      </c>
      <c r="DU334">
        <v>1005</v>
      </c>
      <c r="DV334" t="s">
        <v>18</v>
      </c>
      <c r="DW334" t="s">
        <v>18</v>
      </c>
      <c r="DX334">
        <v>100</v>
      </c>
      <c r="EE334">
        <v>33797934</v>
      </c>
      <c r="EF334">
        <v>30</v>
      </c>
      <c r="EG334" t="s">
        <v>77</v>
      </c>
      <c r="EH334">
        <v>0</v>
      </c>
      <c r="EI334" t="s">
        <v>3</v>
      </c>
      <c r="EJ334">
        <v>1</v>
      </c>
      <c r="EK334">
        <v>295</v>
      </c>
      <c r="EL334" t="s">
        <v>266</v>
      </c>
      <c r="EM334" t="s">
        <v>267</v>
      </c>
      <c r="EO334" t="s">
        <v>3</v>
      </c>
      <c r="EQ334">
        <v>131072</v>
      </c>
      <c r="ER334">
        <v>283.77999999999997</v>
      </c>
      <c r="ES334">
        <v>0</v>
      </c>
      <c r="ET334">
        <v>5</v>
      </c>
      <c r="EU334">
        <v>1.05</v>
      </c>
      <c r="EV334">
        <v>278.77999999999997</v>
      </c>
      <c r="EW334">
        <v>26.78</v>
      </c>
      <c r="EX334">
        <v>0</v>
      </c>
      <c r="EY334">
        <v>0</v>
      </c>
      <c r="FQ334">
        <v>0</v>
      </c>
      <c r="FR334">
        <f t="shared" si="311"/>
        <v>0</v>
      </c>
      <c r="FS334">
        <v>0</v>
      </c>
      <c r="FX334">
        <v>187</v>
      </c>
      <c r="FY334">
        <v>101</v>
      </c>
      <c r="GA334" t="s">
        <v>3</v>
      </c>
      <c r="GD334">
        <v>0</v>
      </c>
      <c r="GF334">
        <v>1182732183</v>
      </c>
      <c r="GG334">
        <v>2</v>
      </c>
      <c r="GH334">
        <v>1</v>
      </c>
      <c r="GI334">
        <v>2</v>
      </c>
      <c r="GJ334">
        <v>0</v>
      </c>
      <c r="GK334">
        <f>ROUND(R334*(R12)/100,2)</f>
        <v>7921.17</v>
      </c>
      <c r="GL334">
        <f t="shared" si="312"/>
        <v>0</v>
      </c>
      <c r="GM334">
        <f t="shared" si="313"/>
        <v>3352588.76</v>
      </c>
      <c r="GN334">
        <f t="shared" si="314"/>
        <v>3352588.76</v>
      </c>
      <c r="GO334">
        <f t="shared" si="315"/>
        <v>0</v>
      </c>
      <c r="GP334">
        <f t="shared" si="316"/>
        <v>0</v>
      </c>
      <c r="GR334">
        <v>0</v>
      </c>
      <c r="GS334">
        <v>3</v>
      </c>
      <c r="GT334">
        <v>0</v>
      </c>
      <c r="GU334" t="s">
        <v>3</v>
      </c>
      <c r="GV334">
        <f t="shared" si="317"/>
        <v>0</v>
      </c>
      <c r="GW334">
        <v>1</v>
      </c>
      <c r="GX334">
        <f t="shared" si="318"/>
        <v>0</v>
      </c>
      <c r="HA334">
        <v>0</v>
      </c>
      <c r="HB334">
        <v>0</v>
      </c>
      <c r="HC334">
        <f t="shared" si="319"/>
        <v>0</v>
      </c>
      <c r="IK334">
        <v>0</v>
      </c>
    </row>
    <row r="335" spans="1:245" x14ac:dyDescent="0.2">
      <c r="A335">
        <v>18</v>
      </c>
      <c r="B335">
        <v>1</v>
      </c>
      <c r="C335">
        <v>156</v>
      </c>
      <c r="E335" t="s">
        <v>279</v>
      </c>
      <c r="F335" t="s">
        <v>280</v>
      </c>
      <c r="G335" t="s">
        <v>281</v>
      </c>
      <c r="H335" t="s">
        <v>66</v>
      </c>
      <c r="I335">
        <f>I334*J335</f>
        <v>2938.2750000000001</v>
      </c>
      <c r="J335">
        <v>15.000000000000002</v>
      </c>
      <c r="O335">
        <f t="shared" si="280"/>
        <v>2873498.96</v>
      </c>
      <c r="P335">
        <f t="shared" si="281"/>
        <v>2873498.96</v>
      </c>
      <c r="Q335">
        <f t="shared" si="282"/>
        <v>0</v>
      </c>
      <c r="R335">
        <f t="shared" si="283"/>
        <v>0</v>
      </c>
      <c r="S335">
        <f t="shared" si="284"/>
        <v>0</v>
      </c>
      <c r="T335">
        <f t="shared" si="285"/>
        <v>0</v>
      </c>
      <c r="U335">
        <f t="shared" si="286"/>
        <v>0</v>
      </c>
      <c r="V335">
        <f t="shared" si="287"/>
        <v>0</v>
      </c>
      <c r="W335">
        <f t="shared" si="288"/>
        <v>0</v>
      </c>
      <c r="X335">
        <f t="shared" si="289"/>
        <v>0</v>
      </c>
      <c r="Y335">
        <f t="shared" si="290"/>
        <v>0</v>
      </c>
      <c r="AA335">
        <v>33989672</v>
      </c>
      <c r="AB335">
        <f t="shared" si="291"/>
        <v>146.84</v>
      </c>
      <c r="AC335">
        <f t="shared" si="292"/>
        <v>146.84</v>
      </c>
      <c r="AD335">
        <f t="shared" si="293"/>
        <v>0</v>
      </c>
      <c r="AE335">
        <f t="shared" si="294"/>
        <v>0</v>
      </c>
      <c r="AF335">
        <f t="shared" si="295"/>
        <v>0</v>
      </c>
      <c r="AG335">
        <f t="shared" si="296"/>
        <v>0</v>
      </c>
      <c r="AH335">
        <f t="shared" si="297"/>
        <v>0</v>
      </c>
      <c r="AI335">
        <f t="shared" si="298"/>
        <v>0</v>
      </c>
      <c r="AJ335">
        <f t="shared" si="299"/>
        <v>0</v>
      </c>
      <c r="AK335">
        <v>146.84</v>
      </c>
      <c r="AL335">
        <v>146.84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1</v>
      </c>
      <c r="AW335">
        <v>1</v>
      </c>
      <c r="AZ335">
        <v>1</v>
      </c>
      <c r="BA335">
        <v>1</v>
      </c>
      <c r="BB335">
        <v>1</v>
      </c>
      <c r="BC335">
        <v>6.66</v>
      </c>
      <c r="BD335" t="s">
        <v>3</v>
      </c>
      <c r="BE335" t="s">
        <v>3</v>
      </c>
      <c r="BF335" t="s">
        <v>3</v>
      </c>
      <c r="BG335" t="s">
        <v>3</v>
      </c>
      <c r="BH335">
        <v>3</v>
      </c>
      <c r="BI335">
        <v>1</v>
      </c>
      <c r="BJ335" t="s">
        <v>282</v>
      </c>
      <c r="BM335">
        <v>295</v>
      </c>
      <c r="BN335">
        <v>0</v>
      </c>
      <c r="BO335" t="s">
        <v>280</v>
      </c>
      <c r="BP335">
        <v>1</v>
      </c>
      <c r="BQ335">
        <v>30</v>
      </c>
      <c r="BR335">
        <v>0</v>
      </c>
      <c r="BS335">
        <v>1</v>
      </c>
      <c r="BT335">
        <v>1</v>
      </c>
      <c r="BU335">
        <v>1</v>
      </c>
      <c r="BV335">
        <v>1</v>
      </c>
      <c r="BW335">
        <v>1</v>
      </c>
      <c r="BX335">
        <v>1</v>
      </c>
      <c r="BY335" t="s">
        <v>3</v>
      </c>
      <c r="BZ335">
        <v>0</v>
      </c>
      <c r="CA335">
        <v>0</v>
      </c>
      <c r="CE335">
        <v>30</v>
      </c>
      <c r="CF335">
        <v>0</v>
      </c>
      <c r="CG335">
        <v>0</v>
      </c>
      <c r="CM335">
        <v>0</v>
      </c>
      <c r="CN335" t="s">
        <v>3</v>
      </c>
      <c r="CO335">
        <v>0</v>
      </c>
      <c r="CP335">
        <f t="shared" si="300"/>
        <v>2873498.96</v>
      </c>
      <c r="CQ335">
        <f t="shared" si="301"/>
        <v>977.95</v>
      </c>
      <c r="CR335">
        <f t="shared" si="302"/>
        <v>0</v>
      </c>
      <c r="CS335">
        <f t="shared" si="303"/>
        <v>0</v>
      </c>
      <c r="CT335">
        <f t="shared" si="304"/>
        <v>0</v>
      </c>
      <c r="CU335">
        <f t="shared" si="305"/>
        <v>0</v>
      </c>
      <c r="CV335">
        <f t="shared" si="306"/>
        <v>0</v>
      </c>
      <c r="CW335">
        <f t="shared" si="307"/>
        <v>0</v>
      </c>
      <c r="CX335">
        <f t="shared" si="308"/>
        <v>0</v>
      </c>
      <c r="CY335">
        <f t="shared" si="309"/>
        <v>0</v>
      </c>
      <c r="CZ335">
        <f t="shared" si="310"/>
        <v>0</v>
      </c>
      <c r="DC335" t="s">
        <v>3</v>
      </c>
      <c r="DD335" t="s">
        <v>3</v>
      </c>
      <c r="DE335" t="s">
        <v>3</v>
      </c>
      <c r="DF335" t="s">
        <v>3</v>
      </c>
      <c r="DG335" t="s">
        <v>3</v>
      </c>
      <c r="DH335" t="s">
        <v>3</v>
      </c>
      <c r="DI335" t="s">
        <v>3</v>
      </c>
      <c r="DJ335" t="s">
        <v>3</v>
      </c>
      <c r="DK335" t="s">
        <v>3</v>
      </c>
      <c r="DL335" t="s">
        <v>3</v>
      </c>
      <c r="DM335" t="s">
        <v>3</v>
      </c>
      <c r="DN335">
        <v>187</v>
      </c>
      <c r="DO335">
        <v>101</v>
      </c>
      <c r="DP335">
        <v>1</v>
      </c>
      <c r="DQ335">
        <v>1</v>
      </c>
      <c r="DU335">
        <v>1007</v>
      </c>
      <c r="DV335" t="s">
        <v>66</v>
      </c>
      <c r="DW335" t="s">
        <v>66</v>
      </c>
      <c r="DX335">
        <v>1</v>
      </c>
      <c r="EE335">
        <v>33797934</v>
      </c>
      <c r="EF335">
        <v>30</v>
      </c>
      <c r="EG335" t="s">
        <v>77</v>
      </c>
      <c r="EH335">
        <v>0</v>
      </c>
      <c r="EI335" t="s">
        <v>3</v>
      </c>
      <c r="EJ335">
        <v>1</v>
      </c>
      <c r="EK335">
        <v>295</v>
      </c>
      <c r="EL335" t="s">
        <v>266</v>
      </c>
      <c r="EM335" t="s">
        <v>267</v>
      </c>
      <c r="EO335" t="s">
        <v>3</v>
      </c>
      <c r="EQ335">
        <v>0</v>
      </c>
      <c r="ER335">
        <v>146.84</v>
      </c>
      <c r="ES335">
        <v>146.84</v>
      </c>
      <c r="ET335">
        <v>0</v>
      </c>
      <c r="EU335">
        <v>0</v>
      </c>
      <c r="EV335">
        <v>0</v>
      </c>
      <c r="EW335">
        <v>0</v>
      </c>
      <c r="EX335">
        <v>0</v>
      </c>
      <c r="FQ335">
        <v>0</v>
      </c>
      <c r="FR335">
        <f t="shared" si="311"/>
        <v>0</v>
      </c>
      <c r="FS335">
        <v>0</v>
      </c>
      <c r="FX335">
        <v>187</v>
      </c>
      <c r="FY335">
        <v>101</v>
      </c>
      <c r="GA335" t="s">
        <v>3</v>
      </c>
      <c r="GD335">
        <v>0</v>
      </c>
      <c r="GF335">
        <v>92320855</v>
      </c>
      <c r="GG335">
        <v>2</v>
      </c>
      <c r="GH335">
        <v>1</v>
      </c>
      <c r="GI335">
        <v>2</v>
      </c>
      <c r="GJ335">
        <v>0</v>
      </c>
      <c r="GK335">
        <f>ROUND(R335*(R12)/100,2)</f>
        <v>0</v>
      </c>
      <c r="GL335">
        <f t="shared" si="312"/>
        <v>0</v>
      </c>
      <c r="GM335">
        <f t="shared" si="313"/>
        <v>2873498.96</v>
      </c>
      <c r="GN335">
        <f t="shared" si="314"/>
        <v>2873498.96</v>
      </c>
      <c r="GO335">
        <f t="shared" si="315"/>
        <v>0</v>
      </c>
      <c r="GP335">
        <f t="shared" si="316"/>
        <v>0</v>
      </c>
      <c r="GR335">
        <v>0</v>
      </c>
      <c r="GS335">
        <v>3</v>
      </c>
      <c r="GT335">
        <v>0</v>
      </c>
      <c r="GU335" t="s">
        <v>3</v>
      </c>
      <c r="GV335">
        <f t="shared" si="317"/>
        <v>0</v>
      </c>
      <c r="GW335">
        <v>1</v>
      </c>
      <c r="GX335">
        <f t="shared" si="318"/>
        <v>0</v>
      </c>
      <c r="HA335">
        <v>0</v>
      </c>
      <c r="HB335">
        <v>0</v>
      </c>
      <c r="HC335">
        <f t="shared" si="319"/>
        <v>0</v>
      </c>
      <c r="IK335">
        <v>0</v>
      </c>
    </row>
    <row r="336" spans="1:245" x14ac:dyDescent="0.2">
      <c r="A336">
        <v>17</v>
      </c>
      <c r="B336">
        <v>1</v>
      </c>
      <c r="C336">
        <f>ROW(SmtRes!A158)</f>
        <v>158</v>
      </c>
      <c r="D336">
        <f>ROW(EtalonRes!A159)</f>
        <v>159</v>
      </c>
      <c r="E336" t="s">
        <v>283</v>
      </c>
      <c r="F336" t="s">
        <v>284</v>
      </c>
      <c r="G336" t="s">
        <v>285</v>
      </c>
      <c r="H336" t="s">
        <v>18</v>
      </c>
      <c r="I336">
        <f>ROUND(26118*0.25/100,9)</f>
        <v>65.295000000000002</v>
      </c>
      <c r="J336">
        <v>0</v>
      </c>
      <c r="O336">
        <f t="shared" si="280"/>
        <v>666942.25</v>
      </c>
      <c r="P336">
        <f t="shared" si="281"/>
        <v>0</v>
      </c>
      <c r="Q336">
        <f t="shared" si="282"/>
        <v>0</v>
      </c>
      <c r="R336">
        <f t="shared" si="283"/>
        <v>0</v>
      </c>
      <c r="S336">
        <f t="shared" si="284"/>
        <v>666942.25</v>
      </c>
      <c r="T336">
        <f t="shared" si="285"/>
        <v>0</v>
      </c>
      <c r="U336">
        <f t="shared" si="286"/>
        <v>2611.8000000000002</v>
      </c>
      <c r="V336">
        <f t="shared" si="287"/>
        <v>0</v>
      </c>
      <c r="W336">
        <f t="shared" si="288"/>
        <v>0</v>
      </c>
      <c r="X336">
        <f t="shared" si="289"/>
        <v>680281.1</v>
      </c>
      <c r="Y336">
        <f t="shared" si="290"/>
        <v>313462.86</v>
      </c>
      <c r="AA336">
        <v>33989672</v>
      </c>
      <c r="AB336">
        <f t="shared" si="291"/>
        <v>416.4</v>
      </c>
      <c r="AC336">
        <f t="shared" si="292"/>
        <v>0</v>
      </c>
      <c r="AD336">
        <f t="shared" si="293"/>
        <v>0</v>
      </c>
      <c r="AE336">
        <f t="shared" si="294"/>
        <v>0</v>
      </c>
      <c r="AF336">
        <f t="shared" si="295"/>
        <v>416.4</v>
      </c>
      <c r="AG336">
        <f t="shared" si="296"/>
        <v>0</v>
      </c>
      <c r="AH336">
        <f t="shared" si="297"/>
        <v>40</v>
      </c>
      <c r="AI336">
        <f t="shared" si="298"/>
        <v>0</v>
      </c>
      <c r="AJ336">
        <f t="shared" si="299"/>
        <v>0</v>
      </c>
      <c r="AK336">
        <v>416.4</v>
      </c>
      <c r="AL336">
        <v>0</v>
      </c>
      <c r="AM336">
        <v>0</v>
      </c>
      <c r="AN336">
        <v>0</v>
      </c>
      <c r="AO336">
        <v>416.4</v>
      </c>
      <c r="AP336">
        <v>0</v>
      </c>
      <c r="AQ336">
        <v>40</v>
      </c>
      <c r="AR336">
        <v>0</v>
      </c>
      <c r="AS336">
        <v>0</v>
      </c>
      <c r="AT336">
        <v>102</v>
      </c>
      <c r="AU336">
        <v>47</v>
      </c>
      <c r="AV336">
        <v>1</v>
      </c>
      <c r="AW336">
        <v>1</v>
      </c>
      <c r="AZ336">
        <v>1</v>
      </c>
      <c r="BA336">
        <v>24.53</v>
      </c>
      <c r="BB336">
        <v>1</v>
      </c>
      <c r="BC336">
        <v>1</v>
      </c>
      <c r="BD336" t="s">
        <v>3</v>
      </c>
      <c r="BE336" t="s">
        <v>3</v>
      </c>
      <c r="BF336" t="s">
        <v>3</v>
      </c>
      <c r="BG336" t="s">
        <v>3</v>
      </c>
      <c r="BH336">
        <v>0</v>
      </c>
      <c r="BI336">
        <v>1</v>
      </c>
      <c r="BJ336" t="s">
        <v>286</v>
      </c>
      <c r="BM336">
        <v>295</v>
      </c>
      <c r="BN336">
        <v>0</v>
      </c>
      <c r="BO336" t="s">
        <v>284</v>
      </c>
      <c r="BP336">
        <v>1</v>
      </c>
      <c r="BQ336">
        <v>30</v>
      </c>
      <c r="BR336">
        <v>0</v>
      </c>
      <c r="BS336">
        <v>24.53</v>
      </c>
      <c r="BT336">
        <v>1</v>
      </c>
      <c r="BU336">
        <v>1</v>
      </c>
      <c r="BV336">
        <v>1</v>
      </c>
      <c r="BW336">
        <v>1</v>
      </c>
      <c r="BX336">
        <v>1</v>
      </c>
      <c r="BY336" t="s">
        <v>3</v>
      </c>
      <c r="BZ336">
        <v>102</v>
      </c>
      <c r="CA336">
        <v>47</v>
      </c>
      <c r="CE336">
        <v>30</v>
      </c>
      <c r="CF336">
        <v>0</v>
      </c>
      <c r="CG336">
        <v>0</v>
      </c>
      <c r="CM336">
        <v>0</v>
      </c>
      <c r="CN336" t="s">
        <v>3</v>
      </c>
      <c r="CO336">
        <v>0</v>
      </c>
      <c r="CP336">
        <f t="shared" si="300"/>
        <v>666942.25</v>
      </c>
      <c r="CQ336">
        <f t="shared" si="301"/>
        <v>0</v>
      </c>
      <c r="CR336">
        <f t="shared" si="302"/>
        <v>0</v>
      </c>
      <c r="CS336">
        <f t="shared" si="303"/>
        <v>0</v>
      </c>
      <c r="CT336">
        <f t="shared" si="304"/>
        <v>10214.290000000001</v>
      </c>
      <c r="CU336">
        <f t="shared" si="305"/>
        <v>0</v>
      </c>
      <c r="CV336">
        <f t="shared" si="306"/>
        <v>40</v>
      </c>
      <c r="CW336">
        <f t="shared" si="307"/>
        <v>0</v>
      </c>
      <c r="CX336">
        <f t="shared" si="308"/>
        <v>0</v>
      </c>
      <c r="CY336">
        <f t="shared" si="309"/>
        <v>680281.09499999997</v>
      </c>
      <c r="CZ336">
        <f t="shared" si="310"/>
        <v>313462.85749999998</v>
      </c>
      <c r="DC336" t="s">
        <v>3</v>
      </c>
      <c r="DD336" t="s">
        <v>3</v>
      </c>
      <c r="DE336" t="s">
        <v>3</v>
      </c>
      <c r="DF336" t="s">
        <v>3</v>
      </c>
      <c r="DG336" t="s">
        <v>3</v>
      </c>
      <c r="DH336" t="s">
        <v>3</v>
      </c>
      <c r="DI336" t="s">
        <v>3</v>
      </c>
      <c r="DJ336" t="s">
        <v>3</v>
      </c>
      <c r="DK336" t="s">
        <v>3</v>
      </c>
      <c r="DL336" t="s">
        <v>3</v>
      </c>
      <c r="DM336" t="s">
        <v>3</v>
      </c>
      <c r="DN336">
        <v>187</v>
      </c>
      <c r="DO336">
        <v>101</v>
      </c>
      <c r="DP336">
        <v>1</v>
      </c>
      <c r="DQ336">
        <v>1</v>
      </c>
      <c r="DU336">
        <v>1005</v>
      </c>
      <c r="DV336" t="s">
        <v>18</v>
      </c>
      <c r="DW336" t="s">
        <v>18</v>
      </c>
      <c r="DX336">
        <v>100</v>
      </c>
      <c r="EE336">
        <v>33797934</v>
      </c>
      <c r="EF336">
        <v>30</v>
      </c>
      <c r="EG336" t="s">
        <v>77</v>
      </c>
      <c r="EH336">
        <v>0</v>
      </c>
      <c r="EI336" t="s">
        <v>3</v>
      </c>
      <c r="EJ336">
        <v>1</v>
      </c>
      <c r="EK336">
        <v>295</v>
      </c>
      <c r="EL336" t="s">
        <v>266</v>
      </c>
      <c r="EM336" t="s">
        <v>267</v>
      </c>
      <c r="EO336" t="s">
        <v>3</v>
      </c>
      <c r="EQ336">
        <v>131072</v>
      </c>
      <c r="ER336">
        <v>416.4</v>
      </c>
      <c r="ES336">
        <v>0</v>
      </c>
      <c r="ET336">
        <v>0</v>
      </c>
      <c r="EU336">
        <v>0</v>
      </c>
      <c r="EV336">
        <v>416.4</v>
      </c>
      <c r="EW336">
        <v>40</v>
      </c>
      <c r="EX336">
        <v>0</v>
      </c>
      <c r="EY336">
        <v>0</v>
      </c>
      <c r="FQ336">
        <v>0</v>
      </c>
      <c r="FR336">
        <f t="shared" si="311"/>
        <v>0</v>
      </c>
      <c r="FS336">
        <v>0</v>
      </c>
      <c r="FX336">
        <v>187</v>
      </c>
      <c r="FY336">
        <v>101</v>
      </c>
      <c r="GA336" t="s">
        <v>3</v>
      </c>
      <c r="GD336">
        <v>0</v>
      </c>
      <c r="GF336">
        <v>-40892003</v>
      </c>
      <c r="GG336">
        <v>2</v>
      </c>
      <c r="GH336">
        <v>1</v>
      </c>
      <c r="GI336">
        <v>2</v>
      </c>
      <c r="GJ336">
        <v>0</v>
      </c>
      <c r="GK336">
        <f>ROUND(R336*(R12)/100,2)</f>
        <v>0</v>
      </c>
      <c r="GL336">
        <f t="shared" si="312"/>
        <v>0</v>
      </c>
      <c r="GM336">
        <f t="shared" si="313"/>
        <v>1660686.21</v>
      </c>
      <c r="GN336">
        <f t="shared" si="314"/>
        <v>1660686.21</v>
      </c>
      <c r="GO336">
        <f t="shared" si="315"/>
        <v>0</v>
      </c>
      <c r="GP336">
        <f t="shared" si="316"/>
        <v>0</v>
      </c>
      <c r="GR336">
        <v>0</v>
      </c>
      <c r="GS336">
        <v>3</v>
      </c>
      <c r="GT336">
        <v>0</v>
      </c>
      <c r="GU336" t="s">
        <v>3</v>
      </c>
      <c r="GV336">
        <f t="shared" si="317"/>
        <v>0</v>
      </c>
      <c r="GW336">
        <v>1</v>
      </c>
      <c r="GX336">
        <f t="shared" si="318"/>
        <v>0</v>
      </c>
      <c r="HA336">
        <v>0</v>
      </c>
      <c r="HB336">
        <v>0</v>
      </c>
      <c r="HC336">
        <f t="shared" si="319"/>
        <v>0</v>
      </c>
      <c r="IK336">
        <v>0</v>
      </c>
    </row>
    <row r="337" spans="1:245" x14ac:dyDescent="0.2">
      <c r="A337">
        <v>18</v>
      </c>
      <c r="B337">
        <v>1</v>
      </c>
      <c r="C337">
        <v>158</v>
      </c>
      <c r="E337" t="s">
        <v>287</v>
      </c>
      <c r="F337" t="s">
        <v>280</v>
      </c>
      <c r="G337" t="s">
        <v>281</v>
      </c>
      <c r="H337" t="s">
        <v>66</v>
      </c>
      <c r="I337">
        <f>I336*J337</f>
        <v>979.42499999999995</v>
      </c>
      <c r="J337">
        <v>14.999999999999998</v>
      </c>
      <c r="O337">
        <f t="shared" si="280"/>
        <v>957833.01</v>
      </c>
      <c r="P337">
        <f t="shared" si="281"/>
        <v>957833.01</v>
      </c>
      <c r="Q337">
        <f t="shared" si="282"/>
        <v>0</v>
      </c>
      <c r="R337">
        <f t="shared" si="283"/>
        <v>0</v>
      </c>
      <c r="S337">
        <f t="shared" si="284"/>
        <v>0</v>
      </c>
      <c r="T337">
        <f t="shared" si="285"/>
        <v>0</v>
      </c>
      <c r="U337">
        <f t="shared" si="286"/>
        <v>0</v>
      </c>
      <c r="V337">
        <f t="shared" si="287"/>
        <v>0</v>
      </c>
      <c r="W337">
        <f t="shared" si="288"/>
        <v>0</v>
      </c>
      <c r="X337">
        <f t="shared" si="289"/>
        <v>0</v>
      </c>
      <c r="Y337">
        <f t="shared" si="290"/>
        <v>0</v>
      </c>
      <c r="AA337">
        <v>33989672</v>
      </c>
      <c r="AB337">
        <f t="shared" si="291"/>
        <v>146.84</v>
      </c>
      <c r="AC337">
        <f t="shared" si="292"/>
        <v>146.84</v>
      </c>
      <c r="AD337">
        <f t="shared" si="293"/>
        <v>0</v>
      </c>
      <c r="AE337">
        <f t="shared" si="294"/>
        <v>0</v>
      </c>
      <c r="AF337">
        <f t="shared" si="295"/>
        <v>0</v>
      </c>
      <c r="AG337">
        <f t="shared" si="296"/>
        <v>0</v>
      </c>
      <c r="AH337">
        <f t="shared" si="297"/>
        <v>0</v>
      </c>
      <c r="AI337">
        <f t="shared" si="298"/>
        <v>0</v>
      </c>
      <c r="AJ337">
        <f t="shared" si="299"/>
        <v>0</v>
      </c>
      <c r="AK337">
        <v>146.84</v>
      </c>
      <c r="AL337">
        <v>146.84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1</v>
      </c>
      <c r="AW337">
        <v>1</v>
      </c>
      <c r="AZ337">
        <v>1</v>
      </c>
      <c r="BA337">
        <v>1</v>
      </c>
      <c r="BB337">
        <v>1</v>
      </c>
      <c r="BC337">
        <v>6.66</v>
      </c>
      <c r="BD337" t="s">
        <v>3</v>
      </c>
      <c r="BE337" t="s">
        <v>3</v>
      </c>
      <c r="BF337" t="s">
        <v>3</v>
      </c>
      <c r="BG337" t="s">
        <v>3</v>
      </c>
      <c r="BH337">
        <v>3</v>
      </c>
      <c r="BI337">
        <v>1</v>
      </c>
      <c r="BJ337" t="s">
        <v>282</v>
      </c>
      <c r="BM337">
        <v>295</v>
      </c>
      <c r="BN337">
        <v>0</v>
      </c>
      <c r="BO337" t="s">
        <v>280</v>
      </c>
      <c r="BP337">
        <v>1</v>
      </c>
      <c r="BQ337">
        <v>30</v>
      </c>
      <c r="BR337">
        <v>0</v>
      </c>
      <c r="BS337">
        <v>1</v>
      </c>
      <c r="BT337">
        <v>1</v>
      </c>
      <c r="BU337">
        <v>1</v>
      </c>
      <c r="BV337">
        <v>1</v>
      </c>
      <c r="BW337">
        <v>1</v>
      </c>
      <c r="BX337">
        <v>1</v>
      </c>
      <c r="BY337" t="s">
        <v>3</v>
      </c>
      <c r="BZ337">
        <v>0</v>
      </c>
      <c r="CA337">
        <v>0</v>
      </c>
      <c r="CE337">
        <v>30</v>
      </c>
      <c r="CF337">
        <v>0</v>
      </c>
      <c r="CG337">
        <v>0</v>
      </c>
      <c r="CM337">
        <v>0</v>
      </c>
      <c r="CN337" t="s">
        <v>3</v>
      </c>
      <c r="CO337">
        <v>0</v>
      </c>
      <c r="CP337">
        <f t="shared" si="300"/>
        <v>957833.01</v>
      </c>
      <c r="CQ337">
        <f t="shared" si="301"/>
        <v>977.95</v>
      </c>
      <c r="CR337">
        <f t="shared" si="302"/>
        <v>0</v>
      </c>
      <c r="CS337">
        <f t="shared" si="303"/>
        <v>0</v>
      </c>
      <c r="CT337">
        <f t="shared" si="304"/>
        <v>0</v>
      </c>
      <c r="CU337">
        <f t="shared" si="305"/>
        <v>0</v>
      </c>
      <c r="CV337">
        <f t="shared" si="306"/>
        <v>0</v>
      </c>
      <c r="CW337">
        <f t="shared" si="307"/>
        <v>0</v>
      </c>
      <c r="CX337">
        <f t="shared" si="308"/>
        <v>0</v>
      </c>
      <c r="CY337">
        <f t="shared" si="309"/>
        <v>0</v>
      </c>
      <c r="CZ337">
        <f t="shared" si="310"/>
        <v>0</v>
      </c>
      <c r="DC337" t="s">
        <v>3</v>
      </c>
      <c r="DD337" t="s">
        <v>3</v>
      </c>
      <c r="DE337" t="s">
        <v>3</v>
      </c>
      <c r="DF337" t="s">
        <v>3</v>
      </c>
      <c r="DG337" t="s">
        <v>3</v>
      </c>
      <c r="DH337" t="s">
        <v>3</v>
      </c>
      <c r="DI337" t="s">
        <v>3</v>
      </c>
      <c r="DJ337" t="s">
        <v>3</v>
      </c>
      <c r="DK337" t="s">
        <v>3</v>
      </c>
      <c r="DL337" t="s">
        <v>3</v>
      </c>
      <c r="DM337" t="s">
        <v>3</v>
      </c>
      <c r="DN337">
        <v>187</v>
      </c>
      <c r="DO337">
        <v>101</v>
      </c>
      <c r="DP337">
        <v>1</v>
      </c>
      <c r="DQ337">
        <v>1</v>
      </c>
      <c r="DU337">
        <v>1007</v>
      </c>
      <c r="DV337" t="s">
        <v>66</v>
      </c>
      <c r="DW337" t="s">
        <v>66</v>
      </c>
      <c r="DX337">
        <v>1</v>
      </c>
      <c r="EE337">
        <v>33797934</v>
      </c>
      <c r="EF337">
        <v>30</v>
      </c>
      <c r="EG337" t="s">
        <v>77</v>
      </c>
      <c r="EH337">
        <v>0</v>
      </c>
      <c r="EI337" t="s">
        <v>3</v>
      </c>
      <c r="EJ337">
        <v>1</v>
      </c>
      <c r="EK337">
        <v>295</v>
      </c>
      <c r="EL337" t="s">
        <v>266</v>
      </c>
      <c r="EM337" t="s">
        <v>267</v>
      </c>
      <c r="EO337" t="s">
        <v>3</v>
      </c>
      <c r="EQ337">
        <v>0</v>
      </c>
      <c r="ER337">
        <v>146.84</v>
      </c>
      <c r="ES337">
        <v>146.84</v>
      </c>
      <c r="ET337">
        <v>0</v>
      </c>
      <c r="EU337">
        <v>0</v>
      </c>
      <c r="EV337">
        <v>0</v>
      </c>
      <c r="EW337">
        <v>0</v>
      </c>
      <c r="EX337">
        <v>0</v>
      </c>
      <c r="FQ337">
        <v>0</v>
      </c>
      <c r="FR337">
        <f t="shared" si="311"/>
        <v>0</v>
      </c>
      <c r="FS337">
        <v>0</v>
      </c>
      <c r="FX337">
        <v>187</v>
      </c>
      <c r="FY337">
        <v>101</v>
      </c>
      <c r="GA337" t="s">
        <v>3</v>
      </c>
      <c r="GD337">
        <v>0</v>
      </c>
      <c r="GF337">
        <v>92320855</v>
      </c>
      <c r="GG337">
        <v>2</v>
      </c>
      <c r="GH337">
        <v>1</v>
      </c>
      <c r="GI337">
        <v>2</v>
      </c>
      <c r="GJ337">
        <v>0</v>
      </c>
      <c r="GK337">
        <f>ROUND(R337*(R12)/100,2)</f>
        <v>0</v>
      </c>
      <c r="GL337">
        <f t="shared" si="312"/>
        <v>0</v>
      </c>
      <c r="GM337">
        <f t="shared" si="313"/>
        <v>957833.01</v>
      </c>
      <c r="GN337">
        <f t="shared" si="314"/>
        <v>957833.01</v>
      </c>
      <c r="GO337">
        <f t="shared" si="315"/>
        <v>0</v>
      </c>
      <c r="GP337">
        <f t="shared" si="316"/>
        <v>0</v>
      </c>
      <c r="GR337">
        <v>0</v>
      </c>
      <c r="GS337">
        <v>3</v>
      </c>
      <c r="GT337">
        <v>0</v>
      </c>
      <c r="GU337" t="s">
        <v>3</v>
      </c>
      <c r="GV337">
        <f t="shared" si="317"/>
        <v>0</v>
      </c>
      <c r="GW337">
        <v>1</v>
      </c>
      <c r="GX337">
        <f t="shared" si="318"/>
        <v>0</v>
      </c>
      <c r="HA337">
        <v>0</v>
      </c>
      <c r="HB337">
        <v>0</v>
      </c>
      <c r="HC337">
        <f t="shared" si="319"/>
        <v>0</v>
      </c>
      <c r="IK337">
        <v>0</v>
      </c>
    </row>
    <row r="338" spans="1:245" x14ac:dyDescent="0.2">
      <c r="A338">
        <v>17</v>
      </c>
      <c r="B338">
        <v>1</v>
      </c>
      <c r="C338">
        <f>ROW(SmtRes!A160)</f>
        <v>160</v>
      </c>
      <c r="D338">
        <f>ROW(EtalonRes!A161)</f>
        <v>161</v>
      </c>
      <c r="E338" t="s">
        <v>288</v>
      </c>
      <c r="F338" t="s">
        <v>289</v>
      </c>
      <c r="G338" t="s">
        <v>290</v>
      </c>
      <c r="H338" t="s">
        <v>18</v>
      </c>
      <c r="I338">
        <f>ROUND(-26118/100,5)</f>
        <v>-261.18</v>
      </c>
      <c r="J338">
        <v>0</v>
      </c>
      <c r="O338">
        <f t="shared" si="280"/>
        <v>-364800.1</v>
      </c>
      <c r="P338">
        <f t="shared" si="281"/>
        <v>0</v>
      </c>
      <c r="Q338">
        <f t="shared" si="282"/>
        <v>0</v>
      </c>
      <c r="R338">
        <f t="shared" si="283"/>
        <v>0</v>
      </c>
      <c r="S338">
        <f t="shared" si="284"/>
        <v>-364800.1</v>
      </c>
      <c r="T338">
        <f t="shared" si="285"/>
        <v>0</v>
      </c>
      <c r="U338">
        <f t="shared" si="286"/>
        <v>-1428.6546000000001</v>
      </c>
      <c r="V338">
        <f t="shared" si="287"/>
        <v>0</v>
      </c>
      <c r="W338">
        <f t="shared" si="288"/>
        <v>0</v>
      </c>
      <c r="X338">
        <f t="shared" si="289"/>
        <v>-372096.1</v>
      </c>
      <c r="Y338">
        <f t="shared" si="290"/>
        <v>-171456.05</v>
      </c>
      <c r="AA338">
        <v>33989672</v>
      </c>
      <c r="AB338">
        <f t="shared" si="291"/>
        <v>56.94</v>
      </c>
      <c r="AC338">
        <f t="shared" si="292"/>
        <v>0</v>
      </c>
      <c r="AD338">
        <f t="shared" si="293"/>
        <v>0</v>
      </c>
      <c r="AE338">
        <f t="shared" si="294"/>
        <v>0</v>
      </c>
      <c r="AF338">
        <f t="shared" si="295"/>
        <v>56.94</v>
      </c>
      <c r="AG338">
        <f t="shared" si="296"/>
        <v>0</v>
      </c>
      <c r="AH338">
        <f t="shared" si="297"/>
        <v>5.47</v>
      </c>
      <c r="AI338">
        <f t="shared" si="298"/>
        <v>0</v>
      </c>
      <c r="AJ338">
        <f t="shared" si="299"/>
        <v>0</v>
      </c>
      <c r="AK338">
        <v>56.94</v>
      </c>
      <c r="AL338">
        <v>0</v>
      </c>
      <c r="AM338">
        <v>0</v>
      </c>
      <c r="AN338">
        <v>0</v>
      </c>
      <c r="AO338">
        <v>56.94</v>
      </c>
      <c r="AP338">
        <v>0</v>
      </c>
      <c r="AQ338">
        <v>5.47</v>
      </c>
      <c r="AR338">
        <v>0</v>
      </c>
      <c r="AS338">
        <v>0</v>
      </c>
      <c r="AT338">
        <v>102</v>
      </c>
      <c r="AU338">
        <v>47</v>
      </c>
      <c r="AV338">
        <v>1</v>
      </c>
      <c r="AW338">
        <v>1</v>
      </c>
      <c r="AZ338">
        <v>1</v>
      </c>
      <c r="BA338">
        <v>24.53</v>
      </c>
      <c r="BB338">
        <v>1</v>
      </c>
      <c r="BC338">
        <v>1</v>
      </c>
      <c r="BD338" t="s">
        <v>3</v>
      </c>
      <c r="BE338" t="s">
        <v>3</v>
      </c>
      <c r="BF338" t="s">
        <v>3</v>
      </c>
      <c r="BG338" t="s">
        <v>3</v>
      </c>
      <c r="BH338">
        <v>0</v>
      </c>
      <c r="BI338">
        <v>1</v>
      </c>
      <c r="BJ338" t="s">
        <v>291</v>
      </c>
      <c r="BM338">
        <v>295</v>
      </c>
      <c r="BN338">
        <v>0</v>
      </c>
      <c r="BO338" t="s">
        <v>289</v>
      </c>
      <c r="BP338">
        <v>1</v>
      </c>
      <c r="BQ338">
        <v>30</v>
      </c>
      <c r="BR338">
        <v>0</v>
      </c>
      <c r="BS338">
        <v>24.53</v>
      </c>
      <c r="BT338">
        <v>1</v>
      </c>
      <c r="BU338">
        <v>1</v>
      </c>
      <c r="BV338">
        <v>1</v>
      </c>
      <c r="BW338">
        <v>1</v>
      </c>
      <c r="BX338">
        <v>1</v>
      </c>
      <c r="BY338" t="s">
        <v>3</v>
      </c>
      <c r="BZ338">
        <v>102</v>
      </c>
      <c r="CA338">
        <v>47</v>
      </c>
      <c r="CE338">
        <v>30</v>
      </c>
      <c r="CF338">
        <v>0</v>
      </c>
      <c r="CG338">
        <v>0</v>
      </c>
      <c r="CM338">
        <v>0</v>
      </c>
      <c r="CN338" t="s">
        <v>3</v>
      </c>
      <c r="CO338">
        <v>0</v>
      </c>
      <c r="CP338">
        <f t="shared" si="300"/>
        <v>-364800.1</v>
      </c>
      <c r="CQ338">
        <f t="shared" si="301"/>
        <v>0</v>
      </c>
      <c r="CR338">
        <f t="shared" si="302"/>
        <v>0</v>
      </c>
      <c r="CS338">
        <f t="shared" si="303"/>
        <v>0</v>
      </c>
      <c r="CT338">
        <f t="shared" si="304"/>
        <v>1396.74</v>
      </c>
      <c r="CU338">
        <f t="shared" si="305"/>
        <v>0</v>
      </c>
      <c r="CV338">
        <f t="shared" si="306"/>
        <v>5.47</v>
      </c>
      <c r="CW338">
        <f t="shared" si="307"/>
        <v>0</v>
      </c>
      <c r="CX338">
        <f t="shared" si="308"/>
        <v>0</v>
      </c>
      <c r="CY338">
        <f t="shared" si="309"/>
        <v>-372096.10199999996</v>
      </c>
      <c r="CZ338">
        <f t="shared" si="310"/>
        <v>-171456.04699999999</v>
      </c>
      <c r="DC338" t="s">
        <v>3</v>
      </c>
      <c r="DD338" t="s">
        <v>3</v>
      </c>
      <c r="DE338" t="s">
        <v>3</v>
      </c>
      <c r="DF338" t="s">
        <v>3</v>
      </c>
      <c r="DG338" t="s">
        <v>3</v>
      </c>
      <c r="DH338" t="s">
        <v>3</v>
      </c>
      <c r="DI338" t="s">
        <v>3</v>
      </c>
      <c r="DJ338" t="s">
        <v>3</v>
      </c>
      <c r="DK338" t="s">
        <v>3</v>
      </c>
      <c r="DL338" t="s">
        <v>3</v>
      </c>
      <c r="DM338" t="s">
        <v>3</v>
      </c>
      <c r="DN338">
        <v>187</v>
      </c>
      <c r="DO338">
        <v>101</v>
      </c>
      <c r="DP338">
        <v>1</v>
      </c>
      <c r="DQ338">
        <v>1</v>
      </c>
      <c r="DU338">
        <v>1005</v>
      </c>
      <c r="DV338" t="s">
        <v>18</v>
      </c>
      <c r="DW338" t="s">
        <v>18</v>
      </c>
      <c r="DX338">
        <v>100</v>
      </c>
      <c r="EE338">
        <v>33797934</v>
      </c>
      <c r="EF338">
        <v>30</v>
      </c>
      <c r="EG338" t="s">
        <v>77</v>
      </c>
      <c r="EH338">
        <v>0</v>
      </c>
      <c r="EI338" t="s">
        <v>3</v>
      </c>
      <c r="EJ338">
        <v>1</v>
      </c>
      <c r="EK338">
        <v>295</v>
      </c>
      <c r="EL338" t="s">
        <v>266</v>
      </c>
      <c r="EM338" t="s">
        <v>267</v>
      </c>
      <c r="EO338" t="s">
        <v>3</v>
      </c>
      <c r="EQ338">
        <v>131072</v>
      </c>
      <c r="ER338">
        <v>56.94</v>
      </c>
      <c r="ES338">
        <v>0</v>
      </c>
      <c r="ET338">
        <v>0</v>
      </c>
      <c r="EU338">
        <v>0</v>
      </c>
      <c r="EV338">
        <v>56.94</v>
      </c>
      <c r="EW338">
        <v>5.47</v>
      </c>
      <c r="EX338">
        <v>0</v>
      </c>
      <c r="EY338">
        <v>0</v>
      </c>
      <c r="FQ338">
        <v>0</v>
      </c>
      <c r="FR338">
        <f t="shared" si="311"/>
        <v>0</v>
      </c>
      <c r="FS338">
        <v>0</v>
      </c>
      <c r="FX338">
        <v>187</v>
      </c>
      <c r="FY338">
        <v>101</v>
      </c>
      <c r="GA338" t="s">
        <v>3</v>
      </c>
      <c r="GD338">
        <v>0</v>
      </c>
      <c r="GF338">
        <v>1485046588</v>
      </c>
      <c r="GG338">
        <v>2</v>
      </c>
      <c r="GH338">
        <v>1</v>
      </c>
      <c r="GI338">
        <v>2</v>
      </c>
      <c r="GJ338">
        <v>0</v>
      </c>
      <c r="GK338">
        <f>ROUND(R338*(R12)/100,2)</f>
        <v>0</v>
      </c>
      <c r="GL338">
        <f t="shared" si="312"/>
        <v>0</v>
      </c>
      <c r="GM338">
        <f t="shared" si="313"/>
        <v>-908352.25</v>
      </c>
      <c r="GN338">
        <f t="shared" si="314"/>
        <v>-908352.25</v>
      </c>
      <c r="GO338">
        <f t="shared" si="315"/>
        <v>0</v>
      </c>
      <c r="GP338">
        <f t="shared" si="316"/>
        <v>0</v>
      </c>
      <c r="GR338">
        <v>0</v>
      </c>
      <c r="GS338">
        <v>3</v>
      </c>
      <c r="GT338">
        <v>0</v>
      </c>
      <c r="GU338" t="s">
        <v>3</v>
      </c>
      <c r="GV338">
        <f t="shared" si="317"/>
        <v>0</v>
      </c>
      <c r="GW338">
        <v>1</v>
      </c>
      <c r="GX338">
        <f t="shared" si="318"/>
        <v>0</v>
      </c>
      <c r="HA338">
        <v>0</v>
      </c>
      <c r="HB338">
        <v>0</v>
      </c>
      <c r="HC338">
        <f t="shared" si="319"/>
        <v>0</v>
      </c>
      <c r="IK338">
        <v>0</v>
      </c>
    </row>
    <row r="339" spans="1:245" x14ac:dyDescent="0.2">
      <c r="A339">
        <v>18</v>
      </c>
      <c r="B339">
        <v>1</v>
      </c>
      <c r="C339">
        <v>160</v>
      </c>
      <c r="E339" t="s">
        <v>292</v>
      </c>
      <c r="F339" t="s">
        <v>280</v>
      </c>
      <c r="G339" t="s">
        <v>281</v>
      </c>
      <c r="H339" t="s">
        <v>66</v>
      </c>
      <c r="I339">
        <f>I338*J339</f>
        <v>-1305.9000000000001</v>
      </c>
      <c r="J339">
        <v>5</v>
      </c>
      <c r="O339">
        <f t="shared" si="280"/>
        <v>-1277110.68</v>
      </c>
      <c r="P339">
        <f t="shared" si="281"/>
        <v>-1277110.68</v>
      </c>
      <c r="Q339">
        <f t="shared" si="282"/>
        <v>0</v>
      </c>
      <c r="R339">
        <f t="shared" si="283"/>
        <v>0</v>
      </c>
      <c r="S339">
        <f t="shared" si="284"/>
        <v>0</v>
      </c>
      <c r="T339">
        <f t="shared" si="285"/>
        <v>0</v>
      </c>
      <c r="U339">
        <f t="shared" si="286"/>
        <v>0</v>
      </c>
      <c r="V339">
        <f t="shared" si="287"/>
        <v>0</v>
      </c>
      <c r="W339">
        <f t="shared" si="288"/>
        <v>0</v>
      </c>
      <c r="X339">
        <f t="shared" si="289"/>
        <v>0</v>
      </c>
      <c r="Y339">
        <f t="shared" si="290"/>
        <v>0</v>
      </c>
      <c r="AA339">
        <v>33989672</v>
      </c>
      <c r="AB339">
        <f t="shared" si="291"/>
        <v>146.84</v>
      </c>
      <c r="AC339">
        <f t="shared" si="292"/>
        <v>146.84</v>
      </c>
      <c r="AD339">
        <f t="shared" si="293"/>
        <v>0</v>
      </c>
      <c r="AE339">
        <f t="shared" si="294"/>
        <v>0</v>
      </c>
      <c r="AF339">
        <f t="shared" si="295"/>
        <v>0</v>
      </c>
      <c r="AG339">
        <f t="shared" si="296"/>
        <v>0</v>
      </c>
      <c r="AH339">
        <f t="shared" si="297"/>
        <v>0</v>
      </c>
      <c r="AI339">
        <f t="shared" si="298"/>
        <v>0</v>
      </c>
      <c r="AJ339">
        <f t="shared" si="299"/>
        <v>0</v>
      </c>
      <c r="AK339">
        <v>146.84</v>
      </c>
      <c r="AL339">
        <v>146.84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1</v>
      </c>
      <c r="AW339">
        <v>1</v>
      </c>
      <c r="AZ339">
        <v>1</v>
      </c>
      <c r="BA339">
        <v>1</v>
      </c>
      <c r="BB339">
        <v>1</v>
      </c>
      <c r="BC339">
        <v>6.66</v>
      </c>
      <c r="BD339" t="s">
        <v>3</v>
      </c>
      <c r="BE339" t="s">
        <v>3</v>
      </c>
      <c r="BF339" t="s">
        <v>3</v>
      </c>
      <c r="BG339" t="s">
        <v>3</v>
      </c>
      <c r="BH339">
        <v>3</v>
      </c>
      <c r="BI339">
        <v>1</v>
      </c>
      <c r="BJ339" t="s">
        <v>282</v>
      </c>
      <c r="BM339">
        <v>295</v>
      </c>
      <c r="BN339">
        <v>0</v>
      </c>
      <c r="BO339" t="s">
        <v>280</v>
      </c>
      <c r="BP339">
        <v>1</v>
      </c>
      <c r="BQ339">
        <v>30</v>
      </c>
      <c r="BR339">
        <v>0</v>
      </c>
      <c r="BS339">
        <v>1</v>
      </c>
      <c r="BT339">
        <v>1</v>
      </c>
      <c r="BU339">
        <v>1</v>
      </c>
      <c r="BV339">
        <v>1</v>
      </c>
      <c r="BW339">
        <v>1</v>
      </c>
      <c r="BX339">
        <v>1</v>
      </c>
      <c r="BY339" t="s">
        <v>3</v>
      </c>
      <c r="BZ339">
        <v>0</v>
      </c>
      <c r="CA339">
        <v>0</v>
      </c>
      <c r="CE339">
        <v>30</v>
      </c>
      <c r="CF339">
        <v>0</v>
      </c>
      <c r="CG339">
        <v>0</v>
      </c>
      <c r="CM339">
        <v>0</v>
      </c>
      <c r="CN339" t="s">
        <v>3</v>
      </c>
      <c r="CO339">
        <v>0</v>
      </c>
      <c r="CP339">
        <f t="shared" si="300"/>
        <v>-1277110.68</v>
      </c>
      <c r="CQ339">
        <f t="shared" si="301"/>
        <v>977.95</v>
      </c>
      <c r="CR339">
        <f t="shared" si="302"/>
        <v>0</v>
      </c>
      <c r="CS339">
        <f t="shared" si="303"/>
        <v>0</v>
      </c>
      <c r="CT339">
        <f t="shared" si="304"/>
        <v>0</v>
      </c>
      <c r="CU339">
        <f t="shared" si="305"/>
        <v>0</v>
      </c>
      <c r="CV339">
        <f t="shared" si="306"/>
        <v>0</v>
      </c>
      <c r="CW339">
        <f t="shared" si="307"/>
        <v>0</v>
      </c>
      <c r="CX339">
        <f t="shared" si="308"/>
        <v>0</v>
      </c>
      <c r="CY339">
        <f t="shared" si="309"/>
        <v>0</v>
      </c>
      <c r="CZ339">
        <f t="shared" si="310"/>
        <v>0</v>
      </c>
      <c r="DC339" t="s">
        <v>3</v>
      </c>
      <c r="DD339" t="s">
        <v>3</v>
      </c>
      <c r="DE339" t="s">
        <v>3</v>
      </c>
      <c r="DF339" t="s">
        <v>3</v>
      </c>
      <c r="DG339" t="s">
        <v>3</v>
      </c>
      <c r="DH339" t="s">
        <v>3</v>
      </c>
      <c r="DI339" t="s">
        <v>3</v>
      </c>
      <c r="DJ339" t="s">
        <v>3</v>
      </c>
      <c r="DK339" t="s">
        <v>3</v>
      </c>
      <c r="DL339" t="s">
        <v>3</v>
      </c>
      <c r="DM339" t="s">
        <v>3</v>
      </c>
      <c r="DN339">
        <v>187</v>
      </c>
      <c r="DO339">
        <v>101</v>
      </c>
      <c r="DP339">
        <v>1</v>
      </c>
      <c r="DQ339">
        <v>1</v>
      </c>
      <c r="DU339">
        <v>1007</v>
      </c>
      <c r="DV339" t="s">
        <v>66</v>
      </c>
      <c r="DW339" t="s">
        <v>66</v>
      </c>
      <c r="DX339">
        <v>1</v>
      </c>
      <c r="EE339">
        <v>33797934</v>
      </c>
      <c r="EF339">
        <v>30</v>
      </c>
      <c r="EG339" t="s">
        <v>77</v>
      </c>
      <c r="EH339">
        <v>0</v>
      </c>
      <c r="EI339" t="s">
        <v>3</v>
      </c>
      <c r="EJ339">
        <v>1</v>
      </c>
      <c r="EK339">
        <v>295</v>
      </c>
      <c r="EL339" t="s">
        <v>266</v>
      </c>
      <c r="EM339" t="s">
        <v>267</v>
      </c>
      <c r="EO339" t="s">
        <v>3</v>
      </c>
      <c r="EQ339">
        <v>0</v>
      </c>
      <c r="ER339">
        <v>146.84</v>
      </c>
      <c r="ES339">
        <v>146.84</v>
      </c>
      <c r="ET339">
        <v>0</v>
      </c>
      <c r="EU339">
        <v>0</v>
      </c>
      <c r="EV339">
        <v>0</v>
      </c>
      <c r="EW339">
        <v>0</v>
      </c>
      <c r="EX339">
        <v>0</v>
      </c>
      <c r="FQ339">
        <v>0</v>
      </c>
      <c r="FR339">
        <f t="shared" si="311"/>
        <v>0</v>
      </c>
      <c r="FS339">
        <v>0</v>
      </c>
      <c r="FX339">
        <v>187</v>
      </c>
      <c r="FY339">
        <v>101</v>
      </c>
      <c r="GA339" t="s">
        <v>3</v>
      </c>
      <c r="GD339">
        <v>0</v>
      </c>
      <c r="GF339">
        <v>92320855</v>
      </c>
      <c r="GG339">
        <v>2</v>
      </c>
      <c r="GH339">
        <v>1</v>
      </c>
      <c r="GI339">
        <v>2</v>
      </c>
      <c r="GJ339">
        <v>0</v>
      </c>
      <c r="GK339">
        <f>ROUND(R339*(R12)/100,2)</f>
        <v>0</v>
      </c>
      <c r="GL339">
        <f t="shared" si="312"/>
        <v>0</v>
      </c>
      <c r="GM339">
        <f t="shared" si="313"/>
        <v>-1277110.68</v>
      </c>
      <c r="GN339">
        <f t="shared" si="314"/>
        <v>-1277110.68</v>
      </c>
      <c r="GO339">
        <f t="shared" si="315"/>
        <v>0</v>
      </c>
      <c r="GP339">
        <f t="shared" si="316"/>
        <v>0</v>
      </c>
      <c r="GR339">
        <v>0</v>
      </c>
      <c r="GS339">
        <v>3</v>
      </c>
      <c r="GT339">
        <v>0</v>
      </c>
      <c r="GU339" t="s">
        <v>3</v>
      </c>
      <c r="GV339">
        <f t="shared" si="317"/>
        <v>0</v>
      </c>
      <c r="GW339">
        <v>1</v>
      </c>
      <c r="GX339">
        <f t="shared" si="318"/>
        <v>0</v>
      </c>
      <c r="HA339">
        <v>0</v>
      </c>
      <c r="HB339">
        <v>0</v>
      </c>
      <c r="HC339">
        <f t="shared" si="319"/>
        <v>0</v>
      </c>
      <c r="IK339">
        <v>0</v>
      </c>
    </row>
    <row r="340" spans="1:245" x14ac:dyDescent="0.2">
      <c r="A340">
        <v>17</v>
      </c>
      <c r="B340">
        <v>1</v>
      </c>
      <c r="C340">
        <f>ROW(SmtRes!A163)</f>
        <v>163</v>
      </c>
      <c r="D340">
        <f>ROW(EtalonRes!A164)</f>
        <v>164</v>
      </c>
      <c r="E340" t="s">
        <v>293</v>
      </c>
      <c r="F340" t="s">
        <v>294</v>
      </c>
      <c r="G340" t="s">
        <v>295</v>
      </c>
      <c r="H340" t="s">
        <v>18</v>
      </c>
      <c r="I340">
        <f>ROUND(26118/100,5)</f>
        <v>261.18</v>
      </c>
      <c r="J340">
        <v>0</v>
      </c>
      <c r="O340">
        <f t="shared" si="280"/>
        <v>468218.55</v>
      </c>
      <c r="P340">
        <f t="shared" si="281"/>
        <v>92142.5</v>
      </c>
      <c r="Q340">
        <f t="shared" si="282"/>
        <v>0</v>
      </c>
      <c r="R340">
        <f t="shared" si="283"/>
        <v>0</v>
      </c>
      <c r="S340">
        <f t="shared" si="284"/>
        <v>376076.05</v>
      </c>
      <c r="T340">
        <f t="shared" si="285"/>
        <v>0</v>
      </c>
      <c r="U340">
        <f t="shared" si="286"/>
        <v>1371.1949999999999</v>
      </c>
      <c r="V340">
        <f t="shared" si="287"/>
        <v>0</v>
      </c>
      <c r="W340">
        <f t="shared" si="288"/>
        <v>0</v>
      </c>
      <c r="X340">
        <f t="shared" si="289"/>
        <v>383597.57</v>
      </c>
      <c r="Y340">
        <f t="shared" si="290"/>
        <v>176755.74</v>
      </c>
      <c r="AA340">
        <v>33989672</v>
      </c>
      <c r="AB340">
        <f t="shared" si="291"/>
        <v>129.4</v>
      </c>
      <c r="AC340">
        <f t="shared" si="292"/>
        <v>70.7</v>
      </c>
      <c r="AD340">
        <f t="shared" si="293"/>
        <v>0</v>
      </c>
      <c r="AE340">
        <f t="shared" si="294"/>
        <v>0</v>
      </c>
      <c r="AF340">
        <f t="shared" si="295"/>
        <v>58.7</v>
      </c>
      <c r="AG340">
        <f t="shared" si="296"/>
        <v>0</v>
      </c>
      <c r="AH340">
        <f t="shared" si="297"/>
        <v>5.25</v>
      </c>
      <c r="AI340">
        <f t="shared" si="298"/>
        <v>0</v>
      </c>
      <c r="AJ340">
        <f t="shared" si="299"/>
        <v>0</v>
      </c>
      <c r="AK340">
        <v>129.4</v>
      </c>
      <c r="AL340">
        <v>70.7</v>
      </c>
      <c r="AM340">
        <v>0</v>
      </c>
      <c r="AN340">
        <v>0</v>
      </c>
      <c r="AO340">
        <v>58.7</v>
      </c>
      <c r="AP340">
        <v>0</v>
      </c>
      <c r="AQ340">
        <v>5.25</v>
      </c>
      <c r="AR340">
        <v>0</v>
      </c>
      <c r="AS340">
        <v>0</v>
      </c>
      <c r="AT340">
        <v>102</v>
      </c>
      <c r="AU340">
        <v>47</v>
      </c>
      <c r="AV340">
        <v>1</v>
      </c>
      <c r="AW340">
        <v>1</v>
      </c>
      <c r="AZ340">
        <v>1</v>
      </c>
      <c r="BA340">
        <v>24.53</v>
      </c>
      <c r="BB340">
        <v>1</v>
      </c>
      <c r="BC340">
        <v>4.99</v>
      </c>
      <c r="BD340" t="s">
        <v>3</v>
      </c>
      <c r="BE340" t="s">
        <v>3</v>
      </c>
      <c r="BF340" t="s">
        <v>3</v>
      </c>
      <c r="BG340" t="s">
        <v>3</v>
      </c>
      <c r="BH340">
        <v>0</v>
      </c>
      <c r="BI340">
        <v>1</v>
      </c>
      <c r="BJ340" t="s">
        <v>296</v>
      </c>
      <c r="BM340">
        <v>295</v>
      </c>
      <c r="BN340">
        <v>0</v>
      </c>
      <c r="BO340" t="s">
        <v>294</v>
      </c>
      <c r="BP340">
        <v>1</v>
      </c>
      <c r="BQ340">
        <v>30</v>
      </c>
      <c r="BR340">
        <v>0</v>
      </c>
      <c r="BS340">
        <v>24.53</v>
      </c>
      <c r="BT340">
        <v>1</v>
      </c>
      <c r="BU340">
        <v>1</v>
      </c>
      <c r="BV340">
        <v>1</v>
      </c>
      <c r="BW340">
        <v>1</v>
      </c>
      <c r="BX340">
        <v>1</v>
      </c>
      <c r="BY340" t="s">
        <v>3</v>
      </c>
      <c r="BZ340">
        <v>102</v>
      </c>
      <c r="CA340">
        <v>47</v>
      </c>
      <c r="CE340">
        <v>30</v>
      </c>
      <c r="CF340">
        <v>0</v>
      </c>
      <c r="CG340">
        <v>0</v>
      </c>
      <c r="CM340">
        <v>0</v>
      </c>
      <c r="CN340" t="s">
        <v>3</v>
      </c>
      <c r="CO340">
        <v>0</v>
      </c>
      <c r="CP340">
        <f t="shared" si="300"/>
        <v>468218.55</v>
      </c>
      <c r="CQ340">
        <f t="shared" si="301"/>
        <v>352.79</v>
      </c>
      <c r="CR340">
        <f t="shared" si="302"/>
        <v>0</v>
      </c>
      <c r="CS340">
        <f t="shared" si="303"/>
        <v>0</v>
      </c>
      <c r="CT340">
        <f t="shared" si="304"/>
        <v>1439.91</v>
      </c>
      <c r="CU340">
        <f t="shared" si="305"/>
        <v>0</v>
      </c>
      <c r="CV340">
        <f t="shared" si="306"/>
        <v>5.25</v>
      </c>
      <c r="CW340">
        <f t="shared" si="307"/>
        <v>0</v>
      </c>
      <c r="CX340">
        <f t="shared" si="308"/>
        <v>0</v>
      </c>
      <c r="CY340">
        <f t="shared" si="309"/>
        <v>383597.571</v>
      </c>
      <c r="CZ340">
        <f t="shared" si="310"/>
        <v>176755.74349999998</v>
      </c>
      <c r="DC340" t="s">
        <v>3</v>
      </c>
      <c r="DD340" t="s">
        <v>3</v>
      </c>
      <c r="DE340" t="s">
        <v>3</v>
      </c>
      <c r="DF340" t="s">
        <v>3</v>
      </c>
      <c r="DG340" t="s">
        <v>3</v>
      </c>
      <c r="DH340" t="s">
        <v>3</v>
      </c>
      <c r="DI340" t="s">
        <v>3</v>
      </c>
      <c r="DJ340" t="s">
        <v>3</v>
      </c>
      <c r="DK340" t="s">
        <v>3</v>
      </c>
      <c r="DL340" t="s">
        <v>3</v>
      </c>
      <c r="DM340" t="s">
        <v>3</v>
      </c>
      <c r="DN340">
        <v>187</v>
      </c>
      <c r="DO340">
        <v>101</v>
      </c>
      <c r="DP340">
        <v>1</v>
      </c>
      <c r="DQ340">
        <v>1</v>
      </c>
      <c r="DU340">
        <v>1005</v>
      </c>
      <c r="DV340" t="s">
        <v>18</v>
      </c>
      <c r="DW340" t="s">
        <v>18</v>
      </c>
      <c r="DX340">
        <v>100</v>
      </c>
      <c r="EE340">
        <v>33797934</v>
      </c>
      <c r="EF340">
        <v>30</v>
      </c>
      <c r="EG340" t="s">
        <v>77</v>
      </c>
      <c r="EH340">
        <v>0</v>
      </c>
      <c r="EI340" t="s">
        <v>3</v>
      </c>
      <c r="EJ340">
        <v>1</v>
      </c>
      <c r="EK340">
        <v>295</v>
      </c>
      <c r="EL340" t="s">
        <v>266</v>
      </c>
      <c r="EM340" t="s">
        <v>267</v>
      </c>
      <c r="EO340" t="s">
        <v>3</v>
      </c>
      <c r="EQ340">
        <v>131072</v>
      </c>
      <c r="ER340">
        <v>129.4</v>
      </c>
      <c r="ES340">
        <v>70.7</v>
      </c>
      <c r="ET340">
        <v>0</v>
      </c>
      <c r="EU340">
        <v>0</v>
      </c>
      <c r="EV340">
        <v>58.7</v>
      </c>
      <c r="EW340">
        <v>5.25</v>
      </c>
      <c r="EX340">
        <v>0</v>
      </c>
      <c r="EY340">
        <v>0</v>
      </c>
      <c r="FQ340">
        <v>0</v>
      </c>
      <c r="FR340">
        <f t="shared" si="311"/>
        <v>0</v>
      </c>
      <c r="FS340">
        <v>0</v>
      </c>
      <c r="FX340">
        <v>187</v>
      </c>
      <c r="FY340">
        <v>101</v>
      </c>
      <c r="GA340" t="s">
        <v>3</v>
      </c>
      <c r="GD340">
        <v>0</v>
      </c>
      <c r="GF340">
        <v>-970148411</v>
      </c>
      <c r="GG340">
        <v>2</v>
      </c>
      <c r="GH340">
        <v>1</v>
      </c>
      <c r="GI340">
        <v>2</v>
      </c>
      <c r="GJ340">
        <v>0</v>
      </c>
      <c r="GK340">
        <f>ROUND(R340*(R12)/100,2)</f>
        <v>0</v>
      </c>
      <c r="GL340">
        <f t="shared" si="312"/>
        <v>0</v>
      </c>
      <c r="GM340">
        <f t="shared" si="313"/>
        <v>1028571.86</v>
      </c>
      <c r="GN340">
        <f t="shared" si="314"/>
        <v>1028571.86</v>
      </c>
      <c r="GO340">
        <f t="shared" si="315"/>
        <v>0</v>
      </c>
      <c r="GP340">
        <f t="shared" si="316"/>
        <v>0</v>
      </c>
      <c r="GR340">
        <v>0</v>
      </c>
      <c r="GS340">
        <v>3</v>
      </c>
      <c r="GT340">
        <v>0</v>
      </c>
      <c r="GU340" t="s">
        <v>3</v>
      </c>
      <c r="GV340">
        <f t="shared" si="317"/>
        <v>0</v>
      </c>
      <c r="GW340">
        <v>1</v>
      </c>
      <c r="GX340">
        <f t="shared" si="318"/>
        <v>0</v>
      </c>
      <c r="HA340">
        <v>0</v>
      </c>
      <c r="HB340">
        <v>0</v>
      </c>
      <c r="HC340">
        <f t="shared" si="319"/>
        <v>0</v>
      </c>
      <c r="IK340">
        <v>0</v>
      </c>
    </row>
    <row r="341" spans="1:245" x14ac:dyDescent="0.2">
      <c r="A341">
        <v>18</v>
      </c>
      <c r="B341">
        <v>1</v>
      </c>
      <c r="C341">
        <v>163</v>
      </c>
      <c r="E341" t="s">
        <v>297</v>
      </c>
      <c r="F341" t="s">
        <v>298</v>
      </c>
      <c r="G341" t="s">
        <v>299</v>
      </c>
      <c r="H341" t="s">
        <v>300</v>
      </c>
      <c r="I341">
        <f>I340*J341</f>
        <v>1044.72</v>
      </c>
      <c r="J341">
        <v>4</v>
      </c>
      <c r="O341">
        <f t="shared" si="280"/>
        <v>111357.96</v>
      </c>
      <c r="P341">
        <f t="shared" si="281"/>
        <v>111357.96</v>
      </c>
      <c r="Q341">
        <f t="shared" si="282"/>
        <v>0</v>
      </c>
      <c r="R341">
        <f t="shared" si="283"/>
        <v>0</v>
      </c>
      <c r="S341">
        <f t="shared" si="284"/>
        <v>0</v>
      </c>
      <c r="T341">
        <f t="shared" si="285"/>
        <v>0</v>
      </c>
      <c r="U341">
        <f t="shared" si="286"/>
        <v>0</v>
      </c>
      <c r="V341">
        <f t="shared" si="287"/>
        <v>0</v>
      </c>
      <c r="W341">
        <f t="shared" si="288"/>
        <v>0</v>
      </c>
      <c r="X341">
        <f t="shared" si="289"/>
        <v>0</v>
      </c>
      <c r="Y341">
        <f t="shared" si="290"/>
        <v>0</v>
      </c>
      <c r="AA341">
        <v>33989672</v>
      </c>
      <c r="AB341">
        <f t="shared" si="291"/>
        <v>57.93</v>
      </c>
      <c r="AC341">
        <f t="shared" si="292"/>
        <v>57.93</v>
      </c>
      <c r="AD341">
        <f t="shared" si="293"/>
        <v>0</v>
      </c>
      <c r="AE341">
        <f t="shared" si="294"/>
        <v>0</v>
      </c>
      <c r="AF341">
        <f t="shared" si="295"/>
        <v>0</v>
      </c>
      <c r="AG341">
        <f t="shared" si="296"/>
        <v>0</v>
      </c>
      <c r="AH341">
        <f t="shared" si="297"/>
        <v>0</v>
      </c>
      <c r="AI341">
        <f t="shared" si="298"/>
        <v>0</v>
      </c>
      <c r="AJ341">
        <f t="shared" si="299"/>
        <v>0</v>
      </c>
      <c r="AK341">
        <v>57.93</v>
      </c>
      <c r="AL341">
        <v>57.93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1</v>
      </c>
      <c r="AW341">
        <v>1</v>
      </c>
      <c r="AZ341">
        <v>1</v>
      </c>
      <c r="BA341">
        <v>1</v>
      </c>
      <c r="BB341">
        <v>1</v>
      </c>
      <c r="BC341">
        <v>1.84</v>
      </c>
      <c r="BD341" t="s">
        <v>3</v>
      </c>
      <c r="BE341" t="s">
        <v>3</v>
      </c>
      <c r="BF341" t="s">
        <v>3</v>
      </c>
      <c r="BG341" t="s">
        <v>3</v>
      </c>
      <c r="BH341">
        <v>3</v>
      </c>
      <c r="BI341">
        <v>1</v>
      </c>
      <c r="BJ341" t="s">
        <v>301</v>
      </c>
      <c r="BM341">
        <v>295</v>
      </c>
      <c r="BN341">
        <v>0</v>
      </c>
      <c r="BO341" t="s">
        <v>298</v>
      </c>
      <c r="BP341">
        <v>1</v>
      </c>
      <c r="BQ341">
        <v>30</v>
      </c>
      <c r="BR341">
        <v>0</v>
      </c>
      <c r="BS341">
        <v>1</v>
      </c>
      <c r="BT341">
        <v>1</v>
      </c>
      <c r="BU341">
        <v>1</v>
      </c>
      <c r="BV341">
        <v>1</v>
      </c>
      <c r="BW341">
        <v>1</v>
      </c>
      <c r="BX341">
        <v>1</v>
      </c>
      <c r="BY341" t="s">
        <v>3</v>
      </c>
      <c r="BZ341">
        <v>0</v>
      </c>
      <c r="CA341">
        <v>0</v>
      </c>
      <c r="CE341">
        <v>30</v>
      </c>
      <c r="CF341">
        <v>0</v>
      </c>
      <c r="CG341">
        <v>0</v>
      </c>
      <c r="CM341">
        <v>0</v>
      </c>
      <c r="CN341" t="s">
        <v>3</v>
      </c>
      <c r="CO341">
        <v>0</v>
      </c>
      <c r="CP341">
        <f t="shared" si="300"/>
        <v>111357.96</v>
      </c>
      <c r="CQ341">
        <f t="shared" si="301"/>
        <v>106.59</v>
      </c>
      <c r="CR341">
        <f t="shared" si="302"/>
        <v>0</v>
      </c>
      <c r="CS341">
        <f t="shared" si="303"/>
        <v>0</v>
      </c>
      <c r="CT341">
        <f t="shared" si="304"/>
        <v>0</v>
      </c>
      <c r="CU341">
        <f t="shared" si="305"/>
        <v>0</v>
      </c>
      <c r="CV341">
        <f t="shared" si="306"/>
        <v>0</v>
      </c>
      <c r="CW341">
        <f t="shared" si="307"/>
        <v>0</v>
      </c>
      <c r="CX341">
        <f t="shared" si="308"/>
        <v>0</v>
      </c>
      <c r="CY341">
        <f t="shared" si="309"/>
        <v>0</v>
      </c>
      <c r="CZ341">
        <f t="shared" si="310"/>
        <v>0</v>
      </c>
      <c r="DC341" t="s">
        <v>3</v>
      </c>
      <c r="DD341" t="s">
        <v>3</v>
      </c>
      <c r="DE341" t="s">
        <v>3</v>
      </c>
      <c r="DF341" t="s">
        <v>3</v>
      </c>
      <c r="DG341" t="s">
        <v>3</v>
      </c>
      <c r="DH341" t="s">
        <v>3</v>
      </c>
      <c r="DI341" t="s">
        <v>3</v>
      </c>
      <c r="DJ341" t="s">
        <v>3</v>
      </c>
      <c r="DK341" t="s">
        <v>3</v>
      </c>
      <c r="DL341" t="s">
        <v>3</v>
      </c>
      <c r="DM341" t="s">
        <v>3</v>
      </c>
      <c r="DN341">
        <v>187</v>
      </c>
      <c r="DO341">
        <v>101</v>
      </c>
      <c r="DP341">
        <v>1</v>
      </c>
      <c r="DQ341">
        <v>1</v>
      </c>
      <c r="DU341">
        <v>1009</v>
      </c>
      <c r="DV341" t="s">
        <v>300</v>
      </c>
      <c r="DW341" t="s">
        <v>300</v>
      </c>
      <c r="DX341">
        <v>1</v>
      </c>
      <c r="EE341">
        <v>33797934</v>
      </c>
      <c r="EF341">
        <v>30</v>
      </c>
      <c r="EG341" t="s">
        <v>77</v>
      </c>
      <c r="EH341">
        <v>0</v>
      </c>
      <c r="EI341" t="s">
        <v>3</v>
      </c>
      <c r="EJ341">
        <v>1</v>
      </c>
      <c r="EK341">
        <v>295</v>
      </c>
      <c r="EL341" t="s">
        <v>266</v>
      </c>
      <c r="EM341" t="s">
        <v>267</v>
      </c>
      <c r="EO341" t="s">
        <v>3</v>
      </c>
      <c r="EQ341">
        <v>0</v>
      </c>
      <c r="ER341">
        <v>57.93</v>
      </c>
      <c r="ES341">
        <v>57.93</v>
      </c>
      <c r="ET341">
        <v>0</v>
      </c>
      <c r="EU341">
        <v>0</v>
      </c>
      <c r="EV341">
        <v>0</v>
      </c>
      <c r="EW341">
        <v>0</v>
      </c>
      <c r="EX341">
        <v>0</v>
      </c>
      <c r="FQ341">
        <v>0</v>
      </c>
      <c r="FR341">
        <f t="shared" si="311"/>
        <v>0</v>
      </c>
      <c r="FS341">
        <v>0</v>
      </c>
      <c r="FX341">
        <v>187</v>
      </c>
      <c r="FY341">
        <v>101</v>
      </c>
      <c r="GA341" t="s">
        <v>3</v>
      </c>
      <c r="GD341">
        <v>0</v>
      </c>
      <c r="GF341">
        <v>735025367</v>
      </c>
      <c r="GG341">
        <v>2</v>
      </c>
      <c r="GH341">
        <v>1</v>
      </c>
      <c r="GI341">
        <v>2</v>
      </c>
      <c r="GJ341">
        <v>0</v>
      </c>
      <c r="GK341">
        <f>ROUND(R341*(R12)/100,2)</f>
        <v>0</v>
      </c>
      <c r="GL341">
        <f t="shared" si="312"/>
        <v>0</v>
      </c>
      <c r="GM341">
        <f t="shared" si="313"/>
        <v>111357.96</v>
      </c>
      <c r="GN341">
        <f t="shared" si="314"/>
        <v>111357.96</v>
      </c>
      <c r="GO341">
        <f t="shared" si="315"/>
        <v>0</v>
      </c>
      <c r="GP341">
        <f t="shared" si="316"/>
        <v>0</v>
      </c>
      <c r="GR341">
        <v>0</v>
      </c>
      <c r="GS341">
        <v>3</v>
      </c>
      <c r="GT341">
        <v>0</v>
      </c>
      <c r="GU341" t="s">
        <v>3</v>
      </c>
      <c r="GV341">
        <f t="shared" si="317"/>
        <v>0</v>
      </c>
      <c r="GW341">
        <v>1</v>
      </c>
      <c r="GX341">
        <f t="shared" si="318"/>
        <v>0</v>
      </c>
      <c r="HA341">
        <v>0</v>
      </c>
      <c r="HB341">
        <v>0</v>
      </c>
      <c r="HC341">
        <f t="shared" si="319"/>
        <v>0</v>
      </c>
      <c r="IK341">
        <v>0</v>
      </c>
    </row>
    <row r="343" spans="1:245" x14ac:dyDescent="0.2">
      <c r="A343" s="2">
        <v>51</v>
      </c>
      <c r="B343" s="2">
        <f>B324</f>
        <v>1</v>
      </c>
      <c r="C343" s="2">
        <f>A324</f>
        <v>4</v>
      </c>
      <c r="D343" s="2">
        <f>ROW(A324)</f>
        <v>324</v>
      </c>
      <c r="E343" s="2"/>
      <c r="F343" s="2" t="str">
        <f>IF(F324&lt;&gt;"",F324,"")</f>
        <v>Новый раздел</v>
      </c>
      <c r="G343" s="2" t="str">
        <f>IF(G324&lt;&gt;"",G324,"")</f>
        <v>20.2. Газон посевной 10см</v>
      </c>
      <c r="H343" s="2">
        <v>0</v>
      </c>
      <c r="I343" s="2"/>
      <c r="J343" s="2"/>
      <c r="K343" s="2"/>
      <c r="L343" s="2"/>
      <c r="M343" s="2"/>
      <c r="N343" s="2"/>
      <c r="O343" s="2">
        <f t="shared" ref="O343:T343" si="320">ROUND(AB343,2)</f>
        <v>5395273.8300000001</v>
      </c>
      <c r="P343" s="2">
        <f t="shared" si="320"/>
        <v>2757721.75</v>
      </c>
      <c r="Q343" s="2">
        <f t="shared" si="320"/>
        <v>198615.37</v>
      </c>
      <c r="R343" s="2">
        <f t="shared" si="320"/>
        <v>92797.24</v>
      </c>
      <c r="S343" s="2">
        <f t="shared" si="320"/>
        <v>2438936.71</v>
      </c>
      <c r="T343" s="2">
        <f t="shared" si="320"/>
        <v>0</v>
      </c>
      <c r="U343" s="2">
        <f>AH343</f>
        <v>9397.791819</v>
      </c>
      <c r="V343" s="2">
        <f>AI343</f>
        <v>0</v>
      </c>
      <c r="W343" s="2">
        <f>ROUND(AJ343,2)</f>
        <v>0</v>
      </c>
      <c r="X343" s="2">
        <f>ROUND(AK343,2)</f>
        <v>2483141.31</v>
      </c>
      <c r="Y343" s="2">
        <f>ROUND(AL343,2)</f>
        <v>1145800.3400000001</v>
      </c>
      <c r="Z343" s="2"/>
      <c r="AA343" s="2"/>
      <c r="AB343" s="2">
        <f>ROUND(SUMIF(AA328:AA341,"=33989672",O328:O341),2)</f>
        <v>5395273.8300000001</v>
      </c>
      <c r="AC343" s="2">
        <f>ROUND(SUMIF(AA328:AA341,"=33989672",P328:P341),2)</f>
        <v>2757721.75</v>
      </c>
      <c r="AD343" s="2">
        <f>ROUND(SUMIF(AA328:AA341,"=33989672",Q328:Q341),2)</f>
        <v>198615.37</v>
      </c>
      <c r="AE343" s="2">
        <f>ROUND(SUMIF(AA328:AA341,"=33989672",R328:R341),2)</f>
        <v>92797.24</v>
      </c>
      <c r="AF343" s="2">
        <f>ROUND(SUMIF(AA328:AA341,"=33989672",S328:S341),2)</f>
        <v>2438936.71</v>
      </c>
      <c r="AG343" s="2">
        <f>ROUND(SUMIF(AA328:AA341,"=33989672",T328:T341),2)</f>
        <v>0</v>
      </c>
      <c r="AH343" s="2">
        <f>SUMIF(AA328:AA341,"=33989672",U328:U341)</f>
        <v>9397.791819</v>
      </c>
      <c r="AI343" s="2">
        <f>SUMIF(AA328:AA341,"=33989672",V328:V341)</f>
        <v>0</v>
      </c>
      <c r="AJ343" s="2">
        <f>ROUND(SUMIF(AA328:AA341,"=33989672",W328:W341),2)</f>
        <v>0</v>
      </c>
      <c r="AK343" s="2">
        <f>ROUND(SUMIF(AA328:AA341,"=33989672",X328:X341),2)</f>
        <v>2483141.31</v>
      </c>
      <c r="AL343" s="2">
        <f>ROUND(SUMIF(AA328:AA341,"=33989672",Y328:Y341),2)</f>
        <v>1145800.3400000001</v>
      </c>
      <c r="AM343" s="2"/>
      <c r="AN343" s="2"/>
      <c r="AO343" s="2">
        <f t="shared" ref="AO343:BD343" si="321">ROUND(BX343,2)</f>
        <v>0</v>
      </c>
      <c r="AP343" s="2">
        <f t="shared" si="321"/>
        <v>0</v>
      </c>
      <c r="AQ343" s="2">
        <f t="shared" si="321"/>
        <v>0</v>
      </c>
      <c r="AR343" s="2">
        <f t="shared" si="321"/>
        <v>9169907.1500000004</v>
      </c>
      <c r="AS343" s="2">
        <f t="shared" si="321"/>
        <v>9169907.1500000004</v>
      </c>
      <c r="AT343" s="2">
        <f t="shared" si="321"/>
        <v>0</v>
      </c>
      <c r="AU343" s="2">
        <f t="shared" si="321"/>
        <v>0</v>
      </c>
      <c r="AV343" s="2">
        <f t="shared" si="321"/>
        <v>2757721.75</v>
      </c>
      <c r="AW343" s="2">
        <f t="shared" si="321"/>
        <v>2757721.75</v>
      </c>
      <c r="AX343" s="2">
        <f t="shared" si="321"/>
        <v>0</v>
      </c>
      <c r="AY343" s="2">
        <f t="shared" si="321"/>
        <v>2757721.75</v>
      </c>
      <c r="AZ343" s="2">
        <f t="shared" si="321"/>
        <v>0</v>
      </c>
      <c r="BA343" s="2">
        <f t="shared" si="321"/>
        <v>0</v>
      </c>
      <c r="BB343" s="2">
        <f t="shared" si="321"/>
        <v>0</v>
      </c>
      <c r="BC343" s="2">
        <f t="shared" si="321"/>
        <v>0</v>
      </c>
      <c r="BD343" s="2">
        <f t="shared" si="321"/>
        <v>0</v>
      </c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>
        <f>ROUND(SUMIF(AA328:AA341,"=33989672",FQ328:FQ341),2)</f>
        <v>0</v>
      </c>
      <c r="BY343" s="2">
        <f>ROUND(SUMIF(AA328:AA341,"=33989672",FR328:FR341),2)</f>
        <v>0</v>
      </c>
      <c r="BZ343" s="2">
        <f>ROUND(SUMIF(AA328:AA341,"=33989672",GL328:GL341),2)</f>
        <v>0</v>
      </c>
      <c r="CA343" s="2">
        <f>ROUND(SUMIF(AA328:AA341,"=33989672",GM328:GM341),2)</f>
        <v>9169907.1500000004</v>
      </c>
      <c r="CB343" s="2">
        <f>ROUND(SUMIF(AA328:AA341,"=33989672",GN328:GN341),2)</f>
        <v>9169907.1500000004</v>
      </c>
      <c r="CC343" s="2">
        <f>ROUND(SUMIF(AA328:AA341,"=33989672",GO328:GO341),2)</f>
        <v>0</v>
      </c>
      <c r="CD343" s="2">
        <f>ROUND(SUMIF(AA328:AA341,"=33989672",GP328:GP341),2)</f>
        <v>0</v>
      </c>
      <c r="CE343" s="2">
        <f>AC343-BX343</f>
        <v>2757721.75</v>
      </c>
      <c r="CF343" s="2">
        <f>AC343-BY343</f>
        <v>2757721.75</v>
      </c>
      <c r="CG343" s="2">
        <f>BX343-BZ343</f>
        <v>0</v>
      </c>
      <c r="CH343" s="2">
        <f>AC343-BX343-BY343+BZ343</f>
        <v>2757721.75</v>
      </c>
      <c r="CI343" s="2">
        <f>BY343-BZ343</f>
        <v>0</v>
      </c>
      <c r="CJ343" s="2">
        <f>ROUND(SUMIF(AA328:AA341,"=33989672",GX328:GX341),2)</f>
        <v>0</v>
      </c>
      <c r="CK343" s="2">
        <f>ROUND(SUMIF(AA328:AA341,"=33989672",GY328:GY341),2)</f>
        <v>0</v>
      </c>
      <c r="CL343" s="2">
        <f>ROUND(SUMIF(AA328:AA341,"=33989672",GZ328:GZ341),2)</f>
        <v>0</v>
      </c>
      <c r="CM343" s="2">
        <f>ROUND(SUMIF(AA328:AA341,"=33989672",HD328:HD341),2)</f>
        <v>0</v>
      </c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>
        <v>0</v>
      </c>
    </row>
    <row r="345" spans="1:245" x14ac:dyDescent="0.2">
      <c r="A345" s="4">
        <v>50</v>
      </c>
      <c r="B345" s="4">
        <v>0</v>
      </c>
      <c r="C345" s="4">
        <v>0</v>
      </c>
      <c r="D345" s="4">
        <v>1</v>
      </c>
      <c r="E345" s="4">
        <v>201</v>
      </c>
      <c r="F345" s="4">
        <f>ROUND(Source!O343,O345)</f>
        <v>5395273.8300000001</v>
      </c>
      <c r="G345" s="4" t="s">
        <v>89</v>
      </c>
      <c r="H345" s="4" t="s">
        <v>90</v>
      </c>
      <c r="I345" s="4"/>
      <c r="J345" s="4"/>
      <c r="K345" s="4">
        <v>201</v>
      </c>
      <c r="L345" s="4">
        <v>1</v>
      </c>
      <c r="M345" s="4">
        <v>3</v>
      </c>
      <c r="N345" s="4" t="s">
        <v>3</v>
      </c>
      <c r="O345" s="4">
        <v>2</v>
      </c>
      <c r="P345" s="4"/>
      <c r="Q345" s="4"/>
      <c r="R345" s="4"/>
      <c r="S345" s="4"/>
      <c r="T345" s="4"/>
      <c r="U345" s="4"/>
      <c r="V345" s="4"/>
      <c r="W345" s="4"/>
    </row>
    <row r="346" spans="1:245" x14ac:dyDescent="0.2">
      <c r="A346" s="4">
        <v>50</v>
      </c>
      <c r="B346" s="4">
        <v>0</v>
      </c>
      <c r="C346" s="4">
        <v>0</v>
      </c>
      <c r="D346" s="4">
        <v>1</v>
      </c>
      <c r="E346" s="4">
        <v>202</v>
      </c>
      <c r="F346" s="4">
        <f>ROUND(Source!P343,O346)</f>
        <v>2757721.75</v>
      </c>
      <c r="G346" s="4" t="s">
        <v>91</v>
      </c>
      <c r="H346" s="4" t="s">
        <v>92</v>
      </c>
      <c r="I346" s="4"/>
      <c r="J346" s="4"/>
      <c r="K346" s="4">
        <v>202</v>
      </c>
      <c r="L346" s="4">
        <v>2</v>
      </c>
      <c r="M346" s="4">
        <v>3</v>
      </c>
      <c r="N346" s="4" t="s">
        <v>3</v>
      </c>
      <c r="O346" s="4">
        <v>2</v>
      </c>
      <c r="P346" s="4"/>
      <c r="Q346" s="4"/>
      <c r="R346" s="4"/>
      <c r="S346" s="4"/>
      <c r="T346" s="4"/>
      <c r="U346" s="4"/>
      <c r="V346" s="4"/>
      <c r="W346" s="4"/>
    </row>
    <row r="347" spans="1:245" x14ac:dyDescent="0.2">
      <c r="A347" s="4">
        <v>50</v>
      </c>
      <c r="B347" s="4">
        <v>0</v>
      </c>
      <c r="C347" s="4">
        <v>0</v>
      </c>
      <c r="D347" s="4">
        <v>1</v>
      </c>
      <c r="E347" s="4">
        <v>222</v>
      </c>
      <c r="F347" s="4">
        <f>ROUND(Source!AO343,O347)</f>
        <v>0</v>
      </c>
      <c r="G347" s="4" t="s">
        <v>93</v>
      </c>
      <c r="H347" s="4" t="s">
        <v>94</v>
      </c>
      <c r="I347" s="4"/>
      <c r="J347" s="4"/>
      <c r="K347" s="4">
        <v>222</v>
      </c>
      <c r="L347" s="4">
        <v>3</v>
      </c>
      <c r="M347" s="4">
        <v>3</v>
      </c>
      <c r="N347" s="4" t="s">
        <v>3</v>
      </c>
      <c r="O347" s="4">
        <v>2</v>
      </c>
      <c r="P347" s="4"/>
      <c r="Q347" s="4"/>
      <c r="R347" s="4"/>
      <c r="S347" s="4"/>
      <c r="T347" s="4"/>
      <c r="U347" s="4"/>
      <c r="V347" s="4"/>
      <c r="W347" s="4"/>
    </row>
    <row r="348" spans="1:245" x14ac:dyDescent="0.2">
      <c r="A348" s="4">
        <v>50</v>
      </c>
      <c r="B348" s="4">
        <v>0</v>
      </c>
      <c r="C348" s="4">
        <v>0</v>
      </c>
      <c r="D348" s="4">
        <v>1</v>
      </c>
      <c r="E348" s="4">
        <v>225</v>
      </c>
      <c r="F348" s="4">
        <f>ROUND(Source!AV343,O348)</f>
        <v>2757721.75</v>
      </c>
      <c r="G348" s="4" t="s">
        <v>95</v>
      </c>
      <c r="H348" s="4" t="s">
        <v>96</v>
      </c>
      <c r="I348" s="4"/>
      <c r="J348" s="4"/>
      <c r="K348" s="4">
        <v>225</v>
      </c>
      <c r="L348" s="4">
        <v>4</v>
      </c>
      <c r="M348" s="4">
        <v>3</v>
      </c>
      <c r="N348" s="4" t="s">
        <v>3</v>
      </c>
      <c r="O348" s="4">
        <v>2</v>
      </c>
      <c r="P348" s="4"/>
      <c r="Q348" s="4"/>
      <c r="R348" s="4"/>
      <c r="S348" s="4"/>
      <c r="T348" s="4"/>
      <c r="U348" s="4"/>
      <c r="V348" s="4"/>
      <c r="W348" s="4"/>
    </row>
    <row r="349" spans="1:245" x14ac:dyDescent="0.2">
      <c r="A349" s="4">
        <v>50</v>
      </c>
      <c r="B349" s="4">
        <v>0</v>
      </c>
      <c r="C349" s="4">
        <v>0</v>
      </c>
      <c r="D349" s="4">
        <v>1</v>
      </c>
      <c r="E349" s="4">
        <v>226</v>
      </c>
      <c r="F349" s="4">
        <f>ROUND(Source!AW343,O349)</f>
        <v>2757721.75</v>
      </c>
      <c r="G349" s="4" t="s">
        <v>97</v>
      </c>
      <c r="H349" s="4" t="s">
        <v>98</v>
      </c>
      <c r="I349" s="4"/>
      <c r="J349" s="4"/>
      <c r="K349" s="4">
        <v>226</v>
      </c>
      <c r="L349" s="4">
        <v>5</v>
      </c>
      <c r="M349" s="4">
        <v>3</v>
      </c>
      <c r="N349" s="4" t="s">
        <v>3</v>
      </c>
      <c r="O349" s="4">
        <v>2</v>
      </c>
      <c r="P349" s="4"/>
      <c r="Q349" s="4"/>
      <c r="R349" s="4"/>
      <c r="S349" s="4"/>
      <c r="T349" s="4"/>
      <c r="U349" s="4"/>
      <c r="V349" s="4"/>
      <c r="W349" s="4"/>
    </row>
    <row r="350" spans="1:245" x14ac:dyDescent="0.2">
      <c r="A350" s="4">
        <v>50</v>
      </c>
      <c r="B350" s="4">
        <v>0</v>
      </c>
      <c r="C350" s="4">
        <v>0</v>
      </c>
      <c r="D350" s="4">
        <v>1</v>
      </c>
      <c r="E350" s="4">
        <v>227</v>
      </c>
      <c r="F350" s="4">
        <f>ROUND(Source!AX343,O350)</f>
        <v>0</v>
      </c>
      <c r="G350" s="4" t="s">
        <v>99</v>
      </c>
      <c r="H350" s="4" t="s">
        <v>100</v>
      </c>
      <c r="I350" s="4"/>
      <c r="J350" s="4"/>
      <c r="K350" s="4">
        <v>227</v>
      </c>
      <c r="L350" s="4">
        <v>6</v>
      </c>
      <c r="M350" s="4">
        <v>3</v>
      </c>
      <c r="N350" s="4" t="s">
        <v>3</v>
      </c>
      <c r="O350" s="4">
        <v>2</v>
      </c>
      <c r="P350" s="4"/>
      <c r="Q350" s="4"/>
      <c r="R350" s="4"/>
      <c r="S350" s="4"/>
      <c r="T350" s="4"/>
      <c r="U350" s="4"/>
      <c r="V350" s="4"/>
      <c r="W350" s="4"/>
    </row>
    <row r="351" spans="1:245" x14ac:dyDescent="0.2">
      <c r="A351" s="4">
        <v>50</v>
      </c>
      <c r="B351" s="4">
        <v>0</v>
      </c>
      <c r="C351" s="4">
        <v>0</v>
      </c>
      <c r="D351" s="4">
        <v>1</v>
      </c>
      <c r="E351" s="4">
        <v>228</v>
      </c>
      <c r="F351" s="4">
        <f>ROUND(Source!AY343,O351)</f>
        <v>2757721.75</v>
      </c>
      <c r="G351" s="4" t="s">
        <v>101</v>
      </c>
      <c r="H351" s="4" t="s">
        <v>102</v>
      </c>
      <c r="I351" s="4"/>
      <c r="J351" s="4"/>
      <c r="K351" s="4">
        <v>228</v>
      </c>
      <c r="L351" s="4">
        <v>7</v>
      </c>
      <c r="M351" s="4">
        <v>3</v>
      </c>
      <c r="N351" s="4" t="s">
        <v>3</v>
      </c>
      <c r="O351" s="4">
        <v>2</v>
      </c>
      <c r="P351" s="4"/>
      <c r="Q351" s="4"/>
      <c r="R351" s="4"/>
      <c r="S351" s="4"/>
      <c r="T351" s="4"/>
      <c r="U351" s="4"/>
      <c r="V351" s="4"/>
      <c r="W351" s="4"/>
    </row>
    <row r="352" spans="1:245" x14ac:dyDescent="0.2">
      <c r="A352" s="4">
        <v>50</v>
      </c>
      <c r="B352" s="4">
        <v>0</v>
      </c>
      <c r="C352" s="4">
        <v>0</v>
      </c>
      <c r="D352" s="4">
        <v>1</v>
      </c>
      <c r="E352" s="4">
        <v>216</v>
      </c>
      <c r="F352" s="4">
        <f>ROUND(Source!AP343,O352)</f>
        <v>0</v>
      </c>
      <c r="G352" s="4" t="s">
        <v>103</v>
      </c>
      <c r="H352" s="4" t="s">
        <v>104</v>
      </c>
      <c r="I352" s="4"/>
      <c r="J352" s="4"/>
      <c r="K352" s="4">
        <v>216</v>
      </c>
      <c r="L352" s="4">
        <v>8</v>
      </c>
      <c r="M352" s="4">
        <v>3</v>
      </c>
      <c r="N352" s="4" t="s">
        <v>3</v>
      </c>
      <c r="O352" s="4">
        <v>2</v>
      </c>
      <c r="P352" s="4"/>
      <c r="Q352" s="4"/>
      <c r="R352" s="4"/>
      <c r="S352" s="4"/>
      <c r="T352" s="4"/>
      <c r="U352" s="4"/>
      <c r="V352" s="4"/>
      <c r="W352" s="4"/>
    </row>
    <row r="353" spans="1:23" x14ac:dyDescent="0.2">
      <c r="A353" s="4">
        <v>50</v>
      </c>
      <c r="B353" s="4">
        <v>0</v>
      </c>
      <c r="C353" s="4">
        <v>0</v>
      </c>
      <c r="D353" s="4">
        <v>1</v>
      </c>
      <c r="E353" s="4">
        <v>223</v>
      </c>
      <c r="F353" s="4">
        <f>ROUND(Source!AQ343,O353)</f>
        <v>0</v>
      </c>
      <c r="G353" s="4" t="s">
        <v>105</v>
      </c>
      <c r="H353" s="4" t="s">
        <v>106</v>
      </c>
      <c r="I353" s="4"/>
      <c r="J353" s="4"/>
      <c r="K353" s="4">
        <v>223</v>
      </c>
      <c r="L353" s="4">
        <v>9</v>
      </c>
      <c r="M353" s="4">
        <v>3</v>
      </c>
      <c r="N353" s="4" t="s">
        <v>3</v>
      </c>
      <c r="O353" s="4">
        <v>2</v>
      </c>
      <c r="P353" s="4"/>
      <c r="Q353" s="4"/>
      <c r="R353" s="4"/>
      <c r="S353" s="4"/>
      <c r="T353" s="4"/>
      <c r="U353" s="4"/>
      <c r="V353" s="4"/>
      <c r="W353" s="4"/>
    </row>
    <row r="354" spans="1:23" x14ac:dyDescent="0.2">
      <c r="A354" s="4">
        <v>50</v>
      </c>
      <c r="B354" s="4">
        <v>0</v>
      </c>
      <c r="C354" s="4">
        <v>0</v>
      </c>
      <c r="D354" s="4">
        <v>1</v>
      </c>
      <c r="E354" s="4">
        <v>229</v>
      </c>
      <c r="F354" s="4">
        <f>ROUND(Source!AZ343,O354)</f>
        <v>0</v>
      </c>
      <c r="G354" s="4" t="s">
        <v>107</v>
      </c>
      <c r="H354" s="4" t="s">
        <v>108</v>
      </c>
      <c r="I354" s="4"/>
      <c r="J354" s="4"/>
      <c r="K354" s="4">
        <v>229</v>
      </c>
      <c r="L354" s="4">
        <v>10</v>
      </c>
      <c r="M354" s="4">
        <v>3</v>
      </c>
      <c r="N354" s="4" t="s">
        <v>3</v>
      </c>
      <c r="O354" s="4">
        <v>2</v>
      </c>
      <c r="P354" s="4"/>
      <c r="Q354" s="4"/>
      <c r="R354" s="4"/>
      <c r="S354" s="4"/>
      <c r="T354" s="4"/>
      <c r="U354" s="4"/>
      <c r="V354" s="4"/>
      <c r="W354" s="4"/>
    </row>
    <row r="355" spans="1:23" x14ac:dyDescent="0.2">
      <c r="A355" s="4">
        <v>50</v>
      </c>
      <c r="B355" s="4">
        <v>0</v>
      </c>
      <c r="C355" s="4">
        <v>0</v>
      </c>
      <c r="D355" s="4">
        <v>1</v>
      </c>
      <c r="E355" s="4">
        <v>203</v>
      </c>
      <c r="F355" s="4">
        <f>ROUND(Source!Q343,O355)</f>
        <v>198615.37</v>
      </c>
      <c r="G355" s="4" t="s">
        <v>109</v>
      </c>
      <c r="H355" s="4" t="s">
        <v>110</v>
      </c>
      <c r="I355" s="4"/>
      <c r="J355" s="4"/>
      <c r="K355" s="4">
        <v>203</v>
      </c>
      <c r="L355" s="4">
        <v>11</v>
      </c>
      <c r="M355" s="4">
        <v>3</v>
      </c>
      <c r="N355" s="4" t="s">
        <v>3</v>
      </c>
      <c r="O355" s="4">
        <v>2</v>
      </c>
      <c r="P355" s="4"/>
      <c r="Q355" s="4"/>
      <c r="R355" s="4"/>
      <c r="S355" s="4"/>
      <c r="T355" s="4"/>
      <c r="U355" s="4"/>
      <c r="V355" s="4"/>
      <c r="W355" s="4"/>
    </row>
    <row r="356" spans="1:23" x14ac:dyDescent="0.2">
      <c r="A356" s="4">
        <v>50</v>
      </c>
      <c r="B356" s="4">
        <v>0</v>
      </c>
      <c r="C356" s="4">
        <v>0</v>
      </c>
      <c r="D356" s="4">
        <v>1</v>
      </c>
      <c r="E356" s="4">
        <v>231</v>
      </c>
      <c r="F356" s="4">
        <f>ROUND(Source!BB343,O356)</f>
        <v>0</v>
      </c>
      <c r="G356" s="4" t="s">
        <v>111</v>
      </c>
      <c r="H356" s="4" t="s">
        <v>112</v>
      </c>
      <c r="I356" s="4"/>
      <c r="J356" s="4"/>
      <c r="K356" s="4">
        <v>231</v>
      </c>
      <c r="L356" s="4">
        <v>12</v>
      </c>
      <c r="M356" s="4">
        <v>3</v>
      </c>
      <c r="N356" s="4" t="s">
        <v>3</v>
      </c>
      <c r="O356" s="4">
        <v>2</v>
      </c>
      <c r="P356" s="4"/>
      <c r="Q356" s="4"/>
      <c r="R356" s="4"/>
      <c r="S356" s="4"/>
      <c r="T356" s="4"/>
      <c r="U356" s="4"/>
      <c r="V356" s="4"/>
      <c r="W356" s="4"/>
    </row>
    <row r="357" spans="1:23" x14ac:dyDescent="0.2">
      <c r="A357" s="4">
        <v>50</v>
      </c>
      <c r="B357" s="4">
        <v>0</v>
      </c>
      <c r="C357" s="4">
        <v>0</v>
      </c>
      <c r="D357" s="4">
        <v>1</v>
      </c>
      <c r="E357" s="4">
        <v>204</v>
      </c>
      <c r="F357" s="4">
        <f>ROUND(Source!R343,O357)</f>
        <v>92797.24</v>
      </c>
      <c r="G357" s="4" t="s">
        <v>113</v>
      </c>
      <c r="H357" s="4" t="s">
        <v>114</v>
      </c>
      <c r="I357" s="4"/>
      <c r="J357" s="4"/>
      <c r="K357" s="4">
        <v>204</v>
      </c>
      <c r="L357" s="4">
        <v>13</v>
      </c>
      <c r="M357" s="4">
        <v>3</v>
      </c>
      <c r="N357" s="4" t="s">
        <v>3</v>
      </c>
      <c r="O357" s="4">
        <v>2</v>
      </c>
      <c r="P357" s="4"/>
      <c r="Q357" s="4"/>
      <c r="R357" s="4"/>
      <c r="S357" s="4"/>
      <c r="T357" s="4"/>
      <c r="U357" s="4"/>
      <c r="V357" s="4"/>
      <c r="W357" s="4"/>
    </row>
    <row r="358" spans="1:23" x14ac:dyDescent="0.2">
      <c r="A358" s="4">
        <v>50</v>
      </c>
      <c r="B358" s="4">
        <v>0</v>
      </c>
      <c r="C358" s="4">
        <v>0</v>
      </c>
      <c r="D358" s="4">
        <v>1</v>
      </c>
      <c r="E358" s="4">
        <v>205</v>
      </c>
      <c r="F358" s="4">
        <f>ROUND(Source!S343,O358)</f>
        <v>2438936.71</v>
      </c>
      <c r="G358" s="4" t="s">
        <v>115</v>
      </c>
      <c r="H358" s="4" t="s">
        <v>116</v>
      </c>
      <c r="I358" s="4"/>
      <c r="J358" s="4"/>
      <c r="K358" s="4">
        <v>205</v>
      </c>
      <c r="L358" s="4">
        <v>14</v>
      </c>
      <c r="M358" s="4">
        <v>3</v>
      </c>
      <c r="N358" s="4" t="s">
        <v>3</v>
      </c>
      <c r="O358" s="4">
        <v>2</v>
      </c>
      <c r="P358" s="4"/>
      <c r="Q358" s="4"/>
      <c r="R358" s="4"/>
      <c r="S358" s="4"/>
      <c r="T358" s="4"/>
      <c r="U358" s="4"/>
      <c r="V358" s="4"/>
      <c r="W358" s="4"/>
    </row>
    <row r="359" spans="1:23" x14ac:dyDescent="0.2">
      <c r="A359" s="4">
        <v>50</v>
      </c>
      <c r="B359" s="4">
        <v>0</v>
      </c>
      <c r="C359" s="4">
        <v>0</v>
      </c>
      <c r="D359" s="4">
        <v>1</v>
      </c>
      <c r="E359" s="4">
        <v>232</v>
      </c>
      <c r="F359" s="4">
        <f>ROUND(Source!BC343,O359)</f>
        <v>0</v>
      </c>
      <c r="G359" s="4" t="s">
        <v>117</v>
      </c>
      <c r="H359" s="4" t="s">
        <v>118</v>
      </c>
      <c r="I359" s="4"/>
      <c r="J359" s="4"/>
      <c r="K359" s="4">
        <v>232</v>
      </c>
      <c r="L359" s="4">
        <v>15</v>
      </c>
      <c r="M359" s="4">
        <v>3</v>
      </c>
      <c r="N359" s="4" t="s">
        <v>3</v>
      </c>
      <c r="O359" s="4">
        <v>2</v>
      </c>
      <c r="P359" s="4"/>
      <c r="Q359" s="4"/>
      <c r="R359" s="4"/>
      <c r="S359" s="4"/>
      <c r="T359" s="4"/>
      <c r="U359" s="4"/>
      <c r="V359" s="4"/>
      <c r="W359" s="4"/>
    </row>
    <row r="360" spans="1:23" x14ac:dyDescent="0.2">
      <c r="A360" s="4">
        <v>50</v>
      </c>
      <c r="B360" s="4">
        <v>0</v>
      </c>
      <c r="C360" s="4">
        <v>0</v>
      </c>
      <c r="D360" s="4">
        <v>1</v>
      </c>
      <c r="E360" s="4">
        <v>214</v>
      </c>
      <c r="F360" s="4">
        <f>ROUND(Source!AS343,O360)</f>
        <v>9169907.1500000004</v>
      </c>
      <c r="G360" s="4" t="s">
        <v>119</v>
      </c>
      <c r="H360" s="4" t="s">
        <v>120</v>
      </c>
      <c r="I360" s="4"/>
      <c r="J360" s="4"/>
      <c r="K360" s="4">
        <v>214</v>
      </c>
      <c r="L360" s="4">
        <v>16</v>
      </c>
      <c r="M360" s="4">
        <v>3</v>
      </c>
      <c r="N360" s="4" t="s">
        <v>3</v>
      </c>
      <c r="O360" s="4">
        <v>2</v>
      </c>
      <c r="P360" s="4"/>
      <c r="Q360" s="4"/>
      <c r="R360" s="4"/>
      <c r="S360" s="4"/>
      <c r="T360" s="4"/>
      <c r="U360" s="4"/>
      <c r="V360" s="4"/>
      <c r="W360" s="4"/>
    </row>
    <row r="361" spans="1:23" x14ac:dyDescent="0.2">
      <c r="A361" s="4">
        <v>50</v>
      </c>
      <c r="B361" s="4">
        <v>0</v>
      </c>
      <c r="C361" s="4">
        <v>0</v>
      </c>
      <c r="D361" s="4">
        <v>1</v>
      </c>
      <c r="E361" s="4">
        <v>215</v>
      </c>
      <c r="F361" s="4">
        <f>ROUND(Source!AT343,O361)</f>
        <v>0</v>
      </c>
      <c r="G361" s="4" t="s">
        <v>121</v>
      </c>
      <c r="H361" s="4" t="s">
        <v>122</v>
      </c>
      <c r="I361" s="4"/>
      <c r="J361" s="4"/>
      <c r="K361" s="4">
        <v>215</v>
      </c>
      <c r="L361" s="4">
        <v>17</v>
      </c>
      <c r="M361" s="4">
        <v>3</v>
      </c>
      <c r="N361" s="4" t="s">
        <v>3</v>
      </c>
      <c r="O361" s="4">
        <v>2</v>
      </c>
      <c r="P361" s="4"/>
      <c r="Q361" s="4"/>
      <c r="R361" s="4"/>
      <c r="S361" s="4"/>
      <c r="T361" s="4"/>
      <c r="U361" s="4"/>
      <c r="V361" s="4"/>
      <c r="W361" s="4"/>
    </row>
    <row r="362" spans="1:23" x14ac:dyDescent="0.2">
      <c r="A362" s="4">
        <v>50</v>
      </c>
      <c r="B362" s="4">
        <v>0</v>
      </c>
      <c r="C362" s="4">
        <v>0</v>
      </c>
      <c r="D362" s="4">
        <v>1</v>
      </c>
      <c r="E362" s="4">
        <v>217</v>
      </c>
      <c r="F362" s="4">
        <f>ROUND(Source!AU343,O362)</f>
        <v>0</v>
      </c>
      <c r="G362" s="4" t="s">
        <v>123</v>
      </c>
      <c r="H362" s="4" t="s">
        <v>124</v>
      </c>
      <c r="I362" s="4"/>
      <c r="J362" s="4"/>
      <c r="K362" s="4">
        <v>217</v>
      </c>
      <c r="L362" s="4">
        <v>18</v>
      </c>
      <c r="M362" s="4">
        <v>3</v>
      </c>
      <c r="N362" s="4" t="s">
        <v>3</v>
      </c>
      <c r="O362" s="4">
        <v>2</v>
      </c>
      <c r="P362" s="4"/>
      <c r="Q362" s="4"/>
      <c r="R362" s="4"/>
      <c r="S362" s="4"/>
      <c r="T362" s="4"/>
      <c r="U362" s="4"/>
      <c r="V362" s="4"/>
      <c r="W362" s="4"/>
    </row>
    <row r="363" spans="1:23" x14ac:dyDescent="0.2">
      <c r="A363" s="4">
        <v>50</v>
      </c>
      <c r="B363" s="4">
        <v>0</v>
      </c>
      <c r="C363" s="4">
        <v>0</v>
      </c>
      <c r="D363" s="4">
        <v>1</v>
      </c>
      <c r="E363" s="4">
        <v>230</v>
      </c>
      <c r="F363" s="4">
        <f>ROUND(Source!BA343,O363)</f>
        <v>0</v>
      </c>
      <c r="G363" s="4" t="s">
        <v>125</v>
      </c>
      <c r="H363" s="4" t="s">
        <v>126</v>
      </c>
      <c r="I363" s="4"/>
      <c r="J363" s="4"/>
      <c r="K363" s="4">
        <v>230</v>
      </c>
      <c r="L363" s="4">
        <v>19</v>
      </c>
      <c r="M363" s="4">
        <v>3</v>
      </c>
      <c r="N363" s="4" t="s">
        <v>3</v>
      </c>
      <c r="O363" s="4">
        <v>2</v>
      </c>
      <c r="P363" s="4"/>
      <c r="Q363" s="4"/>
      <c r="R363" s="4"/>
      <c r="S363" s="4"/>
      <c r="T363" s="4"/>
      <c r="U363" s="4"/>
      <c r="V363" s="4"/>
      <c r="W363" s="4"/>
    </row>
    <row r="364" spans="1:23" x14ac:dyDescent="0.2">
      <c r="A364" s="4">
        <v>50</v>
      </c>
      <c r="B364" s="4">
        <v>0</v>
      </c>
      <c r="C364" s="4">
        <v>0</v>
      </c>
      <c r="D364" s="4">
        <v>1</v>
      </c>
      <c r="E364" s="4">
        <v>206</v>
      </c>
      <c r="F364" s="4">
        <f>ROUND(Source!T343,O364)</f>
        <v>0</v>
      </c>
      <c r="G364" s="4" t="s">
        <v>127</v>
      </c>
      <c r="H364" s="4" t="s">
        <v>128</v>
      </c>
      <c r="I364" s="4"/>
      <c r="J364" s="4"/>
      <c r="K364" s="4">
        <v>206</v>
      </c>
      <c r="L364" s="4">
        <v>20</v>
      </c>
      <c r="M364" s="4">
        <v>3</v>
      </c>
      <c r="N364" s="4" t="s">
        <v>3</v>
      </c>
      <c r="O364" s="4">
        <v>2</v>
      </c>
      <c r="P364" s="4"/>
      <c r="Q364" s="4"/>
      <c r="R364" s="4"/>
      <c r="S364" s="4"/>
      <c r="T364" s="4"/>
      <c r="U364" s="4"/>
      <c r="V364" s="4"/>
      <c r="W364" s="4"/>
    </row>
    <row r="365" spans="1:23" x14ac:dyDescent="0.2">
      <c r="A365" s="4">
        <v>50</v>
      </c>
      <c r="B365" s="4">
        <v>0</v>
      </c>
      <c r="C365" s="4">
        <v>0</v>
      </c>
      <c r="D365" s="4">
        <v>1</v>
      </c>
      <c r="E365" s="4">
        <v>207</v>
      </c>
      <c r="F365" s="4">
        <f>Source!U343</f>
        <v>9397.791819</v>
      </c>
      <c r="G365" s="4" t="s">
        <v>129</v>
      </c>
      <c r="H365" s="4" t="s">
        <v>130</v>
      </c>
      <c r="I365" s="4"/>
      <c r="J365" s="4"/>
      <c r="K365" s="4">
        <v>207</v>
      </c>
      <c r="L365" s="4">
        <v>21</v>
      </c>
      <c r="M365" s="4">
        <v>3</v>
      </c>
      <c r="N365" s="4" t="s">
        <v>3</v>
      </c>
      <c r="O365" s="4">
        <v>-1</v>
      </c>
      <c r="P365" s="4"/>
      <c r="Q365" s="4"/>
      <c r="R365" s="4"/>
      <c r="S365" s="4"/>
      <c r="T365" s="4"/>
      <c r="U365" s="4"/>
      <c r="V365" s="4"/>
      <c r="W365" s="4"/>
    </row>
    <row r="366" spans="1:23" x14ac:dyDescent="0.2">
      <c r="A366" s="4">
        <v>50</v>
      </c>
      <c r="B366" s="4">
        <v>0</v>
      </c>
      <c r="C366" s="4">
        <v>0</v>
      </c>
      <c r="D366" s="4">
        <v>1</v>
      </c>
      <c r="E366" s="4">
        <v>208</v>
      </c>
      <c r="F366" s="4">
        <f>Source!V343</f>
        <v>0</v>
      </c>
      <c r="G366" s="4" t="s">
        <v>131</v>
      </c>
      <c r="H366" s="4" t="s">
        <v>132</v>
      </c>
      <c r="I366" s="4"/>
      <c r="J366" s="4"/>
      <c r="K366" s="4">
        <v>208</v>
      </c>
      <c r="L366" s="4">
        <v>22</v>
      </c>
      <c r="M366" s="4">
        <v>3</v>
      </c>
      <c r="N366" s="4" t="s">
        <v>3</v>
      </c>
      <c r="O366" s="4">
        <v>-1</v>
      </c>
      <c r="P366" s="4"/>
      <c r="Q366" s="4"/>
      <c r="R366" s="4"/>
      <c r="S366" s="4"/>
      <c r="T366" s="4"/>
      <c r="U366" s="4"/>
      <c r="V366" s="4"/>
      <c r="W366" s="4"/>
    </row>
    <row r="367" spans="1:23" x14ac:dyDescent="0.2">
      <c r="A367" s="4">
        <v>50</v>
      </c>
      <c r="B367" s="4">
        <v>0</v>
      </c>
      <c r="C367" s="4">
        <v>0</v>
      </c>
      <c r="D367" s="4">
        <v>1</v>
      </c>
      <c r="E367" s="4">
        <v>209</v>
      </c>
      <c r="F367" s="4">
        <f>ROUND(Source!W343,O367)</f>
        <v>0</v>
      </c>
      <c r="G367" s="4" t="s">
        <v>133</v>
      </c>
      <c r="H367" s="4" t="s">
        <v>134</v>
      </c>
      <c r="I367" s="4"/>
      <c r="J367" s="4"/>
      <c r="K367" s="4">
        <v>209</v>
      </c>
      <c r="L367" s="4">
        <v>23</v>
      </c>
      <c r="M367" s="4">
        <v>3</v>
      </c>
      <c r="N367" s="4" t="s">
        <v>3</v>
      </c>
      <c r="O367" s="4">
        <v>2</v>
      </c>
      <c r="P367" s="4"/>
      <c r="Q367" s="4"/>
      <c r="R367" s="4"/>
      <c r="S367" s="4"/>
      <c r="T367" s="4"/>
      <c r="U367" s="4"/>
      <c r="V367" s="4"/>
      <c r="W367" s="4"/>
    </row>
    <row r="368" spans="1:23" x14ac:dyDescent="0.2">
      <c r="A368" s="4">
        <v>50</v>
      </c>
      <c r="B368" s="4">
        <v>0</v>
      </c>
      <c r="C368" s="4">
        <v>0</v>
      </c>
      <c r="D368" s="4">
        <v>1</v>
      </c>
      <c r="E368" s="4">
        <v>233</v>
      </c>
      <c r="F368" s="4">
        <f>ROUND(Source!BD343,O368)</f>
        <v>0</v>
      </c>
      <c r="G368" s="4" t="s">
        <v>135</v>
      </c>
      <c r="H368" s="4" t="s">
        <v>136</v>
      </c>
      <c r="I368" s="4"/>
      <c r="J368" s="4"/>
      <c r="K368" s="4">
        <v>233</v>
      </c>
      <c r="L368" s="4">
        <v>24</v>
      </c>
      <c r="M368" s="4">
        <v>3</v>
      </c>
      <c r="N368" s="4" t="s">
        <v>3</v>
      </c>
      <c r="O368" s="4">
        <v>2</v>
      </c>
      <c r="P368" s="4"/>
      <c r="Q368" s="4"/>
      <c r="R368" s="4"/>
      <c r="S368" s="4"/>
      <c r="T368" s="4"/>
      <c r="U368" s="4"/>
      <c r="V368" s="4"/>
      <c r="W368" s="4"/>
    </row>
    <row r="369" spans="1:245" x14ac:dyDescent="0.2">
      <c r="A369" s="4">
        <v>50</v>
      </c>
      <c r="B369" s="4">
        <v>0</v>
      </c>
      <c r="C369" s="4">
        <v>0</v>
      </c>
      <c r="D369" s="4">
        <v>1</v>
      </c>
      <c r="E369" s="4">
        <v>210</v>
      </c>
      <c r="F369" s="4">
        <f>ROUND(Source!X343,O369)</f>
        <v>2483141.31</v>
      </c>
      <c r="G369" s="4" t="s">
        <v>137</v>
      </c>
      <c r="H369" s="4" t="s">
        <v>138</v>
      </c>
      <c r="I369" s="4"/>
      <c r="J369" s="4"/>
      <c r="K369" s="4">
        <v>210</v>
      </c>
      <c r="L369" s="4">
        <v>25</v>
      </c>
      <c r="M369" s="4">
        <v>3</v>
      </c>
      <c r="N369" s="4" t="s">
        <v>3</v>
      </c>
      <c r="O369" s="4">
        <v>2</v>
      </c>
      <c r="P369" s="4"/>
      <c r="Q369" s="4"/>
      <c r="R369" s="4"/>
      <c r="S369" s="4"/>
      <c r="T369" s="4"/>
      <c r="U369" s="4"/>
      <c r="V369" s="4"/>
      <c r="W369" s="4"/>
    </row>
    <row r="370" spans="1:245" x14ac:dyDescent="0.2">
      <c r="A370" s="4">
        <v>50</v>
      </c>
      <c r="B370" s="4">
        <v>0</v>
      </c>
      <c r="C370" s="4">
        <v>0</v>
      </c>
      <c r="D370" s="4">
        <v>1</v>
      </c>
      <c r="E370" s="4">
        <v>211</v>
      </c>
      <c r="F370" s="4">
        <f>ROUND(Source!Y343,O370)</f>
        <v>1145800.3400000001</v>
      </c>
      <c r="G370" s="4" t="s">
        <v>139</v>
      </c>
      <c r="H370" s="4" t="s">
        <v>140</v>
      </c>
      <c r="I370" s="4"/>
      <c r="J370" s="4"/>
      <c r="K370" s="4">
        <v>211</v>
      </c>
      <c r="L370" s="4">
        <v>26</v>
      </c>
      <c r="M370" s="4">
        <v>3</v>
      </c>
      <c r="N370" s="4" t="s">
        <v>3</v>
      </c>
      <c r="O370" s="4">
        <v>2</v>
      </c>
      <c r="P370" s="4"/>
      <c r="Q370" s="4"/>
      <c r="R370" s="4"/>
      <c r="S370" s="4"/>
      <c r="T370" s="4"/>
      <c r="U370" s="4"/>
      <c r="V370" s="4"/>
      <c r="W370" s="4"/>
    </row>
    <row r="371" spans="1:245" x14ac:dyDescent="0.2">
      <c r="A371" s="4">
        <v>50</v>
      </c>
      <c r="B371" s="4">
        <v>0</v>
      </c>
      <c r="C371" s="4">
        <v>0</v>
      </c>
      <c r="D371" s="4">
        <v>1</v>
      </c>
      <c r="E371" s="4">
        <v>224</v>
      </c>
      <c r="F371" s="4">
        <f>ROUND(Source!AR343,O371)</f>
        <v>9169907.1500000004</v>
      </c>
      <c r="G371" s="4" t="s">
        <v>141</v>
      </c>
      <c r="H371" s="4" t="s">
        <v>142</v>
      </c>
      <c r="I371" s="4"/>
      <c r="J371" s="4"/>
      <c r="K371" s="4">
        <v>224</v>
      </c>
      <c r="L371" s="4">
        <v>27</v>
      </c>
      <c r="M371" s="4">
        <v>3</v>
      </c>
      <c r="N371" s="4" t="s">
        <v>3</v>
      </c>
      <c r="O371" s="4">
        <v>2</v>
      </c>
      <c r="P371" s="4"/>
      <c r="Q371" s="4"/>
      <c r="R371" s="4"/>
      <c r="S371" s="4"/>
      <c r="T371" s="4"/>
      <c r="U371" s="4"/>
      <c r="V371" s="4"/>
      <c r="W371" s="4"/>
    </row>
    <row r="372" spans="1:245" x14ac:dyDescent="0.2">
      <c r="A372" s="4">
        <v>50</v>
      </c>
      <c r="B372" s="4">
        <v>1</v>
      </c>
      <c r="C372" s="4">
        <v>0</v>
      </c>
      <c r="D372" s="4">
        <v>2</v>
      </c>
      <c r="E372" s="4">
        <v>0</v>
      </c>
      <c r="F372" s="4">
        <f>ROUND(F371*1.2,O372)</f>
        <v>11003888.58</v>
      </c>
      <c r="G372" s="4" t="s">
        <v>15</v>
      </c>
      <c r="H372" s="4" t="s">
        <v>170</v>
      </c>
      <c r="I372" s="4"/>
      <c r="J372" s="4"/>
      <c r="K372" s="4">
        <v>212</v>
      </c>
      <c r="L372" s="4">
        <v>28</v>
      </c>
      <c r="M372" s="4">
        <v>0</v>
      </c>
      <c r="N372" s="4" t="s">
        <v>3</v>
      </c>
      <c r="O372" s="4">
        <v>2</v>
      </c>
      <c r="P372" s="4"/>
      <c r="Q372" s="4"/>
      <c r="R372" s="4"/>
      <c r="S372" s="4"/>
      <c r="T372" s="4"/>
      <c r="U372" s="4"/>
      <c r="V372" s="4"/>
      <c r="W372" s="4"/>
    </row>
    <row r="374" spans="1:245" x14ac:dyDescent="0.2">
      <c r="A374" s="1">
        <v>4</v>
      </c>
      <c r="B374" s="1">
        <v>1</v>
      </c>
      <c r="C374" s="1"/>
      <c r="D374" s="1">
        <f>ROW(A389)</f>
        <v>389</v>
      </c>
      <c r="E374" s="1"/>
      <c r="F374" s="1" t="s">
        <v>13</v>
      </c>
      <c r="G374" s="1" t="s">
        <v>302</v>
      </c>
      <c r="H374" s="1" t="s">
        <v>3</v>
      </c>
      <c r="I374" s="1">
        <v>0</v>
      </c>
      <c r="J374" s="1"/>
      <c r="K374" s="1">
        <v>0</v>
      </c>
      <c r="L374" s="1"/>
      <c r="M374" s="1"/>
      <c r="N374" s="1"/>
      <c r="O374" s="1"/>
      <c r="P374" s="1"/>
      <c r="Q374" s="1"/>
      <c r="R374" s="1"/>
      <c r="S374" s="1"/>
      <c r="T374" s="1"/>
      <c r="U374" s="1" t="s">
        <v>3</v>
      </c>
      <c r="V374" s="1">
        <v>0</v>
      </c>
      <c r="W374" s="1"/>
      <c r="X374" s="1"/>
      <c r="Y374" s="1"/>
      <c r="Z374" s="1"/>
      <c r="AA374" s="1"/>
      <c r="AB374" s="1" t="s">
        <v>3</v>
      </c>
      <c r="AC374" s="1" t="s">
        <v>3</v>
      </c>
      <c r="AD374" s="1" t="s">
        <v>3</v>
      </c>
      <c r="AE374" s="1" t="s">
        <v>3</v>
      </c>
      <c r="AF374" s="1" t="s">
        <v>3</v>
      </c>
      <c r="AG374" s="1" t="s">
        <v>3</v>
      </c>
      <c r="AH374" s="1"/>
      <c r="AI374" s="1"/>
      <c r="AJ374" s="1"/>
      <c r="AK374" s="1"/>
      <c r="AL374" s="1"/>
      <c r="AM374" s="1"/>
      <c r="AN374" s="1"/>
      <c r="AO374" s="1"/>
      <c r="AP374" s="1" t="s">
        <v>3</v>
      </c>
      <c r="AQ374" s="1" t="s">
        <v>3</v>
      </c>
      <c r="AR374" s="1" t="s">
        <v>3</v>
      </c>
      <c r="AS374" s="1"/>
      <c r="AT374" s="1"/>
      <c r="AU374" s="1"/>
      <c r="AV374" s="1"/>
      <c r="AW374" s="1"/>
      <c r="AX374" s="1"/>
      <c r="AY374" s="1"/>
      <c r="AZ374" s="1" t="s">
        <v>3</v>
      </c>
      <c r="BA374" s="1"/>
      <c r="BB374" s="1" t="s">
        <v>3</v>
      </c>
      <c r="BC374" s="1" t="s">
        <v>3</v>
      </c>
      <c r="BD374" s="1" t="s">
        <v>3</v>
      </c>
      <c r="BE374" s="1" t="s">
        <v>3</v>
      </c>
      <c r="BF374" s="1" t="s">
        <v>3</v>
      </c>
      <c r="BG374" s="1" t="s">
        <v>3</v>
      </c>
      <c r="BH374" s="1" t="s">
        <v>3</v>
      </c>
      <c r="BI374" s="1" t="s">
        <v>3</v>
      </c>
      <c r="BJ374" s="1" t="s">
        <v>3</v>
      </c>
      <c r="BK374" s="1" t="s">
        <v>3</v>
      </c>
      <c r="BL374" s="1" t="s">
        <v>3</v>
      </c>
      <c r="BM374" s="1" t="s">
        <v>3</v>
      </c>
      <c r="BN374" s="1" t="s">
        <v>3</v>
      </c>
      <c r="BO374" s="1" t="s">
        <v>3</v>
      </c>
      <c r="BP374" s="1" t="s">
        <v>3</v>
      </c>
      <c r="BQ374" s="1"/>
      <c r="BR374" s="1"/>
      <c r="BS374" s="1"/>
      <c r="BT374" s="1"/>
      <c r="BU374" s="1"/>
      <c r="BV374" s="1"/>
      <c r="BW374" s="1"/>
      <c r="BX374" s="1">
        <v>0</v>
      </c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>
        <v>0</v>
      </c>
    </row>
    <row r="376" spans="1:245" x14ac:dyDescent="0.2">
      <c r="A376" s="2">
        <v>52</v>
      </c>
      <c r="B376" s="2">
        <f t="shared" ref="B376:G376" si="322">B389</f>
        <v>1</v>
      </c>
      <c r="C376" s="2">
        <f t="shared" si="322"/>
        <v>4</v>
      </c>
      <c r="D376" s="2">
        <f t="shared" si="322"/>
        <v>374</v>
      </c>
      <c r="E376" s="2">
        <f t="shared" si="322"/>
        <v>0</v>
      </c>
      <c r="F376" s="2" t="str">
        <f t="shared" si="322"/>
        <v>Новый раздел</v>
      </c>
      <c r="G376" s="2" t="str">
        <f t="shared" si="322"/>
        <v>21.1. Посадка кустарников (h=0,7 м)</v>
      </c>
      <c r="H376" s="2"/>
      <c r="I376" s="2"/>
      <c r="J376" s="2"/>
      <c r="K376" s="2"/>
      <c r="L376" s="2"/>
      <c r="M376" s="2"/>
      <c r="N376" s="2"/>
      <c r="O376" s="2">
        <f t="shared" ref="O376:AT376" si="323">O389</f>
        <v>2920600.74</v>
      </c>
      <c r="P376" s="2">
        <f t="shared" si="323"/>
        <v>1357953.12</v>
      </c>
      <c r="Q376" s="2">
        <f t="shared" si="323"/>
        <v>152693.88</v>
      </c>
      <c r="R376" s="2">
        <f t="shared" si="323"/>
        <v>85976.18</v>
      </c>
      <c r="S376" s="2">
        <f t="shared" si="323"/>
        <v>1409953.74</v>
      </c>
      <c r="T376" s="2">
        <f t="shared" si="323"/>
        <v>0</v>
      </c>
      <c r="U376" s="2">
        <f t="shared" si="323"/>
        <v>5267.6501639999997</v>
      </c>
      <c r="V376" s="2">
        <f t="shared" si="323"/>
        <v>0</v>
      </c>
      <c r="W376" s="2">
        <f t="shared" si="323"/>
        <v>0</v>
      </c>
      <c r="X376" s="2">
        <f t="shared" si="323"/>
        <v>1433532.61</v>
      </c>
      <c r="Y376" s="2">
        <f t="shared" si="323"/>
        <v>661844.51</v>
      </c>
      <c r="Z376" s="2">
        <f t="shared" si="323"/>
        <v>0</v>
      </c>
      <c r="AA376" s="2">
        <f t="shared" si="323"/>
        <v>0</v>
      </c>
      <c r="AB376" s="2">
        <f t="shared" si="323"/>
        <v>2920600.74</v>
      </c>
      <c r="AC376" s="2">
        <f t="shared" si="323"/>
        <v>1357953.12</v>
      </c>
      <c r="AD376" s="2">
        <f t="shared" si="323"/>
        <v>152693.88</v>
      </c>
      <c r="AE376" s="2">
        <f t="shared" si="323"/>
        <v>85976.18</v>
      </c>
      <c r="AF376" s="2">
        <f t="shared" si="323"/>
        <v>1409953.74</v>
      </c>
      <c r="AG376" s="2">
        <f t="shared" si="323"/>
        <v>0</v>
      </c>
      <c r="AH376" s="2">
        <f t="shared" si="323"/>
        <v>5267.6501639999997</v>
      </c>
      <c r="AI376" s="2">
        <f t="shared" si="323"/>
        <v>0</v>
      </c>
      <c r="AJ376" s="2">
        <f t="shared" si="323"/>
        <v>0</v>
      </c>
      <c r="AK376" s="2">
        <f t="shared" si="323"/>
        <v>1433532.61</v>
      </c>
      <c r="AL376" s="2">
        <f t="shared" si="323"/>
        <v>661844.51</v>
      </c>
      <c r="AM376" s="2">
        <f t="shared" si="323"/>
        <v>0</v>
      </c>
      <c r="AN376" s="2">
        <f t="shared" si="323"/>
        <v>0</v>
      </c>
      <c r="AO376" s="2">
        <f t="shared" si="323"/>
        <v>0</v>
      </c>
      <c r="AP376" s="2">
        <f t="shared" si="323"/>
        <v>0</v>
      </c>
      <c r="AQ376" s="2">
        <f t="shared" si="323"/>
        <v>0</v>
      </c>
      <c r="AR376" s="2">
        <f t="shared" si="323"/>
        <v>5150960.46</v>
      </c>
      <c r="AS376" s="2">
        <f t="shared" si="323"/>
        <v>5150960.46</v>
      </c>
      <c r="AT376" s="2">
        <f t="shared" si="323"/>
        <v>0</v>
      </c>
      <c r="AU376" s="2">
        <f t="shared" ref="AU376:BZ376" si="324">AU389</f>
        <v>0</v>
      </c>
      <c r="AV376" s="2">
        <f t="shared" si="324"/>
        <v>1357953.12</v>
      </c>
      <c r="AW376" s="2">
        <f t="shared" si="324"/>
        <v>1357953.12</v>
      </c>
      <c r="AX376" s="2">
        <f t="shared" si="324"/>
        <v>0</v>
      </c>
      <c r="AY376" s="2">
        <f t="shared" si="324"/>
        <v>1357953.12</v>
      </c>
      <c r="AZ376" s="2">
        <f t="shared" si="324"/>
        <v>0</v>
      </c>
      <c r="BA376" s="2">
        <f t="shared" si="324"/>
        <v>0</v>
      </c>
      <c r="BB376" s="2">
        <f t="shared" si="324"/>
        <v>0</v>
      </c>
      <c r="BC376" s="2">
        <f t="shared" si="324"/>
        <v>0</v>
      </c>
      <c r="BD376" s="2">
        <f t="shared" si="324"/>
        <v>0</v>
      </c>
      <c r="BE376" s="2">
        <f t="shared" si="324"/>
        <v>0</v>
      </c>
      <c r="BF376" s="2">
        <f t="shared" si="324"/>
        <v>0</v>
      </c>
      <c r="BG376" s="2">
        <f t="shared" si="324"/>
        <v>0</v>
      </c>
      <c r="BH376" s="2">
        <f t="shared" si="324"/>
        <v>0</v>
      </c>
      <c r="BI376" s="2">
        <f t="shared" si="324"/>
        <v>0</v>
      </c>
      <c r="BJ376" s="2">
        <f t="shared" si="324"/>
        <v>0</v>
      </c>
      <c r="BK376" s="2">
        <f t="shared" si="324"/>
        <v>0</v>
      </c>
      <c r="BL376" s="2">
        <f t="shared" si="324"/>
        <v>0</v>
      </c>
      <c r="BM376" s="2">
        <f t="shared" si="324"/>
        <v>0</v>
      </c>
      <c r="BN376" s="2">
        <f t="shared" si="324"/>
        <v>0</v>
      </c>
      <c r="BO376" s="2">
        <f t="shared" si="324"/>
        <v>0</v>
      </c>
      <c r="BP376" s="2">
        <f t="shared" si="324"/>
        <v>0</v>
      </c>
      <c r="BQ376" s="2">
        <f t="shared" si="324"/>
        <v>0</v>
      </c>
      <c r="BR376" s="2">
        <f t="shared" si="324"/>
        <v>0</v>
      </c>
      <c r="BS376" s="2">
        <f t="shared" si="324"/>
        <v>0</v>
      </c>
      <c r="BT376" s="2">
        <f t="shared" si="324"/>
        <v>0</v>
      </c>
      <c r="BU376" s="2">
        <f t="shared" si="324"/>
        <v>0</v>
      </c>
      <c r="BV376" s="2">
        <f t="shared" si="324"/>
        <v>0</v>
      </c>
      <c r="BW376" s="2">
        <f t="shared" si="324"/>
        <v>0</v>
      </c>
      <c r="BX376" s="2">
        <f t="shared" si="324"/>
        <v>0</v>
      </c>
      <c r="BY376" s="2">
        <f t="shared" si="324"/>
        <v>0</v>
      </c>
      <c r="BZ376" s="2">
        <f t="shared" si="324"/>
        <v>0</v>
      </c>
      <c r="CA376" s="2">
        <f t="shared" ref="CA376:DF376" si="325">CA389</f>
        <v>5150960.46</v>
      </c>
      <c r="CB376" s="2">
        <f t="shared" si="325"/>
        <v>5150960.46</v>
      </c>
      <c r="CC376" s="2">
        <f t="shared" si="325"/>
        <v>0</v>
      </c>
      <c r="CD376" s="2">
        <f t="shared" si="325"/>
        <v>0</v>
      </c>
      <c r="CE376" s="2">
        <f t="shared" si="325"/>
        <v>1357953.12</v>
      </c>
      <c r="CF376" s="2">
        <f t="shared" si="325"/>
        <v>1357953.12</v>
      </c>
      <c r="CG376" s="2">
        <f t="shared" si="325"/>
        <v>0</v>
      </c>
      <c r="CH376" s="2">
        <f t="shared" si="325"/>
        <v>1357953.12</v>
      </c>
      <c r="CI376" s="2">
        <f t="shared" si="325"/>
        <v>0</v>
      </c>
      <c r="CJ376" s="2">
        <f t="shared" si="325"/>
        <v>0</v>
      </c>
      <c r="CK376" s="2">
        <f t="shared" si="325"/>
        <v>0</v>
      </c>
      <c r="CL376" s="2">
        <f t="shared" si="325"/>
        <v>0</v>
      </c>
      <c r="CM376" s="2">
        <f t="shared" si="325"/>
        <v>0</v>
      </c>
      <c r="CN376" s="2">
        <f t="shared" si="325"/>
        <v>0</v>
      </c>
      <c r="CO376" s="2">
        <f t="shared" si="325"/>
        <v>0</v>
      </c>
      <c r="CP376" s="2">
        <f t="shared" si="325"/>
        <v>0</v>
      </c>
      <c r="CQ376" s="2">
        <f t="shared" si="325"/>
        <v>0</v>
      </c>
      <c r="CR376" s="2">
        <f t="shared" si="325"/>
        <v>0</v>
      </c>
      <c r="CS376" s="2">
        <f t="shared" si="325"/>
        <v>0</v>
      </c>
      <c r="CT376" s="2">
        <f t="shared" si="325"/>
        <v>0</v>
      </c>
      <c r="CU376" s="2">
        <f t="shared" si="325"/>
        <v>0</v>
      </c>
      <c r="CV376" s="2">
        <f t="shared" si="325"/>
        <v>0</v>
      </c>
      <c r="CW376" s="2">
        <f t="shared" si="325"/>
        <v>0</v>
      </c>
      <c r="CX376" s="2">
        <f t="shared" si="325"/>
        <v>0</v>
      </c>
      <c r="CY376" s="2">
        <f t="shared" si="325"/>
        <v>0</v>
      </c>
      <c r="CZ376" s="2">
        <f t="shared" si="325"/>
        <v>0</v>
      </c>
      <c r="DA376" s="2">
        <f t="shared" si="325"/>
        <v>0</v>
      </c>
      <c r="DB376" s="2">
        <f t="shared" si="325"/>
        <v>0</v>
      </c>
      <c r="DC376" s="2">
        <f t="shared" si="325"/>
        <v>0</v>
      </c>
      <c r="DD376" s="2">
        <f t="shared" si="325"/>
        <v>0</v>
      </c>
      <c r="DE376" s="2">
        <f t="shared" si="325"/>
        <v>0</v>
      </c>
      <c r="DF376" s="2">
        <f t="shared" si="325"/>
        <v>0</v>
      </c>
      <c r="DG376" s="3">
        <f t="shared" ref="DG376:EL376" si="326">DG389</f>
        <v>0</v>
      </c>
      <c r="DH376" s="3">
        <f t="shared" si="326"/>
        <v>0</v>
      </c>
      <c r="DI376" s="3">
        <f t="shared" si="326"/>
        <v>0</v>
      </c>
      <c r="DJ376" s="3">
        <f t="shared" si="326"/>
        <v>0</v>
      </c>
      <c r="DK376" s="3">
        <f t="shared" si="326"/>
        <v>0</v>
      </c>
      <c r="DL376" s="3">
        <f t="shared" si="326"/>
        <v>0</v>
      </c>
      <c r="DM376" s="3">
        <f t="shared" si="326"/>
        <v>0</v>
      </c>
      <c r="DN376" s="3">
        <f t="shared" si="326"/>
        <v>0</v>
      </c>
      <c r="DO376" s="3">
        <f t="shared" si="326"/>
        <v>0</v>
      </c>
      <c r="DP376" s="3">
        <f t="shared" si="326"/>
        <v>0</v>
      </c>
      <c r="DQ376" s="3">
        <f t="shared" si="326"/>
        <v>0</v>
      </c>
      <c r="DR376" s="3">
        <f t="shared" si="326"/>
        <v>0</v>
      </c>
      <c r="DS376" s="3">
        <f t="shared" si="326"/>
        <v>0</v>
      </c>
      <c r="DT376" s="3">
        <f t="shared" si="326"/>
        <v>0</v>
      </c>
      <c r="DU376" s="3">
        <f t="shared" si="326"/>
        <v>0</v>
      </c>
      <c r="DV376" s="3">
        <f t="shared" si="326"/>
        <v>0</v>
      </c>
      <c r="DW376" s="3">
        <f t="shared" si="326"/>
        <v>0</v>
      </c>
      <c r="DX376" s="3">
        <f t="shared" si="326"/>
        <v>0</v>
      </c>
      <c r="DY376" s="3">
        <f t="shared" si="326"/>
        <v>0</v>
      </c>
      <c r="DZ376" s="3">
        <f t="shared" si="326"/>
        <v>0</v>
      </c>
      <c r="EA376" s="3">
        <f t="shared" si="326"/>
        <v>0</v>
      </c>
      <c r="EB376" s="3">
        <f t="shared" si="326"/>
        <v>0</v>
      </c>
      <c r="EC376" s="3">
        <f t="shared" si="326"/>
        <v>0</v>
      </c>
      <c r="ED376" s="3">
        <f t="shared" si="326"/>
        <v>0</v>
      </c>
      <c r="EE376" s="3">
        <f t="shared" si="326"/>
        <v>0</v>
      </c>
      <c r="EF376" s="3">
        <f t="shared" si="326"/>
        <v>0</v>
      </c>
      <c r="EG376" s="3">
        <f t="shared" si="326"/>
        <v>0</v>
      </c>
      <c r="EH376" s="3">
        <f t="shared" si="326"/>
        <v>0</v>
      </c>
      <c r="EI376" s="3">
        <f t="shared" si="326"/>
        <v>0</v>
      </c>
      <c r="EJ376" s="3">
        <f t="shared" si="326"/>
        <v>0</v>
      </c>
      <c r="EK376" s="3">
        <f t="shared" si="326"/>
        <v>0</v>
      </c>
      <c r="EL376" s="3">
        <f t="shared" si="326"/>
        <v>0</v>
      </c>
      <c r="EM376" s="3">
        <f t="shared" ref="EM376:FR376" si="327">EM389</f>
        <v>0</v>
      </c>
      <c r="EN376" s="3">
        <f t="shared" si="327"/>
        <v>0</v>
      </c>
      <c r="EO376" s="3">
        <f t="shared" si="327"/>
        <v>0</v>
      </c>
      <c r="EP376" s="3">
        <f t="shared" si="327"/>
        <v>0</v>
      </c>
      <c r="EQ376" s="3">
        <f t="shared" si="327"/>
        <v>0</v>
      </c>
      <c r="ER376" s="3">
        <f t="shared" si="327"/>
        <v>0</v>
      </c>
      <c r="ES376" s="3">
        <f t="shared" si="327"/>
        <v>0</v>
      </c>
      <c r="ET376" s="3">
        <f t="shared" si="327"/>
        <v>0</v>
      </c>
      <c r="EU376" s="3">
        <f t="shared" si="327"/>
        <v>0</v>
      </c>
      <c r="EV376" s="3">
        <f t="shared" si="327"/>
        <v>0</v>
      </c>
      <c r="EW376" s="3">
        <f t="shared" si="327"/>
        <v>0</v>
      </c>
      <c r="EX376" s="3">
        <f t="shared" si="327"/>
        <v>0</v>
      </c>
      <c r="EY376" s="3">
        <f t="shared" si="327"/>
        <v>0</v>
      </c>
      <c r="EZ376" s="3">
        <f t="shared" si="327"/>
        <v>0</v>
      </c>
      <c r="FA376" s="3">
        <f t="shared" si="327"/>
        <v>0</v>
      </c>
      <c r="FB376" s="3">
        <f t="shared" si="327"/>
        <v>0</v>
      </c>
      <c r="FC376" s="3">
        <f t="shared" si="327"/>
        <v>0</v>
      </c>
      <c r="FD376" s="3">
        <f t="shared" si="327"/>
        <v>0</v>
      </c>
      <c r="FE376" s="3">
        <f t="shared" si="327"/>
        <v>0</v>
      </c>
      <c r="FF376" s="3">
        <f t="shared" si="327"/>
        <v>0</v>
      </c>
      <c r="FG376" s="3">
        <f t="shared" si="327"/>
        <v>0</v>
      </c>
      <c r="FH376" s="3">
        <f t="shared" si="327"/>
        <v>0</v>
      </c>
      <c r="FI376" s="3">
        <f t="shared" si="327"/>
        <v>0</v>
      </c>
      <c r="FJ376" s="3">
        <f t="shared" si="327"/>
        <v>0</v>
      </c>
      <c r="FK376" s="3">
        <f t="shared" si="327"/>
        <v>0</v>
      </c>
      <c r="FL376" s="3">
        <f t="shared" si="327"/>
        <v>0</v>
      </c>
      <c r="FM376" s="3">
        <f t="shared" si="327"/>
        <v>0</v>
      </c>
      <c r="FN376" s="3">
        <f t="shared" si="327"/>
        <v>0</v>
      </c>
      <c r="FO376" s="3">
        <f t="shared" si="327"/>
        <v>0</v>
      </c>
      <c r="FP376" s="3">
        <f t="shared" si="327"/>
        <v>0</v>
      </c>
      <c r="FQ376" s="3">
        <f t="shared" si="327"/>
        <v>0</v>
      </c>
      <c r="FR376" s="3">
        <f t="shared" si="327"/>
        <v>0</v>
      </c>
      <c r="FS376" s="3">
        <f t="shared" ref="FS376:GX376" si="328">FS389</f>
        <v>0</v>
      </c>
      <c r="FT376" s="3">
        <f t="shared" si="328"/>
        <v>0</v>
      </c>
      <c r="FU376" s="3">
        <f t="shared" si="328"/>
        <v>0</v>
      </c>
      <c r="FV376" s="3">
        <f t="shared" si="328"/>
        <v>0</v>
      </c>
      <c r="FW376" s="3">
        <f t="shared" si="328"/>
        <v>0</v>
      </c>
      <c r="FX376" s="3">
        <f t="shared" si="328"/>
        <v>0</v>
      </c>
      <c r="FY376" s="3">
        <f t="shared" si="328"/>
        <v>0</v>
      </c>
      <c r="FZ376" s="3">
        <f t="shared" si="328"/>
        <v>0</v>
      </c>
      <c r="GA376" s="3">
        <f t="shared" si="328"/>
        <v>0</v>
      </c>
      <c r="GB376" s="3">
        <f t="shared" si="328"/>
        <v>0</v>
      </c>
      <c r="GC376" s="3">
        <f t="shared" si="328"/>
        <v>0</v>
      </c>
      <c r="GD376" s="3">
        <f t="shared" si="328"/>
        <v>0</v>
      </c>
      <c r="GE376" s="3">
        <f t="shared" si="328"/>
        <v>0</v>
      </c>
      <c r="GF376" s="3">
        <f t="shared" si="328"/>
        <v>0</v>
      </c>
      <c r="GG376" s="3">
        <f t="shared" si="328"/>
        <v>0</v>
      </c>
      <c r="GH376" s="3">
        <f t="shared" si="328"/>
        <v>0</v>
      </c>
      <c r="GI376" s="3">
        <f t="shared" si="328"/>
        <v>0</v>
      </c>
      <c r="GJ376" s="3">
        <f t="shared" si="328"/>
        <v>0</v>
      </c>
      <c r="GK376" s="3">
        <f t="shared" si="328"/>
        <v>0</v>
      </c>
      <c r="GL376" s="3">
        <f t="shared" si="328"/>
        <v>0</v>
      </c>
      <c r="GM376" s="3">
        <f t="shared" si="328"/>
        <v>0</v>
      </c>
      <c r="GN376" s="3">
        <f t="shared" si="328"/>
        <v>0</v>
      </c>
      <c r="GO376" s="3">
        <f t="shared" si="328"/>
        <v>0</v>
      </c>
      <c r="GP376" s="3">
        <f t="shared" si="328"/>
        <v>0</v>
      </c>
      <c r="GQ376" s="3">
        <f t="shared" si="328"/>
        <v>0</v>
      </c>
      <c r="GR376" s="3">
        <f t="shared" si="328"/>
        <v>0</v>
      </c>
      <c r="GS376" s="3">
        <f t="shared" si="328"/>
        <v>0</v>
      </c>
      <c r="GT376" s="3">
        <f t="shared" si="328"/>
        <v>0</v>
      </c>
      <c r="GU376" s="3">
        <f t="shared" si="328"/>
        <v>0</v>
      </c>
      <c r="GV376" s="3">
        <f t="shared" si="328"/>
        <v>0</v>
      </c>
      <c r="GW376" s="3">
        <f t="shared" si="328"/>
        <v>0</v>
      </c>
      <c r="GX376" s="3">
        <f t="shared" si="328"/>
        <v>0</v>
      </c>
    </row>
    <row r="378" spans="1:245" x14ac:dyDescent="0.2">
      <c r="A378">
        <v>17</v>
      </c>
      <c r="B378">
        <v>1</v>
      </c>
      <c r="C378">
        <f>ROW(SmtRes!A166)</f>
        <v>166</v>
      </c>
      <c r="D378">
        <f>ROW(EtalonRes!A167)</f>
        <v>167</v>
      </c>
      <c r="E378" t="s">
        <v>303</v>
      </c>
      <c r="F378" t="s">
        <v>202</v>
      </c>
      <c r="G378" t="s">
        <v>203</v>
      </c>
      <c r="H378" t="s">
        <v>204</v>
      </c>
      <c r="I378">
        <f>ROUND(2765*0.28*0.9/100,9)</f>
        <v>6.9678000000000004</v>
      </c>
      <c r="J378">
        <v>0</v>
      </c>
      <c r="O378">
        <f t="shared" ref="O378:O387" si="329">ROUND(CP378,2)</f>
        <v>54244.55</v>
      </c>
      <c r="P378">
        <f t="shared" ref="P378:P387" si="330">ROUND((ROUND((AC378*AW378*I378),2)*BC378),2)</f>
        <v>0</v>
      </c>
      <c r="Q378">
        <f t="shared" ref="Q378:Q387" si="331">(ROUND((ROUND(((ET378)*AV378*I378),2)*BB378),2)+ROUND((ROUND(((AE378-(EU378))*AV378*I378),2)*BS378),2))</f>
        <v>51834.48</v>
      </c>
      <c r="R378">
        <f t="shared" ref="R378:R387" si="332">ROUND((ROUND((AE378*AV378*I378),2)*BS378),2)</f>
        <v>24010.95</v>
      </c>
      <c r="S378">
        <f t="shared" ref="S378:S387" si="333">ROUND((ROUND((AF378*AV378*I378),2)*BA378),2)</f>
        <v>2410.0700000000002</v>
      </c>
      <c r="T378">
        <f t="shared" ref="T378:T387" si="334">ROUND(CU378*I378,2)</f>
        <v>0</v>
      </c>
      <c r="U378">
        <f t="shared" ref="U378:U387" si="335">CV378*I378</f>
        <v>9.6155639999999991</v>
      </c>
      <c r="V378">
        <f t="shared" ref="V378:V387" si="336">CW378*I378</f>
        <v>0</v>
      </c>
      <c r="W378">
        <f t="shared" ref="W378:W387" si="337">ROUND(CX378*I378,2)</f>
        <v>0</v>
      </c>
      <c r="X378">
        <f t="shared" ref="X378:X387" si="338">ROUND(CY378,2)</f>
        <v>2217.2600000000002</v>
      </c>
      <c r="Y378">
        <f t="shared" ref="Y378:Y387" si="339">ROUND(CZ378,2)</f>
        <v>1205.04</v>
      </c>
      <c r="AA378">
        <v>33989672</v>
      </c>
      <c r="AB378">
        <f t="shared" ref="AB378:AB387" si="340">ROUND((AC378+AD378+AF378),6)</f>
        <v>771.65</v>
      </c>
      <c r="AC378">
        <f t="shared" ref="AC378:AC387" si="341">ROUND((ES378),6)</f>
        <v>0</v>
      </c>
      <c r="AD378">
        <f t="shared" ref="AD378:AD387" si="342">ROUND((((ET378)-(EU378))+AE378),6)</f>
        <v>757.55</v>
      </c>
      <c r="AE378">
        <f t="shared" ref="AE378:AE387" si="343">ROUND((EU378),6)</f>
        <v>140.47999999999999</v>
      </c>
      <c r="AF378">
        <f t="shared" ref="AF378:AF387" si="344">ROUND((EV378),6)</f>
        <v>14.1</v>
      </c>
      <c r="AG378">
        <f t="shared" ref="AG378:AG387" si="345">ROUND((AP378),6)</f>
        <v>0</v>
      </c>
      <c r="AH378">
        <f t="shared" ref="AH378:AH387" si="346">(EW378)</f>
        <v>1.38</v>
      </c>
      <c r="AI378">
        <f t="shared" ref="AI378:AI387" si="347">(EX378)</f>
        <v>0</v>
      </c>
      <c r="AJ378">
        <f t="shared" ref="AJ378:AJ387" si="348">(AS378)</f>
        <v>0</v>
      </c>
      <c r="AK378">
        <v>771.65</v>
      </c>
      <c r="AL378">
        <v>0</v>
      </c>
      <c r="AM378">
        <v>757.55</v>
      </c>
      <c r="AN378">
        <v>140.47999999999999</v>
      </c>
      <c r="AO378">
        <v>14.1</v>
      </c>
      <c r="AP378">
        <v>0</v>
      </c>
      <c r="AQ378">
        <v>1.38</v>
      </c>
      <c r="AR378">
        <v>0</v>
      </c>
      <c r="AS378">
        <v>0</v>
      </c>
      <c r="AT378">
        <v>92</v>
      </c>
      <c r="AU378">
        <v>50</v>
      </c>
      <c r="AV378">
        <v>1</v>
      </c>
      <c r="AW378">
        <v>1</v>
      </c>
      <c r="AZ378">
        <v>1</v>
      </c>
      <c r="BA378">
        <v>24.53</v>
      </c>
      <c r="BB378">
        <v>9.82</v>
      </c>
      <c r="BC378">
        <v>1</v>
      </c>
      <c r="BD378" t="s">
        <v>3</v>
      </c>
      <c r="BE378" t="s">
        <v>3</v>
      </c>
      <c r="BF378" t="s">
        <v>3</v>
      </c>
      <c r="BG378" t="s">
        <v>3</v>
      </c>
      <c r="BH378">
        <v>0</v>
      </c>
      <c r="BI378">
        <v>1</v>
      </c>
      <c r="BJ378" t="s">
        <v>205</v>
      </c>
      <c r="BM378">
        <v>2</v>
      </c>
      <c r="BN378">
        <v>0</v>
      </c>
      <c r="BO378" t="s">
        <v>202</v>
      </c>
      <c r="BP378">
        <v>1</v>
      </c>
      <c r="BQ378">
        <v>30</v>
      </c>
      <c r="BR378">
        <v>0</v>
      </c>
      <c r="BS378">
        <v>24.53</v>
      </c>
      <c r="BT378">
        <v>1</v>
      </c>
      <c r="BU378">
        <v>1</v>
      </c>
      <c r="BV378">
        <v>1</v>
      </c>
      <c r="BW378">
        <v>1</v>
      </c>
      <c r="BX378">
        <v>1</v>
      </c>
      <c r="BY378" t="s">
        <v>3</v>
      </c>
      <c r="BZ378">
        <v>92</v>
      </c>
      <c r="CA378">
        <v>50</v>
      </c>
      <c r="CE378">
        <v>30</v>
      </c>
      <c r="CF378">
        <v>0</v>
      </c>
      <c r="CG378">
        <v>0</v>
      </c>
      <c r="CM378">
        <v>0</v>
      </c>
      <c r="CN378" t="s">
        <v>3</v>
      </c>
      <c r="CO378">
        <v>0</v>
      </c>
      <c r="CP378">
        <f t="shared" ref="CP378:CP387" si="349">(P378+Q378+S378)</f>
        <v>54244.55</v>
      </c>
      <c r="CQ378">
        <f t="shared" ref="CQ378:CQ387" si="350">ROUND((ROUND((AC378*AW378*1),2)*BC378),2)</f>
        <v>0</v>
      </c>
      <c r="CR378">
        <f t="shared" ref="CR378:CR387" si="351">(ROUND((ROUND(((ET378)*AV378*1),2)*BB378),2)+ROUND((ROUND(((AE378-(EU378))*AV378*1),2)*BS378),2))</f>
        <v>7439.14</v>
      </c>
      <c r="CS378">
        <f t="shared" ref="CS378:CS387" si="352">ROUND((ROUND((AE378*AV378*1),2)*BS378),2)</f>
        <v>3445.97</v>
      </c>
      <c r="CT378">
        <f t="shared" ref="CT378:CT387" si="353">ROUND((ROUND((AF378*AV378*1),2)*BA378),2)</f>
        <v>345.87</v>
      </c>
      <c r="CU378">
        <f t="shared" ref="CU378:CU387" si="354">AG378</f>
        <v>0</v>
      </c>
      <c r="CV378">
        <f t="shared" ref="CV378:CV387" si="355">(AH378*AV378)</f>
        <v>1.38</v>
      </c>
      <c r="CW378">
        <f t="shared" ref="CW378:CW387" si="356">AI378</f>
        <v>0</v>
      </c>
      <c r="CX378">
        <f t="shared" ref="CX378:CX387" si="357">AJ378</f>
        <v>0</v>
      </c>
      <c r="CY378">
        <f t="shared" ref="CY378:CY387" si="358">S378*(BZ378/100)</f>
        <v>2217.2644</v>
      </c>
      <c r="CZ378">
        <f t="shared" ref="CZ378:CZ387" si="359">S378*(CA378/100)</f>
        <v>1205.0350000000001</v>
      </c>
      <c r="DC378" t="s">
        <v>3</v>
      </c>
      <c r="DD378" t="s">
        <v>3</v>
      </c>
      <c r="DE378" t="s">
        <v>3</v>
      </c>
      <c r="DF378" t="s">
        <v>3</v>
      </c>
      <c r="DG378" t="s">
        <v>3</v>
      </c>
      <c r="DH378" t="s">
        <v>3</v>
      </c>
      <c r="DI378" t="s">
        <v>3</v>
      </c>
      <c r="DJ378" t="s">
        <v>3</v>
      </c>
      <c r="DK378" t="s">
        <v>3</v>
      </c>
      <c r="DL378" t="s">
        <v>3</v>
      </c>
      <c r="DM378" t="s">
        <v>3</v>
      </c>
      <c r="DN378">
        <v>98</v>
      </c>
      <c r="DO378">
        <v>77</v>
      </c>
      <c r="DP378">
        <v>1</v>
      </c>
      <c r="DQ378">
        <v>1</v>
      </c>
      <c r="DU378">
        <v>1013</v>
      </c>
      <c r="DV378" t="s">
        <v>204</v>
      </c>
      <c r="DW378" t="s">
        <v>204</v>
      </c>
      <c r="DX378">
        <v>1</v>
      </c>
      <c r="EE378">
        <v>33797685</v>
      </c>
      <c r="EF378">
        <v>30</v>
      </c>
      <c r="EG378" t="s">
        <v>77</v>
      </c>
      <c r="EH378">
        <v>0</v>
      </c>
      <c r="EI378" t="s">
        <v>3</v>
      </c>
      <c r="EJ378">
        <v>1</v>
      </c>
      <c r="EK378">
        <v>2</v>
      </c>
      <c r="EL378" t="s">
        <v>206</v>
      </c>
      <c r="EM378" t="s">
        <v>207</v>
      </c>
      <c r="EO378" t="s">
        <v>3</v>
      </c>
      <c r="EQ378">
        <v>131072</v>
      </c>
      <c r="ER378">
        <v>771.65</v>
      </c>
      <c r="ES378">
        <v>0</v>
      </c>
      <c r="ET378">
        <v>757.55</v>
      </c>
      <c r="EU378">
        <v>140.47999999999999</v>
      </c>
      <c r="EV378">
        <v>14.1</v>
      </c>
      <c r="EW378">
        <v>1.38</v>
      </c>
      <c r="EX378">
        <v>0</v>
      </c>
      <c r="EY378">
        <v>0</v>
      </c>
      <c r="FQ378">
        <v>0</v>
      </c>
      <c r="FR378">
        <f t="shared" ref="FR378:FR387" si="360">ROUND(IF(AND(BH378=3,BI378=3),P378,0),2)</f>
        <v>0</v>
      </c>
      <c r="FS378">
        <v>0</v>
      </c>
      <c r="FX378">
        <v>98</v>
      </c>
      <c r="FY378">
        <v>77</v>
      </c>
      <c r="GA378" t="s">
        <v>3</v>
      </c>
      <c r="GD378">
        <v>0</v>
      </c>
      <c r="GF378">
        <v>445216503</v>
      </c>
      <c r="GG378">
        <v>2</v>
      </c>
      <c r="GH378">
        <v>1</v>
      </c>
      <c r="GI378">
        <v>2</v>
      </c>
      <c r="GJ378">
        <v>0</v>
      </c>
      <c r="GK378">
        <f>ROUND(R378*(R12)/100,2)</f>
        <v>37697.19</v>
      </c>
      <c r="GL378">
        <f t="shared" ref="GL378:GL387" si="361">ROUND(IF(AND(BH378=3,BI378=3,FS378&lt;&gt;0),P378,0),2)</f>
        <v>0</v>
      </c>
      <c r="GM378">
        <f t="shared" ref="GM378:GM387" si="362">ROUND(O378+X378+Y378+GK378,2)+GX378</f>
        <v>95364.04</v>
      </c>
      <c r="GN378">
        <f t="shared" ref="GN378:GN387" si="363">IF(OR(BI378=0,BI378=1),ROUND(O378+X378+Y378+GK378,2),0)</f>
        <v>95364.04</v>
      </c>
      <c r="GO378">
        <f t="shared" ref="GO378:GO387" si="364">IF(BI378=2,ROUND(O378+X378+Y378+GK378,2),0)</f>
        <v>0</v>
      </c>
      <c r="GP378">
        <f t="shared" ref="GP378:GP387" si="365">IF(BI378=4,ROUND(O378+X378+Y378+GK378,2)+GX378,0)</f>
        <v>0</v>
      </c>
      <c r="GR378">
        <v>0</v>
      </c>
      <c r="GS378">
        <v>3</v>
      </c>
      <c r="GT378">
        <v>0</v>
      </c>
      <c r="GU378" t="s">
        <v>3</v>
      </c>
      <c r="GV378">
        <f t="shared" ref="GV378:GV387" si="366">ROUND((GT378),6)</f>
        <v>0</v>
      </c>
      <c r="GW378">
        <v>1</v>
      </c>
      <c r="GX378">
        <f t="shared" ref="GX378:GX387" si="367">ROUND(HC378*I378,2)</f>
        <v>0</v>
      </c>
      <c r="HA378">
        <v>0</v>
      </c>
      <c r="HB378">
        <v>0</v>
      </c>
      <c r="HC378">
        <f t="shared" ref="HC378:HC387" si="368">GV378*GW378</f>
        <v>0</v>
      </c>
      <c r="IK378">
        <v>0</v>
      </c>
    </row>
    <row r="379" spans="1:245" x14ac:dyDescent="0.2">
      <c r="A379">
        <v>17</v>
      </c>
      <c r="B379">
        <v>1</v>
      </c>
      <c r="C379">
        <f>ROW(SmtRes!A167)</f>
        <v>167</v>
      </c>
      <c r="D379">
        <f>ROW(EtalonRes!A168)</f>
        <v>168</v>
      </c>
      <c r="E379" t="s">
        <v>304</v>
      </c>
      <c r="F379" t="s">
        <v>215</v>
      </c>
      <c r="G379" t="s">
        <v>216</v>
      </c>
      <c r="H379" t="s">
        <v>204</v>
      </c>
      <c r="I379">
        <f>ROUND(0.28*2765*0.1/100,9)</f>
        <v>0.7742</v>
      </c>
      <c r="J379">
        <v>0</v>
      </c>
      <c r="O379">
        <f t="shared" si="329"/>
        <v>15100.67</v>
      </c>
      <c r="P379">
        <f t="shared" si="330"/>
        <v>0</v>
      </c>
      <c r="Q379">
        <f t="shared" si="331"/>
        <v>0</v>
      </c>
      <c r="R379">
        <f t="shared" si="332"/>
        <v>0</v>
      </c>
      <c r="S379">
        <f t="shared" si="333"/>
        <v>15100.67</v>
      </c>
      <c r="T379">
        <f t="shared" si="334"/>
        <v>0</v>
      </c>
      <c r="U379">
        <f t="shared" si="335"/>
        <v>64.258600000000001</v>
      </c>
      <c r="V379">
        <f t="shared" si="336"/>
        <v>0</v>
      </c>
      <c r="W379">
        <f t="shared" si="337"/>
        <v>0</v>
      </c>
      <c r="X379">
        <f t="shared" si="338"/>
        <v>11023.49</v>
      </c>
      <c r="Y379">
        <f t="shared" si="339"/>
        <v>6191.27</v>
      </c>
      <c r="AA379">
        <v>33989672</v>
      </c>
      <c r="AB379">
        <f t="shared" si="340"/>
        <v>795.14</v>
      </c>
      <c r="AC379">
        <f t="shared" si="341"/>
        <v>0</v>
      </c>
      <c r="AD379">
        <f t="shared" si="342"/>
        <v>0</v>
      </c>
      <c r="AE379">
        <f t="shared" si="343"/>
        <v>0</v>
      </c>
      <c r="AF379">
        <f t="shared" si="344"/>
        <v>795.14</v>
      </c>
      <c r="AG379">
        <f t="shared" si="345"/>
        <v>0</v>
      </c>
      <c r="AH379">
        <f t="shared" si="346"/>
        <v>83</v>
      </c>
      <c r="AI379">
        <f t="shared" si="347"/>
        <v>0</v>
      </c>
      <c r="AJ379">
        <f t="shared" si="348"/>
        <v>0</v>
      </c>
      <c r="AK379">
        <v>795.14</v>
      </c>
      <c r="AL379">
        <v>0</v>
      </c>
      <c r="AM379">
        <v>0</v>
      </c>
      <c r="AN379">
        <v>0</v>
      </c>
      <c r="AO379">
        <v>795.14</v>
      </c>
      <c r="AP379">
        <v>0</v>
      </c>
      <c r="AQ379">
        <v>83</v>
      </c>
      <c r="AR379">
        <v>0</v>
      </c>
      <c r="AS379">
        <v>0</v>
      </c>
      <c r="AT379">
        <v>73</v>
      </c>
      <c r="AU379">
        <v>41</v>
      </c>
      <c r="AV379">
        <v>1</v>
      </c>
      <c r="AW379">
        <v>1</v>
      </c>
      <c r="AZ379">
        <v>1</v>
      </c>
      <c r="BA379">
        <v>24.53</v>
      </c>
      <c r="BB379">
        <v>1</v>
      </c>
      <c r="BC379">
        <v>1</v>
      </c>
      <c r="BD379" t="s">
        <v>3</v>
      </c>
      <c r="BE379" t="s">
        <v>3</v>
      </c>
      <c r="BF379" t="s">
        <v>3</v>
      </c>
      <c r="BG379" t="s">
        <v>3</v>
      </c>
      <c r="BH379">
        <v>0</v>
      </c>
      <c r="BI379">
        <v>1</v>
      </c>
      <c r="BJ379" t="s">
        <v>217</v>
      </c>
      <c r="BM379">
        <v>393</v>
      </c>
      <c r="BN379">
        <v>0</v>
      </c>
      <c r="BO379" t="s">
        <v>215</v>
      </c>
      <c r="BP379">
        <v>1</v>
      </c>
      <c r="BQ379">
        <v>60</v>
      </c>
      <c r="BR379">
        <v>0</v>
      </c>
      <c r="BS379">
        <v>24.53</v>
      </c>
      <c r="BT379">
        <v>1</v>
      </c>
      <c r="BU379">
        <v>1</v>
      </c>
      <c r="BV379">
        <v>1</v>
      </c>
      <c r="BW379">
        <v>1</v>
      </c>
      <c r="BX379">
        <v>1</v>
      </c>
      <c r="BY379" t="s">
        <v>3</v>
      </c>
      <c r="BZ379">
        <v>73</v>
      </c>
      <c r="CA379">
        <v>41</v>
      </c>
      <c r="CE379">
        <v>30</v>
      </c>
      <c r="CF379">
        <v>0</v>
      </c>
      <c r="CG379">
        <v>0</v>
      </c>
      <c r="CM379">
        <v>0</v>
      </c>
      <c r="CN379" t="s">
        <v>3</v>
      </c>
      <c r="CO379">
        <v>0</v>
      </c>
      <c r="CP379">
        <f t="shared" si="349"/>
        <v>15100.67</v>
      </c>
      <c r="CQ379">
        <f t="shared" si="350"/>
        <v>0</v>
      </c>
      <c r="CR379">
        <f t="shared" si="351"/>
        <v>0</v>
      </c>
      <c r="CS379">
        <f t="shared" si="352"/>
        <v>0</v>
      </c>
      <c r="CT379">
        <f t="shared" si="353"/>
        <v>19504.78</v>
      </c>
      <c r="CU379">
        <f t="shared" si="354"/>
        <v>0</v>
      </c>
      <c r="CV379">
        <f t="shared" si="355"/>
        <v>83</v>
      </c>
      <c r="CW379">
        <f t="shared" si="356"/>
        <v>0</v>
      </c>
      <c r="CX379">
        <f t="shared" si="357"/>
        <v>0</v>
      </c>
      <c r="CY379">
        <f t="shared" si="358"/>
        <v>11023.489100000001</v>
      </c>
      <c r="CZ379">
        <f t="shared" si="359"/>
        <v>6191.2746999999999</v>
      </c>
      <c r="DC379" t="s">
        <v>3</v>
      </c>
      <c r="DD379" t="s">
        <v>3</v>
      </c>
      <c r="DE379" t="s">
        <v>3</v>
      </c>
      <c r="DF379" t="s">
        <v>3</v>
      </c>
      <c r="DG379" t="s">
        <v>3</v>
      </c>
      <c r="DH379" t="s">
        <v>3</v>
      </c>
      <c r="DI379" t="s">
        <v>3</v>
      </c>
      <c r="DJ379" t="s">
        <v>3</v>
      </c>
      <c r="DK379" t="s">
        <v>3</v>
      </c>
      <c r="DL379" t="s">
        <v>3</v>
      </c>
      <c r="DM379" t="s">
        <v>3</v>
      </c>
      <c r="DN379">
        <v>91</v>
      </c>
      <c r="DO379">
        <v>67</v>
      </c>
      <c r="DP379">
        <v>1</v>
      </c>
      <c r="DQ379">
        <v>1</v>
      </c>
      <c r="DU379">
        <v>1013</v>
      </c>
      <c r="DV379" t="s">
        <v>204</v>
      </c>
      <c r="DW379" t="s">
        <v>204</v>
      </c>
      <c r="DX379">
        <v>1</v>
      </c>
      <c r="EE379">
        <v>33798032</v>
      </c>
      <c r="EF379">
        <v>60</v>
      </c>
      <c r="EG379" t="s">
        <v>20</v>
      </c>
      <c r="EH379">
        <v>0</v>
      </c>
      <c r="EI379" t="s">
        <v>3</v>
      </c>
      <c r="EJ379">
        <v>1</v>
      </c>
      <c r="EK379">
        <v>393</v>
      </c>
      <c r="EL379" t="s">
        <v>218</v>
      </c>
      <c r="EM379" t="s">
        <v>219</v>
      </c>
      <c r="EO379" t="s">
        <v>3</v>
      </c>
      <c r="EQ379">
        <v>131072</v>
      </c>
      <c r="ER379">
        <v>795.14</v>
      </c>
      <c r="ES379">
        <v>0</v>
      </c>
      <c r="ET379">
        <v>0</v>
      </c>
      <c r="EU379">
        <v>0</v>
      </c>
      <c r="EV379">
        <v>795.14</v>
      </c>
      <c r="EW379">
        <v>83</v>
      </c>
      <c r="EX379">
        <v>0</v>
      </c>
      <c r="EY379">
        <v>0</v>
      </c>
      <c r="FQ379">
        <v>0</v>
      </c>
      <c r="FR379">
        <f t="shared" si="360"/>
        <v>0</v>
      </c>
      <c r="FS379">
        <v>0</v>
      </c>
      <c r="FX379">
        <v>91</v>
      </c>
      <c r="FY379">
        <v>67</v>
      </c>
      <c r="GA379" t="s">
        <v>3</v>
      </c>
      <c r="GD379">
        <v>0</v>
      </c>
      <c r="GF379">
        <v>2144161260</v>
      </c>
      <c r="GG379">
        <v>2</v>
      </c>
      <c r="GH379">
        <v>1</v>
      </c>
      <c r="GI379">
        <v>2</v>
      </c>
      <c r="GJ379">
        <v>0</v>
      </c>
      <c r="GK379">
        <f>ROUND(R379*(R12)/100,2)</f>
        <v>0</v>
      </c>
      <c r="GL379">
        <f t="shared" si="361"/>
        <v>0</v>
      </c>
      <c r="GM379">
        <f t="shared" si="362"/>
        <v>32315.43</v>
      </c>
      <c r="GN379">
        <f t="shared" si="363"/>
        <v>32315.43</v>
      </c>
      <c r="GO379">
        <f t="shared" si="364"/>
        <v>0</v>
      </c>
      <c r="GP379">
        <f t="shared" si="365"/>
        <v>0</v>
      </c>
      <c r="GR379">
        <v>0</v>
      </c>
      <c r="GS379">
        <v>3</v>
      </c>
      <c r="GT379">
        <v>0</v>
      </c>
      <c r="GU379" t="s">
        <v>3</v>
      </c>
      <c r="GV379">
        <f t="shared" si="366"/>
        <v>0</v>
      </c>
      <c r="GW379">
        <v>1</v>
      </c>
      <c r="GX379">
        <f t="shared" si="367"/>
        <v>0</v>
      </c>
      <c r="HA379">
        <v>0</v>
      </c>
      <c r="HB379">
        <v>0</v>
      </c>
      <c r="HC379">
        <f t="shared" si="368"/>
        <v>0</v>
      </c>
      <c r="IK379">
        <v>0</v>
      </c>
    </row>
    <row r="380" spans="1:245" x14ac:dyDescent="0.2">
      <c r="A380">
        <v>17</v>
      </c>
      <c r="B380">
        <v>1</v>
      </c>
      <c r="C380">
        <f>ROW(SmtRes!A168)</f>
        <v>168</v>
      </c>
      <c r="D380">
        <f>ROW(EtalonRes!A169)</f>
        <v>169</v>
      </c>
      <c r="E380" t="s">
        <v>305</v>
      </c>
      <c r="F380" t="s">
        <v>271</v>
      </c>
      <c r="G380" t="s">
        <v>272</v>
      </c>
      <c r="H380" t="s">
        <v>51</v>
      </c>
      <c r="I380">
        <v>0</v>
      </c>
      <c r="J380">
        <v>0</v>
      </c>
      <c r="O380">
        <f t="shared" si="329"/>
        <v>0</v>
      </c>
      <c r="P380">
        <f t="shared" si="330"/>
        <v>0</v>
      </c>
      <c r="Q380">
        <f t="shared" si="331"/>
        <v>0</v>
      </c>
      <c r="R380">
        <f t="shared" si="332"/>
        <v>0</v>
      </c>
      <c r="S380">
        <f t="shared" si="333"/>
        <v>0</v>
      </c>
      <c r="T380">
        <f t="shared" si="334"/>
        <v>0</v>
      </c>
      <c r="U380">
        <f t="shared" si="335"/>
        <v>0</v>
      </c>
      <c r="V380">
        <f t="shared" si="336"/>
        <v>0</v>
      </c>
      <c r="W380">
        <f t="shared" si="337"/>
        <v>0</v>
      </c>
      <c r="X380">
        <f t="shared" si="338"/>
        <v>0</v>
      </c>
      <c r="Y380">
        <f t="shared" si="339"/>
        <v>0</v>
      </c>
      <c r="AA380">
        <v>33989672</v>
      </c>
      <c r="AB380">
        <f t="shared" si="340"/>
        <v>50.8</v>
      </c>
      <c r="AC380">
        <f t="shared" si="341"/>
        <v>0</v>
      </c>
      <c r="AD380">
        <f t="shared" si="342"/>
        <v>50.8</v>
      </c>
      <c r="AE380">
        <f t="shared" si="343"/>
        <v>0</v>
      </c>
      <c r="AF380">
        <f t="shared" si="344"/>
        <v>0</v>
      </c>
      <c r="AG380">
        <f t="shared" si="345"/>
        <v>0</v>
      </c>
      <c r="AH380">
        <f t="shared" si="346"/>
        <v>0</v>
      </c>
      <c r="AI380">
        <f t="shared" si="347"/>
        <v>0</v>
      </c>
      <c r="AJ380">
        <f t="shared" si="348"/>
        <v>0</v>
      </c>
      <c r="AK380">
        <v>50.8</v>
      </c>
      <c r="AL380">
        <v>0</v>
      </c>
      <c r="AM380">
        <v>50.8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93</v>
      </c>
      <c r="AU380">
        <v>64</v>
      </c>
      <c r="AV380">
        <v>1</v>
      </c>
      <c r="AW380">
        <v>1</v>
      </c>
      <c r="AZ380">
        <v>1</v>
      </c>
      <c r="BA380">
        <v>1</v>
      </c>
      <c r="BB380">
        <v>10.61</v>
      </c>
      <c r="BC380">
        <v>1</v>
      </c>
      <c r="BD380" t="s">
        <v>3</v>
      </c>
      <c r="BE380" t="s">
        <v>3</v>
      </c>
      <c r="BF380" t="s">
        <v>3</v>
      </c>
      <c r="BG380" t="s">
        <v>3</v>
      </c>
      <c r="BH380">
        <v>0</v>
      </c>
      <c r="BI380">
        <v>4</v>
      </c>
      <c r="BJ380" t="s">
        <v>273</v>
      </c>
      <c r="BM380">
        <v>1111</v>
      </c>
      <c r="BN380">
        <v>0</v>
      </c>
      <c r="BO380" t="s">
        <v>271</v>
      </c>
      <c r="BP380">
        <v>1</v>
      </c>
      <c r="BQ380">
        <v>150</v>
      </c>
      <c r="BR380">
        <v>0</v>
      </c>
      <c r="BS380">
        <v>1</v>
      </c>
      <c r="BT380">
        <v>1</v>
      </c>
      <c r="BU380">
        <v>1</v>
      </c>
      <c r="BV380">
        <v>1</v>
      </c>
      <c r="BW380">
        <v>1</v>
      </c>
      <c r="BX380">
        <v>1</v>
      </c>
      <c r="BY380" t="s">
        <v>3</v>
      </c>
      <c r="BZ380">
        <v>93</v>
      </c>
      <c r="CA380">
        <v>64</v>
      </c>
      <c r="CE380">
        <v>30</v>
      </c>
      <c r="CF380">
        <v>0</v>
      </c>
      <c r="CG380">
        <v>0</v>
      </c>
      <c r="CM380">
        <v>0</v>
      </c>
      <c r="CN380" t="s">
        <v>3</v>
      </c>
      <c r="CO380">
        <v>0</v>
      </c>
      <c r="CP380">
        <f t="shared" si="349"/>
        <v>0</v>
      </c>
      <c r="CQ380">
        <f t="shared" si="350"/>
        <v>0</v>
      </c>
      <c r="CR380">
        <f t="shared" si="351"/>
        <v>538.99</v>
      </c>
      <c r="CS380">
        <f t="shared" si="352"/>
        <v>0</v>
      </c>
      <c r="CT380">
        <f t="shared" si="353"/>
        <v>0</v>
      </c>
      <c r="CU380">
        <f t="shared" si="354"/>
        <v>0</v>
      </c>
      <c r="CV380">
        <f t="shared" si="355"/>
        <v>0</v>
      </c>
      <c r="CW380">
        <f t="shared" si="356"/>
        <v>0</v>
      </c>
      <c r="CX380">
        <f t="shared" si="357"/>
        <v>0</v>
      </c>
      <c r="CY380">
        <f t="shared" si="358"/>
        <v>0</v>
      </c>
      <c r="CZ380">
        <f t="shared" si="359"/>
        <v>0</v>
      </c>
      <c r="DC380" t="s">
        <v>3</v>
      </c>
      <c r="DD380" t="s">
        <v>3</v>
      </c>
      <c r="DE380" t="s">
        <v>3</v>
      </c>
      <c r="DF380" t="s">
        <v>3</v>
      </c>
      <c r="DG380" t="s">
        <v>3</v>
      </c>
      <c r="DH380" t="s">
        <v>3</v>
      </c>
      <c r="DI380" t="s">
        <v>3</v>
      </c>
      <c r="DJ380" t="s">
        <v>3</v>
      </c>
      <c r="DK380" t="s">
        <v>3</v>
      </c>
      <c r="DL380" t="s">
        <v>3</v>
      </c>
      <c r="DM380" t="s">
        <v>3</v>
      </c>
      <c r="DN380">
        <v>0</v>
      </c>
      <c r="DO380">
        <v>0</v>
      </c>
      <c r="DP380">
        <v>1</v>
      </c>
      <c r="DQ380">
        <v>1</v>
      </c>
      <c r="DU380">
        <v>1009</v>
      </c>
      <c r="DV380" t="s">
        <v>51</v>
      </c>
      <c r="DW380" t="s">
        <v>51</v>
      </c>
      <c r="DX380">
        <v>1000</v>
      </c>
      <c r="EE380">
        <v>33798750</v>
      </c>
      <c r="EF380">
        <v>150</v>
      </c>
      <c r="EG380" t="s">
        <v>53</v>
      </c>
      <c r="EH380">
        <v>0</v>
      </c>
      <c r="EI380" t="s">
        <v>3</v>
      </c>
      <c r="EJ380">
        <v>4</v>
      </c>
      <c r="EK380">
        <v>1111</v>
      </c>
      <c r="EL380" t="s">
        <v>224</v>
      </c>
      <c r="EM380" t="s">
        <v>225</v>
      </c>
      <c r="EO380" t="s">
        <v>3</v>
      </c>
      <c r="EQ380">
        <v>131072</v>
      </c>
      <c r="ER380">
        <v>50.8</v>
      </c>
      <c r="ES380">
        <v>0</v>
      </c>
      <c r="ET380">
        <v>50.8</v>
      </c>
      <c r="EU380">
        <v>0</v>
      </c>
      <c r="EV380">
        <v>0</v>
      </c>
      <c r="EW380">
        <v>0</v>
      </c>
      <c r="EX380">
        <v>0</v>
      </c>
      <c r="EY380">
        <v>0</v>
      </c>
      <c r="FQ380">
        <v>0</v>
      </c>
      <c r="FR380">
        <f t="shared" si="360"/>
        <v>0</v>
      </c>
      <c r="FS380">
        <v>0</v>
      </c>
      <c r="FX380">
        <v>0</v>
      </c>
      <c r="FY380">
        <v>0</v>
      </c>
      <c r="GA380" t="s">
        <v>3</v>
      </c>
      <c r="GD380">
        <v>0</v>
      </c>
      <c r="GF380">
        <v>-1019048002</v>
      </c>
      <c r="GG380">
        <v>2</v>
      </c>
      <c r="GH380">
        <v>1</v>
      </c>
      <c r="GI380">
        <v>2</v>
      </c>
      <c r="GJ380">
        <v>0</v>
      </c>
      <c r="GK380">
        <f>ROUND(R380*(R12)/100,2)</f>
        <v>0</v>
      </c>
      <c r="GL380">
        <f t="shared" si="361"/>
        <v>0</v>
      </c>
      <c r="GM380">
        <f t="shared" si="362"/>
        <v>0</v>
      </c>
      <c r="GN380">
        <f t="shared" si="363"/>
        <v>0</v>
      </c>
      <c r="GO380">
        <f t="shared" si="364"/>
        <v>0</v>
      </c>
      <c r="GP380">
        <f t="shared" si="365"/>
        <v>0</v>
      </c>
      <c r="GR380">
        <v>0</v>
      </c>
      <c r="GS380">
        <v>3</v>
      </c>
      <c r="GT380">
        <v>0</v>
      </c>
      <c r="GU380" t="s">
        <v>3</v>
      </c>
      <c r="GV380">
        <f t="shared" si="366"/>
        <v>0</v>
      </c>
      <c r="GW380">
        <v>1</v>
      </c>
      <c r="GX380">
        <f t="shared" si="367"/>
        <v>0</v>
      </c>
      <c r="HA380">
        <v>0</v>
      </c>
      <c r="HB380">
        <v>0</v>
      </c>
      <c r="HC380">
        <f t="shared" si="368"/>
        <v>0</v>
      </c>
      <c r="IK380">
        <v>0</v>
      </c>
    </row>
    <row r="381" spans="1:245" x14ac:dyDescent="0.2">
      <c r="A381">
        <v>17</v>
      </c>
      <c r="B381">
        <v>1</v>
      </c>
      <c r="C381">
        <f>ROW(SmtRes!A169)</f>
        <v>169</v>
      </c>
      <c r="D381">
        <f>ROW(EtalonRes!A170)</f>
        <v>170</v>
      </c>
      <c r="E381" t="s">
        <v>306</v>
      </c>
      <c r="F381" t="s">
        <v>227</v>
      </c>
      <c r="G381" t="s">
        <v>228</v>
      </c>
      <c r="H381" t="s">
        <v>38</v>
      </c>
      <c r="I381">
        <f>ROUND(I380,9)</f>
        <v>0</v>
      </c>
      <c r="J381">
        <v>0</v>
      </c>
      <c r="O381">
        <f t="shared" si="329"/>
        <v>0</v>
      </c>
      <c r="P381">
        <f t="shared" si="330"/>
        <v>0</v>
      </c>
      <c r="Q381">
        <f t="shared" si="331"/>
        <v>0</v>
      </c>
      <c r="R381">
        <f t="shared" si="332"/>
        <v>0</v>
      </c>
      <c r="S381">
        <f t="shared" si="333"/>
        <v>0</v>
      </c>
      <c r="T381">
        <f t="shared" si="334"/>
        <v>0</v>
      </c>
      <c r="U381">
        <f t="shared" si="335"/>
        <v>0</v>
      </c>
      <c r="V381">
        <f t="shared" si="336"/>
        <v>0</v>
      </c>
      <c r="W381">
        <f t="shared" si="337"/>
        <v>0</v>
      </c>
      <c r="X381">
        <f t="shared" si="338"/>
        <v>0</v>
      </c>
      <c r="Y381">
        <f t="shared" si="339"/>
        <v>0</v>
      </c>
      <c r="AA381">
        <v>33989672</v>
      </c>
      <c r="AB381">
        <f t="shared" si="340"/>
        <v>12.61</v>
      </c>
      <c r="AC381">
        <f t="shared" si="341"/>
        <v>0</v>
      </c>
      <c r="AD381">
        <f t="shared" si="342"/>
        <v>12.61</v>
      </c>
      <c r="AE381">
        <f t="shared" si="343"/>
        <v>0</v>
      </c>
      <c r="AF381">
        <f t="shared" si="344"/>
        <v>0</v>
      </c>
      <c r="AG381">
        <f t="shared" si="345"/>
        <v>0</v>
      </c>
      <c r="AH381">
        <f t="shared" si="346"/>
        <v>0</v>
      </c>
      <c r="AI381">
        <f t="shared" si="347"/>
        <v>0</v>
      </c>
      <c r="AJ381">
        <f t="shared" si="348"/>
        <v>0</v>
      </c>
      <c r="AK381">
        <v>12.61</v>
      </c>
      <c r="AL381">
        <v>0</v>
      </c>
      <c r="AM381">
        <v>12.61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93</v>
      </c>
      <c r="AU381">
        <v>64</v>
      </c>
      <c r="AV381">
        <v>1</v>
      </c>
      <c r="AW381">
        <v>1</v>
      </c>
      <c r="AZ381">
        <v>1</v>
      </c>
      <c r="BA381">
        <v>1</v>
      </c>
      <c r="BB381">
        <v>7.63</v>
      </c>
      <c r="BC381">
        <v>1</v>
      </c>
      <c r="BD381" t="s">
        <v>3</v>
      </c>
      <c r="BE381" t="s">
        <v>3</v>
      </c>
      <c r="BF381" t="s">
        <v>3</v>
      </c>
      <c r="BG381" t="s">
        <v>3</v>
      </c>
      <c r="BH381">
        <v>0</v>
      </c>
      <c r="BI381">
        <v>4</v>
      </c>
      <c r="BJ381" t="s">
        <v>229</v>
      </c>
      <c r="BM381">
        <v>1113</v>
      </c>
      <c r="BN381">
        <v>0</v>
      </c>
      <c r="BO381" t="s">
        <v>227</v>
      </c>
      <c r="BP381">
        <v>1</v>
      </c>
      <c r="BQ381">
        <v>150</v>
      </c>
      <c r="BR381">
        <v>0</v>
      </c>
      <c r="BS381">
        <v>1</v>
      </c>
      <c r="BT381">
        <v>1</v>
      </c>
      <c r="BU381">
        <v>1</v>
      </c>
      <c r="BV381">
        <v>1</v>
      </c>
      <c r="BW381">
        <v>1</v>
      </c>
      <c r="BX381">
        <v>1</v>
      </c>
      <c r="BY381" t="s">
        <v>3</v>
      </c>
      <c r="BZ381">
        <v>93</v>
      </c>
      <c r="CA381">
        <v>64</v>
      </c>
      <c r="CE381">
        <v>30</v>
      </c>
      <c r="CF381">
        <v>0</v>
      </c>
      <c r="CG381">
        <v>0</v>
      </c>
      <c r="CM381">
        <v>0</v>
      </c>
      <c r="CN381" t="s">
        <v>3</v>
      </c>
      <c r="CO381">
        <v>0</v>
      </c>
      <c r="CP381">
        <f t="shared" si="349"/>
        <v>0</v>
      </c>
      <c r="CQ381">
        <f t="shared" si="350"/>
        <v>0</v>
      </c>
      <c r="CR381">
        <f t="shared" si="351"/>
        <v>96.21</v>
      </c>
      <c r="CS381">
        <f t="shared" si="352"/>
        <v>0</v>
      </c>
      <c r="CT381">
        <f t="shared" si="353"/>
        <v>0</v>
      </c>
      <c r="CU381">
        <f t="shared" si="354"/>
        <v>0</v>
      </c>
      <c r="CV381">
        <f t="shared" si="355"/>
        <v>0</v>
      </c>
      <c r="CW381">
        <f t="shared" si="356"/>
        <v>0</v>
      </c>
      <c r="CX381">
        <f t="shared" si="357"/>
        <v>0</v>
      </c>
      <c r="CY381">
        <f t="shared" si="358"/>
        <v>0</v>
      </c>
      <c r="CZ381">
        <f t="shared" si="359"/>
        <v>0</v>
      </c>
      <c r="DC381" t="s">
        <v>3</v>
      </c>
      <c r="DD381" t="s">
        <v>3</v>
      </c>
      <c r="DE381" t="s">
        <v>3</v>
      </c>
      <c r="DF381" t="s">
        <v>3</v>
      </c>
      <c r="DG381" t="s">
        <v>3</v>
      </c>
      <c r="DH381" t="s">
        <v>3</v>
      </c>
      <c r="DI381" t="s">
        <v>3</v>
      </c>
      <c r="DJ381" t="s">
        <v>3</v>
      </c>
      <c r="DK381" t="s">
        <v>3</v>
      </c>
      <c r="DL381" t="s">
        <v>3</v>
      </c>
      <c r="DM381" t="s">
        <v>3</v>
      </c>
      <c r="DN381">
        <v>0</v>
      </c>
      <c r="DO381">
        <v>0</v>
      </c>
      <c r="DP381">
        <v>1</v>
      </c>
      <c r="DQ381">
        <v>1</v>
      </c>
      <c r="DU381">
        <v>1013</v>
      </c>
      <c r="DV381" t="s">
        <v>38</v>
      </c>
      <c r="DW381" t="s">
        <v>38</v>
      </c>
      <c r="DX381">
        <v>1</v>
      </c>
      <c r="EE381">
        <v>33798752</v>
      </c>
      <c r="EF381">
        <v>150</v>
      </c>
      <c r="EG381" t="s">
        <v>53</v>
      </c>
      <c r="EH381">
        <v>0</v>
      </c>
      <c r="EI381" t="s">
        <v>3</v>
      </c>
      <c r="EJ381">
        <v>4</v>
      </c>
      <c r="EK381">
        <v>1113</v>
      </c>
      <c r="EL381" t="s">
        <v>54</v>
      </c>
      <c r="EM381" t="s">
        <v>55</v>
      </c>
      <c r="EO381" t="s">
        <v>3</v>
      </c>
      <c r="EQ381">
        <v>131072</v>
      </c>
      <c r="ER381">
        <v>12.61</v>
      </c>
      <c r="ES381">
        <v>0</v>
      </c>
      <c r="ET381">
        <v>12.61</v>
      </c>
      <c r="EU381">
        <v>0</v>
      </c>
      <c r="EV381">
        <v>0</v>
      </c>
      <c r="EW381">
        <v>0</v>
      </c>
      <c r="EX381">
        <v>0</v>
      </c>
      <c r="EY381">
        <v>0</v>
      </c>
      <c r="FQ381">
        <v>0</v>
      </c>
      <c r="FR381">
        <f t="shared" si="360"/>
        <v>0</v>
      </c>
      <c r="FS381">
        <v>0</v>
      </c>
      <c r="FX381">
        <v>0</v>
      </c>
      <c r="FY381">
        <v>0</v>
      </c>
      <c r="GA381" t="s">
        <v>3</v>
      </c>
      <c r="GD381">
        <v>0</v>
      </c>
      <c r="GF381">
        <v>-1630031867</v>
      </c>
      <c r="GG381">
        <v>2</v>
      </c>
      <c r="GH381">
        <v>1</v>
      </c>
      <c r="GI381">
        <v>2</v>
      </c>
      <c r="GJ381">
        <v>0</v>
      </c>
      <c r="GK381">
        <f>ROUND(R381*(R12)/100,2)</f>
        <v>0</v>
      </c>
      <c r="GL381">
        <f t="shared" si="361"/>
        <v>0</v>
      </c>
      <c r="GM381">
        <f t="shared" si="362"/>
        <v>0</v>
      </c>
      <c r="GN381">
        <f t="shared" si="363"/>
        <v>0</v>
      </c>
      <c r="GO381">
        <f t="shared" si="364"/>
        <v>0</v>
      </c>
      <c r="GP381">
        <f t="shared" si="365"/>
        <v>0</v>
      </c>
      <c r="GR381">
        <v>0</v>
      </c>
      <c r="GS381">
        <v>3</v>
      </c>
      <c r="GT381">
        <v>0</v>
      </c>
      <c r="GU381" t="s">
        <v>3</v>
      </c>
      <c r="GV381">
        <f t="shared" si="366"/>
        <v>0</v>
      </c>
      <c r="GW381">
        <v>1</v>
      </c>
      <c r="GX381">
        <f t="shared" si="367"/>
        <v>0</v>
      </c>
      <c r="HA381">
        <v>0</v>
      </c>
      <c r="HB381">
        <v>0</v>
      </c>
      <c r="HC381">
        <f t="shared" si="368"/>
        <v>0</v>
      </c>
      <c r="IK381">
        <v>0</v>
      </c>
    </row>
    <row r="382" spans="1:245" x14ac:dyDescent="0.2">
      <c r="A382">
        <v>17</v>
      </c>
      <c r="B382">
        <v>1</v>
      </c>
      <c r="C382">
        <f>ROW(SmtRes!A174)</f>
        <v>174</v>
      </c>
      <c r="D382">
        <f>ROW(EtalonRes!A175)</f>
        <v>175</v>
      </c>
      <c r="E382" t="s">
        <v>307</v>
      </c>
      <c r="F382" t="s">
        <v>308</v>
      </c>
      <c r="G382" t="s">
        <v>309</v>
      </c>
      <c r="H382" t="s">
        <v>310</v>
      </c>
      <c r="I382">
        <f>ROUND(2765*0.4/10,9)</f>
        <v>110.6</v>
      </c>
      <c r="J382">
        <v>0</v>
      </c>
      <c r="O382">
        <f t="shared" si="329"/>
        <v>356645.08</v>
      </c>
      <c r="P382">
        <f t="shared" si="330"/>
        <v>72243.87</v>
      </c>
      <c r="Q382">
        <f t="shared" si="331"/>
        <v>21021.37</v>
      </c>
      <c r="R382">
        <f t="shared" si="332"/>
        <v>11503.1</v>
      </c>
      <c r="S382">
        <f t="shared" si="333"/>
        <v>263379.84000000003</v>
      </c>
      <c r="T382">
        <f t="shared" si="334"/>
        <v>0</v>
      </c>
      <c r="U382">
        <f t="shared" si="335"/>
        <v>1068.396</v>
      </c>
      <c r="V382">
        <f t="shared" si="336"/>
        <v>0</v>
      </c>
      <c r="W382">
        <f t="shared" si="337"/>
        <v>0</v>
      </c>
      <c r="X382">
        <f t="shared" si="338"/>
        <v>268647.44</v>
      </c>
      <c r="Y382">
        <f t="shared" si="339"/>
        <v>123788.52</v>
      </c>
      <c r="AA382">
        <v>33989672</v>
      </c>
      <c r="AB382">
        <f t="shared" si="340"/>
        <v>402.89</v>
      </c>
      <c r="AC382">
        <f t="shared" si="341"/>
        <v>285.24</v>
      </c>
      <c r="AD382">
        <f t="shared" si="342"/>
        <v>20.57</v>
      </c>
      <c r="AE382">
        <f t="shared" si="343"/>
        <v>4.24</v>
      </c>
      <c r="AF382">
        <f t="shared" si="344"/>
        <v>97.08</v>
      </c>
      <c r="AG382">
        <f t="shared" si="345"/>
        <v>0</v>
      </c>
      <c r="AH382">
        <f t="shared" si="346"/>
        <v>9.66</v>
      </c>
      <c r="AI382">
        <f t="shared" si="347"/>
        <v>0</v>
      </c>
      <c r="AJ382">
        <f t="shared" si="348"/>
        <v>0</v>
      </c>
      <c r="AK382">
        <v>402.89</v>
      </c>
      <c r="AL382">
        <v>285.24</v>
      </c>
      <c r="AM382">
        <v>20.57</v>
      </c>
      <c r="AN382">
        <v>4.24</v>
      </c>
      <c r="AO382">
        <v>97.08</v>
      </c>
      <c r="AP382">
        <v>0</v>
      </c>
      <c r="AQ382">
        <v>9.66</v>
      </c>
      <c r="AR382">
        <v>0</v>
      </c>
      <c r="AS382">
        <v>0</v>
      </c>
      <c r="AT382">
        <v>102</v>
      </c>
      <c r="AU382">
        <v>47</v>
      </c>
      <c r="AV382">
        <v>1</v>
      </c>
      <c r="AW382">
        <v>1</v>
      </c>
      <c r="AZ382">
        <v>1</v>
      </c>
      <c r="BA382">
        <v>24.53</v>
      </c>
      <c r="BB382">
        <v>9.24</v>
      </c>
      <c r="BC382">
        <v>2.29</v>
      </c>
      <c r="BD382" t="s">
        <v>3</v>
      </c>
      <c r="BE382" t="s">
        <v>3</v>
      </c>
      <c r="BF382" t="s">
        <v>3</v>
      </c>
      <c r="BG382" t="s">
        <v>3</v>
      </c>
      <c r="BH382">
        <v>0</v>
      </c>
      <c r="BI382">
        <v>1</v>
      </c>
      <c r="BJ382" t="s">
        <v>311</v>
      </c>
      <c r="BM382">
        <v>292</v>
      </c>
      <c r="BN382">
        <v>0</v>
      </c>
      <c r="BO382" t="s">
        <v>308</v>
      </c>
      <c r="BP382">
        <v>1</v>
      </c>
      <c r="BQ382">
        <v>30</v>
      </c>
      <c r="BR382">
        <v>0</v>
      </c>
      <c r="BS382">
        <v>24.53</v>
      </c>
      <c r="BT382">
        <v>1</v>
      </c>
      <c r="BU382">
        <v>1</v>
      </c>
      <c r="BV382">
        <v>1</v>
      </c>
      <c r="BW382">
        <v>1</v>
      </c>
      <c r="BX382">
        <v>1</v>
      </c>
      <c r="BY382" t="s">
        <v>3</v>
      </c>
      <c r="BZ382">
        <v>102</v>
      </c>
      <c r="CA382">
        <v>47</v>
      </c>
      <c r="CE382">
        <v>30</v>
      </c>
      <c r="CF382">
        <v>0</v>
      </c>
      <c r="CG382">
        <v>0</v>
      </c>
      <c r="CM382">
        <v>0</v>
      </c>
      <c r="CN382" t="s">
        <v>3</v>
      </c>
      <c r="CO382">
        <v>0</v>
      </c>
      <c r="CP382">
        <f t="shared" si="349"/>
        <v>356645.08</v>
      </c>
      <c r="CQ382">
        <f t="shared" si="350"/>
        <v>653.20000000000005</v>
      </c>
      <c r="CR382">
        <f t="shared" si="351"/>
        <v>190.07</v>
      </c>
      <c r="CS382">
        <f t="shared" si="352"/>
        <v>104.01</v>
      </c>
      <c r="CT382">
        <f t="shared" si="353"/>
        <v>2381.37</v>
      </c>
      <c r="CU382">
        <f t="shared" si="354"/>
        <v>0</v>
      </c>
      <c r="CV382">
        <f t="shared" si="355"/>
        <v>9.66</v>
      </c>
      <c r="CW382">
        <f t="shared" si="356"/>
        <v>0</v>
      </c>
      <c r="CX382">
        <f t="shared" si="357"/>
        <v>0</v>
      </c>
      <c r="CY382">
        <f t="shared" si="358"/>
        <v>268647.43680000002</v>
      </c>
      <c r="CZ382">
        <f t="shared" si="359"/>
        <v>123788.5248</v>
      </c>
      <c r="DC382" t="s">
        <v>3</v>
      </c>
      <c r="DD382" t="s">
        <v>3</v>
      </c>
      <c r="DE382" t="s">
        <v>3</v>
      </c>
      <c r="DF382" t="s">
        <v>3</v>
      </c>
      <c r="DG382" t="s">
        <v>3</v>
      </c>
      <c r="DH382" t="s">
        <v>3</v>
      </c>
      <c r="DI382" t="s">
        <v>3</v>
      </c>
      <c r="DJ382" t="s">
        <v>3</v>
      </c>
      <c r="DK382" t="s">
        <v>3</v>
      </c>
      <c r="DL382" t="s">
        <v>3</v>
      </c>
      <c r="DM382" t="s">
        <v>3</v>
      </c>
      <c r="DN382">
        <v>187</v>
      </c>
      <c r="DO382">
        <v>101</v>
      </c>
      <c r="DP382">
        <v>1</v>
      </c>
      <c r="DQ382">
        <v>1</v>
      </c>
      <c r="DU382">
        <v>1013</v>
      </c>
      <c r="DV382" t="s">
        <v>310</v>
      </c>
      <c r="DW382" t="s">
        <v>310</v>
      </c>
      <c r="DX382">
        <v>1</v>
      </c>
      <c r="EE382">
        <v>33797931</v>
      </c>
      <c r="EF382">
        <v>30</v>
      </c>
      <c r="EG382" t="s">
        <v>77</v>
      </c>
      <c r="EH382">
        <v>0</v>
      </c>
      <c r="EI382" t="s">
        <v>3</v>
      </c>
      <c r="EJ382">
        <v>1</v>
      </c>
      <c r="EK382">
        <v>292</v>
      </c>
      <c r="EL382" t="s">
        <v>312</v>
      </c>
      <c r="EM382" t="s">
        <v>313</v>
      </c>
      <c r="EO382" t="s">
        <v>3</v>
      </c>
      <c r="EQ382">
        <v>131072</v>
      </c>
      <c r="ER382">
        <v>402.89</v>
      </c>
      <c r="ES382">
        <v>285.24</v>
      </c>
      <c r="ET382">
        <v>20.57</v>
      </c>
      <c r="EU382">
        <v>4.24</v>
      </c>
      <c r="EV382">
        <v>97.08</v>
      </c>
      <c r="EW382">
        <v>9.66</v>
      </c>
      <c r="EX382">
        <v>0</v>
      </c>
      <c r="EY382">
        <v>0</v>
      </c>
      <c r="FQ382">
        <v>0</v>
      </c>
      <c r="FR382">
        <f t="shared" si="360"/>
        <v>0</v>
      </c>
      <c r="FS382">
        <v>0</v>
      </c>
      <c r="FX382">
        <v>187</v>
      </c>
      <c r="FY382">
        <v>101</v>
      </c>
      <c r="GA382" t="s">
        <v>3</v>
      </c>
      <c r="GD382">
        <v>0</v>
      </c>
      <c r="GF382">
        <v>257728809</v>
      </c>
      <c r="GG382">
        <v>2</v>
      </c>
      <c r="GH382">
        <v>1</v>
      </c>
      <c r="GI382">
        <v>2</v>
      </c>
      <c r="GJ382">
        <v>0</v>
      </c>
      <c r="GK382">
        <f>ROUND(R382*(R12)/100,2)</f>
        <v>18059.87</v>
      </c>
      <c r="GL382">
        <f t="shared" si="361"/>
        <v>0</v>
      </c>
      <c r="GM382">
        <f t="shared" si="362"/>
        <v>767140.91</v>
      </c>
      <c r="GN382">
        <f t="shared" si="363"/>
        <v>767140.91</v>
      </c>
      <c r="GO382">
        <f t="shared" si="364"/>
        <v>0</v>
      </c>
      <c r="GP382">
        <f t="shared" si="365"/>
        <v>0</v>
      </c>
      <c r="GR382">
        <v>0</v>
      </c>
      <c r="GS382">
        <v>3</v>
      </c>
      <c r="GT382">
        <v>0</v>
      </c>
      <c r="GU382" t="s">
        <v>3</v>
      </c>
      <c r="GV382">
        <f t="shared" si="366"/>
        <v>0</v>
      </c>
      <c r="GW382">
        <v>1</v>
      </c>
      <c r="GX382">
        <f t="shared" si="367"/>
        <v>0</v>
      </c>
      <c r="HA382">
        <v>0</v>
      </c>
      <c r="HB382">
        <v>0</v>
      </c>
      <c r="HC382">
        <f t="shared" si="368"/>
        <v>0</v>
      </c>
      <c r="IK382">
        <v>0</v>
      </c>
    </row>
    <row r="383" spans="1:245" x14ac:dyDescent="0.2">
      <c r="A383">
        <v>18</v>
      </c>
      <c r="B383">
        <v>1</v>
      </c>
      <c r="C383">
        <v>173</v>
      </c>
      <c r="E383" t="s">
        <v>314</v>
      </c>
      <c r="F383" t="s">
        <v>280</v>
      </c>
      <c r="G383" t="s">
        <v>281</v>
      </c>
      <c r="H383" t="s">
        <v>66</v>
      </c>
      <c r="I383">
        <f>I382*J383</f>
        <v>221.2</v>
      </c>
      <c r="J383">
        <v>2</v>
      </c>
      <c r="O383">
        <f t="shared" si="329"/>
        <v>216323.53</v>
      </c>
      <c r="P383">
        <f t="shared" si="330"/>
        <v>216323.53</v>
      </c>
      <c r="Q383">
        <f t="shared" si="331"/>
        <v>0</v>
      </c>
      <c r="R383">
        <f t="shared" si="332"/>
        <v>0</v>
      </c>
      <c r="S383">
        <f t="shared" si="333"/>
        <v>0</v>
      </c>
      <c r="T383">
        <f t="shared" si="334"/>
        <v>0</v>
      </c>
      <c r="U383">
        <f t="shared" si="335"/>
        <v>0</v>
      </c>
      <c r="V383">
        <f t="shared" si="336"/>
        <v>0</v>
      </c>
      <c r="W383">
        <f t="shared" si="337"/>
        <v>0</v>
      </c>
      <c r="X383">
        <f t="shared" si="338"/>
        <v>0</v>
      </c>
      <c r="Y383">
        <f t="shared" si="339"/>
        <v>0</v>
      </c>
      <c r="AA383">
        <v>33989672</v>
      </c>
      <c r="AB383">
        <f t="shared" si="340"/>
        <v>146.84</v>
      </c>
      <c r="AC383">
        <f t="shared" si="341"/>
        <v>146.84</v>
      </c>
      <c r="AD383">
        <f t="shared" si="342"/>
        <v>0</v>
      </c>
      <c r="AE383">
        <f t="shared" si="343"/>
        <v>0</v>
      </c>
      <c r="AF383">
        <f t="shared" si="344"/>
        <v>0</v>
      </c>
      <c r="AG383">
        <f t="shared" si="345"/>
        <v>0</v>
      </c>
      <c r="AH383">
        <f t="shared" si="346"/>
        <v>0</v>
      </c>
      <c r="AI383">
        <f t="shared" si="347"/>
        <v>0</v>
      </c>
      <c r="AJ383">
        <f t="shared" si="348"/>
        <v>0</v>
      </c>
      <c r="AK383">
        <v>146.84</v>
      </c>
      <c r="AL383">
        <v>146.84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1</v>
      </c>
      <c r="AW383">
        <v>1</v>
      </c>
      <c r="AZ383">
        <v>1</v>
      </c>
      <c r="BA383">
        <v>1</v>
      </c>
      <c r="BB383">
        <v>1</v>
      </c>
      <c r="BC383">
        <v>6.66</v>
      </c>
      <c r="BD383" t="s">
        <v>3</v>
      </c>
      <c r="BE383" t="s">
        <v>3</v>
      </c>
      <c r="BF383" t="s">
        <v>3</v>
      </c>
      <c r="BG383" t="s">
        <v>3</v>
      </c>
      <c r="BH383">
        <v>3</v>
      </c>
      <c r="BI383">
        <v>1</v>
      </c>
      <c r="BJ383" t="s">
        <v>282</v>
      </c>
      <c r="BM383">
        <v>292</v>
      </c>
      <c r="BN383">
        <v>0</v>
      </c>
      <c r="BO383" t="s">
        <v>280</v>
      </c>
      <c r="BP383">
        <v>1</v>
      </c>
      <c r="BQ383">
        <v>30</v>
      </c>
      <c r="BR383">
        <v>0</v>
      </c>
      <c r="BS383">
        <v>1</v>
      </c>
      <c r="BT383">
        <v>1</v>
      </c>
      <c r="BU383">
        <v>1</v>
      </c>
      <c r="BV383">
        <v>1</v>
      </c>
      <c r="BW383">
        <v>1</v>
      </c>
      <c r="BX383">
        <v>1</v>
      </c>
      <c r="BY383" t="s">
        <v>3</v>
      </c>
      <c r="BZ383">
        <v>0</v>
      </c>
      <c r="CA383">
        <v>0</v>
      </c>
      <c r="CE383">
        <v>30</v>
      </c>
      <c r="CF383">
        <v>0</v>
      </c>
      <c r="CG383">
        <v>0</v>
      </c>
      <c r="CM383">
        <v>0</v>
      </c>
      <c r="CN383" t="s">
        <v>3</v>
      </c>
      <c r="CO383">
        <v>0</v>
      </c>
      <c r="CP383">
        <f t="shared" si="349"/>
        <v>216323.53</v>
      </c>
      <c r="CQ383">
        <f t="shared" si="350"/>
        <v>977.95</v>
      </c>
      <c r="CR383">
        <f t="shared" si="351"/>
        <v>0</v>
      </c>
      <c r="CS383">
        <f t="shared" si="352"/>
        <v>0</v>
      </c>
      <c r="CT383">
        <f t="shared" si="353"/>
        <v>0</v>
      </c>
      <c r="CU383">
        <f t="shared" si="354"/>
        <v>0</v>
      </c>
      <c r="CV383">
        <f t="shared" si="355"/>
        <v>0</v>
      </c>
      <c r="CW383">
        <f t="shared" si="356"/>
        <v>0</v>
      </c>
      <c r="CX383">
        <f t="shared" si="357"/>
        <v>0</v>
      </c>
      <c r="CY383">
        <f t="shared" si="358"/>
        <v>0</v>
      </c>
      <c r="CZ383">
        <f t="shared" si="359"/>
        <v>0</v>
      </c>
      <c r="DC383" t="s">
        <v>3</v>
      </c>
      <c r="DD383" t="s">
        <v>3</v>
      </c>
      <c r="DE383" t="s">
        <v>3</v>
      </c>
      <c r="DF383" t="s">
        <v>3</v>
      </c>
      <c r="DG383" t="s">
        <v>3</v>
      </c>
      <c r="DH383" t="s">
        <v>3</v>
      </c>
      <c r="DI383" t="s">
        <v>3</v>
      </c>
      <c r="DJ383" t="s">
        <v>3</v>
      </c>
      <c r="DK383" t="s">
        <v>3</v>
      </c>
      <c r="DL383" t="s">
        <v>3</v>
      </c>
      <c r="DM383" t="s">
        <v>3</v>
      </c>
      <c r="DN383">
        <v>187</v>
      </c>
      <c r="DO383">
        <v>101</v>
      </c>
      <c r="DP383">
        <v>1</v>
      </c>
      <c r="DQ383">
        <v>1</v>
      </c>
      <c r="DU383">
        <v>1007</v>
      </c>
      <c r="DV383" t="s">
        <v>66</v>
      </c>
      <c r="DW383" t="s">
        <v>66</v>
      </c>
      <c r="DX383">
        <v>1</v>
      </c>
      <c r="EE383">
        <v>33797931</v>
      </c>
      <c r="EF383">
        <v>30</v>
      </c>
      <c r="EG383" t="s">
        <v>77</v>
      </c>
      <c r="EH383">
        <v>0</v>
      </c>
      <c r="EI383" t="s">
        <v>3</v>
      </c>
      <c r="EJ383">
        <v>1</v>
      </c>
      <c r="EK383">
        <v>292</v>
      </c>
      <c r="EL383" t="s">
        <v>312</v>
      </c>
      <c r="EM383" t="s">
        <v>313</v>
      </c>
      <c r="EO383" t="s">
        <v>3</v>
      </c>
      <c r="EQ383">
        <v>0</v>
      </c>
      <c r="ER383">
        <v>146.84</v>
      </c>
      <c r="ES383">
        <v>146.84</v>
      </c>
      <c r="ET383">
        <v>0</v>
      </c>
      <c r="EU383">
        <v>0</v>
      </c>
      <c r="EV383">
        <v>0</v>
      </c>
      <c r="EW383">
        <v>0</v>
      </c>
      <c r="EX383">
        <v>0</v>
      </c>
      <c r="FQ383">
        <v>0</v>
      </c>
      <c r="FR383">
        <f t="shared" si="360"/>
        <v>0</v>
      </c>
      <c r="FS383">
        <v>0</v>
      </c>
      <c r="FX383">
        <v>187</v>
      </c>
      <c r="FY383">
        <v>101</v>
      </c>
      <c r="GA383" t="s">
        <v>3</v>
      </c>
      <c r="GD383">
        <v>0</v>
      </c>
      <c r="GF383">
        <v>92320855</v>
      </c>
      <c r="GG383">
        <v>2</v>
      </c>
      <c r="GH383">
        <v>1</v>
      </c>
      <c r="GI383">
        <v>2</v>
      </c>
      <c r="GJ383">
        <v>0</v>
      </c>
      <c r="GK383">
        <f>ROUND(R383*(R12)/100,2)</f>
        <v>0</v>
      </c>
      <c r="GL383">
        <f t="shared" si="361"/>
        <v>0</v>
      </c>
      <c r="GM383">
        <f t="shared" si="362"/>
        <v>216323.53</v>
      </c>
      <c r="GN383">
        <f t="shared" si="363"/>
        <v>216323.53</v>
      </c>
      <c r="GO383">
        <f t="shared" si="364"/>
        <v>0</v>
      </c>
      <c r="GP383">
        <f t="shared" si="365"/>
        <v>0</v>
      </c>
      <c r="GR383">
        <v>0</v>
      </c>
      <c r="GS383">
        <v>3</v>
      </c>
      <c r="GT383">
        <v>0</v>
      </c>
      <c r="GU383" t="s">
        <v>3</v>
      </c>
      <c r="GV383">
        <f t="shared" si="366"/>
        <v>0</v>
      </c>
      <c r="GW383">
        <v>1</v>
      </c>
      <c r="GX383">
        <f t="shared" si="367"/>
        <v>0</v>
      </c>
      <c r="HA383">
        <v>0</v>
      </c>
      <c r="HB383">
        <v>0</v>
      </c>
      <c r="HC383">
        <f t="shared" si="368"/>
        <v>0</v>
      </c>
      <c r="IK383">
        <v>0</v>
      </c>
    </row>
    <row r="384" spans="1:245" x14ac:dyDescent="0.2">
      <c r="A384">
        <v>17</v>
      </c>
      <c r="B384">
        <v>1</v>
      </c>
      <c r="C384">
        <f>ROW(SmtRes!A177)</f>
        <v>177</v>
      </c>
      <c r="D384">
        <f>ROW(EtalonRes!A178)</f>
        <v>178</v>
      </c>
      <c r="E384" t="s">
        <v>315</v>
      </c>
      <c r="F384" t="s">
        <v>316</v>
      </c>
      <c r="G384" t="s">
        <v>317</v>
      </c>
      <c r="H384" t="s">
        <v>310</v>
      </c>
      <c r="I384">
        <f>ROUND(2765*0.6/10,9)</f>
        <v>165.9</v>
      </c>
      <c r="J384">
        <v>0</v>
      </c>
      <c r="O384">
        <f t="shared" si="329"/>
        <v>715579.97</v>
      </c>
      <c r="P384">
        <f t="shared" si="330"/>
        <v>108365.82</v>
      </c>
      <c r="Q384">
        <f t="shared" si="331"/>
        <v>0</v>
      </c>
      <c r="R384">
        <f t="shared" si="332"/>
        <v>0</v>
      </c>
      <c r="S384">
        <f t="shared" si="333"/>
        <v>607214.15</v>
      </c>
      <c r="T384">
        <f t="shared" si="334"/>
        <v>0</v>
      </c>
      <c r="U384">
        <f t="shared" si="335"/>
        <v>2422.14</v>
      </c>
      <c r="V384">
        <f t="shared" si="336"/>
        <v>0</v>
      </c>
      <c r="W384">
        <f t="shared" si="337"/>
        <v>0</v>
      </c>
      <c r="X384">
        <f t="shared" si="338"/>
        <v>619358.43000000005</v>
      </c>
      <c r="Y384">
        <f t="shared" si="339"/>
        <v>285390.65000000002</v>
      </c>
      <c r="AA384">
        <v>33989672</v>
      </c>
      <c r="AB384">
        <f t="shared" si="340"/>
        <v>434.45</v>
      </c>
      <c r="AC384">
        <f t="shared" si="341"/>
        <v>285.24</v>
      </c>
      <c r="AD384">
        <f t="shared" si="342"/>
        <v>0</v>
      </c>
      <c r="AE384">
        <f t="shared" si="343"/>
        <v>0</v>
      </c>
      <c r="AF384">
        <f t="shared" si="344"/>
        <v>149.21</v>
      </c>
      <c r="AG384">
        <f t="shared" si="345"/>
        <v>0</v>
      </c>
      <c r="AH384">
        <f t="shared" si="346"/>
        <v>14.6</v>
      </c>
      <c r="AI384">
        <f t="shared" si="347"/>
        <v>0</v>
      </c>
      <c r="AJ384">
        <f t="shared" si="348"/>
        <v>0</v>
      </c>
      <c r="AK384">
        <v>434.45</v>
      </c>
      <c r="AL384">
        <v>285.24</v>
      </c>
      <c r="AM384">
        <v>0</v>
      </c>
      <c r="AN384">
        <v>0</v>
      </c>
      <c r="AO384">
        <v>149.21</v>
      </c>
      <c r="AP384">
        <v>0</v>
      </c>
      <c r="AQ384">
        <v>14.6</v>
      </c>
      <c r="AR384">
        <v>0</v>
      </c>
      <c r="AS384">
        <v>0</v>
      </c>
      <c r="AT384">
        <v>102</v>
      </c>
      <c r="AU384">
        <v>47</v>
      </c>
      <c r="AV384">
        <v>1</v>
      </c>
      <c r="AW384">
        <v>1</v>
      </c>
      <c r="AZ384">
        <v>1</v>
      </c>
      <c r="BA384">
        <v>24.53</v>
      </c>
      <c r="BB384">
        <v>1</v>
      </c>
      <c r="BC384">
        <v>2.29</v>
      </c>
      <c r="BD384" t="s">
        <v>3</v>
      </c>
      <c r="BE384" t="s">
        <v>3</v>
      </c>
      <c r="BF384" t="s">
        <v>3</v>
      </c>
      <c r="BG384" t="s">
        <v>3</v>
      </c>
      <c r="BH384">
        <v>0</v>
      </c>
      <c r="BI384">
        <v>1</v>
      </c>
      <c r="BJ384" t="s">
        <v>318</v>
      </c>
      <c r="BM384">
        <v>292</v>
      </c>
      <c r="BN384">
        <v>0</v>
      </c>
      <c r="BO384" t="s">
        <v>316</v>
      </c>
      <c r="BP384">
        <v>1</v>
      </c>
      <c r="BQ384">
        <v>30</v>
      </c>
      <c r="BR384">
        <v>0</v>
      </c>
      <c r="BS384">
        <v>24.53</v>
      </c>
      <c r="BT384">
        <v>1</v>
      </c>
      <c r="BU384">
        <v>1</v>
      </c>
      <c r="BV384">
        <v>1</v>
      </c>
      <c r="BW384">
        <v>1</v>
      </c>
      <c r="BX384">
        <v>1</v>
      </c>
      <c r="BY384" t="s">
        <v>3</v>
      </c>
      <c r="BZ384">
        <v>102</v>
      </c>
      <c r="CA384">
        <v>47</v>
      </c>
      <c r="CE384">
        <v>30</v>
      </c>
      <c r="CF384">
        <v>0</v>
      </c>
      <c r="CG384">
        <v>0</v>
      </c>
      <c r="CM384">
        <v>0</v>
      </c>
      <c r="CN384" t="s">
        <v>3</v>
      </c>
      <c r="CO384">
        <v>0</v>
      </c>
      <c r="CP384">
        <f t="shared" si="349"/>
        <v>715579.97</v>
      </c>
      <c r="CQ384">
        <f t="shared" si="350"/>
        <v>653.20000000000005</v>
      </c>
      <c r="CR384">
        <f t="shared" si="351"/>
        <v>0</v>
      </c>
      <c r="CS384">
        <f t="shared" si="352"/>
        <v>0</v>
      </c>
      <c r="CT384">
        <f t="shared" si="353"/>
        <v>3660.12</v>
      </c>
      <c r="CU384">
        <f t="shared" si="354"/>
        <v>0</v>
      </c>
      <c r="CV384">
        <f t="shared" si="355"/>
        <v>14.6</v>
      </c>
      <c r="CW384">
        <f t="shared" si="356"/>
        <v>0</v>
      </c>
      <c r="CX384">
        <f t="shared" si="357"/>
        <v>0</v>
      </c>
      <c r="CY384">
        <f t="shared" si="358"/>
        <v>619358.43300000008</v>
      </c>
      <c r="CZ384">
        <f t="shared" si="359"/>
        <v>285390.65049999999</v>
      </c>
      <c r="DC384" t="s">
        <v>3</v>
      </c>
      <c r="DD384" t="s">
        <v>3</v>
      </c>
      <c r="DE384" t="s">
        <v>3</v>
      </c>
      <c r="DF384" t="s">
        <v>3</v>
      </c>
      <c r="DG384" t="s">
        <v>3</v>
      </c>
      <c r="DH384" t="s">
        <v>3</v>
      </c>
      <c r="DI384" t="s">
        <v>3</v>
      </c>
      <c r="DJ384" t="s">
        <v>3</v>
      </c>
      <c r="DK384" t="s">
        <v>3</v>
      </c>
      <c r="DL384" t="s">
        <v>3</v>
      </c>
      <c r="DM384" t="s">
        <v>3</v>
      </c>
      <c r="DN384">
        <v>187</v>
      </c>
      <c r="DO384">
        <v>101</v>
      </c>
      <c r="DP384">
        <v>1</v>
      </c>
      <c r="DQ384">
        <v>1</v>
      </c>
      <c r="DU384">
        <v>1013</v>
      </c>
      <c r="DV384" t="s">
        <v>310</v>
      </c>
      <c r="DW384" t="s">
        <v>310</v>
      </c>
      <c r="DX384">
        <v>1</v>
      </c>
      <c r="EE384">
        <v>33797931</v>
      </c>
      <c r="EF384">
        <v>30</v>
      </c>
      <c r="EG384" t="s">
        <v>77</v>
      </c>
      <c r="EH384">
        <v>0</v>
      </c>
      <c r="EI384" t="s">
        <v>3</v>
      </c>
      <c r="EJ384">
        <v>1</v>
      </c>
      <c r="EK384">
        <v>292</v>
      </c>
      <c r="EL384" t="s">
        <v>312</v>
      </c>
      <c r="EM384" t="s">
        <v>313</v>
      </c>
      <c r="EO384" t="s">
        <v>3</v>
      </c>
      <c r="EQ384">
        <v>131072</v>
      </c>
      <c r="ER384">
        <v>434.45</v>
      </c>
      <c r="ES384">
        <v>285.24</v>
      </c>
      <c r="ET384">
        <v>0</v>
      </c>
      <c r="EU384">
        <v>0</v>
      </c>
      <c r="EV384">
        <v>149.21</v>
      </c>
      <c r="EW384">
        <v>14.6</v>
      </c>
      <c r="EX384">
        <v>0</v>
      </c>
      <c r="EY384">
        <v>0</v>
      </c>
      <c r="FQ384">
        <v>0</v>
      </c>
      <c r="FR384">
        <f t="shared" si="360"/>
        <v>0</v>
      </c>
      <c r="FS384">
        <v>0</v>
      </c>
      <c r="FX384">
        <v>187</v>
      </c>
      <c r="FY384">
        <v>101</v>
      </c>
      <c r="GA384" t="s">
        <v>3</v>
      </c>
      <c r="GD384">
        <v>0</v>
      </c>
      <c r="GF384">
        <v>2068800967</v>
      </c>
      <c r="GG384">
        <v>2</v>
      </c>
      <c r="GH384">
        <v>1</v>
      </c>
      <c r="GI384">
        <v>2</v>
      </c>
      <c r="GJ384">
        <v>0</v>
      </c>
      <c r="GK384">
        <f>ROUND(R384*(R12)/100,2)</f>
        <v>0</v>
      </c>
      <c r="GL384">
        <f t="shared" si="361"/>
        <v>0</v>
      </c>
      <c r="GM384">
        <f t="shared" si="362"/>
        <v>1620329.05</v>
      </c>
      <c r="GN384">
        <f t="shared" si="363"/>
        <v>1620329.05</v>
      </c>
      <c r="GO384">
        <f t="shared" si="364"/>
        <v>0</v>
      </c>
      <c r="GP384">
        <f t="shared" si="365"/>
        <v>0</v>
      </c>
      <c r="GR384">
        <v>0</v>
      </c>
      <c r="GS384">
        <v>3</v>
      </c>
      <c r="GT384">
        <v>0</v>
      </c>
      <c r="GU384" t="s">
        <v>3</v>
      </c>
      <c r="GV384">
        <f t="shared" si="366"/>
        <v>0</v>
      </c>
      <c r="GW384">
        <v>1</v>
      </c>
      <c r="GX384">
        <f t="shared" si="367"/>
        <v>0</v>
      </c>
      <c r="HA384">
        <v>0</v>
      </c>
      <c r="HB384">
        <v>0</v>
      </c>
      <c r="HC384">
        <f t="shared" si="368"/>
        <v>0</v>
      </c>
      <c r="IK384">
        <v>0</v>
      </c>
    </row>
    <row r="385" spans="1:245" x14ac:dyDescent="0.2">
      <c r="A385">
        <v>18</v>
      </c>
      <c r="B385">
        <v>1</v>
      </c>
      <c r="C385">
        <v>176</v>
      </c>
      <c r="E385" t="s">
        <v>319</v>
      </c>
      <c r="F385" t="s">
        <v>280</v>
      </c>
      <c r="G385" t="s">
        <v>281</v>
      </c>
      <c r="H385" t="s">
        <v>66</v>
      </c>
      <c r="I385">
        <f>I384*J385</f>
        <v>331.8</v>
      </c>
      <c r="J385">
        <v>2</v>
      </c>
      <c r="O385">
        <f t="shared" si="329"/>
        <v>324485.26</v>
      </c>
      <c r="P385">
        <f t="shared" si="330"/>
        <v>324485.26</v>
      </c>
      <c r="Q385">
        <f t="shared" si="331"/>
        <v>0</v>
      </c>
      <c r="R385">
        <f t="shared" si="332"/>
        <v>0</v>
      </c>
      <c r="S385">
        <f t="shared" si="333"/>
        <v>0</v>
      </c>
      <c r="T385">
        <f t="shared" si="334"/>
        <v>0</v>
      </c>
      <c r="U385">
        <f t="shared" si="335"/>
        <v>0</v>
      </c>
      <c r="V385">
        <f t="shared" si="336"/>
        <v>0</v>
      </c>
      <c r="W385">
        <f t="shared" si="337"/>
        <v>0</v>
      </c>
      <c r="X385">
        <f t="shared" si="338"/>
        <v>0</v>
      </c>
      <c r="Y385">
        <f t="shared" si="339"/>
        <v>0</v>
      </c>
      <c r="AA385">
        <v>33989672</v>
      </c>
      <c r="AB385">
        <f t="shared" si="340"/>
        <v>146.84</v>
      </c>
      <c r="AC385">
        <f t="shared" si="341"/>
        <v>146.84</v>
      </c>
      <c r="AD385">
        <f t="shared" si="342"/>
        <v>0</v>
      </c>
      <c r="AE385">
        <f t="shared" si="343"/>
        <v>0</v>
      </c>
      <c r="AF385">
        <f t="shared" si="344"/>
        <v>0</v>
      </c>
      <c r="AG385">
        <f t="shared" si="345"/>
        <v>0</v>
      </c>
      <c r="AH385">
        <f t="shared" si="346"/>
        <v>0</v>
      </c>
      <c r="AI385">
        <f t="shared" si="347"/>
        <v>0</v>
      </c>
      <c r="AJ385">
        <f t="shared" si="348"/>
        <v>0</v>
      </c>
      <c r="AK385">
        <v>146.84</v>
      </c>
      <c r="AL385">
        <v>146.84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1</v>
      </c>
      <c r="AW385">
        <v>1</v>
      </c>
      <c r="AZ385">
        <v>1</v>
      </c>
      <c r="BA385">
        <v>1</v>
      </c>
      <c r="BB385">
        <v>1</v>
      </c>
      <c r="BC385">
        <v>6.66</v>
      </c>
      <c r="BD385" t="s">
        <v>3</v>
      </c>
      <c r="BE385" t="s">
        <v>3</v>
      </c>
      <c r="BF385" t="s">
        <v>3</v>
      </c>
      <c r="BG385" t="s">
        <v>3</v>
      </c>
      <c r="BH385">
        <v>3</v>
      </c>
      <c r="BI385">
        <v>1</v>
      </c>
      <c r="BJ385" t="s">
        <v>282</v>
      </c>
      <c r="BM385">
        <v>292</v>
      </c>
      <c r="BN385">
        <v>0</v>
      </c>
      <c r="BO385" t="s">
        <v>280</v>
      </c>
      <c r="BP385">
        <v>1</v>
      </c>
      <c r="BQ385">
        <v>30</v>
      </c>
      <c r="BR385">
        <v>0</v>
      </c>
      <c r="BS385">
        <v>1</v>
      </c>
      <c r="BT385">
        <v>1</v>
      </c>
      <c r="BU385">
        <v>1</v>
      </c>
      <c r="BV385">
        <v>1</v>
      </c>
      <c r="BW385">
        <v>1</v>
      </c>
      <c r="BX385">
        <v>1</v>
      </c>
      <c r="BY385" t="s">
        <v>3</v>
      </c>
      <c r="BZ385">
        <v>0</v>
      </c>
      <c r="CA385">
        <v>0</v>
      </c>
      <c r="CE385">
        <v>30</v>
      </c>
      <c r="CF385">
        <v>0</v>
      </c>
      <c r="CG385">
        <v>0</v>
      </c>
      <c r="CM385">
        <v>0</v>
      </c>
      <c r="CN385" t="s">
        <v>3</v>
      </c>
      <c r="CO385">
        <v>0</v>
      </c>
      <c r="CP385">
        <f t="shared" si="349"/>
        <v>324485.26</v>
      </c>
      <c r="CQ385">
        <f t="shared" si="350"/>
        <v>977.95</v>
      </c>
      <c r="CR385">
        <f t="shared" si="351"/>
        <v>0</v>
      </c>
      <c r="CS385">
        <f t="shared" si="352"/>
        <v>0</v>
      </c>
      <c r="CT385">
        <f t="shared" si="353"/>
        <v>0</v>
      </c>
      <c r="CU385">
        <f t="shared" si="354"/>
        <v>0</v>
      </c>
      <c r="CV385">
        <f t="shared" si="355"/>
        <v>0</v>
      </c>
      <c r="CW385">
        <f t="shared" si="356"/>
        <v>0</v>
      </c>
      <c r="CX385">
        <f t="shared" si="357"/>
        <v>0</v>
      </c>
      <c r="CY385">
        <f t="shared" si="358"/>
        <v>0</v>
      </c>
      <c r="CZ385">
        <f t="shared" si="359"/>
        <v>0</v>
      </c>
      <c r="DC385" t="s">
        <v>3</v>
      </c>
      <c r="DD385" t="s">
        <v>3</v>
      </c>
      <c r="DE385" t="s">
        <v>3</v>
      </c>
      <c r="DF385" t="s">
        <v>3</v>
      </c>
      <c r="DG385" t="s">
        <v>3</v>
      </c>
      <c r="DH385" t="s">
        <v>3</v>
      </c>
      <c r="DI385" t="s">
        <v>3</v>
      </c>
      <c r="DJ385" t="s">
        <v>3</v>
      </c>
      <c r="DK385" t="s">
        <v>3</v>
      </c>
      <c r="DL385" t="s">
        <v>3</v>
      </c>
      <c r="DM385" t="s">
        <v>3</v>
      </c>
      <c r="DN385">
        <v>187</v>
      </c>
      <c r="DO385">
        <v>101</v>
      </c>
      <c r="DP385">
        <v>1</v>
      </c>
      <c r="DQ385">
        <v>1</v>
      </c>
      <c r="DU385">
        <v>1007</v>
      </c>
      <c r="DV385" t="s">
        <v>66</v>
      </c>
      <c r="DW385" t="s">
        <v>66</v>
      </c>
      <c r="DX385">
        <v>1</v>
      </c>
      <c r="EE385">
        <v>33797931</v>
      </c>
      <c r="EF385">
        <v>30</v>
      </c>
      <c r="EG385" t="s">
        <v>77</v>
      </c>
      <c r="EH385">
        <v>0</v>
      </c>
      <c r="EI385" t="s">
        <v>3</v>
      </c>
      <c r="EJ385">
        <v>1</v>
      </c>
      <c r="EK385">
        <v>292</v>
      </c>
      <c r="EL385" t="s">
        <v>312</v>
      </c>
      <c r="EM385" t="s">
        <v>313</v>
      </c>
      <c r="EO385" t="s">
        <v>3</v>
      </c>
      <c r="EQ385">
        <v>0</v>
      </c>
      <c r="ER385">
        <v>146.84</v>
      </c>
      <c r="ES385">
        <v>146.84</v>
      </c>
      <c r="ET385">
        <v>0</v>
      </c>
      <c r="EU385">
        <v>0</v>
      </c>
      <c r="EV385">
        <v>0</v>
      </c>
      <c r="EW385">
        <v>0</v>
      </c>
      <c r="EX385">
        <v>0</v>
      </c>
      <c r="FQ385">
        <v>0</v>
      </c>
      <c r="FR385">
        <f t="shared" si="360"/>
        <v>0</v>
      </c>
      <c r="FS385">
        <v>0</v>
      </c>
      <c r="FX385">
        <v>187</v>
      </c>
      <c r="FY385">
        <v>101</v>
      </c>
      <c r="GA385" t="s">
        <v>3</v>
      </c>
      <c r="GD385">
        <v>0</v>
      </c>
      <c r="GF385">
        <v>92320855</v>
      </c>
      <c r="GG385">
        <v>2</v>
      </c>
      <c r="GH385">
        <v>1</v>
      </c>
      <c r="GI385">
        <v>2</v>
      </c>
      <c r="GJ385">
        <v>0</v>
      </c>
      <c r="GK385">
        <f>ROUND(R385*(R12)/100,2)</f>
        <v>0</v>
      </c>
      <c r="GL385">
        <f t="shared" si="361"/>
        <v>0</v>
      </c>
      <c r="GM385">
        <f t="shared" si="362"/>
        <v>324485.26</v>
      </c>
      <c r="GN385">
        <f t="shared" si="363"/>
        <v>324485.26</v>
      </c>
      <c r="GO385">
        <f t="shared" si="364"/>
        <v>0</v>
      </c>
      <c r="GP385">
        <f t="shared" si="365"/>
        <v>0</v>
      </c>
      <c r="GR385">
        <v>0</v>
      </c>
      <c r="GS385">
        <v>3</v>
      </c>
      <c r="GT385">
        <v>0</v>
      </c>
      <c r="GU385" t="s">
        <v>3</v>
      </c>
      <c r="GV385">
        <f t="shared" si="366"/>
        <v>0</v>
      </c>
      <c r="GW385">
        <v>1</v>
      </c>
      <c r="GX385">
        <f t="shared" si="367"/>
        <v>0</v>
      </c>
      <c r="HA385">
        <v>0</v>
      </c>
      <c r="HB385">
        <v>0</v>
      </c>
      <c r="HC385">
        <f t="shared" si="368"/>
        <v>0</v>
      </c>
      <c r="IK385">
        <v>0</v>
      </c>
    </row>
    <row r="386" spans="1:245" x14ac:dyDescent="0.2">
      <c r="A386">
        <v>17</v>
      </c>
      <c r="B386">
        <v>1</v>
      </c>
      <c r="C386">
        <f>ROW(SmtRes!A181)</f>
        <v>181</v>
      </c>
      <c r="D386">
        <f>ROW(EtalonRes!A182)</f>
        <v>182</v>
      </c>
      <c r="E386" t="s">
        <v>320</v>
      </c>
      <c r="F386" t="s">
        <v>321</v>
      </c>
      <c r="G386" t="s">
        <v>322</v>
      </c>
      <c r="H386" t="s">
        <v>323</v>
      </c>
      <c r="I386">
        <f>ROUND(2765/10,5)</f>
        <v>276.5</v>
      </c>
      <c r="J386">
        <v>0</v>
      </c>
      <c r="O386">
        <f t="shared" si="329"/>
        <v>612117.84</v>
      </c>
      <c r="P386">
        <f t="shared" si="330"/>
        <v>10430.799999999999</v>
      </c>
      <c r="Q386">
        <f t="shared" si="331"/>
        <v>79838.03</v>
      </c>
      <c r="R386">
        <f t="shared" si="332"/>
        <v>50462.13</v>
      </c>
      <c r="S386">
        <f t="shared" si="333"/>
        <v>521849.01</v>
      </c>
      <c r="T386">
        <f t="shared" si="334"/>
        <v>0</v>
      </c>
      <c r="U386">
        <f t="shared" si="335"/>
        <v>1703.24</v>
      </c>
      <c r="V386">
        <f t="shared" si="336"/>
        <v>0</v>
      </c>
      <c r="W386">
        <f t="shared" si="337"/>
        <v>0</v>
      </c>
      <c r="X386">
        <f t="shared" si="338"/>
        <v>532285.99</v>
      </c>
      <c r="Y386">
        <f t="shared" si="339"/>
        <v>245269.03</v>
      </c>
      <c r="AA386">
        <v>33989672</v>
      </c>
      <c r="AB386">
        <f t="shared" si="340"/>
        <v>121.05</v>
      </c>
      <c r="AC386">
        <f t="shared" si="341"/>
        <v>7.56</v>
      </c>
      <c r="AD386">
        <f t="shared" si="342"/>
        <v>36.549999999999997</v>
      </c>
      <c r="AE386">
        <f t="shared" si="343"/>
        <v>7.44</v>
      </c>
      <c r="AF386">
        <f t="shared" si="344"/>
        <v>76.94</v>
      </c>
      <c r="AG386">
        <f t="shared" si="345"/>
        <v>0</v>
      </c>
      <c r="AH386">
        <f t="shared" si="346"/>
        <v>6.16</v>
      </c>
      <c r="AI386">
        <f t="shared" si="347"/>
        <v>0</v>
      </c>
      <c r="AJ386">
        <f t="shared" si="348"/>
        <v>0</v>
      </c>
      <c r="AK386">
        <v>121.05</v>
      </c>
      <c r="AL386">
        <v>7.56</v>
      </c>
      <c r="AM386">
        <v>36.549999999999997</v>
      </c>
      <c r="AN386">
        <v>7.44</v>
      </c>
      <c r="AO386">
        <v>76.94</v>
      </c>
      <c r="AP386">
        <v>0</v>
      </c>
      <c r="AQ386">
        <v>6.16</v>
      </c>
      <c r="AR386">
        <v>0</v>
      </c>
      <c r="AS386">
        <v>0</v>
      </c>
      <c r="AT386">
        <v>102</v>
      </c>
      <c r="AU386">
        <v>47</v>
      </c>
      <c r="AV386">
        <v>1</v>
      </c>
      <c r="AW386">
        <v>1</v>
      </c>
      <c r="AZ386">
        <v>1</v>
      </c>
      <c r="BA386">
        <v>24.53</v>
      </c>
      <c r="BB386">
        <v>7.9</v>
      </c>
      <c r="BC386">
        <v>4.99</v>
      </c>
      <c r="BD386" t="s">
        <v>3</v>
      </c>
      <c r="BE386" t="s">
        <v>3</v>
      </c>
      <c r="BF386" t="s">
        <v>3</v>
      </c>
      <c r="BG386" t="s">
        <v>3</v>
      </c>
      <c r="BH386">
        <v>0</v>
      </c>
      <c r="BI386">
        <v>1</v>
      </c>
      <c r="BJ386" t="s">
        <v>324</v>
      </c>
      <c r="BM386">
        <v>292</v>
      </c>
      <c r="BN386">
        <v>0</v>
      </c>
      <c r="BO386" t="s">
        <v>321</v>
      </c>
      <c r="BP386">
        <v>1</v>
      </c>
      <c r="BQ386">
        <v>30</v>
      </c>
      <c r="BR386">
        <v>0</v>
      </c>
      <c r="BS386">
        <v>24.53</v>
      </c>
      <c r="BT386">
        <v>1</v>
      </c>
      <c r="BU386">
        <v>1</v>
      </c>
      <c r="BV386">
        <v>1</v>
      </c>
      <c r="BW386">
        <v>1</v>
      </c>
      <c r="BX386">
        <v>1</v>
      </c>
      <c r="BY386" t="s">
        <v>3</v>
      </c>
      <c r="BZ386">
        <v>102</v>
      </c>
      <c r="CA386">
        <v>47</v>
      </c>
      <c r="CE386">
        <v>30</v>
      </c>
      <c r="CF386">
        <v>0</v>
      </c>
      <c r="CG386">
        <v>0</v>
      </c>
      <c r="CM386">
        <v>0</v>
      </c>
      <c r="CN386" t="s">
        <v>3</v>
      </c>
      <c r="CO386">
        <v>0</v>
      </c>
      <c r="CP386">
        <f t="shared" si="349"/>
        <v>612117.84</v>
      </c>
      <c r="CQ386">
        <f t="shared" si="350"/>
        <v>37.72</v>
      </c>
      <c r="CR386">
        <f t="shared" si="351"/>
        <v>288.75</v>
      </c>
      <c r="CS386">
        <f t="shared" si="352"/>
        <v>182.5</v>
      </c>
      <c r="CT386">
        <f t="shared" si="353"/>
        <v>1887.34</v>
      </c>
      <c r="CU386">
        <f t="shared" si="354"/>
        <v>0</v>
      </c>
      <c r="CV386">
        <f t="shared" si="355"/>
        <v>6.16</v>
      </c>
      <c r="CW386">
        <f t="shared" si="356"/>
        <v>0</v>
      </c>
      <c r="CX386">
        <f t="shared" si="357"/>
        <v>0</v>
      </c>
      <c r="CY386">
        <f t="shared" si="358"/>
        <v>532285.9902</v>
      </c>
      <c r="CZ386">
        <f t="shared" si="359"/>
        <v>245269.03469999999</v>
      </c>
      <c r="DC386" t="s">
        <v>3</v>
      </c>
      <c r="DD386" t="s">
        <v>3</v>
      </c>
      <c r="DE386" t="s">
        <v>3</v>
      </c>
      <c r="DF386" t="s">
        <v>3</v>
      </c>
      <c r="DG386" t="s">
        <v>3</v>
      </c>
      <c r="DH386" t="s">
        <v>3</v>
      </c>
      <c r="DI386" t="s">
        <v>3</v>
      </c>
      <c r="DJ386" t="s">
        <v>3</v>
      </c>
      <c r="DK386" t="s">
        <v>3</v>
      </c>
      <c r="DL386" t="s">
        <v>3</v>
      </c>
      <c r="DM386" t="s">
        <v>3</v>
      </c>
      <c r="DN386">
        <v>187</v>
      </c>
      <c r="DO386">
        <v>101</v>
      </c>
      <c r="DP386">
        <v>1</v>
      </c>
      <c r="DQ386">
        <v>1</v>
      </c>
      <c r="DU386">
        <v>1013</v>
      </c>
      <c r="DV386" t="s">
        <v>323</v>
      </c>
      <c r="DW386" t="s">
        <v>323</v>
      </c>
      <c r="DX386">
        <v>1</v>
      </c>
      <c r="EE386">
        <v>33797931</v>
      </c>
      <c r="EF386">
        <v>30</v>
      </c>
      <c r="EG386" t="s">
        <v>77</v>
      </c>
      <c r="EH386">
        <v>0</v>
      </c>
      <c r="EI386" t="s">
        <v>3</v>
      </c>
      <c r="EJ386">
        <v>1</v>
      </c>
      <c r="EK386">
        <v>292</v>
      </c>
      <c r="EL386" t="s">
        <v>312</v>
      </c>
      <c r="EM386" t="s">
        <v>313</v>
      </c>
      <c r="EO386" t="s">
        <v>3</v>
      </c>
      <c r="EQ386">
        <v>131072</v>
      </c>
      <c r="ER386">
        <v>121.05</v>
      </c>
      <c r="ES386">
        <v>7.56</v>
      </c>
      <c r="ET386">
        <v>36.549999999999997</v>
      </c>
      <c r="EU386">
        <v>7.44</v>
      </c>
      <c r="EV386">
        <v>76.94</v>
      </c>
      <c r="EW386">
        <v>6.16</v>
      </c>
      <c r="EX386">
        <v>0</v>
      </c>
      <c r="EY386">
        <v>0</v>
      </c>
      <c r="FQ386">
        <v>0</v>
      </c>
      <c r="FR386">
        <f t="shared" si="360"/>
        <v>0</v>
      </c>
      <c r="FS386">
        <v>0</v>
      </c>
      <c r="FX386">
        <v>187</v>
      </c>
      <c r="FY386">
        <v>101</v>
      </c>
      <c r="GA386" t="s">
        <v>3</v>
      </c>
      <c r="GD386">
        <v>0</v>
      </c>
      <c r="GF386">
        <v>-2015264470</v>
      </c>
      <c r="GG386">
        <v>2</v>
      </c>
      <c r="GH386">
        <v>1</v>
      </c>
      <c r="GI386">
        <v>2</v>
      </c>
      <c r="GJ386">
        <v>0</v>
      </c>
      <c r="GK386">
        <f>ROUND(R386*(R12)/100,2)</f>
        <v>79225.539999999994</v>
      </c>
      <c r="GL386">
        <f t="shared" si="361"/>
        <v>0</v>
      </c>
      <c r="GM386">
        <f t="shared" si="362"/>
        <v>1468898.4</v>
      </c>
      <c r="GN386">
        <f t="shared" si="363"/>
        <v>1468898.4</v>
      </c>
      <c r="GO386">
        <f t="shared" si="364"/>
        <v>0</v>
      </c>
      <c r="GP386">
        <f t="shared" si="365"/>
        <v>0</v>
      </c>
      <c r="GR386">
        <v>0</v>
      </c>
      <c r="GS386">
        <v>3</v>
      </c>
      <c r="GT386">
        <v>0</v>
      </c>
      <c r="GU386" t="s">
        <v>3</v>
      </c>
      <c r="GV386">
        <f t="shared" si="366"/>
        <v>0</v>
      </c>
      <c r="GW386">
        <v>1</v>
      </c>
      <c r="GX386">
        <f t="shared" si="367"/>
        <v>0</v>
      </c>
      <c r="HA386">
        <v>0</v>
      </c>
      <c r="HB386">
        <v>0</v>
      </c>
      <c r="HC386">
        <f t="shared" si="368"/>
        <v>0</v>
      </c>
      <c r="IK386">
        <v>0</v>
      </c>
    </row>
    <row r="387" spans="1:245" x14ac:dyDescent="0.2">
      <c r="A387">
        <v>18</v>
      </c>
      <c r="B387">
        <v>1</v>
      </c>
      <c r="C387">
        <v>181</v>
      </c>
      <c r="E387" t="s">
        <v>325</v>
      </c>
      <c r="F387" t="s">
        <v>326</v>
      </c>
      <c r="G387" t="s">
        <v>327</v>
      </c>
      <c r="H387" t="s">
        <v>328</v>
      </c>
      <c r="I387">
        <f>I386*J387</f>
        <v>2765</v>
      </c>
      <c r="J387">
        <v>10</v>
      </c>
      <c r="O387">
        <f t="shared" si="329"/>
        <v>626103.84</v>
      </c>
      <c r="P387">
        <f t="shared" si="330"/>
        <v>626103.84</v>
      </c>
      <c r="Q387">
        <f t="shared" si="331"/>
        <v>0</v>
      </c>
      <c r="R387">
        <f t="shared" si="332"/>
        <v>0</v>
      </c>
      <c r="S387">
        <f t="shared" si="333"/>
        <v>0</v>
      </c>
      <c r="T387">
        <f t="shared" si="334"/>
        <v>0</v>
      </c>
      <c r="U387">
        <f t="shared" si="335"/>
        <v>0</v>
      </c>
      <c r="V387">
        <f t="shared" si="336"/>
        <v>0</v>
      </c>
      <c r="W387">
        <f t="shared" si="337"/>
        <v>0</v>
      </c>
      <c r="X387">
        <f t="shared" si="338"/>
        <v>0</v>
      </c>
      <c r="Y387">
        <f t="shared" si="339"/>
        <v>0</v>
      </c>
      <c r="AA387">
        <v>33989672</v>
      </c>
      <c r="AB387">
        <f t="shared" si="340"/>
        <v>30.85</v>
      </c>
      <c r="AC387">
        <f t="shared" si="341"/>
        <v>30.85</v>
      </c>
      <c r="AD387">
        <f t="shared" si="342"/>
        <v>0</v>
      </c>
      <c r="AE387">
        <f t="shared" si="343"/>
        <v>0</v>
      </c>
      <c r="AF387">
        <f t="shared" si="344"/>
        <v>0</v>
      </c>
      <c r="AG387">
        <f t="shared" si="345"/>
        <v>0</v>
      </c>
      <c r="AH387">
        <f t="shared" si="346"/>
        <v>0</v>
      </c>
      <c r="AI387">
        <f t="shared" si="347"/>
        <v>0</v>
      </c>
      <c r="AJ387">
        <f t="shared" si="348"/>
        <v>0</v>
      </c>
      <c r="AK387">
        <v>30.85</v>
      </c>
      <c r="AL387">
        <v>30.85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1</v>
      </c>
      <c r="AW387">
        <v>1</v>
      </c>
      <c r="AZ387">
        <v>1</v>
      </c>
      <c r="BA387">
        <v>1</v>
      </c>
      <c r="BB387">
        <v>1</v>
      </c>
      <c r="BC387">
        <v>7.34</v>
      </c>
      <c r="BD387" t="s">
        <v>3</v>
      </c>
      <c r="BE387" t="s">
        <v>3</v>
      </c>
      <c r="BF387" t="s">
        <v>3</v>
      </c>
      <c r="BG387" t="s">
        <v>3</v>
      </c>
      <c r="BH387">
        <v>3</v>
      </c>
      <c r="BI387">
        <v>1</v>
      </c>
      <c r="BJ387" t="s">
        <v>329</v>
      </c>
      <c r="BM387">
        <v>292</v>
      </c>
      <c r="BN387">
        <v>0</v>
      </c>
      <c r="BO387" t="s">
        <v>326</v>
      </c>
      <c r="BP387">
        <v>1</v>
      </c>
      <c r="BQ387">
        <v>30</v>
      </c>
      <c r="BR387">
        <v>0</v>
      </c>
      <c r="BS387">
        <v>1</v>
      </c>
      <c r="BT387">
        <v>1</v>
      </c>
      <c r="BU387">
        <v>1</v>
      </c>
      <c r="BV387">
        <v>1</v>
      </c>
      <c r="BW387">
        <v>1</v>
      </c>
      <c r="BX387">
        <v>1</v>
      </c>
      <c r="BY387" t="s">
        <v>3</v>
      </c>
      <c r="BZ387">
        <v>0</v>
      </c>
      <c r="CA387">
        <v>0</v>
      </c>
      <c r="CE387">
        <v>30</v>
      </c>
      <c r="CF387">
        <v>0</v>
      </c>
      <c r="CG387">
        <v>0</v>
      </c>
      <c r="CM387">
        <v>0</v>
      </c>
      <c r="CN387" t="s">
        <v>3</v>
      </c>
      <c r="CO387">
        <v>0</v>
      </c>
      <c r="CP387">
        <f t="shared" si="349"/>
        <v>626103.84</v>
      </c>
      <c r="CQ387">
        <f t="shared" si="350"/>
        <v>226.44</v>
      </c>
      <c r="CR387">
        <f t="shared" si="351"/>
        <v>0</v>
      </c>
      <c r="CS387">
        <f t="shared" si="352"/>
        <v>0</v>
      </c>
      <c r="CT387">
        <f t="shared" si="353"/>
        <v>0</v>
      </c>
      <c r="CU387">
        <f t="shared" si="354"/>
        <v>0</v>
      </c>
      <c r="CV387">
        <f t="shared" si="355"/>
        <v>0</v>
      </c>
      <c r="CW387">
        <f t="shared" si="356"/>
        <v>0</v>
      </c>
      <c r="CX387">
        <f t="shared" si="357"/>
        <v>0</v>
      </c>
      <c r="CY387">
        <f t="shared" si="358"/>
        <v>0</v>
      </c>
      <c r="CZ387">
        <f t="shared" si="359"/>
        <v>0</v>
      </c>
      <c r="DC387" t="s">
        <v>3</v>
      </c>
      <c r="DD387" t="s">
        <v>3</v>
      </c>
      <c r="DE387" t="s">
        <v>3</v>
      </c>
      <c r="DF387" t="s">
        <v>3</v>
      </c>
      <c r="DG387" t="s">
        <v>3</v>
      </c>
      <c r="DH387" t="s">
        <v>3</v>
      </c>
      <c r="DI387" t="s">
        <v>3</v>
      </c>
      <c r="DJ387" t="s">
        <v>3</v>
      </c>
      <c r="DK387" t="s">
        <v>3</v>
      </c>
      <c r="DL387" t="s">
        <v>3</v>
      </c>
      <c r="DM387" t="s">
        <v>3</v>
      </c>
      <c r="DN387">
        <v>187</v>
      </c>
      <c r="DO387">
        <v>101</v>
      </c>
      <c r="DP387">
        <v>1</v>
      </c>
      <c r="DQ387">
        <v>1</v>
      </c>
      <c r="DU387">
        <v>1010</v>
      </c>
      <c r="DV387" t="s">
        <v>328</v>
      </c>
      <c r="DW387" t="s">
        <v>328</v>
      </c>
      <c r="DX387">
        <v>1</v>
      </c>
      <c r="EE387">
        <v>33797931</v>
      </c>
      <c r="EF387">
        <v>30</v>
      </c>
      <c r="EG387" t="s">
        <v>77</v>
      </c>
      <c r="EH387">
        <v>0</v>
      </c>
      <c r="EI387" t="s">
        <v>3</v>
      </c>
      <c r="EJ387">
        <v>1</v>
      </c>
      <c r="EK387">
        <v>292</v>
      </c>
      <c r="EL387" t="s">
        <v>312</v>
      </c>
      <c r="EM387" t="s">
        <v>313</v>
      </c>
      <c r="EO387" t="s">
        <v>3</v>
      </c>
      <c r="EQ387">
        <v>0</v>
      </c>
      <c r="ER387">
        <v>30.85</v>
      </c>
      <c r="ES387">
        <v>30.85</v>
      </c>
      <c r="ET387">
        <v>0</v>
      </c>
      <c r="EU387">
        <v>0</v>
      </c>
      <c r="EV387">
        <v>0</v>
      </c>
      <c r="EW387">
        <v>0</v>
      </c>
      <c r="EX387">
        <v>0</v>
      </c>
      <c r="FQ387">
        <v>0</v>
      </c>
      <c r="FR387">
        <f t="shared" si="360"/>
        <v>0</v>
      </c>
      <c r="FS387">
        <v>0</v>
      </c>
      <c r="FX387">
        <v>187</v>
      </c>
      <c r="FY387">
        <v>101</v>
      </c>
      <c r="GA387" t="s">
        <v>3</v>
      </c>
      <c r="GD387">
        <v>0</v>
      </c>
      <c r="GF387">
        <v>635768350</v>
      </c>
      <c r="GG387">
        <v>2</v>
      </c>
      <c r="GH387">
        <v>1</v>
      </c>
      <c r="GI387">
        <v>2</v>
      </c>
      <c r="GJ387">
        <v>0</v>
      </c>
      <c r="GK387">
        <f>ROUND(R387*(R12)/100,2)</f>
        <v>0</v>
      </c>
      <c r="GL387">
        <f t="shared" si="361"/>
        <v>0</v>
      </c>
      <c r="GM387">
        <f t="shared" si="362"/>
        <v>626103.84</v>
      </c>
      <c r="GN387">
        <f t="shared" si="363"/>
        <v>626103.84</v>
      </c>
      <c r="GO387">
        <f t="shared" si="364"/>
        <v>0</v>
      </c>
      <c r="GP387">
        <f t="shared" si="365"/>
        <v>0</v>
      </c>
      <c r="GR387">
        <v>0</v>
      </c>
      <c r="GS387">
        <v>3</v>
      </c>
      <c r="GT387">
        <v>0</v>
      </c>
      <c r="GU387" t="s">
        <v>3</v>
      </c>
      <c r="GV387">
        <f t="shared" si="366"/>
        <v>0</v>
      </c>
      <c r="GW387">
        <v>1</v>
      </c>
      <c r="GX387">
        <f t="shared" si="367"/>
        <v>0</v>
      </c>
      <c r="HA387">
        <v>0</v>
      </c>
      <c r="HB387">
        <v>0</v>
      </c>
      <c r="HC387">
        <f t="shared" si="368"/>
        <v>0</v>
      </c>
      <c r="IK387">
        <v>0</v>
      </c>
    </row>
    <row r="389" spans="1:245" x14ac:dyDescent="0.2">
      <c r="A389" s="2">
        <v>51</v>
      </c>
      <c r="B389" s="2">
        <f>B374</f>
        <v>1</v>
      </c>
      <c r="C389" s="2">
        <f>A374</f>
        <v>4</v>
      </c>
      <c r="D389" s="2">
        <f>ROW(A374)</f>
        <v>374</v>
      </c>
      <c r="E389" s="2"/>
      <c r="F389" s="2" t="str">
        <f>IF(F374&lt;&gt;"",F374,"")</f>
        <v>Новый раздел</v>
      </c>
      <c r="G389" s="2" t="str">
        <f>IF(G374&lt;&gt;"",G374,"")</f>
        <v>21.1. Посадка кустарников (h=0,7 м)</v>
      </c>
      <c r="H389" s="2">
        <v>0</v>
      </c>
      <c r="I389" s="2"/>
      <c r="J389" s="2"/>
      <c r="K389" s="2"/>
      <c r="L389" s="2"/>
      <c r="M389" s="2"/>
      <c r="N389" s="2"/>
      <c r="O389" s="2">
        <f t="shared" ref="O389:T389" si="369">ROUND(AB389,2)</f>
        <v>2920600.74</v>
      </c>
      <c r="P389" s="2">
        <f t="shared" si="369"/>
        <v>1357953.12</v>
      </c>
      <c r="Q389" s="2">
        <f t="shared" si="369"/>
        <v>152693.88</v>
      </c>
      <c r="R389" s="2">
        <f t="shared" si="369"/>
        <v>85976.18</v>
      </c>
      <c r="S389" s="2">
        <f t="shared" si="369"/>
        <v>1409953.74</v>
      </c>
      <c r="T389" s="2">
        <f t="shared" si="369"/>
        <v>0</v>
      </c>
      <c r="U389" s="2">
        <f>AH389</f>
        <v>5267.6501639999997</v>
      </c>
      <c r="V389" s="2">
        <f>AI389</f>
        <v>0</v>
      </c>
      <c r="W389" s="2">
        <f>ROUND(AJ389,2)</f>
        <v>0</v>
      </c>
      <c r="X389" s="2">
        <f>ROUND(AK389,2)</f>
        <v>1433532.61</v>
      </c>
      <c r="Y389" s="2">
        <f>ROUND(AL389,2)</f>
        <v>661844.51</v>
      </c>
      <c r="Z389" s="2"/>
      <c r="AA389" s="2"/>
      <c r="AB389" s="2">
        <f>ROUND(SUMIF(AA378:AA387,"=33989672",O378:O387),2)</f>
        <v>2920600.74</v>
      </c>
      <c r="AC389" s="2">
        <f>ROUND(SUMIF(AA378:AA387,"=33989672",P378:P387),2)</f>
        <v>1357953.12</v>
      </c>
      <c r="AD389" s="2">
        <f>ROUND(SUMIF(AA378:AA387,"=33989672",Q378:Q387),2)</f>
        <v>152693.88</v>
      </c>
      <c r="AE389" s="2">
        <f>ROUND(SUMIF(AA378:AA387,"=33989672",R378:R387),2)</f>
        <v>85976.18</v>
      </c>
      <c r="AF389" s="2">
        <f>ROUND(SUMIF(AA378:AA387,"=33989672",S378:S387),2)</f>
        <v>1409953.74</v>
      </c>
      <c r="AG389" s="2">
        <f>ROUND(SUMIF(AA378:AA387,"=33989672",T378:T387),2)</f>
        <v>0</v>
      </c>
      <c r="AH389" s="2">
        <f>SUMIF(AA378:AA387,"=33989672",U378:U387)</f>
        <v>5267.6501639999997</v>
      </c>
      <c r="AI389" s="2">
        <f>SUMIF(AA378:AA387,"=33989672",V378:V387)</f>
        <v>0</v>
      </c>
      <c r="AJ389" s="2">
        <f>ROUND(SUMIF(AA378:AA387,"=33989672",W378:W387),2)</f>
        <v>0</v>
      </c>
      <c r="AK389" s="2">
        <f>ROUND(SUMIF(AA378:AA387,"=33989672",X378:X387),2)</f>
        <v>1433532.61</v>
      </c>
      <c r="AL389" s="2">
        <f>ROUND(SUMIF(AA378:AA387,"=33989672",Y378:Y387),2)</f>
        <v>661844.51</v>
      </c>
      <c r="AM389" s="2"/>
      <c r="AN389" s="2"/>
      <c r="AO389" s="2">
        <f t="shared" ref="AO389:BD389" si="370">ROUND(BX389,2)</f>
        <v>0</v>
      </c>
      <c r="AP389" s="2">
        <f t="shared" si="370"/>
        <v>0</v>
      </c>
      <c r="AQ389" s="2">
        <f t="shared" si="370"/>
        <v>0</v>
      </c>
      <c r="AR389" s="2">
        <f t="shared" si="370"/>
        <v>5150960.46</v>
      </c>
      <c r="AS389" s="2">
        <f t="shared" si="370"/>
        <v>5150960.46</v>
      </c>
      <c r="AT389" s="2">
        <f t="shared" si="370"/>
        <v>0</v>
      </c>
      <c r="AU389" s="2">
        <f t="shared" si="370"/>
        <v>0</v>
      </c>
      <c r="AV389" s="2">
        <f t="shared" si="370"/>
        <v>1357953.12</v>
      </c>
      <c r="AW389" s="2">
        <f t="shared" si="370"/>
        <v>1357953.12</v>
      </c>
      <c r="AX389" s="2">
        <f t="shared" si="370"/>
        <v>0</v>
      </c>
      <c r="AY389" s="2">
        <f t="shared" si="370"/>
        <v>1357953.12</v>
      </c>
      <c r="AZ389" s="2">
        <f t="shared" si="370"/>
        <v>0</v>
      </c>
      <c r="BA389" s="2">
        <f t="shared" si="370"/>
        <v>0</v>
      </c>
      <c r="BB389" s="2">
        <f t="shared" si="370"/>
        <v>0</v>
      </c>
      <c r="BC389" s="2">
        <f t="shared" si="370"/>
        <v>0</v>
      </c>
      <c r="BD389" s="2">
        <f t="shared" si="370"/>
        <v>0</v>
      </c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>
        <f>ROUND(SUMIF(AA378:AA387,"=33989672",FQ378:FQ387),2)</f>
        <v>0</v>
      </c>
      <c r="BY389" s="2">
        <f>ROUND(SUMIF(AA378:AA387,"=33989672",FR378:FR387),2)</f>
        <v>0</v>
      </c>
      <c r="BZ389" s="2">
        <f>ROUND(SUMIF(AA378:AA387,"=33989672",GL378:GL387),2)</f>
        <v>0</v>
      </c>
      <c r="CA389" s="2">
        <f>ROUND(SUMIF(AA378:AA387,"=33989672",GM378:GM387),2)</f>
        <v>5150960.46</v>
      </c>
      <c r="CB389" s="2">
        <f>ROUND(SUMIF(AA378:AA387,"=33989672",GN378:GN387),2)</f>
        <v>5150960.46</v>
      </c>
      <c r="CC389" s="2">
        <f>ROUND(SUMIF(AA378:AA387,"=33989672",GO378:GO387),2)</f>
        <v>0</v>
      </c>
      <c r="CD389" s="2">
        <f>ROUND(SUMIF(AA378:AA387,"=33989672",GP378:GP387),2)</f>
        <v>0</v>
      </c>
      <c r="CE389" s="2">
        <f>AC389-BX389</f>
        <v>1357953.12</v>
      </c>
      <c r="CF389" s="2">
        <f>AC389-BY389</f>
        <v>1357953.12</v>
      </c>
      <c r="CG389" s="2">
        <f>BX389-BZ389</f>
        <v>0</v>
      </c>
      <c r="CH389" s="2">
        <f>AC389-BX389-BY389+BZ389</f>
        <v>1357953.12</v>
      </c>
      <c r="CI389" s="2">
        <f>BY389-BZ389</f>
        <v>0</v>
      </c>
      <c r="CJ389" s="2">
        <f>ROUND(SUMIF(AA378:AA387,"=33989672",GX378:GX387),2)</f>
        <v>0</v>
      </c>
      <c r="CK389" s="2">
        <f>ROUND(SUMIF(AA378:AA387,"=33989672",GY378:GY387),2)</f>
        <v>0</v>
      </c>
      <c r="CL389" s="2">
        <f>ROUND(SUMIF(AA378:AA387,"=33989672",GZ378:GZ387),2)</f>
        <v>0</v>
      </c>
      <c r="CM389" s="2">
        <f>ROUND(SUMIF(AA378:AA387,"=33989672",HD378:HD387),2)</f>
        <v>0</v>
      </c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>
        <v>0</v>
      </c>
    </row>
    <row r="391" spans="1:245" x14ac:dyDescent="0.2">
      <c r="A391" s="4">
        <v>50</v>
      </c>
      <c r="B391" s="4">
        <v>0</v>
      </c>
      <c r="C391" s="4">
        <v>0</v>
      </c>
      <c r="D391" s="4">
        <v>1</v>
      </c>
      <c r="E391" s="4">
        <v>201</v>
      </c>
      <c r="F391" s="4">
        <f>ROUND(Source!O389,O391)</f>
        <v>2920600.74</v>
      </c>
      <c r="G391" s="4" t="s">
        <v>89</v>
      </c>
      <c r="H391" s="4" t="s">
        <v>90</v>
      </c>
      <c r="I391" s="4"/>
      <c r="J391" s="4"/>
      <c r="K391" s="4">
        <v>201</v>
      </c>
      <c r="L391" s="4">
        <v>1</v>
      </c>
      <c r="M391" s="4">
        <v>3</v>
      </c>
      <c r="N391" s="4" t="s">
        <v>3</v>
      </c>
      <c r="O391" s="4">
        <v>2</v>
      </c>
      <c r="P391" s="4"/>
      <c r="Q391" s="4"/>
      <c r="R391" s="4"/>
      <c r="S391" s="4"/>
      <c r="T391" s="4"/>
      <c r="U391" s="4"/>
      <c r="V391" s="4"/>
      <c r="W391" s="4"/>
    </row>
    <row r="392" spans="1:245" x14ac:dyDescent="0.2">
      <c r="A392" s="4">
        <v>50</v>
      </c>
      <c r="B392" s="4">
        <v>0</v>
      </c>
      <c r="C392" s="4">
        <v>0</v>
      </c>
      <c r="D392" s="4">
        <v>1</v>
      </c>
      <c r="E392" s="4">
        <v>202</v>
      </c>
      <c r="F392" s="4">
        <f>ROUND(Source!P389,O392)</f>
        <v>1357953.12</v>
      </c>
      <c r="G392" s="4" t="s">
        <v>91</v>
      </c>
      <c r="H392" s="4" t="s">
        <v>92</v>
      </c>
      <c r="I392" s="4"/>
      <c r="J392" s="4"/>
      <c r="K392" s="4">
        <v>202</v>
      </c>
      <c r="L392" s="4">
        <v>2</v>
      </c>
      <c r="M392" s="4">
        <v>3</v>
      </c>
      <c r="N392" s="4" t="s">
        <v>3</v>
      </c>
      <c r="O392" s="4">
        <v>2</v>
      </c>
      <c r="P392" s="4"/>
      <c r="Q392" s="4"/>
      <c r="R392" s="4"/>
      <c r="S392" s="4"/>
      <c r="T392" s="4"/>
      <c r="U392" s="4"/>
      <c r="V392" s="4"/>
      <c r="W392" s="4"/>
    </row>
    <row r="393" spans="1:245" x14ac:dyDescent="0.2">
      <c r="A393" s="4">
        <v>50</v>
      </c>
      <c r="B393" s="4">
        <v>0</v>
      </c>
      <c r="C393" s="4">
        <v>0</v>
      </c>
      <c r="D393" s="4">
        <v>1</v>
      </c>
      <c r="E393" s="4">
        <v>222</v>
      </c>
      <c r="F393" s="4">
        <f>ROUND(Source!AO389,O393)</f>
        <v>0</v>
      </c>
      <c r="G393" s="4" t="s">
        <v>93</v>
      </c>
      <c r="H393" s="4" t="s">
        <v>94</v>
      </c>
      <c r="I393" s="4"/>
      <c r="J393" s="4"/>
      <c r="K393" s="4">
        <v>222</v>
      </c>
      <c r="L393" s="4">
        <v>3</v>
      </c>
      <c r="M393" s="4">
        <v>3</v>
      </c>
      <c r="N393" s="4" t="s">
        <v>3</v>
      </c>
      <c r="O393" s="4">
        <v>2</v>
      </c>
      <c r="P393" s="4"/>
      <c r="Q393" s="4"/>
      <c r="R393" s="4"/>
      <c r="S393" s="4"/>
      <c r="T393" s="4"/>
      <c r="U393" s="4"/>
      <c r="V393" s="4"/>
      <c r="W393" s="4"/>
    </row>
    <row r="394" spans="1:245" x14ac:dyDescent="0.2">
      <c r="A394" s="4">
        <v>50</v>
      </c>
      <c r="B394" s="4">
        <v>0</v>
      </c>
      <c r="C394" s="4">
        <v>0</v>
      </c>
      <c r="D394" s="4">
        <v>1</v>
      </c>
      <c r="E394" s="4">
        <v>225</v>
      </c>
      <c r="F394" s="4">
        <f>ROUND(Source!AV389,O394)</f>
        <v>1357953.12</v>
      </c>
      <c r="G394" s="4" t="s">
        <v>95</v>
      </c>
      <c r="H394" s="4" t="s">
        <v>96</v>
      </c>
      <c r="I394" s="4"/>
      <c r="J394" s="4"/>
      <c r="K394" s="4">
        <v>225</v>
      </c>
      <c r="L394" s="4">
        <v>4</v>
      </c>
      <c r="M394" s="4">
        <v>3</v>
      </c>
      <c r="N394" s="4" t="s">
        <v>3</v>
      </c>
      <c r="O394" s="4">
        <v>2</v>
      </c>
      <c r="P394" s="4"/>
      <c r="Q394" s="4"/>
      <c r="R394" s="4"/>
      <c r="S394" s="4"/>
      <c r="T394" s="4"/>
      <c r="U394" s="4"/>
      <c r="V394" s="4"/>
      <c r="W394" s="4"/>
    </row>
    <row r="395" spans="1:245" x14ac:dyDescent="0.2">
      <c r="A395" s="4">
        <v>50</v>
      </c>
      <c r="B395" s="4">
        <v>0</v>
      </c>
      <c r="C395" s="4">
        <v>0</v>
      </c>
      <c r="D395" s="4">
        <v>1</v>
      </c>
      <c r="E395" s="4">
        <v>226</v>
      </c>
      <c r="F395" s="4">
        <f>ROUND(Source!AW389,O395)</f>
        <v>1357953.12</v>
      </c>
      <c r="G395" s="4" t="s">
        <v>97</v>
      </c>
      <c r="H395" s="4" t="s">
        <v>98</v>
      </c>
      <c r="I395" s="4"/>
      <c r="J395" s="4"/>
      <c r="K395" s="4">
        <v>226</v>
      </c>
      <c r="L395" s="4">
        <v>5</v>
      </c>
      <c r="M395" s="4">
        <v>3</v>
      </c>
      <c r="N395" s="4" t="s">
        <v>3</v>
      </c>
      <c r="O395" s="4">
        <v>2</v>
      </c>
      <c r="P395" s="4"/>
      <c r="Q395" s="4"/>
      <c r="R395" s="4"/>
      <c r="S395" s="4"/>
      <c r="T395" s="4"/>
      <c r="U395" s="4"/>
      <c r="V395" s="4"/>
      <c r="W395" s="4"/>
    </row>
    <row r="396" spans="1:245" x14ac:dyDescent="0.2">
      <c r="A396" s="4">
        <v>50</v>
      </c>
      <c r="B396" s="4">
        <v>0</v>
      </c>
      <c r="C396" s="4">
        <v>0</v>
      </c>
      <c r="D396" s="4">
        <v>1</v>
      </c>
      <c r="E396" s="4">
        <v>227</v>
      </c>
      <c r="F396" s="4">
        <f>ROUND(Source!AX389,O396)</f>
        <v>0</v>
      </c>
      <c r="G396" s="4" t="s">
        <v>99</v>
      </c>
      <c r="H396" s="4" t="s">
        <v>100</v>
      </c>
      <c r="I396" s="4"/>
      <c r="J396" s="4"/>
      <c r="K396" s="4">
        <v>227</v>
      </c>
      <c r="L396" s="4">
        <v>6</v>
      </c>
      <c r="M396" s="4">
        <v>3</v>
      </c>
      <c r="N396" s="4" t="s">
        <v>3</v>
      </c>
      <c r="O396" s="4">
        <v>2</v>
      </c>
      <c r="P396" s="4"/>
      <c r="Q396" s="4"/>
      <c r="R396" s="4"/>
      <c r="S396" s="4"/>
      <c r="T396" s="4"/>
      <c r="U396" s="4"/>
      <c r="V396" s="4"/>
      <c r="W396" s="4"/>
    </row>
    <row r="397" spans="1:245" x14ac:dyDescent="0.2">
      <c r="A397" s="4">
        <v>50</v>
      </c>
      <c r="B397" s="4">
        <v>0</v>
      </c>
      <c r="C397" s="4">
        <v>0</v>
      </c>
      <c r="D397" s="4">
        <v>1</v>
      </c>
      <c r="E397" s="4">
        <v>228</v>
      </c>
      <c r="F397" s="4">
        <f>ROUND(Source!AY389,O397)</f>
        <v>1357953.12</v>
      </c>
      <c r="G397" s="4" t="s">
        <v>101</v>
      </c>
      <c r="H397" s="4" t="s">
        <v>102</v>
      </c>
      <c r="I397" s="4"/>
      <c r="J397" s="4"/>
      <c r="K397" s="4">
        <v>228</v>
      </c>
      <c r="L397" s="4">
        <v>7</v>
      </c>
      <c r="M397" s="4">
        <v>3</v>
      </c>
      <c r="N397" s="4" t="s">
        <v>3</v>
      </c>
      <c r="O397" s="4">
        <v>2</v>
      </c>
      <c r="P397" s="4"/>
      <c r="Q397" s="4"/>
      <c r="R397" s="4"/>
      <c r="S397" s="4"/>
      <c r="T397" s="4"/>
      <c r="U397" s="4"/>
      <c r="V397" s="4"/>
      <c r="W397" s="4"/>
    </row>
    <row r="398" spans="1:245" x14ac:dyDescent="0.2">
      <c r="A398" s="4">
        <v>50</v>
      </c>
      <c r="B398" s="4">
        <v>0</v>
      </c>
      <c r="C398" s="4">
        <v>0</v>
      </c>
      <c r="D398" s="4">
        <v>1</v>
      </c>
      <c r="E398" s="4">
        <v>216</v>
      </c>
      <c r="F398" s="4">
        <f>ROUND(Source!AP389,O398)</f>
        <v>0</v>
      </c>
      <c r="G398" s="4" t="s">
        <v>103</v>
      </c>
      <c r="H398" s="4" t="s">
        <v>104</v>
      </c>
      <c r="I398" s="4"/>
      <c r="J398" s="4"/>
      <c r="K398" s="4">
        <v>216</v>
      </c>
      <c r="L398" s="4">
        <v>8</v>
      </c>
      <c r="M398" s="4">
        <v>3</v>
      </c>
      <c r="N398" s="4" t="s">
        <v>3</v>
      </c>
      <c r="O398" s="4">
        <v>2</v>
      </c>
      <c r="P398" s="4"/>
      <c r="Q398" s="4"/>
      <c r="R398" s="4"/>
      <c r="S398" s="4"/>
      <c r="T398" s="4"/>
      <c r="U398" s="4"/>
      <c r="V398" s="4"/>
      <c r="W398" s="4"/>
    </row>
    <row r="399" spans="1:245" x14ac:dyDescent="0.2">
      <c r="A399" s="4">
        <v>50</v>
      </c>
      <c r="B399" s="4">
        <v>0</v>
      </c>
      <c r="C399" s="4">
        <v>0</v>
      </c>
      <c r="D399" s="4">
        <v>1</v>
      </c>
      <c r="E399" s="4">
        <v>223</v>
      </c>
      <c r="F399" s="4">
        <f>ROUND(Source!AQ389,O399)</f>
        <v>0</v>
      </c>
      <c r="G399" s="4" t="s">
        <v>105</v>
      </c>
      <c r="H399" s="4" t="s">
        <v>106</v>
      </c>
      <c r="I399" s="4"/>
      <c r="J399" s="4"/>
      <c r="K399" s="4">
        <v>223</v>
      </c>
      <c r="L399" s="4">
        <v>9</v>
      </c>
      <c r="M399" s="4">
        <v>3</v>
      </c>
      <c r="N399" s="4" t="s">
        <v>3</v>
      </c>
      <c r="O399" s="4">
        <v>2</v>
      </c>
      <c r="P399" s="4"/>
      <c r="Q399" s="4"/>
      <c r="R399" s="4"/>
      <c r="S399" s="4"/>
      <c r="T399" s="4"/>
      <c r="U399" s="4"/>
      <c r="V399" s="4"/>
      <c r="W399" s="4"/>
    </row>
    <row r="400" spans="1:245" x14ac:dyDescent="0.2">
      <c r="A400" s="4">
        <v>50</v>
      </c>
      <c r="B400" s="4">
        <v>0</v>
      </c>
      <c r="C400" s="4">
        <v>0</v>
      </c>
      <c r="D400" s="4">
        <v>1</v>
      </c>
      <c r="E400" s="4">
        <v>229</v>
      </c>
      <c r="F400" s="4">
        <f>ROUND(Source!AZ389,O400)</f>
        <v>0</v>
      </c>
      <c r="G400" s="4" t="s">
        <v>107</v>
      </c>
      <c r="H400" s="4" t="s">
        <v>108</v>
      </c>
      <c r="I400" s="4"/>
      <c r="J400" s="4"/>
      <c r="K400" s="4">
        <v>229</v>
      </c>
      <c r="L400" s="4">
        <v>10</v>
      </c>
      <c r="M400" s="4">
        <v>3</v>
      </c>
      <c r="N400" s="4" t="s">
        <v>3</v>
      </c>
      <c r="O400" s="4">
        <v>2</v>
      </c>
      <c r="P400" s="4"/>
      <c r="Q400" s="4"/>
      <c r="R400" s="4"/>
      <c r="S400" s="4"/>
      <c r="T400" s="4"/>
      <c r="U400" s="4"/>
      <c r="V400" s="4"/>
      <c r="W400" s="4"/>
    </row>
    <row r="401" spans="1:23" x14ac:dyDescent="0.2">
      <c r="A401" s="4">
        <v>50</v>
      </c>
      <c r="B401" s="4">
        <v>0</v>
      </c>
      <c r="C401" s="4">
        <v>0</v>
      </c>
      <c r="D401" s="4">
        <v>1</v>
      </c>
      <c r="E401" s="4">
        <v>203</v>
      </c>
      <c r="F401" s="4">
        <f>ROUND(Source!Q389,O401)</f>
        <v>152693.88</v>
      </c>
      <c r="G401" s="4" t="s">
        <v>109</v>
      </c>
      <c r="H401" s="4" t="s">
        <v>110</v>
      </c>
      <c r="I401" s="4"/>
      <c r="J401" s="4"/>
      <c r="K401" s="4">
        <v>203</v>
      </c>
      <c r="L401" s="4">
        <v>11</v>
      </c>
      <c r="M401" s="4">
        <v>3</v>
      </c>
      <c r="N401" s="4" t="s">
        <v>3</v>
      </c>
      <c r="O401" s="4">
        <v>2</v>
      </c>
      <c r="P401" s="4"/>
      <c r="Q401" s="4"/>
      <c r="R401" s="4"/>
      <c r="S401" s="4"/>
      <c r="T401" s="4"/>
      <c r="U401" s="4"/>
      <c r="V401" s="4"/>
      <c r="W401" s="4"/>
    </row>
    <row r="402" spans="1:23" x14ac:dyDescent="0.2">
      <c r="A402" s="4">
        <v>50</v>
      </c>
      <c r="B402" s="4">
        <v>0</v>
      </c>
      <c r="C402" s="4">
        <v>0</v>
      </c>
      <c r="D402" s="4">
        <v>1</v>
      </c>
      <c r="E402" s="4">
        <v>231</v>
      </c>
      <c r="F402" s="4">
        <f>ROUND(Source!BB389,O402)</f>
        <v>0</v>
      </c>
      <c r="G402" s="4" t="s">
        <v>111</v>
      </c>
      <c r="H402" s="4" t="s">
        <v>112</v>
      </c>
      <c r="I402" s="4"/>
      <c r="J402" s="4"/>
      <c r="K402" s="4">
        <v>231</v>
      </c>
      <c r="L402" s="4">
        <v>12</v>
      </c>
      <c r="M402" s="4">
        <v>3</v>
      </c>
      <c r="N402" s="4" t="s">
        <v>3</v>
      </c>
      <c r="O402" s="4">
        <v>2</v>
      </c>
      <c r="P402" s="4"/>
      <c r="Q402" s="4"/>
      <c r="R402" s="4"/>
      <c r="S402" s="4"/>
      <c r="T402" s="4"/>
      <c r="U402" s="4"/>
      <c r="V402" s="4"/>
      <c r="W402" s="4"/>
    </row>
    <row r="403" spans="1:23" x14ac:dyDescent="0.2">
      <c r="A403" s="4">
        <v>50</v>
      </c>
      <c r="B403" s="4">
        <v>0</v>
      </c>
      <c r="C403" s="4">
        <v>0</v>
      </c>
      <c r="D403" s="4">
        <v>1</v>
      </c>
      <c r="E403" s="4">
        <v>204</v>
      </c>
      <c r="F403" s="4">
        <f>ROUND(Source!R389,O403)</f>
        <v>85976.18</v>
      </c>
      <c r="G403" s="4" t="s">
        <v>113</v>
      </c>
      <c r="H403" s="4" t="s">
        <v>114</v>
      </c>
      <c r="I403" s="4"/>
      <c r="J403" s="4"/>
      <c r="K403" s="4">
        <v>204</v>
      </c>
      <c r="L403" s="4">
        <v>13</v>
      </c>
      <c r="M403" s="4">
        <v>3</v>
      </c>
      <c r="N403" s="4" t="s">
        <v>3</v>
      </c>
      <c r="O403" s="4">
        <v>2</v>
      </c>
      <c r="P403" s="4"/>
      <c r="Q403" s="4"/>
      <c r="R403" s="4"/>
      <c r="S403" s="4"/>
      <c r="T403" s="4"/>
      <c r="U403" s="4"/>
      <c r="V403" s="4"/>
      <c r="W403" s="4"/>
    </row>
    <row r="404" spans="1:23" x14ac:dyDescent="0.2">
      <c r="A404" s="4">
        <v>50</v>
      </c>
      <c r="B404" s="4">
        <v>0</v>
      </c>
      <c r="C404" s="4">
        <v>0</v>
      </c>
      <c r="D404" s="4">
        <v>1</v>
      </c>
      <c r="E404" s="4">
        <v>205</v>
      </c>
      <c r="F404" s="4">
        <f>ROUND(Source!S389,O404)</f>
        <v>1409953.74</v>
      </c>
      <c r="G404" s="4" t="s">
        <v>115</v>
      </c>
      <c r="H404" s="4" t="s">
        <v>116</v>
      </c>
      <c r="I404" s="4"/>
      <c r="J404" s="4"/>
      <c r="K404" s="4">
        <v>205</v>
      </c>
      <c r="L404" s="4">
        <v>14</v>
      </c>
      <c r="M404" s="4">
        <v>3</v>
      </c>
      <c r="N404" s="4" t="s">
        <v>3</v>
      </c>
      <c r="O404" s="4">
        <v>2</v>
      </c>
      <c r="P404" s="4"/>
      <c r="Q404" s="4"/>
      <c r="R404" s="4"/>
      <c r="S404" s="4"/>
      <c r="T404" s="4"/>
      <c r="U404" s="4"/>
      <c r="V404" s="4"/>
      <c r="W404" s="4"/>
    </row>
    <row r="405" spans="1:23" x14ac:dyDescent="0.2">
      <c r="A405" s="4">
        <v>50</v>
      </c>
      <c r="B405" s="4">
        <v>0</v>
      </c>
      <c r="C405" s="4">
        <v>0</v>
      </c>
      <c r="D405" s="4">
        <v>1</v>
      </c>
      <c r="E405" s="4">
        <v>232</v>
      </c>
      <c r="F405" s="4">
        <f>ROUND(Source!BC389,O405)</f>
        <v>0</v>
      </c>
      <c r="G405" s="4" t="s">
        <v>117</v>
      </c>
      <c r="H405" s="4" t="s">
        <v>118</v>
      </c>
      <c r="I405" s="4"/>
      <c r="J405" s="4"/>
      <c r="K405" s="4">
        <v>232</v>
      </c>
      <c r="L405" s="4">
        <v>15</v>
      </c>
      <c r="M405" s="4">
        <v>3</v>
      </c>
      <c r="N405" s="4" t="s">
        <v>3</v>
      </c>
      <c r="O405" s="4">
        <v>2</v>
      </c>
      <c r="P405" s="4"/>
      <c r="Q405" s="4"/>
      <c r="R405" s="4"/>
      <c r="S405" s="4"/>
      <c r="T405" s="4"/>
      <c r="U405" s="4"/>
      <c r="V405" s="4"/>
      <c r="W405" s="4"/>
    </row>
    <row r="406" spans="1:23" x14ac:dyDescent="0.2">
      <c r="A406" s="4">
        <v>50</v>
      </c>
      <c r="B406" s="4">
        <v>0</v>
      </c>
      <c r="C406" s="4">
        <v>0</v>
      </c>
      <c r="D406" s="4">
        <v>1</v>
      </c>
      <c r="E406" s="4">
        <v>214</v>
      </c>
      <c r="F406" s="4">
        <f>ROUND(Source!AS389,O406)</f>
        <v>5150960.46</v>
      </c>
      <c r="G406" s="4" t="s">
        <v>119</v>
      </c>
      <c r="H406" s="4" t="s">
        <v>120</v>
      </c>
      <c r="I406" s="4"/>
      <c r="J406" s="4"/>
      <c r="K406" s="4">
        <v>214</v>
      </c>
      <c r="L406" s="4">
        <v>16</v>
      </c>
      <c r="M406" s="4">
        <v>3</v>
      </c>
      <c r="N406" s="4" t="s">
        <v>3</v>
      </c>
      <c r="O406" s="4">
        <v>2</v>
      </c>
      <c r="P406" s="4"/>
      <c r="Q406" s="4"/>
      <c r="R406" s="4"/>
      <c r="S406" s="4"/>
      <c r="T406" s="4"/>
      <c r="U406" s="4"/>
      <c r="V406" s="4"/>
      <c r="W406" s="4"/>
    </row>
    <row r="407" spans="1:23" x14ac:dyDescent="0.2">
      <c r="A407" s="4">
        <v>50</v>
      </c>
      <c r="B407" s="4">
        <v>0</v>
      </c>
      <c r="C407" s="4">
        <v>0</v>
      </c>
      <c r="D407" s="4">
        <v>1</v>
      </c>
      <c r="E407" s="4">
        <v>215</v>
      </c>
      <c r="F407" s="4">
        <f>ROUND(Source!AT389,O407)</f>
        <v>0</v>
      </c>
      <c r="G407" s="4" t="s">
        <v>121</v>
      </c>
      <c r="H407" s="4" t="s">
        <v>122</v>
      </c>
      <c r="I407" s="4"/>
      <c r="J407" s="4"/>
      <c r="K407" s="4">
        <v>215</v>
      </c>
      <c r="L407" s="4">
        <v>17</v>
      </c>
      <c r="M407" s="4">
        <v>3</v>
      </c>
      <c r="N407" s="4" t="s">
        <v>3</v>
      </c>
      <c r="O407" s="4">
        <v>2</v>
      </c>
      <c r="P407" s="4"/>
      <c r="Q407" s="4"/>
      <c r="R407" s="4"/>
      <c r="S407" s="4"/>
      <c r="T407" s="4"/>
      <c r="U407" s="4"/>
      <c r="V407" s="4"/>
      <c r="W407" s="4"/>
    </row>
    <row r="408" spans="1:23" x14ac:dyDescent="0.2">
      <c r="A408" s="4">
        <v>50</v>
      </c>
      <c r="B408" s="4">
        <v>0</v>
      </c>
      <c r="C408" s="4">
        <v>0</v>
      </c>
      <c r="D408" s="4">
        <v>1</v>
      </c>
      <c r="E408" s="4">
        <v>217</v>
      </c>
      <c r="F408" s="4">
        <f>ROUND(Source!AU389,O408)</f>
        <v>0</v>
      </c>
      <c r="G408" s="4" t="s">
        <v>123</v>
      </c>
      <c r="H408" s="4" t="s">
        <v>124</v>
      </c>
      <c r="I408" s="4"/>
      <c r="J408" s="4"/>
      <c r="K408" s="4">
        <v>217</v>
      </c>
      <c r="L408" s="4">
        <v>18</v>
      </c>
      <c r="M408" s="4">
        <v>3</v>
      </c>
      <c r="N408" s="4" t="s">
        <v>3</v>
      </c>
      <c r="O408" s="4">
        <v>2</v>
      </c>
      <c r="P408" s="4"/>
      <c r="Q408" s="4"/>
      <c r="R408" s="4"/>
      <c r="S408" s="4"/>
      <c r="T408" s="4"/>
      <c r="U408" s="4"/>
      <c r="V408" s="4"/>
      <c r="W408" s="4"/>
    </row>
    <row r="409" spans="1:23" x14ac:dyDescent="0.2">
      <c r="A409" s="4">
        <v>50</v>
      </c>
      <c r="B409" s="4">
        <v>0</v>
      </c>
      <c r="C409" s="4">
        <v>0</v>
      </c>
      <c r="D409" s="4">
        <v>1</v>
      </c>
      <c r="E409" s="4">
        <v>230</v>
      </c>
      <c r="F409" s="4">
        <f>ROUND(Source!BA389,O409)</f>
        <v>0</v>
      </c>
      <c r="G409" s="4" t="s">
        <v>125</v>
      </c>
      <c r="H409" s="4" t="s">
        <v>126</v>
      </c>
      <c r="I409" s="4"/>
      <c r="J409" s="4"/>
      <c r="K409" s="4">
        <v>230</v>
      </c>
      <c r="L409" s="4">
        <v>19</v>
      </c>
      <c r="M409" s="4">
        <v>3</v>
      </c>
      <c r="N409" s="4" t="s">
        <v>3</v>
      </c>
      <c r="O409" s="4">
        <v>2</v>
      </c>
      <c r="P409" s="4"/>
      <c r="Q409" s="4"/>
      <c r="R409" s="4"/>
      <c r="S409" s="4"/>
      <c r="T409" s="4"/>
      <c r="U409" s="4"/>
      <c r="V409" s="4"/>
      <c r="W409" s="4"/>
    </row>
    <row r="410" spans="1:23" x14ac:dyDescent="0.2">
      <c r="A410" s="4">
        <v>50</v>
      </c>
      <c r="B410" s="4">
        <v>0</v>
      </c>
      <c r="C410" s="4">
        <v>0</v>
      </c>
      <c r="D410" s="4">
        <v>1</v>
      </c>
      <c r="E410" s="4">
        <v>206</v>
      </c>
      <c r="F410" s="4">
        <f>ROUND(Source!T389,O410)</f>
        <v>0</v>
      </c>
      <c r="G410" s="4" t="s">
        <v>127</v>
      </c>
      <c r="H410" s="4" t="s">
        <v>128</v>
      </c>
      <c r="I410" s="4"/>
      <c r="J410" s="4"/>
      <c r="K410" s="4">
        <v>206</v>
      </c>
      <c r="L410" s="4">
        <v>20</v>
      </c>
      <c r="M410" s="4">
        <v>3</v>
      </c>
      <c r="N410" s="4" t="s">
        <v>3</v>
      </c>
      <c r="O410" s="4">
        <v>2</v>
      </c>
      <c r="P410" s="4"/>
      <c r="Q410" s="4"/>
      <c r="R410" s="4"/>
      <c r="S410" s="4"/>
      <c r="T410" s="4"/>
      <c r="U410" s="4"/>
      <c r="V410" s="4"/>
      <c r="W410" s="4"/>
    </row>
    <row r="411" spans="1:23" x14ac:dyDescent="0.2">
      <c r="A411" s="4">
        <v>50</v>
      </c>
      <c r="B411" s="4">
        <v>0</v>
      </c>
      <c r="C411" s="4">
        <v>0</v>
      </c>
      <c r="D411" s="4">
        <v>1</v>
      </c>
      <c r="E411" s="4">
        <v>207</v>
      </c>
      <c r="F411" s="4">
        <f>Source!U389</f>
        <v>5267.6501639999997</v>
      </c>
      <c r="G411" s="4" t="s">
        <v>129</v>
      </c>
      <c r="H411" s="4" t="s">
        <v>130</v>
      </c>
      <c r="I411" s="4"/>
      <c r="J411" s="4"/>
      <c r="K411" s="4">
        <v>207</v>
      </c>
      <c r="L411" s="4">
        <v>21</v>
      </c>
      <c r="M411" s="4">
        <v>3</v>
      </c>
      <c r="N411" s="4" t="s">
        <v>3</v>
      </c>
      <c r="O411" s="4">
        <v>-1</v>
      </c>
      <c r="P411" s="4"/>
      <c r="Q411" s="4"/>
      <c r="R411" s="4"/>
      <c r="S411" s="4"/>
      <c r="T411" s="4"/>
      <c r="U411" s="4"/>
      <c r="V411" s="4"/>
      <c r="W411" s="4"/>
    </row>
    <row r="412" spans="1:23" x14ac:dyDescent="0.2">
      <c r="A412" s="4">
        <v>50</v>
      </c>
      <c r="B412" s="4">
        <v>0</v>
      </c>
      <c r="C412" s="4">
        <v>0</v>
      </c>
      <c r="D412" s="4">
        <v>1</v>
      </c>
      <c r="E412" s="4">
        <v>208</v>
      </c>
      <c r="F412" s="4">
        <f>Source!V389</f>
        <v>0</v>
      </c>
      <c r="G412" s="4" t="s">
        <v>131</v>
      </c>
      <c r="H412" s="4" t="s">
        <v>132</v>
      </c>
      <c r="I412" s="4"/>
      <c r="J412" s="4"/>
      <c r="K412" s="4">
        <v>208</v>
      </c>
      <c r="L412" s="4">
        <v>22</v>
      </c>
      <c r="M412" s="4">
        <v>3</v>
      </c>
      <c r="N412" s="4" t="s">
        <v>3</v>
      </c>
      <c r="O412" s="4">
        <v>-1</v>
      </c>
      <c r="P412" s="4"/>
      <c r="Q412" s="4"/>
      <c r="R412" s="4"/>
      <c r="S412" s="4"/>
      <c r="T412" s="4"/>
      <c r="U412" s="4"/>
      <c r="V412" s="4"/>
      <c r="W412" s="4"/>
    </row>
    <row r="413" spans="1:23" x14ac:dyDescent="0.2">
      <c r="A413" s="4">
        <v>50</v>
      </c>
      <c r="B413" s="4">
        <v>0</v>
      </c>
      <c r="C413" s="4">
        <v>0</v>
      </c>
      <c r="D413" s="4">
        <v>1</v>
      </c>
      <c r="E413" s="4">
        <v>209</v>
      </c>
      <c r="F413" s="4">
        <f>ROUND(Source!W389,O413)</f>
        <v>0</v>
      </c>
      <c r="G413" s="4" t="s">
        <v>133</v>
      </c>
      <c r="H413" s="4" t="s">
        <v>134</v>
      </c>
      <c r="I413" s="4"/>
      <c r="J413" s="4"/>
      <c r="K413" s="4">
        <v>209</v>
      </c>
      <c r="L413" s="4">
        <v>23</v>
      </c>
      <c r="M413" s="4">
        <v>3</v>
      </c>
      <c r="N413" s="4" t="s">
        <v>3</v>
      </c>
      <c r="O413" s="4">
        <v>2</v>
      </c>
      <c r="P413" s="4"/>
      <c r="Q413" s="4"/>
      <c r="R413" s="4"/>
      <c r="S413" s="4"/>
      <c r="T413" s="4"/>
      <c r="U413" s="4"/>
      <c r="V413" s="4"/>
      <c r="W413" s="4"/>
    </row>
    <row r="414" spans="1:23" x14ac:dyDescent="0.2">
      <c r="A414" s="4">
        <v>50</v>
      </c>
      <c r="B414" s="4">
        <v>0</v>
      </c>
      <c r="C414" s="4">
        <v>0</v>
      </c>
      <c r="D414" s="4">
        <v>1</v>
      </c>
      <c r="E414" s="4">
        <v>233</v>
      </c>
      <c r="F414" s="4">
        <f>ROUND(Source!BD389,O414)</f>
        <v>0</v>
      </c>
      <c r="G414" s="4" t="s">
        <v>135</v>
      </c>
      <c r="H414" s="4" t="s">
        <v>136</v>
      </c>
      <c r="I414" s="4"/>
      <c r="J414" s="4"/>
      <c r="K414" s="4">
        <v>233</v>
      </c>
      <c r="L414" s="4">
        <v>24</v>
      </c>
      <c r="M414" s="4">
        <v>3</v>
      </c>
      <c r="N414" s="4" t="s">
        <v>3</v>
      </c>
      <c r="O414" s="4">
        <v>2</v>
      </c>
      <c r="P414" s="4"/>
      <c r="Q414" s="4"/>
      <c r="R414" s="4"/>
      <c r="S414" s="4"/>
      <c r="T414" s="4"/>
      <c r="U414" s="4"/>
      <c r="V414" s="4"/>
      <c r="W414" s="4"/>
    </row>
    <row r="415" spans="1:23" x14ac:dyDescent="0.2">
      <c r="A415" s="4">
        <v>50</v>
      </c>
      <c r="B415" s="4">
        <v>0</v>
      </c>
      <c r="C415" s="4">
        <v>0</v>
      </c>
      <c r="D415" s="4">
        <v>1</v>
      </c>
      <c r="E415" s="4">
        <v>210</v>
      </c>
      <c r="F415" s="4">
        <f>ROUND(Source!X389,O415)</f>
        <v>1433532.61</v>
      </c>
      <c r="G415" s="4" t="s">
        <v>137</v>
      </c>
      <c r="H415" s="4" t="s">
        <v>138</v>
      </c>
      <c r="I415" s="4"/>
      <c r="J415" s="4"/>
      <c r="K415" s="4">
        <v>210</v>
      </c>
      <c r="L415" s="4">
        <v>25</v>
      </c>
      <c r="M415" s="4">
        <v>3</v>
      </c>
      <c r="N415" s="4" t="s">
        <v>3</v>
      </c>
      <c r="O415" s="4">
        <v>2</v>
      </c>
      <c r="P415" s="4"/>
      <c r="Q415" s="4"/>
      <c r="R415" s="4"/>
      <c r="S415" s="4"/>
      <c r="T415" s="4"/>
      <c r="U415" s="4"/>
      <c r="V415" s="4"/>
      <c r="W415" s="4"/>
    </row>
    <row r="416" spans="1:23" x14ac:dyDescent="0.2">
      <c r="A416" s="4">
        <v>50</v>
      </c>
      <c r="B416" s="4">
        <v>0</v>
      </c>
      <c r="C416" s="4">
        <v>0</v>
      </c>
      <c r="D416" s="4">
        <v>1</v>
      </c>
      <c r="E416" s="4">
        <v>211</v>
      </c>
      <c r="F416" s="4">
        <f>ROUND(Source!Y389,O416)</f>
        <v>661844.51</v>
      </c>
      <c r="G416" s="4" t="s">
        <v>139</v>
      </c>
      <c r="H416" s="4" t="s">
        <v>140</v>
      </c>
      <c r="I416" s="4"/>
      <c r="J416" s="4"/>
      <c r="K416" s="4">
        <v>211</v>
      </c>
      <c r="L416" s="4">
        <v>26</v>
      </c>
      <c r="M416" s="4">
        <v>3</v>
      </c>
      <c r="N416" s="4" t="s">
        <v>3</v>
      </c>
      <c r="O416" s="4">
        <v>2</v>
      </c>
      <c r="P416" s="4"/>
      <c r="Q416" s="4"/>
      <c r="R416" s="4"/>
      <c r="S416" s="4"/>
      <c r="T416" s="4"/>
      <c r="U416" s="4"/>
      <c r="V416" s="4"/>
      <c r="W416" s="4"/>
    </row>
    <row r="417" spans="1:206" x14ac:dyDescent="0.2">
      <c r="A417" s="4">
        <v>50</v>
      </c>
      <c r="B417" s="4">
        <v>0</v>
      </c>
      <c r="C417" s="4">
        <v>0</v>
      </c>
      <c r="D417" s="4">
        <v>1</v>
      </c>
      <c r="E417" s="4">
        <v>224</v>
      </c>
      <c r="F417" s="4">
        <f>ROUND(Source!AR389,O417)</f>
        <v>5150960.46</v>
      </c>
      <c r="G417" s="4" t="s">
        <v>141</v>
      </c>
      <c r="H417" s="4" t="s">
        <v>142</v>
      </c>
      <c r="I417" s="4"/>
      <c r="J417" s="4"/>
      <c r="K417" s="4">
        <v>224</v>
      </c>
      <c r="L417" s="4">
        <v>27</v>
      </c>
      <c r="M417" s="4">
        <v>3</v>
      </c>
      <c r="N417" s="4" t="s">
        <v>3</v>
      </c>
      <c r="O417" s="4">
        <v>2</v>
      </c>
      <c r="P417" s="4"/>
      <c r="Q417" s="4"/>
      <c r="R417" s="4"/>
      <c r="S417" s="4"/>
      <c r="T417" s="4"/>
      <c r="U417" s="4"/>
      <c r="V417" s="4"/>
      <c r="W417" s="4"/>
    </row>
    <row r="418" spans="1:206" x14ac:dyDescent="0.2">
      <c r="A418" s="4">
        <v>50</v>
      </c>
      <c r="B418" s="4">
        <v>1</v>
      </c>
      <c r="C418" s="4">
        <v>0</v>
      </c>
      <c r="D418" s="4">
        <v>2</v>
      </c>
      <c r="E418" s="4">
        <v>0</v>
      </c>
      <c r="F418" s="4">
        <f>ROUND(F417*1.2,O418)</f>
        <v>6181152.5499999998</v>
      </c>
      <c r="G418" s="4" t="s">
        <v>15</v>
      </c>
      <c r="H418" s="4" t="s">
        <v>170</v>
      </c>
      <c r="I418" s="4"/>
      <c r="J418" s="4"/>
      <c r="K418" s="4">
        <v>212</v>
      </c>
      <c r="L418" s="4">
        <v>28</v>
      </c>
      <c r="M418" s="4">
        <v>0</v>
      </c>
      <c r="N418" s="4" t="s">
        <v>3</v>
      </c>
      <c r="O418" s="4">
        <v>2</v>
      </c>
      <c r="P418" s="4"/>
      <c r="Q418" s="4"/>
      <c r="R418" s="4"/>
      <c r="S418" s="4"/>
      <c r="T418" s="4"/>
      <c r="U418" s="4"/>
      <c r="V418" s="4"/>
      <c r="W418" s="4"/>
    </row>
    <row r="420" spans="1:206" x14ac:dyDescent="0.2">
      <c r="A420" s="1">
        <v>4</v>
      </c>
      <c r="B420" s="1">
        <v>1</v>
      </c>
      <c r="C420" s="1"/>
      <c r="D420" s="1">
        <f>ROW(A424)</f>
        <v>424</v>
      </c>
      <c r="E420" s="1"/>
      <c r="F420" s="1" t="s">
        <v>13</v>
      </c>
      <c r="G420" s="1" t="s">
        <v>330</v>
      </c>
      <c r="H420" s="1" t="s">
        <v>3</v>
      </c>
      <c r="I420" s="1">
        <v>0</v>
      </c>
      <c r="J420" s="1"/>
      <c r="K420" s="1">
        <v>0</v>
      </c>
      <c r="L420" s="1"/>
      <c r="M420" s="1"/>
      <c r="N420" s="1"/>
      <c r="O420" s="1"/>
      <c r="P420" s="1"/>
      <c r="Q420" s="1"/>
      <c r="R420" s="1"/>
      <c r="S420" s="1"/>
      <c r="T420" s="1"/>
      <c r="U420" s="1" t="s">
        <v>3</v>
      </c>
      <c r="V420" s="1">
        <v>0</v>
      </c>
      <c r="W420" s="1"/>
      <c r="X420" s="1"/>
      <c r="Y420" s="1"/>
      <c r="Z420" s="1"/>
      <c r="AA420" s="1"/>
      <c r="AB420" s="1" t="s">
        <v>3</v>
      </c>
      <c r="AC420" s="1" t="s">
        <v>3</v>
      </c>
      <c r="AD420" s="1" t="s">
        <v>3</v>
      </c>
      <c r="AE420" s="1" t="s">
        <v>3</v>
      </c>
      <c r="AF420" s="1" t="s">
        <v>3</v>
      </c>
      <c r="AG420" s="1" t="s">
        <v>3</v>
      </c>
      <c r="AH420" s="1"/>
      <c r="AI420" s="1"/>
      <c r="AJ420" s="1"/>
      <c r="AK420" s="1"/>
      <c r="AL420" s="1"/>
      <c r="AM420" s="1"/>
      <c r="AN420" s="1"/>
      <c r="AO420" s="1"/>
      <c r="AP420" s="1" t="s">
        <v>3</v>
      </c>
      <c r="AQ420" s="1" t="s">
        <v>3</v>
      </c>
      <c r="AR420" s="1" t="s">
        <v>3</v>
      </c>
      <c r="AS420" s="1"/>
      <c r="AT420" s="1"/>
      <c r="AU420" s="1"/>
      <c r="AV420" s="1"/>
      <c r="AW420" s="1"/>
      <c r="AX420" s="1"/>
      <c r="AY420" s="1"/>
      <c r="AZ420" s="1" t="s">
        <v>3</v>
      </c>
      <c r="BA420" s="1"/>
      <c r="BB420" s="1" t="s">
        <v>3</v>
      </c>
      <c r="BC420" s="1" t="s">
        <v>3</v>
      </c>
      <c r="BD420" s="1" t="s">
        <v>3</v>
      </c>
      <c r="BE420" s="1" t="s">
        <v>3</v>
      </c>
      <c r="BF420" s="1" t="s">
        <v>3</v>
      </c>
      <c r="BG420" s="1" t="s">
        <v>3</v>
      </c>
      <c r="BH420" s="1" t="s">
        <v>3</v>
      </c>
      <c r="BI420" s="1" t="s">
        <v>3</v>
      </c>
      <c r="BJ420" s="1" t="s">
        <v>3</v>
      </c>
      <c r="BK420" s="1" t="s">
        <v>3</v>
      </c>
      <c r="BL420" s="1" t="s">
        <v>3</v>
      </c>
      <c r="BM420" s="1" t="s">
        <v>3</v>
      </c>
      <c r="BN420" s="1" t="s">
        <v>3</v>
      </c>
      <c r="BO420" s="1" t="s">
        <v>3</v>
      </c>
      <c r="BP420" s="1" t="s">
        <v>3</v>
      </c>
      <c r="BQ420" s="1"/>
      <c r="BR420" s="1"/>
      <c r="BS420" s="1"/>
      <c r="BT420" s="1"/>
      <c r="BU420" s="1"/>
      <c r="BV420" s="1"/>
      <c r="BW420" s="1"/>
      <c r="BX420" s="1">
        <v>0</v>
      </c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>
        <v>0</v>
      </c>
    </row>
    <row r="422" spans="1:206" x14ac:dyDescent="0.2">
      <c r="A422" s="2">
        <v>52</v>
      </c>
      <c r="B422" s="2">
        <f t="shared" ref="B422:G422" si="371">B424</f>
        <v>1</v>
      </c>
      <c r="C422" s="2">
        <f t="shared" si="371"/>
        <v>4</v>
      </c>
      <c r="D422" s="2">
        <f t="shared" si="371"/>
        <v>420</v>
      </c>
      <c r="E422" s="2">
        <f t="shared" si="371"/>
        <v>0</v>
      </c>
      <c r="F422" s="2" t="str">
        <f t="shared" si="371"/>
        <v>Новый раздел</v>
      </c>
      <c r="G422" s="2" t="str">
        <f t="shared" si="371"/>
        <v>21.2. Однорядная живая изгородь</v>
      </c>
      <c r="H422" s="2"/>
      <c r="I422" s="2"/>
      <c r="J422" s="2"/>
      <c r="K422" s="2"/>
      <c r="L422" s="2"/>
      <c r="M422" s="2"/>
      <c r="N422" s="2"/>
      <c r="O422" s="2">
        <f t="shared" ref="O422:AT422" si="372">O424</f>
        <v>0</v>
      </c>
      <c r="P422" s="2">
        <f t="shared" si="372"/>
        <v>0</v>
      </c>
      <c r="Q422" s="2">
        <f t="shared" si="372"/>
        <v>0</v>
      </c>
      <c r="R422" s="2">
        <f t="shared" si="372"/>
        <v>0</v>
      </c>
      <c r="S422" s="2">
        <f t="shared" si="372"/>
        <v>0</v>
      </c>
      <c r="T422" s="2">
        <f t="shared" si="372"/>
        <v>0</v>
      </c>
      <c r="U422" s="2">
        <f t="shared" si="372"/>
        <v>0</v>
      </c>
      <c r="V422" s="2">
        <f t="shared" si="372"/>
        <v>0</v>
      </c>
      <c r="W422" s="2">
        <f t="shared" si="372"/>
        <v>0</v>
      </c>
      <c r="X422" s="2">
        <f t="shared" si="372"/>
        <v>0</v>
      </c>
      <c r="Y422" s="2">
        <f t="shared" si="372"/>
        <v>0</v>
      </c>
      <c r="Z422" s="2">
        <f t="shared" si="372"/>
        <v>0</v>
      </c>
      <c r="AA422" s="2">
        <f t="shared" si="372"/>
        <v>0</v>
      </c>
      <c r="AB422" s="2">
        <f t="shared" si="372"/>
        <v>0</v>
      </c>
      <c r="AC422" s="2">
        <f t="shared" si="372"/>
        <v>0</v>
      </c>
      <c r="AD422" s="2">
        <f t="shared" si="372"/>
        <v>0</v>
      </c>
      <c r="AE422" s="2">
        <f t="shared" si="372"/>
        <v>0</v>
      </c>
      <c r="AF422" s="2">
        <f t="shared" si="372"/>
        <v>0</v>
      </c>
      <c r="AG422" s="2">
        <f t="shared" si="372"/>
        <v>0</v>
      </c>
      <c r="AH422" s="2">
        <f t="shared" si="372"/>
        <v>0</v>
      </c>
      <c r="AI422" s="2">
        <f t="shared" si="372"/>
        <v>0</v>
      </c>
      <c r="AJ422" s="2">
        <f t="shared" si="372"/>
        <v>0</v>
      </c>
      <c r="AK422" s="2">
        <f t="shared" si="372"/>
        <v>0</v>
      </c>
      <c r="AL422" s="2">
        <f t="shared" si="372"/>
        <v>0</v>
      </c>
      <c r="AM422" s="2">
        <f t="shared" si="372"/>
        <v>0</v>
      </c>
      <c r="AN422" s="2">
        <f t="shared" si="372"/>
        <v>0</v>
      </c>
      <c r="AO422" s="2">
        <f t="shared" si="372"/>
        <v>0</v>
      </c>
      <c r="AP422" s="2">
        <f t="shared" si="372"/>
        <v>0</v>
      </c>
      <c r="AQ422" s="2">
        <f t="shared" si="372"/>
        <v>0</v>
      </c>
      <c r="AR422" s="2">
        <f t="shared" si="372"/>
        <v>0</v>
      </c>
      <c r="AS422" s="2">
        <f t="shared" si="372"/>
        <v>0</v>
      </c>
      <c r="AT422" s="2">
        <f t="shared" si="372"/>
        <v>0</v>
      </c>
      <c r="AU422" s="2">
        <f t="shared" ref="AU422:BZ422" si="373">AU424</f>
        <v>0</v>
      </c>
      <c r="AV422" s="2">
        <f t="shared" si="373"/>
        <v>0</v>
      </c>
      <c r="AW422" s="2">
        <f t="shared" si="373"/>
        <v>0</v>
      </c>
      <c r="AX422" s="2">
        <f t="shared" si="373"/>
        <v>0</v>
      </c>
      <c r="AY422" s="2">
        <f t="shared" si="373"/>
        <v>0</v>
      </c>
      <c r="AZ422" s="2">
        <f t="shared" si="373"/>
        <v>0</v>
      </c>
      <c r="BA422" s="2">
        <f t="shared" si="373"/>
        <v>0</v>
      </c>
      <c r="BB422" s="2">
        <f t="shared" si="373"/>
        <v>0</v>
      </c>
      <c r="BC422" s="2">
        <f t="shared" si="373"/>
        <v>0</v>
      </c>
      <c r="BD422" s="2">
        <f t="shared" si="373"/>
        <v>0</v>
      </c>
      <c r="BE422" s="2">
        <f t="shared" si="373"/>
        <v>0</v>
      </c>
      <c r="BF422" s="2">
        <f t="shared" si="373"/>
        <v>0</v>
      </c>
      <c r="BG422" s="2">
        <f t="shared" si="373"/>
        <v>0</v>
      </c>
      <c r="BH422" s="2">
        <f t="shared" si="373"/>
        <v>0</v>
      </c>
      <c r="BI422" s="2">
        <f t="shared" si="373"/>
        <v>0</v>
      </c>
      <c r="BJ422" s="2">
        <f t="shared" si="373"/>
        <v>0</v>
      </c>
      <c r="BK422" s="2">
        <f t="shared" si="373"/>
        <v>0</v>
      </c>
      <c r="BL422" s="2">
        <f t="shared" si="373"/>
        <v>0</v>
      </c>
      <c r="BM422" s="2">
        <f t="shared" si="373"/>
        <v>0</v>
      </c>
      <c r="BN422" s="2">
        <f t="shared" si="373"/>
        <v>0</v>
      </c>
      <c r="BO422" s="2">
        <f t="shared" si="373"/>
        <v>0</v>
      </c>
      <c r="BP422" s="2">
        <f t="shared" si="373"/>
        <v>0</v>
      </c>
      <c r="BQ422" s="2">
        <f t="shared" si="373"/>
        <v>0</v>
      </c>
      <c r="BR422" s="2">
        <f t="shared" si="373"/>
        <v>0</v>
      </c>
      <c r="BS422" s="2">
        <f t="shared" si="373"/>
        <v>0</v>
      </c>
      <c r="BT422" s="2">
        <f t="shared" si="373"/>
        <v>0</v>
      </c>
      <c r="BU422" s="2">
        <f t="shared" si="373"/>
        <v>0</v>
      </c>
      <c r="BV422" s="2">
        <f t="shared" si="373"/>
        <v>0</v>
      </c>
      <c r="BW422" s="2">
        <f t="shared" si="373"/>
        <v>0</v>
      </c>
      <c r="BX422" s="2">
        <f t="shared" si="373"/>
        <v>0</v>
      </c>
      <c r="BY422" s="2">
        <f t="shared" si="373"/>
        <v>0</v>
      </c>
      <c r="BZ422" s="2">
        <f t="shared" si="373"/>
        <v>0</v>
      </c>
      <c r="CA422" s="2">
        <f t="shared" ref="CA422:DF422" si="374">CA424</f>
        <v>0</v>
      </c>
      <c r="CB422" s="2">
        <f t="shared" si="374"/>
        <v>0</v>
      </c>
      <c r="CC422" s="2">
        <f t="shared" si="374"/>
        <v>0</v>
      </c>
      <c r="CD422" s="2">
        <f t="shared" si="374"/>
        <v>0</v>
      </c>
      <c r="CE422" s="2">
        <f t="shared" si="374"/>
        <v>0</v>
      </c>
      <c r="CF422" s="2">
        <f t="shared" si="374"/>
        <v>0</v>
      </c>
      <c r="CG422" s="2">
        <f t="shared" si="374"/>
        <v>0</v>
      </c>
      <c r="CH422" s="2">
        <f t="shared" si="374"/>
        <v>0</v>
      </c>
      <c r="CI422" s="2">
        <f t="shared" si="374"/>
        <v>0</v>
      </c>
      <c r="CJ422" s="2">
        <f t="shared" si="374"/>
        <v>0</v>
      </c>
      <c r="CK422" s="2">
        <f t="shared" si="374"/>
        <v>0</v>
      </c>
      <c r="CL422" s="2">
        <f t="shared" si="374"/>
        <v>0</v>
      </c>
      <c r="CM422" s="2">
        <f t="shared" si="374"/>
        <v>0</v>
      </c>
      <c r="CN422" s="2">
        <f t="shared" si="374"/>
        <v>0</v>
      </c>
      <c r="CO422" s="2">
        <f t="shared" si="374"/>
        <v>0</v>
      </c>
      <c r="CP422" s="2">
        <f t="shared" si="374"/>
        <v>0</v>
      </c>
      <c r="CQ422" s="2">
        <f t="shared" si="374"/>
        <v>0</v>
      </c>
      <c r="CR422" s="2">
        <f t="shared" si="374"/>
        <v>0</v>
      </c>
      <c r="CS422" s="2">
        <f t="shared" si="374"/>
        <v>0</v>
      </c>
      <c r="CT422" s="2">
        <f t="shared" si="374"/>
        <v>0</v>
      </c>
      <c r="CU422" s="2">
        <f t="shared" si="374"/>
        <v>0</v>
      </c>
      <c r="CV422" s="2">
        <f t="shared" si="374"/>
        <v>0</v>
      </c>
      <c r="CW422" s="2">
        <f t="shared" si="374"/>
        <v>0</v>
      </c>
      <c r="CX422" s="2">
        <f t="shared" si="374"/>
        <v>0</v>
      </c>
      <c r="CY422" s="2">
        <f t="shared" si="374"/>
        <v>0</v>
      </c>
      <c r="CZ422" s="2">
        <f t="shared" si="374"/>
        <v>0</v>
      </c>
      <c r="DA422" s="2">
        <f t="shared" si="374"/>
        <v>0</v>
      </c>
      <c r="DB422" s="2">
        <f t="shared" si="374"/>
        <v>0</v>
      </c>
      <c r="DC422" s="2">
        <f t="shared" si="374"/>
        <v>0</v>
      </c>
      <c r="DD422" s="2">
        <f t="shared" si="374"/>
        <v>0</v>
      </c>
      <c r="DE422" s="2">
        <f t="shared" si="374"/>
        <v>0</v>
      </c>
      <c r="DF422" s="2">
        <f t="shared" si="374"/>
        <v>0</v>
      </c>
      <c r="DG422" s="3">
        <f t="shared" ref="DG422:EL422" si="375">DG424</f>
        <v>0</v>
      </c>
      <c r="DH422" s="3">
        <f t="shared" si="375"/>
        <v>0</v>
      </c>
      <c r="DI422" s="3">
        <f t="shared" si="375"/>
        <v>0</v>
      </c>
      <c r="DJ422" s="3">
        <f t="shared" si="375"/>
        <v>0</v>
      </c>
      <c r="DK422" s="3">
        <f t="shared" si="375"/>
        <v>0</v>
      </c>
      <c r="DL422" s="3">
        <f t="shared" si="375"/>
        <v>0</v>
      </c>
      <c r="DM422" s="3">
        <f t="shared" si="375"/>
        <v>0</v>
      </c>
      <c r="DN422" s="3">
        <f t="shared" si="375"/>
        <v>0</v>
      </c>
      <c r="DO422" s="3">
        <f t="shared" si="375"/>
        <v>0</v>
      </c>
      <c r="DP422" s="3">
        <f t="shared" si="375"/>
        <v>0</v>
      </c>
      <c r="DQ422" s="3">
        <f t="shared" si="375"/>
        <v>0</v>
      </c>
      <c r="DR422" s="3">
        <f t="shared" si="375"/>
        <v>0</v>
      </c>
      <c r="DS422" s="3">
        <f t="shared" si="375"/>
        <v>0</v>
      </c>
      <c r="DT422" s="3">
        <f t="shared" si="375"/>
        <v>0</v>
      </c>
      <c r="DU422" s="3">
        <f t="shared" si="375"/>
        <v>0</v>
      </c>
      <c r="DV422" s="3">
        <f t="shared" si="375"/>
        <v>0</v>
      </c>
      <c r="DW422" s="3">
        <f t="shared" si="375"/>
        <v>0</v>
      </c>
      <c r="DX422" s="3">
        <f t="shared" si="375"/>
        <v>0</v>
      </c>
      <c r="DY422" s="3">
        <f t="shared" si="375"/>
        <v>0</v>
      </c>
      <c r="DZ422" s="3">
        <f t="shared" si="375"/>
        <v>0</v>
      </c>
      <c r="EA422" s="3">
        <f t="shared" si="375"/>
        <v>0</v>
      </c>
      <c r="EB422" s="3">
        <f t="shared" si="375"/>
        <v>0</v>
      </c>
      <c r="EC422" s="3">
        <f t="shared" si="375"/>
        <v>0</v>
      </c>
      <c r="ED422" s="3">
        <f t="shared" si="375"/>
        <v>0</v>
      </c>
      <c r="EE422" s="3">
        <f t="shared" si="375"/>
        <v>0</v>
      </c>
      <c r="EF422" s="3">
        <f t="shared" si="375"/>
        <v>0</v>
      </c>
      <c r="EG422" s="3">
        <f t="shared" si="375"/>
        <v>0</v>
      </c>
      <c r="EH422" s="3">
        <f t="shared" si="375"/>
        <v>0</v>
      </c>
      <c r="EI422" s="3">
        <f t="shared" si="375"/>
        <v>0</v>
      </c>
      <c r="EJ422" s="3">
        <f t="shared" si="375"/>
        <v>0</v>
      </c>
      <c r="EK422" s="3">
        <f t="shared" si="375"/>
        <v>0</v>
      </c>
      <c r="EL422" s="3">
        <f t="shared" si="375"/>
        <v>0</v>
      </c>
      <c r="EM422" s="3">
        <f t="shared" ref="EM422:FR422" si="376">EM424</f>
        <v>0</v>
      </c>
      <c r="EN422" s="3">
        <f t="shared" si="376"/>
        <v>0</v>
      </c>
      <c r="EO422" s="3">
        <f t="shared" si="376"/>
        <v>0</v>
      </c>
      <c r="EP422" s="3">
        <f t="shared" si="376"/>
        <v>0</v>
      </c>
      <c r="EQ422" s="3">
        <f t="shared" si="376"/>
        <v>0</v>
      </c>
      <c r="ER422" s="3">
        <f t="shared" si="376"/>
        <v>0</v>
      </c>
      <c r="ES422" s="3">
        <f t="shared" si="376"/>
        <v>0</v>
      </c>
      <c r="ET422" s="3">
        <f t="shared" si="376"/>
        <v>0</v>
      </c>
      <c r="EU422" s="3">
        <f t="shared" si="376"/>
        <v>0</v>
      </c>
      <c r="EV422" s="3">
        <f t="shared" si="376"/>
        <v>0</v>
      </c>
      <c r="EW422" s="3">
        <f t="shared" si="376"/>
        <v>0</v>
      </c>
      <c r="EX422" s="3">
        <f t="shared" si="376"/>
        <v>0</v>
      </c>
      <c r="EY422" s="3">
        <f t="shared" si="376"/>
        <v>0</v>
      </c>
      <c r="EZ422" s="3">
        <f t="shared" si="376"/>
        <v>0</v>
      </c>
      <c r="FA422" s="3">
        <f t="shared" si="376"/>
        <v>0</v>
      </c>
      <c r="FB422" s="3">
        <f t="shared" si="376"/>
        <v>0</v>
      </c>
      <c r="FC422" s="3">
        <f t="shared" si="376"/>
        <v>0</v>
      </c>
      <c r="FD422" s="3">
        <f t="shared" si="376"/>
        <v>0</v>
      </c>
      <c r="FE422" s="3">
        <f t="shared" si="376"/>
        <v>0</v>
      </c>
      <c r="FF422" s="3">
        <f t="shared" si="376"/>
        <v>0</v>
      </c>
      <c r="FG422" s="3">
        <f t="shared" si="376"/>
        <v>0</v>
      </c>
      <c r="FH422" s="3">
        <f t="shared" si="376"/>
        <v>0</v>
      </c>
      <c r="FI422" s="3">
        <f t="shared" si="376"/>
        <v>0</v>
      </c>
      <c r="FJ422" s="3">
        <f t="shared" si="376"/>
        <v>0</v>
      </c>
      <c r="FK422" s="3">
        <f t="shared" si="376"/>
        <v>0</v>
      </c>
      <c r="FL422" s="3">
        <f t="shared" si="376"/>
        <v>0</v>
      </c>
      <c r="FM422" s="3">
        <f t="shared" si="376"/>
        <v>0</v>
      </c>
      <c r="FN422" s="3">
        <f t="shared" si="376"/>
        <v>0</v>
      </c>
      <c r="FO422" s="3">
        <f t="shared" si="376"/>
        <v>0</v>
      </c>
      <c r="FP422" s="3">
        <f t="shared" si="376"/>
        <v>0</v>
      </c>
      <c r="FQ422" s="3">
        <f t="shared" si="376"/>
        <v>0</v>
      </c>
      <c r="FR422" s="3">
        <f t="shared" si="376"/>
        <v>0</v>
      </c>
      <c r="FS422" s="3">
        <f t="shared" ref="FS422:GX422" si="377">FS424</f>
        <v>0</v>
      </c>
      <c r="FT422" s="3">
        <f t="shared" si="377"/>
        <v>0</v>
      </c>
      <c r="FU422" s="3">
        <f t="shared" si="377"/>
        <v>0</v>
      </c>
      <c r="FV422" s="3">
        <f t="shared" si="377"/>
        <v>0</v>
      </c>
      <c r="FW422" s="3">
        <f t="shared" si="377"/>
        <v>0</v>
      </c>
      <c r="FX422" s="3">
        <f t="shared" si="377"/>
        <v>0</v>
      </c>
      <c r="FY422" s="3">
        <f t="shared" si="377"/>
        <v>0</v>
      </c>
      <c r="FZ422" s="3">
        <f t="shared" si="377"/>
        <v>0</v>
      </c>
      <c r="GA422" s="3">
        <f t="shared" si="377"/>
        <v>0</v>
      </c>
      <c r="GB422" s="3">
        <f t="shared" si="377"/>
        <v>0</v>
      </c>
      <c r="GC422" s="3">
        <f t="shared" si="377"/>
        <v>0</v>
      </c>
      <c r="GD422" s="3">
        <f t="shared" si="377"/>
        <v>0</v>
      </c>
      <c r="GE422" s="3">
        <f t="shared" si="377"/>
        <v>0</v>
      </c>
      <c r="GF422" s="3">
        <f t="shared" si="377"/>
        <v>0</v>
      </c>
      <c r="GG422" s="3">
        <f t="shared" si="377"/>
        <v>0</v>
      </c>
      <c r="GH422" s="3">
        <f t="shared" si="377"/>
        <v>0</v>
      </c>
      <c r="GI422" s="3">
        <f t="shared" si="377"/>
        <v>0</v>
      </c>
      <c r="GJ422" s="3">
        <f t="shared" si="377"/>
        <v>0</v>
      </c>
      <c r="GK422" s="3">
        <f t="shared" si="377"/>
        <v>0</v>
      </c>
      <c r="GL422" s="3">
        <f t="shared" si="377"/>
        <v>0</v>
      </c>
      <c r="GM422" s="3">
        <f t="shared" si="377"/>
        <v>0</v>
      </c>
      <c r="GN422" s="3">
        <f t="shared" si="377"/>
        <v>0</v>
      </c>
      <c r="GO422" s="3">
        <f t="shared" si="377"/>
        <v>0</v>
      </c>
      <c r="GP422" s="3">
        <f t="shared" si="377"/>
        <v>0</v>
      </c>
      <c r="GQ422" s="3">
        <f t="shared" si="377"/>
        <v>0</v>
      </c>
      <c r="GR422" s="3">
        <f t="shared" si="377"/>
        <v>0</v>
      </c>
      <c r="GS422" s="3">
        <f t="shared" si="377"/>
        <v>0</v>
      </c>
      <c r="GT422" s="3">
        <f t="shared" si="377"/>
        <v>0</v>
      </c>
      <c r="GU422" s="3">
        <f t="shared" si="377"/>
        <v>0</v>
      </c>
      <c r="GV422" s="3">
        <f t="shared" si="377"/>
        <v>0</v>
      </c>
      <c r="GW422" s="3">
        <f t="shared" si="377"/>
        <v>0</v>
      </c>
      <c r="GX422" s="3">
        <f t="shared" si="377"/>
        <v>0</v>
      </c>
    </row>
    <row r="424" spans="1:206" x14ac:dyDescent="0.2">
      <c r="A424" s="2">
        <v>51</v>
      </c>
      <c r="B424" s="2">
        <f>B420</f>
        <v>1</v>
      </c>
      <c r="C424" s="2">
        <f>A420</f>
        <v>4</v>
      </c>
      <c r="D424" s="2">
        <f>ROW(A420)</f>
        <v>420</v>
      </c>
      <c r="E424" s="2"/>
      <c r="F424" s="2" t="str">
        <f>IF(F420&lt;&gt;"",F420,"")</f>
        <v>Новый раздел</v>
      </c>
      <c r="G424" s="2" t="str">
        <f>IF(G420&lt;&gt;"",G420,"")</f>
        <v>21.2. Однорядная живая изгородь</v>
      </c>
      <c r="H424" s="2">
        <v>0</v>
      </c>
      <c r="I424" s="2"/>
      <c r="J424" s="2"/>
      <c r="K424" s="2"/>
      <c r="L424" s="2"/>
      <c r="M424" s="2"/>
      <c r="N424" s="2"/>
      <c r="O424" s="2">
        <f t="shared" ref="O424:T424" si="378">ROUND(AB424,2)</f>
        <v>0</v>
      </c>
      <c r="P424" s="2">
        <f t="shared" si="378"/>
        <v>0</v>
      </c>
      <c r="Q424" s="2">
        <f t="shared" si="378"/>
        <v>0</v>
      </c>
      <c r="R424" s="2">
        <f t="shared" si="378"/>
        <v>0</v>
      </c>
      <c r="S424" s="2">
        <f t="shared" si="378"/>
        <v>0</v>
      </c>
      <c r="T424" s="2">
        <f t="shared" si="378"/>
        <v>0</v>
      </c>
      <c r="U424" s="2">
        <f>AH424</f>
        <v>0</v>
      </c>
      <c r="V424" s="2">
        <f>AI424</f>
        <v>0</v>
      </c>
      <c r="W424" s="2">
        <f>ROUND(AJ424,2)</f>
        <v>0</v>
      </c>
      <c r="X424" s="2">
        <f>ROUND(AK424,2)</f>
        <v>0</v>
      </c>
      <c r="Y424" s="2">
        <f>ROUND(AL424,2)</f>
        <v>0</v>
      </c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>
        <f t="shared" ref="AO424:BD424" si="379">ROUND(BX424,2)</f>
        <v>0</v>
      </c>
      <c r="AP424" s="2">
        <f t="shared" si="379"/>
        <v>0</v>
      </c>
      <c r="AQ424" s="2">
        <f t="shared" si="379"/>
        <v>0</v>
      </c>
      <c r="AR424" s="2">
        <f t="shared" si="379"/>
        <v>0</v>
      </c>
      <c r="AS424" s="2">
        <f t="shared" si="379"/>
        <v>0</v>
      </c>
      <c r="AT424" s="2">
        <f t="shared" si="379"/>
        <v>0</v>
      </c>
      <c r="AU424" s="2">
        <f t="shared" si="379"/>
        <v>0</v>
      </c>
      <c r="AV424" s="2">
        <f t="shared" si="379"/>
        <v>0</v>
      </c>
      <c r="AW424" s="2">
        <f t="shared" si="379"/>
        <v>0</v>
      </c>
      <c r="AX424" s="2">
        <f t="shared" si="379"/>
        <v>0</v>
      </c>
      <c r="AY424" s="2">
        <f t="shared" si="379"/>
        <v>0</v>
      </c>
      <c r="AZ424" s="2">
        <f t="shared" si="379"/>
        <v>0</v>
      </c>
      <c r="BA424" s="2">
        <f t="shared" si="379"/>
        <v>0</v>
      </c>
      <c r="BB424" s="2">
        <f t="shared" si="379"/>
        <v>0</v>
      </c>
      <c r="BC424" s="2">
        <f t="shared" si="379"/>
        <v>0</v>
      </c>
      <c r="BD424" s="2">
        <f t="shared" si="379"/>
        <v>0</v>
      </c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>
        <v>0</v>
      </c>
    </row>
    <row r="426" spans="1:206" x14ac:dyDescent="0.2">
      <c r="A426" s="4">
        <v>50</v>
      </c>
      <c r="B426" s="4">
        <v>0</v>
      </c>
      <c r="C426" s="4">
        <v>0</v>
      </c>
      <c r="D426" s="4">
        <v>1</v>
      </c>
      <c r="E426" s="4">
        <v>201</v>
      </c>
      <c r="F426" s="4">
        <f>ROUND(Source!O424,O426)</f>
        <v>0</v>
      </c>
      <c r="G426" s="4" t="s">
        <v>89</v>
      </c>
      <c r="H426" s="4" t="s">
        <v>90</v>
      </c>
      <c r="I426" s="4"/>
      <c r="J426" s="4"/>
      <c r="K426" s="4">
        <v>201</v>
      </c>
      <c r="L426" s="4">
        <v>1</v>
      </c>
      <c r="M426" s="4">
        <v>3</v>
      </c>
      <c r="N426" s="4" t="s">
        <v>3</v>
      </c>
      <c r="O426" s="4">
        <v>2</v>
      </c>
      <c r="P426" s="4"/>
      <c r="Q426" s="4"/>
      <c r="R426" s="4"/>
      <c r="S426" s="4"/>
      <c r="T426" s="4"/>
      <c r="U426" s="4"/>
      <c r="V426" s="4"/>
      <c r="W426" s="4"/>
    </row>
    <row r="427" spans="1:206" x14ac:dyDescent="0.2">
      <c r="A427" s="4">
        <v>50</v>
      </c>
      <c r="B427" s="4">
        <v>0</v>
      </c>
      <c r="C427" s="4">
        <v>0</v>
      </c>
      <c r="D427" s="4">
        <v>1</v>
      </c>
      <c r="E427" s="4">
        <v>202</v>
      </c>
      <c r="F427" s="4">
        <f>ROUND(Source!P424,O427)</f>
        <v>0</v>
      </c>
      <c r="G427" s="4" t="s">
        <v>91</v>
      </c>
      <c r="H427" s="4" t="s">
        <v>92</v>
      </c>
      <c r="I427" s="4"/>
      <c r="J427" s="4"/>
      <c r="K427" s="4">
        <v>202</v>
      </c>
      <c r="L427" s="4">
        <v>2</v>
      </c>
      <c r="M427" s="4">
        <v>3</v>
      </c>
      <c r="N427" s="4" t="s">
        <v>3</v>
      </c>
      <c r="O427" s="4">
        <v>2</v>
      </c>
      <c r="P427" s="4"/>
      <c r="Q427" s="4"/>
      <c r="R427" s="4"/>
      <c r="S427" s="4"/>
      <c r="T427" s="4"/>
      <c r="U427" s="4"/>
      <c r="V427" s="4"/>
      <c r="W427" s="4"/>
    </row>
    <row r="428" spans="1:206" x14ac:dyDescent="0.2">
      <c r="A428" s="4">
        <v>50</v>
      </c>
      <c r="B428" s="4">
        <v>0</v>
      </c>
      <c r="C428" s="4">
        <v>0</v>
      </c>
      <c r="D428" s="4">
        <v>1</v>
      </c>
      <c r="E428" s="4">
        <v>222</v>
      </c>
      <c r="F428" s="4">
        <f>ROUND(Source!AO424,O428)</f>
        <v>0</v>
      </c>
      <c r="G428" s="4" t="s">
        <v>93</v>
      </c>
      <c r="H428" s="4" t="s">
        <v>94</v>
      </c>
      <c r="I428" s="4"/>
      <c r="J428" s="4"/>
      <c r="K428" s="4">
        <v>222</v>
      </c>
      <c r="L428" s="4">
        <v>3</v>
      </c>
      <c r="M428" s="4">
        <v>3</v>
      </c>
      <c r="N428" s="4" t="s">
        <v>3</v>
      </c>
      <c r="O428" s="4">
        <v>2</v>
      </c>
      <c r="P428" s="4"/>
      <c r="Q428" s="4"/>
      <c r="R428" s="4"/>
      <c r="S428" s="4"/>
      <c r="T428" s="4"/>
      <c r="U428" s="4"/>
      <c r="V428" s="4"/>
      <c r="W428" s="4"/>
    </row>
    <row r="429" spans="1:206" x14ac:dyDescent="0.2">
      <c r="A429" s="4">
        <v>50</v>
      </c>
      <c r="B429" s="4">
        <v>0</v>
      </c>
      <c r="C429" s="4">
        <v>0</v>
      </c>
      <c r="D429" s="4">
        <v>1</v>
      </c>
      <c r="E429" s="4">
        <v>225</v>
      </c>
      <c r="F429" s="4">
        <f>ROUND(Source!AV424,O429)</f>
        <v>0</v>
      </c>
      <c r="G429" s="4" t="s">
        <v>95</v>
      </c>
      <c r="H429" s="4" t="s">
        <v>96</v>
      </c>
      <c r="I429" s="4"/>
      <c r="J429" s="4"/>
      <c r="K429" s="4">
        <v>225</v>
      </c>
      <c r="L429" s="4">
        <v>4</v>
      </c>
      <c r="M429" s="4">
        <v>3</v>
      </c>
      <c r="N429" s="4" t="s">
        <v>3</v>
      </c>
      <c r="O429" s="4">
        <v>2</v>
      </c>
      <c r="P429" s="4"/>
      <c r="Q429" s="4"/>
      <c r="R429" s="4"/>
      <c r="S429" s="4"/>
      <c r="T429" s="4"/>
      <c r="U429" s="4"/>
      <c r="V429" s="4"/>
      <c r="W429" s="4"/>
    </row>
    <row r="430" spans="1:206" x14ac:dyDescent="0.2">
      <c r="A430" s="4">
        <v>50</v>
      </c>
      <c r="B430" s="4">
        <v>0</v>
      </c>
      <c r="C430" s="4">
        <v>0</v>
      </c>
      <c r="D430" s="4">
        <v>1</v>
      </c>
      <c r="E430" s="4">
        <v>226</v>
      </c>
      <c r="F430" s="4">
        <f>ROUND(Source!AW424,O430)</f>
        <v>0</v>
      </c>
      <c r="G430" s="4" t="s">
        <v>97</v>
      </c>
      <c r="H430" s="4" t="s">
        <v>98</v>
      </c>
      <c r="I430" s="4"/>
      <c r="J430" s="4"/>
      <c r="K430" s="4">
        <v>226</v>
      </c>
      <c r="L430" s="4">
        <v>5</v>
      </c>
      <c r="M430" s="4">
        <v>3</v>
      </c>
      <c r="N430" s="4" t="s">
        <v>3</v>
      </c>
      <c r="O430" s="4">
        <v>2</v>
      </c>
      <c r="P430" s="4"/>
      <c r="Q430" s="4"/>
      <c r="R430" s="4"/>
      <c r="S430" s="4"/>
      <c r="T430" s="4"/>
      <c r="U430" s="4"/>
      <c r="V430" s="4"/>
      <c r="W430" s="4"/>
    </row>
    <row r="431" spans="1:206" x14ac:dyDescent="0.2">
      <c r="A431" s="4">
        <v>50</v>
      </c>
      <c r="B431" s="4">
        <v>0</v>
      </c>
      <c r="C431" s="4">
        <v>0</v>
      </c>
      <c r="D431" s="4">
        <v>1</v>
      </c>
      <c r="E431" s="4">
        <v>227</v>
      </c>
      <c r="F431" s="4">
        <f>ROUND(Source!AX424,O431)</f>
        <v>0</v>
      </c>
      <c r="G431" s="4" t="s">
        <v>99</v>
      </c>
      <c r="H431" s="4" t="s">
        <v>100</v>
      </c>
      <c r="I431" s="4"/>
      <c r="J431" s="4"/>
      <c r="K431" s="4">
        <v>227</v>
      </c>
      <c r="L431" s="4">
        <v>6</v>
      </c>
      <c r="M431" s="4">
        <v>3</v>
      </c>
      <c r="N431" s="4" t="s">
        <v>3</v>
      </c>
      <c r="O431" s="4">
        <v>2</v>
      </c>
      <c r="P431" s="4"/>
      <c r="Q431" s="4"/>
      <c r="R431" s="4"/>
      <c r="S431" s="4"/>
      <c r="T431" s="4"/>
      <c r="U431" s="4"/>
      <c r="V431" s="4"/>
      <c r="W431" s="4"/>
    </row>
    <row r="432" spans="1:206" x14ac:dyDescent="0.2">
      <c r="A432" s="4">
        <v>50</v>
      </c>
      <c r="B432" s="4">
        <v>0</v>
      </c>
      <c r="C432" s="4">
        <v>0</v>
      </c>
      <c r="D432" s="4">
        <v>1</v>
      </c>
      <c r="E432" s="4">
        <v>228</v>
      </c>
      <c r="F432" s="4">
        <f>ROUND(Source!AY424,O432)</f>
        <v>0</v>
      </c>
      <c r="G432" s="4" t="s">
        <v>101</v>
      </c>
      <c r="H432" s="4" t="s">
        <v>102</v>
      </c>
      <c r="I432" s="4"/>
      <c r="J432" s="4"/>
      <c r="K432" s="4">
        <v>228</v>
      </c>
      <c r="L432" s="4">
        <v>7</v>
      </c>
      <c r="M432" s="4">
        <v>3</v>
      </c>
      <c r="N432" s="4" t="s">
        <v>3</v>
      </c>
      <c r="O432" s="4">
        <v>2</v>
      </c>
      <c r="P432" s="4"/>
      <c r="Q432" s="4"/>
      <c r="R432" s="4"/>
      <c r="S432" s="4"/>
      <c r="T432" s="4"/>
      <c r="U432" s="4"/>
      <c r="V432" s="4"/>
      <c r="W432" s="4"/>
    </row>
    <row r="433" spans="1:23" x14ac:dyDescent="0.2">
      <c r="A433" s="4">
        <v>50</v>
      </c>
      <c r="B433" s="4">
        <v>0</v>
      </c>
      <c r="C433" s="4">
        <v>0</v>
      </c>
      <c r="D433" s="4">
        <v>1</v>
      </c>
      <c r="E433" s="4">
        <v>216</v>
      </c>
      <c r="F433" s="4">
        <f>ROUND(Source!AP424,O433)</f>
        <v>0</v>
      </c>
      <c r="G433" s="4" t="s">
        <v>103</v>
      </c>
      <c r="H433" s="4" t="s">
        <v>104</v>
      </c>
      <c r="I433" s="4"/>
      <c r="J433" s="4"/>
      <c r="K433" s="4">
        <v>216</v>
      </c>
      <c r="L433" s="4">
        <v>8</v>
      </c>
      <c r="M433" s="4">
        <v>3</v>
      </c>
      <c r="N433" s="4" t="s">
        <v>3</v>
      </c>
      <c r="O433" s="4">
        <v>2</v>
      </c>
      <c r="P433" s="4"/>
      <c r="Q433" s="4"/>
      <c r="R433" s="4"/>
      <c r="S433" s="4"/>
      <c r="T433" s="4"/>
      <c r="U433" s="4"/>
      <c r="V433" s="4"/>
      <c r="W433" s="4"/>
    </row>
    <row r="434" spans="1:23" x14ac:dyDescent="0.2">
      <c r="A434" s="4">
        <v>50</v>
      </c>
      <c r="B434" s="4">
        <v>0</v>
      </c>
      <c r="C434" s="4">
        <v>0</v>
      </c>
      <c r="D434" s="4">
        <v>1</v>
      </c>
      <c r="E434" s="4">
        <v>223</v>
      </c>
      <c r="F434" s="4">
        <f>ROUND(Source!AQ424,O434)</f>
        <v>0</v>
      </c>
      <c r="G434" s="4" t="s">
        <v>105</v>
      </c>
      <c r="H434" s="4" t="s">
        <v>106</v>
      </c>
      <c r="I434" s="4"/>
      <c r="J434" s="4"/>
      <c r="K434" s="4">
        <v>223</v>
      </c>
      <c r="L434" s="4">
        <v>9</v>
      </c>
      <c r="M434" s="4">
        <v>3</v>
      </c>
      <c r="N434" s="4" t="s">
        <v>3</v>
      </c>
      <c r="O434" s="4">
        <v>2</v>
      </c>
      <c r="P434" s="4"/>
      <c r="Q434" s="4"/>
      <c r="R434" s="4"/>
      <c r="S434" s="4"/>
      <c r="T434" s="4"/>
      <c r="U434" s="4"/>
      <c r="V434" s="4"/>
      <c r="W434" s="4"/>
    </row>
    <row r="435" spans="1:23" x14ac:dyDescent="0.2">
      <c r="A435" s="4">
        <v>50</v>
      </c>
      <c r="B435" s="4">
        <v>0</v>
      </c>
      <c r="C435" s="4">
        <v>0</v>
      </c>
      <c r="D435" s="4">
        <v>1</v>
      </c>
      <c r="E435" s="4">
        <v>229</v>
      </c>
      <c r="F435" s="4">
        <f>ROUND(Source!AZ424,O435)</f>
        <v>0</v>
      </c>
      <c r="G435" s="4" t="s">
        <v>107</v>
      </c>
      <c r="H435" s="4" t="s">
        <v>108</v>
      </c>
      <c r="I435" s="4"/>
      <c r="J435" s="4"/>
      <c r="K435" s="4">
        <v>229</v>
      </c>
      <c r="L435" s="4">
        <v>10</v>
      </c>
      <c r="M435" s="4">
        <v>3</v>
      </c>
      <c r="N435" s="4" t="s">
        <v>3</v>
      </c>
      <c r="O435" s="4">
        <v>2</v>
      </c>
      <c r="P435" s="4"/>
      <c r="Q435" s="4"/>
      <c r="R435" s="4"/>
      <c r="S435" s="4"/>
      <c r="T435" s="4"/>
      <c r="U435" s="4"/>
      <c r="V435" s="4"/>
      <c r="W435" s="4"/>
    </row>
    <row r="436" spans="1:23" x14ac:dyDescent="0.2">
      <c r="A436" s="4">
        <v>50</v>
      </c>
      <c r="B436" s="4">
        <v>0</v>
      </c>
      <c r="C436" s="4">
        <v>0</v>
      </c>
      <c r="D436" s="4">
        <v>1</v>
      </c>
      <c r="E436" s="4">
        <v>203</v>
      </c>
      <c r="F436" s="4">
        <f>ROUND(Source!Q424,O436)</f>
        <v>0</v>
      </c>
      <c r="G436" s="4" t="s">
        <v>109</v>
      </c>
      <c r="H436" s="4" t="s">
        <v>110</v>
      </c>
      <c r="I436" s="4"/>
      <c r="J436" s="4"/>
      <c r="K436" s="4">
        <v>203</v>
      </c>
      <c r="L436" s="4">
        <v>11</v>
      </c>
      <c r="M436" s="4">
        <v>3</v>
      </c>
      <c r="N436" s="4" t="s">
        <v>3</v>
      </c>
      <c r="O436" s="4">
        <v>2</v>
      </c>
      <c r="P436" s="4"/>
      <c r="Q436" s="4"/>
      <c r="R436" s="4"/>
      <c r="S436" s="4"/>
      <c r="T436" s="4"/>
      <c r="U436" s="4"/>
      <c r="V436" s="4"/>
      <c r="W436" s="4"/>
    </row>
    <row r="437" spans="1:23" x14ac:dyDescent="0.2">
      <c r="A437" s="4">
        <v>50</v>
      </c>
      <c r="B437" s="4">
        <v>0</v>
      </c>
      <c r="C437" s="4">
        <v>0</v>
      </c>
      <c r="D437" s="4">
        <v>1</v>
      </c>
      <c r="E437" s="4">
        <v>231</v>
      </c>
      <c r="F437" s="4">
        <f>ROUND(Source!BB424,O437)</f>
        <v>0</v>
      </c>
      <c r="G437" s="4" t="s">
        <v>111</v>
      </c>
      <c r="H437" s="4" t="s">
        <v>112</v>
      </c>
      <c r="I437" s="4"/>
      <c r="J437" s="4"/>
      <c r="K437" s="4">
        <v>231</v>
      </c>
      <c r="L437" s="4">
        <v>12</v>
      </c>
      <c r="M437" s="4">
        <v>3</v>
      </c>
      <c r="N437" s="4" t="s">
        <v>3</v>
      </c>
      <c r="O437" s="4">
        <v>2</v>
      </c>
      <c r="P437" s="4"/>
      <c r="Q437" s="4"/>
      <c r="R437" s="4"/>
      <c r="S437" s="4"/>
      <c r="T437" s="4"/>
      <c r="U437" s="4"/>
      <c r="V437" s="4"/>
      <c r="W437" s="4"/>
    </row>
    <row r="438" spans="1:23" x14ac:dyDescent="0.2">
      <c r="A438" s="4">
        <v>50</v>
      </c>
      <c r="B438" s="4">
        <v>0</v>
      </c>
      <c r="C438" s="4">
        <v>0</v>
      </c>
      <c r="D438" s="4">
        <v>1</v>
      </c>
      <c r="E438" s="4">
        <v>204</v>
      </c>
      <c r="F438" s="4">
        <f>ROUND(Source!R424,O438)</f>
        <v>0</v>
      </c>
      <c r="G438" s="4" t="s">
        <v>113</v>
      </c>
      <c r="H438" s="4" t="s">
        <v>114</v>
      </c>
      <c r="I438" s="4"/>
      <c r="J438" s="4"/>
      <c r="K438" s="4">
        <v>204</v>
      </c>
      <c r="L438" s="4">
        <v>13</v>
      </c>
      <c r="M438" s="4">
        <v>3</v>
      </c>
      <c r="N438" s="4" t="s">
        <v>3</v>
      </c>
      <c r="O438" s="4">
        <v>2</v>
      </c>
      <c r="P438" s="4"/>
      <c r="Q438" s="4"/>
      <c r="R438" s="4"/>
      <c r="S438" s="4"/>
      <c r="T438" s="4"/>
      <c r="U438" s="4"/>
      <c r="V438" s="4"/>
      <c r="W438" s="4"/>
    </row>
    <row r="439" spans="1:23" x14ac:dyDescent="0.2">
      <c r="A439" s="4">
        <v>50</v>
      </c>
      <c r="B439" s="4">
        <v>0</v>
      </c>
      <c r="C439" s="4">
        <v>0</v>
      </c>
      <c r="D439" s="4">
        <v>1</v>
      </c>
      <c r="E439" s="4">
        <v>205</v>
      </c>
      <c r="F439" s="4">
        <f>ROUND(Source!S424,O439)</f>
        <v>0</v>
      </c>
      <c r="G439" s="4" t="s">
        <v>115</v>
      </c>
      <c r="H439" s="4" t="s">
        <v>116</v>
      </c>
      <c r="I439" s="4"/>
      <c r="J439" s="4"/>
      <c r="K439" s="4">
        <v>205</v>
      </c>
      <c r="L439" s="4">
        <v>14</v>
      </c>
      <c r="M439" s="4">
        <v>3</v>
      </c>
      <c r="N439" s="4" t="s">
        <v>3</v>
      </c>
      <c r="O439" s="4">
        <v>2</v>
      </c>
      <c r="P439" s="4"/>
      <c r="Q439" s="4"/>
      <c r="R439" s="4"/>
      <c r="S439" s="4"/>
      <c r="T439" s="4"/>
      <c r="U439" s="4"/>
      <c r="V439" s="4"/>
      <c r="W439" s="4"/>
    </row>
    <row r="440" spans="1:23" x14ac:dyDescent="0.2">
      <c r="A440" s="4">
        <v>50</v>
      </c>
      <c r="B440" s="4">
        <v>0</v>
      </c>
      <c r="C440" s="4">
        <v>0</v>
      </c>
      <c r="D440" s="4">
        <v>1</v>
      </c>
      <c r="E440" s="4">
        <v>232</v>
      </c>
      <c r="F440" s="4">
        <f>ROUND(Source!BC424,O440)</f>
        <v>0</v>
      </c>
      <c r="G440" s="4" t="s">
        <v>117</v>
      </c>
      <c r="H440" s="4" t="s">
        <v>118</v>
      </c>
      <c r="I440" s="4"/>
      <c r="J440" s="4"/>
      <c r="K440" s="4">
        <v>232</v>
      </c>
      <c r="L440" s="4">
        <v>15</v>
      </c>
      <c r="M440" s="4">
        <v>3</v>
      </c>
      <c r="N440" s="4" t="s">
        <v>3</v>
      </c>
      <c r="O440" s="4">
        <v>2</v>
      </c>
      <c r="P440" s="4"/>
      <c r="Q440" s="4"/>
      <c r="R440" s="4"/>
      <c r="S440" s="4"/>
      <c r="T440" s="4"/>
      <c r="U440" s="4"/>
      <c r="V440" s="4"/>
      <c r="W440" s="4"/>
    </row>
    <row r="441" spans="1:23" x14ac:dyDescent="0.2">
      <c r="A441" s="4">
        <v>50</v>
      </c>
      <c r="B441" s="4">
        <v>0</v>
      </c>
      <c r="C441" s="4">
        <v>0</v>
      </c>
      <c r="D441" s="4">
        <v>1</v>
      </c>
      <c r="E441" s="4">
        <v>214</v>
      </c>
      <c r="F441" s="4">
        <f>ROUND(Source!AS424,O441)</f>
        <v>0</v>
      </c>
      <c r="G441" s="4" t="s">
        <v>119</v>
      </c>
      <c r="H441" s="4" t="s">
        <v>120</v>
      </c>
      <c r="I441" s="4"/>
      <c r="J441" s="4"/>
      <c r="K441" s="4">
        <v>214</v>
      </c>
      <c r="L441" s="4">
        <v>16</v>
      </c>
      <c r="M441" s="4">
        <v>3</v>
      </c>
      <c r="N441" s="4" t="s">
        <v>3</v>
      </c>
      <c r="O441" s="4">
        <v>2</v>
      </c>
      <c r="P441" s="4"/>
      <c r="Q441" s="4"/>
      <c r="R441" s="4"/>
      <c r="S441" s="4"/>
      <c r="T441" s="4"/>
      <c r="U441" s="4"/>
      <c r="V441" s="4"/>
      <c r="W441" s="4"/>
    </row>
    <row r="442" spans="1:23" x14ac:dyDescent="0.2">
      <c r="A442" s="4">
        <v>50</v>
      </c>
      <c r="B442" s="4">
        <v>0</v>
      </c>
      <c r="C442" s="4">
        <v>0</v>
      </c>
      <c r="D442" s="4">
        <v>1</v>
      </c>
      <c r="E442" s="4">
        <v>215</v>
      </c>
      <c r="F442" s="4">
        <f>ROUND(Source!AT424,O442)</f>
        <v>0</v>
      </c>
      <c r="G442" s="4" t="s">
        <v>121</v>
      </c>
      <c r="H442" s="4" t="s">
        <v>122</v>
      </c>
      <c r="I442" s="4"/>
      <c r="J442" s="4"/>
      <c r="K442" s="4">
        <v>215</v>
      </c>
      <c r="L442" s="4">
        <v>17</v>
      </c>
      <c r="M442" s="4">
        <v>3</v>
      </c>
      <c r="N442" s="4" t="s">
        <v>3</v>
      </c>
      <c r="O442" s="4">
        <v>2</v>
      </c>
      <c r="P442" s="4"/>
      <c r="Q442" s="4"/>
      <c r="R442" s="4"/>
      <c r="S442" s="4"/>
      <c r="T442" s="4"/>
      <c r="U442" s="4"/>
      <c r="V442" s="4"/>
      <c r="W442" s="4"/>
    </row>
    <row r="443" spans="1:23" x14ac:dyDescent="0.2">
      <c r="A443" s="4">
        <v>50</v>
      </c>
      <c r="B443" s="4">
        <v>0</v>
      </c>
      <c r="C443" s="4">
        <v>0</v>
      </c>
      <c r="D443" s="4">
        <v>1</v>
      </c>
      <c r="E443" s="4">
        <v>217</v>
      </c>
      <c r="F443" s="4">
        <f>ROUND(Source!AU424,O443)</f>
        <v>0</v>
      </c>
      <c r="G443" s="4" t="s">
        <v>123</v>
      </c>
      <c r="H443" s="4" t="s">
        <v>124</v>
      </c>
      <c r="I443" s="4"/>
      <c r="J443" s="4"/>
      <c r="K443" s="4">
        <v>217</v>
      </c>
      <c r="L443" s="4">
        <v>18</v>
      </c>
      <c r="M443" s="4">
        <v>3</v>
      </c>
      <c r="N443" s="4" t="s">
        <v>3</v>
      </c>
      <c r="O443" s="4">
        <v>2</v>
      </c>
      <c r="P443" s="4"/>
      <c r="Q443" s="4"/>
      <c r="R443" s="4"/>
      <c r="S443" s="4"/>
      <c r="T443" s="4"/>
      <c r="U443" s="4"/>
      <c r="V443" s="4"/>
      <c r="W443" s="4"/>
    </row>
    <row r="444" spans="1:23" x14ac:dyDescent="0.2">
      <c r="A444" s="4">
        <v>50</v>
      </c>
      <c r="B444" s="4">
        <v>0</v>
      </c>
      <c r="C444" s="4">
        <v>0</v>
      </c>
      <c r="D444" s="4">
        <v>1</v>
      </c>
      <c r="E444" s="4">
        <v>230</v>
      </c>
      <c r="F444" s="4">
        <f>ROUND(Source!BA424,O444)</f>
        <v>0</v>
      </c>
      <c r="G444" s="4" t="s">
        <v>125</v>
      </c>
      <c r="H444" s="4" t="s">
        <v>126</v>
      </c>
      <c r="I444" s="4"/>
      <c r="J444" s="4"/>
      <c r="K444" s="4">
        <v>230</v>
      </c>
      <c r="L444" s="4">
        <v>19</v>
      </c>
      <c r="M444" s="4">
        <v>3</v>
      </c>
      <c r="N444" s="4" t="s">
        <v>3</v>
      </c>
      <c r="O444" s="4">
        <v>2</v>
      </c>
      <c r="P444" s="4"/>
      <c r="Q444" s="4"/>
      <c r="R444" s="4"/>
      <c r="S444" s="4"/>
      <c r="T444" s="4"/>
      <c r="U444" s="4"/>
      <c r="V444" s="4"/>
      <c r="W444" s="4"/>
    </row>
    <row r="445" spans="1:23" x14ac:dyDescent="0.2">
      <c r="A445" s="4">
        <v>50</v>
      </c>
      <c r="B445" s="4">
        <v>0</v>
      </c>
      <c r="C445" s="4">
        <v>0</v>
      </c>
      <c r="D445" s="4">
        <v>1</v>
      </c>
      <c r="E445" s="4">
        <v>206</v>
      </c>
      <c r="F445" s="4">
        <f>ROUND(Source!T424,O445)</f>
        <v>0</v>
      </c>
      <c r="G445" s="4" t="s">
        <v>127</v>
      </c>
      <c r="H445" s="4" t="s">
        <v>128</v>
      </c>
      <c r="I445" s="4"/>
      <c r="J445" s="4"/>
      <c r="K445" s="4">
        <v>206</v>
      </c>
      <c r="L445" s="4">
        <v>20</v>
      </c>
      <c r="M445" s="4">
        <v>3</v>
      </c>
      <c r="N445" s="4" t="s">
        <v>3</v>
      </c>
      <c r="O445" s="4">
        <v>2</v>
      </c>
      <c r="P445" s="4"/>
      <c r="Q445" s="4"/>
      <c r="R445" s="4"/>
      <c r="S445" s="4"/>
      <c r="T445" s="4"/>
      <c r="U445" s="4"/>
      <c r="V445" s="4"/>
      <c r="W445" s="4"/>
    </row>
    <row r="446" spans="1:23" x14ac:dyDescent="0.2">
      <c r="A446" s="4">
        <v>50</v>
      </c>
      <c r="B446" s="4">
        <v>0</v>
      </c>
      <c r="C446" s="4">
        <v>0</v>
      </c>
      <c r="D446" s="4">
        <v>1</v>
      </c>
      <c r="E446" s="4">
        <v>207</v>
      </c>
      <c r="F446" s="4">
        <f>Source!U424</f>
        <v>0</v>
      </c>
      <c r="G446" s="4" t="s">
        <v>129</v>
      </c>
      <c r="H446" s="4" t="s">
        <v>130</v>
      </c>
      <c r="I446" s="4"/>
      <c r="J446" s="4"/>
      <c r="K446" s="4">
        <v>207</v>
      </c>
      <c r="L446" s="4">
        <v>21</v>
      </c>
      <c r="M446" s="4">
        <v>3</v>
      </c>
      <c r="N446" s="4" t="s">
        <v>3</v>
      </c>
      <c r="O446" s="4">
        <v>-1</v>
      </c>
      <c r="P446" s="4"/>
      <c r="Q446" s="4"/>
      <c r="R446" s="4"/>
      <c r="S446" s="4"/>
      <c r="T446" s="4"/>
      <c r="U446" s="4"/>
      <c r="V446" s="4"/>
      <c r="W446" s="4"/>
    </row>
    <row r="447" spans="1:23" x14ac:dyDescent="0.2">
      <c r="A447" s="4">
        <v>50</v>
      </c>
      <c r="B447" s="4">
        <v>0</v>
      </c>
      <c r="C447" s="4">
        <v>0</v>
      </c>
      <c r="D447" s="4">
        <v>1</v>
      </c>
      <c r="E447" s="4">
        <v>208</v>
      </c>
      <c r="F447" s="4">
        <f>Source!V424</f>
        <v>0</v>
      </c>
      <c r="G447" s="4" t="s">
        <v>131</v>
      </c>
      <c r="H447" s="4" t="s">
        <v>132</v>
      </c>
      <c r="I447" s="4"/>
      <c r="J447" s="4"/>
      <c r="K447" s="4">
        <v>208</v>
      </c>
      <c r="L447" s="4">
        <v>22</v>
      </c>
      <c r="M447" s="4">
        <v>3</v>
      </c>
      <c r="N447" s="4" t="s">
        <v>3</v>
      </c>
      <c r="O447" s="4">
        <v>-1</v>
      </c>
      <c r="P447" s="4"/>
      <c r="Q447" s="4"/>
      <c r="R447" s="4"/>
      <c r="S447" s="4"/>
      <c r="T447" s="4"/>
      <c r="U447" s="4"/>
      <c r="V447" s="4"/>
      <c r="W447" s="4"/>
    </row>
    <row r="448" spans="1:23" x14ac:dyDescent="0.2">
      <c r="A448" s="4">
        <v>50</v>
      </c>
      <c r="B448" s="4">
        <v>0</v>
      </c>
      <c r="C448" s="4">
        <v>0</v>
      </c>
      <c r="D448" s="4">
        <v>1</v>
      </c>
      <c r="E448" s="4">
        <v>209</v>
      </c>
      <c r="F448" s="4">
        <f>ROUND(Source!W424,O448)</f>
        <v>0</v>
      </c>
      <c r="G448" s="4" t="s">
        <v>133</v>
      </c>
      <c r="H448" s="4" t="s">
        <v>134</v>
      </c>
      <c r="I448" s="4"/>
      <c r="J448" s="4"/>
      <c r="K448" s="4">
        <v>209</v>
      </c>
      <c r="L448" s="4">
        <v>23</v>
      </c>
      <c r="M448" s="4">
        <v>3</v>
      </c>
      <c r="N448" s="4" t="s">
        <v>3</v>
      </c>
      <c r="O448" s="4">
        <v>2</v>
      </c>
      <c r="P448" s="4"/>
      <c r="Q448" s="4"/>
      <c r="R448" s="4"/>
      <c r="S448" s="4"/>
      <c r="T448" s="4"/>
      <c r="U448" s="4"/>
      <c r="V448" s="4"/>
      <c r="W448" s="4"/>
    </row>
    <row r="449" spans="1:206" x14ac:dyDescent="0.2">
      <c r="A449" s="4">
        <v>50</v>
      </c>
      <c r="B449" s="4">
        <v>0</v>
      </c>
      <c r="C449" s="4">
        <v>0</v>
      </c>
      <c r="D449" s="4">
        <v>1</v>
      </c>
      <c r="E449" s="4">
        <v>233</v>
      </c>
      <c r="F449" s="4">
        <f>ROUND(Source!BD424,O449)</f>
        <v>0</v>
      </c>
      <c r="G449" s="4" t="s">
        <v>135</v>
      </c>
      <c r="H449" s="4" t="s">
        <v>136</v>
      </c>
      <c r="I449" s="4"/>
      <c r="J449" s="4"/>
      <c r="K449" s="4">
        <v>233</v>
      </c>
      <c r="L449" s="4">
        <v>24</v>
      </c>
      <c r="M449" s="4">
        <v>3</v>
      </c>
      <c r="N449" s="4" t="s">
        <v>3</v>
      </c>
      <c r="O449" s="4">
        <v>2</v>
      </c>
      <c r="P449" s="4"/>
      <c r="Q449" s="4"/>
      <c r="R449" s="4"/>
      <c r="S449" s="4"/>
      <c r="T449" s="4"/>
      <c r="U449" s="4"/>
      <c r="V449" s="4"/>
      <c r="W449" s="4"/>
    </row>
    <row r="450" spans="1:206" x14ac:dyDescent="0.2">
      <c r="A450" s="4">
        <v>50</v>
      </c>
      <c r="B450" s="4">
        <v>0</v>
      </c>
      <c r="C450" s="4">
        <v>0</v>
      </c>
      <c r="D450" s="4">
        <v>1</v>
      </c>
      <c r="E450" s="4">
        <v>210</v>
      </c>
      <c r="F450" s="4">
        <f>ROUND(Source!X424,O450)</f>
        <v>0</v>
      </c>
      <c r="G450" s="4" t="s">
        <v>137</v>
      </c>
      <c r="H450" s="4" t="s">
        <v>138</v>
      </c>
      <c r="I450" s="4"/>
      <c r="J450" s="4"/>
      <c r="K450" s="4">
        <v>210</v>
      </c>
      <c r="L450" s="4">
        <v>25</v>
      </c>
      <c r="M450" s="4">
        <v>3</v>
      </c>
      <c r="N450" s="4" t="s">
        <v>3</v>
      </c>
      <c r="O450" s="4">
        <v>2</v>
      </c>
      <c r="P450" s="4"/>
      <c r="Q450" s="4"/>
      <c r="R450" s="4"/>
      <c r="S450" s="4"/>
      <c r="T450" s="4"/>
      <c r="U450" s="4"/>
      <c r="V450" s="4"/>
      <c r="W450" s="4"/>
    </row>
    <row r="451" spans="1:206" x14ac:dyDescent="0.2">
      <c r="A451" s="4">
        <v>50</v>
      </c>
      <c r="B451" s="4">
        <v>0</v>
      </c>
      <c r="C451" s="4">
        <v>0</v>
      </c>
      <c r="D451" s="4">
        <v>1</v>
      </c>
      <c r="E451" s="4">
        <v>211</v>
      </c>
      <c r="F451" s="4">
        <f>ROUND(Source!Y424,O451)</f>
        <v>0</v>
      </c>
      <c r="G451" s="4" t="s">
        <v>139</v>
      </c>
      <c r="H451" s="4" t="s">
        <v>140</v>
      </c>
      <c r="I451" s="4"/>
      <c r="J451" s="4"/>
      <c r="K451" s="4">
        <v>211</v>
      </c>
      <c r="L451" s="4">
        <v>26</v>
      </c>
      <c r="M451" s="4">
        <v>3</v>
      </c>
      <c r="N451" s="4" t="s">
        <v>3</v>
      </c>
      <c r="O451" s="4">
        <v>2</v>
      </c>
      <c r="P451" s="4"/>
      <c r="Q451" s="4"/>
      <c r="R451" s="4"/>
      <c r="S451" s="4"/>
      <c r="T451" s="4"/>
      <c r="U451" s="4"/>
      <c r="V451" s="4"/>
      <c r="W451" s="4"/>
    </row>
    <row r="452" spans="1:206" x14ac:dyDescent="0.2">
      <c r="A452" s="4">
        <v>50</v>
      </c>
      <c r="B452" s="4">
        <v>0</v>
      </c>
      <c r="C452" s="4">
        <v>0</v>
      </c>
      <c r="D452" s="4">
        <v>1</v>
      </c>
      <c r="E452" s="4">
        <v>224</v>
      </c>
      <c r="F452" s="4">
        <f>ROUND(Source!AR424,O452)</f>
        <v>0</v>
      </c>
      <c r="G452" s="4" t="s">
        <v>141</v>
      </c>
      <c r="H452" s="4" t="s">
        <v>142</v>
      </c>
      <c r="I452" s="4"/>
      <c r="J452" s="4"/>
      <c r="K452" s="4">
        <v>224</v>
      </c>
      <c r="L452" s="4">
        <v>27</v>
      </c>
      <c r="M452" s="4">
        <v>3</v>
      </c>
      <c r="N452" s="4" t="s">
        <v>3</v>
      </c>
      <c r="O452" s="4">
        <v>2</v>
      </c>
      <c r="P452" s="4"/>
      <c r="Q452" s="4"/>
      <c r="R452" s="4"/>
      <c r="S452" s="4"/>
      <c r="T452" s="4"/>
      <c r="U452" s="4"/>
      <c r="V452" s="4"/>
      <c r="W452" s="4"/>
    </row>
    <row r="454" spans="1:206" x14ac:dyDescent="0.2">
      <c r="A454" s="1">
        <v>4</v>
      </c>
      <c r="B454" s="1">
        <v>1</v>
      </c>
      <c r="C454" s="1"/>
      <c r="D454" s="1">
        <f>ROW(A458)</f>
        <v>458</v>
      </c>
      <c r="E454" s="1"/>
      <c r="F454" s="1" t="s">
        <v>13</v>
      </c>
      <c r="G454" s="1" t="s">
        <v>331</v>
      </c>
      <c r="H454" s="1" t="s">
        <v>3</v>
      </c>
      <c r="I454" s="1">
        <v>0</v>
      </c>
      <c r="J454" s="1"/>
      <c r="K454" s="1">
        <v>0</v>
      </c>
      <c r="L454" s="1"/>
      <c r="M454" s="1"/>
      <c r="N454" s="1"/>
      <c r="O454" s="1"/>
      <c r="P454" s="1"/>
      <c r="Q454" s="1"/>
      <c r="R454" s="1"/>
      <c r="S454" s="1"/>
      <c r="T454" s="1"/>
      <c r="U454" s="1" t="s">
        <v>3</v>
      </c>
      <c r="V454" s="1">
        <v>0</v>
      </c>
      <c r="W454" s="1"/>
      <c r="X454" s="1"/>
      <c r="Y454" s="1"/>
      <c r="Z454" s="1"/>
      <c r="AA454" s="1"/>
      <c r="AB454" s="1" t="s">
        <v>3</v>
      </c>
      <c r="AC454" s="1" t="s">
        <v>3</v>
      </c>
      <c r="AD454" s="1" t="s">
        <v>3</v>
      </c>
      <c r="AE454" s="1" t="s">
        <v>3</v>
      </c>
      <c r="AF454" s="1" t="s">
        <v>3</v>
      </c>
      <c r="AG454" s="1" t="s">
        <v>3</v>
      </c>
      <c r="AH454" s="1"/>
      <c r="AI454" s="1"/>
      <c r="AJ454" s="1"/>
      <c r="AK454" s="1"/>
      <c r="AL454" s="1"/>
      <c r="AM454" s="1"/>
      <c r="AN454" s="1"/>
      <c r="AO454" s="1"/>
      <c r="AP454" s="1" t="s">
        <v>3</v>
      </c>
      <c r="AQ454" s="1" t="s">
        <v>3</v>
      </c>
      <c r="AR454" s="1" t="s">
        <v>3</v>
      </c>
      <c r="AS454" s="1"/>
      <c r="AT454" s="1"/>
      <c r="AU454" s="1"/>
      <c r="AV454" s="1"/>
      <c r="AW454" s="1"/>
      <c r="AX454" s="1"/>
      <c r="AY454" s="1"/>
      <c r="AZ454" s="1" t="s">
        <v>3</v>
      </c>
      <c r="BA454" s="1"/>
      <c r="BB454" s="1" t="s">
        <v>3</v>
      </c>
      <c r="BC454" s="1" t="s">
        <v>3</v>
      </c>
      <c r="BD454" s="1" t="s">
        <v>3</v>
      </c>
      <c r="BE454" s="1" t="s">
        <v>3</v>
      </c>
      <c r="BF454" s="1" t="s">
        <v>3</v>
      </c>
      <c r="BG454" s="1" t="s">
        <v>3</v>
      </c>
      <c r="BH454" s="1" t="s">
        <v>3</v>
      </c>
      <c r="BI454" s="1" t="s">
        <v>3</v>
      </c>
      <c r="BJ454" s="1" t="s">
        <v>3</v>
      </c>
      <c r="BK454" s="1" t="s">
        <v>3</v>
      </c>
      <c r="BL454" s="1" t="s">
        <v>3</v>
      </c>
      <c r="BM454" s="1" t="s">
        <v>3</v>
      </c>
      <c r="BN454" s="1" t="s">
        <v>3</v>
      </c>
      <c r="BO454" s="1" t="s">
        <v>3</v>
      </c>
      <c r="BP454" s="1" t="s">
        <v>3</v>
      </c>
      <c r="BQ454" s="1"/>
      <c r="BR454" s="1"/>
      <c r="BS454" s="1"/>
      <c r="BT454" s="1"/>
      <c r="BU454" s="1"/>
      <c r="BV454" s="1"/>
      <c r="BW454" s="1"/>
      <c r="BX454" s="1">
        <v>0</v>
      </c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>
        <v>0</v>
      </c>
    </row>
    <row r="456" spans="1:206" x14ac:dyDescent="0.2">
      <c r="A456" s="2">
        <v>52</v>
      </c>
      <c r="B456" s="2">
        <f t="shared" ref="B456:G456" si="380">B458</f>
        <v>1</v>
      </c>
      <c r="C456" s="2">
        <f t="shared" si="380"/>
        <v>4</v>
      </c>
      <c r="D456" s="2">
        <f t="shared" si="380"/>
        <v>454</v>
      </c>
      <c r="E456" s="2">
        <f t="shared" si="380"/>
        <v>0</v>
      </c>
      <c r="F456" s="2" t="str">
        <f t="shared" si="380"/>
        <v>Новый раздел</v>
      </c>
      <c r="G456" s="2" t="str">
        <f t="shared" si="380"/>
        <v>21.4. Пересадка кустарников без кома, в двухрядную живую изгородь</v>
      </c>
      <c r="H456" s="2"/>
      <c r="I456" s="2"/>
      <c r="J456" s="2"/>
      <c r="K456" s="2"/>
      <c r="L456" s="2"/>
      <c r="M456" s="2"/>
      <c r="N456" s="2"/>
      <c r="O456" s="2">
        <f t="shared" ref="O456:AT456" si="381">O458</f>
        <v>0</v>
      </c>
      <c r="P456" s="2">
        <f t="shared" si="381"/>
        <v>0</v>
      </c>
      <c r="Q456" s="2">
        <f t="shared" si="381"/>
        <v>0</v>
      </c>
      <c r="R456" s="2">
        <f t="shared" si="381"/>
        <v>0</v>
      </c>
      <c r="S456" s="2">
        <f t="shared" si="381"/>
        <v>0</v>
      </c>
      <c r="T456" s="2">
        <f t="shared" si="381"/>
        <v>0</v>
      </c>
      <c r="U456" s="2">
        <f t="shared" si="381"/>
        <v>0</v>
      </c>
      <c r="V456" s="2">
        <f t="shared" si="381"/>
        <v>0</v>
      </c>
      <c r="W456" s="2">
        <f t="shared" si="381"/>
        <v>0</v>
      </c>
      <c r="X456" s="2">
        <f t="shared" si="381"/>
        <v>0</v>
      </c>
      <c r="Y456" s="2">
        <f t="shared" si="381"/>
        <v>0</v>
      </c>
      <c r="Z456" s="2">
        <f t="shared" si="381"/>
        <v>0</v>
      </c>
      <c r="AA456" s="2">
        <f t="shared" si="381"/>
        <v>0</v>
      </c>
      <c r="AB456" s="2">
        <f t="shared" si="381"/>
        <v>0</v>
      </c>
      <c r="AC456" s="2">
        <f t="shared" si="381"/>
        <v>0</v>
      </c>
      <c r="AD456" s="2">
        <f t="shared" si="381"/>
        <v>0</v>
      </c>
      <c r="AE456" s="2">
        <f t="shared" si="381"/>
        <v>0</v>
      </c>
      <c r="AF456" s="2">
        <f t="shared" si="381"/>
        <v>0</v>
      </c>
      <c r="AG456" s="2">
        <f t="shared" si="381"/>
        <v>0</v>
      </c>
      <c r="AH456" s="2">
        <f t="shared" si="381"/>
        <v>0</v>
      </c>
      <c r="AI456" s="2">
        <f t="shared" si="381"/>
        <v>0</v>
      </c>
      <c r="AJ456" s="2">
        <f t="shared" si="381"/>
        <v>0</v>
      </c>
      <c r="AK456" s="2">
        <f t="shared" si="381"/>
        <v>0</v>
      </c>
      <c r="AL456" s="2">
        <f t="shared" si="381"/>
        <v>0</v>
      </c>
      <c r="AM456" s="2">
        <f t="shared" si="381"/>
        <v>0</v>
      </c>
      <c r="AN456" s="2">
        <f t="shared" si="381"/>
        <v>0</v>
      </c>
      <c r="AO456" s="2">
        <f t="shared" si="381"/>
        <v>0</v>
      </c>
      <c r="AP456" s="2">
        <f t="shared" si="381"/>
        <v>0</v>
      </c>
      <c r="AQ456" s="2">
        <f t="shared" si="381"/>
        <v>0</v>
      </c>
      <c r="AR456" s="2">
        <f t="shared" si="381"/>
        <v>0</v>
      </c>
      <c r="AS456" s="2">
        <f t="shared" si="381"/>
        <v>0</v>
      </c>
      <c r="AT456" s="2">
        <f t="shared" si="381"/>
        <v>0</v>
      </c>
      <c r="AU456" s="2">
        <f t="shared" ref="AU456:BZ456" si="382">AU458</f>
        <v>0</v>
      </c>
      <c r="AV456" s="2">
        <f t="shared" si="382"/>
        <v>0</v>
      </c>
      <c r="AW456" s="2">
        <f t="shared" si="382"/>
        <v>0</v>
      </c>
      <c r="AX456" s="2">
        <f t="shared" si="382"/>
        <v>0</v>
      </c>
      <c r="AY456" s="2">
        <f t="shared" si="382"/>
        <v>0</v>
      </c>
      <c r="AZ456" s="2">
        <f t="shared" si="382"/>
        <v>0</v>
      </c>
      <c r="BA456" s="2">
        <f t="shared" si="382"/>
        <v>0</v>
      </c>
      <c r="BB456" s="2">
        <f t="shared" si="382"/>
        <v>0</v>
      </c>
      <c r="BC456" s="2">
        <f t="shared" si="382"/>
        <v>0</v>
      </c>
      <c r="BD456" s="2">
        <f t="shared" si="382"/>
        <v>0</v>
      </c>
      <c r="BE456" s="2">
        <f t="shared" si="382"/>
        <v>0</v>
      </c>
      <c r="BF456" s="2">
        <f t="shared" si="382"/>
        <v>0</v>
      </c>
      <c r="BG456" s="2">
        <f t="shared" si="382"/>
        <v>0</v>
      </c>
      <c r="BH456" s="2">
        <f t="shared" si="382"/>
        <v>0</v>
      </c>
      <c r="BI456" s="2">
        <f t="shared" si="382"/>
        <v>0</v>
      </c>
      <c r="BJ456" s="2">
        <f t="shared" si="382"/>
        <v>0</v>
      </c>
      <c r="BK456" s="2">
        <f t="shared" si="382"/>
        <v>0</v>
      </c>
      <c r="BL456" s="2">
        <f t="shared" si="382"/>
        <v>0</v>
      </c>
      <c r="BM456" s="2">
        <f t="shared" si="382"/>
        <v>0</v>
      </c>
      <c r="BN456" s="2">
        <f t="shared" si="382"/>
        <v>0</v>
      </c>
      <c r="BO456" s="2">
        <f t="shared" si="382"/>
        <v>0</v>
      </c>
      <c r="BP456" s="2">
        <f t="shared" si="382"/>
        <v>0</v>
      </c>
      <c r="BQ456" s="2">
        <f t="shared" si="382"/>
        <v>0</v>
      </c>
      <c r="BR456" s="2">
        <f t="shared" si="382"/>
        <v>0</v>
      </c>
      <c r="BS456" s="2">
        <f t="shared" si="382"/>
        <v>0</v>
      </c>
      <c r="BT456" s="2">
        <f t="shared" si="382"/>
        <v>0</v>
      </c>
      <c r="BU456" s="2">
        <f t="shared" si="382"/>
        <v>0</v>
      </c>
      <c r="BV456" s="2">
        <f t="shared" si="382"/>
        <v>0</v>
      </c>
      <c r="BW456" s="2">
        <f t="shared" si="382"/>
        <v>0</v>
      </c>
      <c r="BX456" s="2">
        <f t="shared" si="382"/>
        <v>0</v>
      </c>
      <c r="BY456" s="2">
        <f t="shared" si="382"/>
        <v>0</v>
      </c>
      <c r="BZ456" s="2">
        <f t="shared" si="382"/>
        <v>0</v>
      </c>
      <c r="CA456" s="2">
        <f t="shared" ref="CA456:DF456" si="383">CA458</f>
        <v>0</v>
      </c>
      <c r="CB456" s="2">
        <f t="shared" si="383"/>
        <v>0</v>
      </c>
      <c r="CC456" s="2">
        <f t="shared" si="383"/>
        <v>0</v>
      </c>
      <c r="CD456" s="2">
        <f t="shared" si="383"/>
        <v>0</v>
      </c>
      <c r="CE456" s="2">
        <f t="shared" si="383"/>
        <v>0</v>
      </c>
      <c r="CF456" s="2">
        <f t="shared" si="383"/>
        <v>0</v>
      </c>
      <c r="CG456" s="2">
        <f t="shared" si="383"/>
        <v>0</v>
      </c>
      <c r="CH456" s="2">
        <f t="shared" si="383"/>
        <v>0</v>
      </c>
      <c r="CI456" s="2">
        <f t="shared" si="383"/>
        <v>0</v>
      </c>
      <c r="CJ456" s="2">
        <f t="shared" si="383"/>
        <v>0</v>
      </c>
      <c r="CK456" s="2">
        <f t="shared" si="383"/>
        <v>0</v>
      </c>
      <c r="CL456" s="2">
        <f t="shared" si="383"/>
        <v>0</v>
      </c>
      <c r="CM456" s="2">
        <f t="shared" si="383"/>
        <v>0</v>
      </c>
      <c r="CN456" s="2">
        <f t="shared" si="383"/>
        <v>0</v>
      </c>
      <c r="CO456" s="2">
        <f t="shared" si="383"/>
        <v>0</v>
      </c>
      <c r="CP456" s="2">
        <f t="shared" si="383"/>
        <v>0</v>
      </c>
      <c r="CQ456" s="2">
        <f t="shared" si="383"/>
        <v>0</v>
      </c>
      <c r="CR456" s="2">
        <f t="shared" si="383"/>
        <v>0</v>
      </c>
      <c r="CS456" s="2">
        <f t="shared" si="383"/>
        <v>0</v>
      </c>
      <c r="CT456" s="2">
        <f t="shared" si="383"/>
        <v>0</v>
      </c>
      <c r="CU456" s="2">
        <f t="shared" si="383"/>
        <v>0</v>
      </c>
      <c r="CV456" s="2">
        <f t="shared" si="383"/>
        <v>0</v>
      </c>
      <c r="CW456" s="2">
        <f t="shared" si="383"/>
        <v>0</v>
      </c>
      <c r="CX456" s="2">
        <f t="shared" si="383"/>
        <v>0</v>
      </c>
      <c r="CY456" s="2">
        <f t="shared" si="383"/>
        <v>0</v>
      </c>
      <c r="CZ456" s="2">
        <f t="shared" si="383"/>
        <v>0</v>
      </c>
      <c r="DA456" s="2">
        <f t="shared" si="383"/>
        <v>0</v>
      </c>
      <c r="DB456" s="2">
        <f t="shared" si="383"/>
        <v>0</v>
      </c>
      <c r="DC456" s="2">
        <f t="shared" si="383"/>
        <v>0</v>
      </c>
      <c r="DD456" s="2">
        <f t="shared" si="383"/>
        <v>0</v>
      </c>
      <c r="DE456" s="2">
        <f t="shared" si="383"/>
        <v>0</v>
      </c>
      <c r="DF456" s="2">
        <f t="shared" si="383"/>
        <v>0</v>
      </c>
      <c r="DG456" s="3">
        <f t="shared" ref="DG456:EL456" si="384">DG458</f>
        <v>0</v>
      </c>
      <c r="DH456" s="3">
        <f t="shared" si="384"/>
        <v>0</v>
      </c>
      <c r="DI456" s="3">
        <f t="shared" si="384"/>
        <v>0</v>
      </c>
      <c r="DJ456" s="3">
        <f t="shared" si="384"/>
        <v>0</v>
      </c>
      <c r="DK456" s="3">
        <f t="shared" si="384"/>
        <v>0</v>
      </c>
      <c r="DL456" s="3">
        <f t="shared" si="384"/>
        <v>0</v>
      </c>
      <c r="DM456" s="3">
        <f t="shared" si="384"/>
        <v>0</v>
      </c>
      <c r="DN456" s="3">
        <f t="shared" si="384"/>
        <v>0</v>
      </c>
      <c r="DO456" s="3">
        <f t="shared" si="384"/>
        <v>0</v>
      </c>
      <c r="DP456" s="3">
        <f t="shared" si="384"/>
        <v>0</v>
      </c>
      <c r="DQ456" s="3">
        <f t="shared" si="384"/>
        <v>0</v>
      </c>
      <c r="DR456" s="3">
        <f t="shared" si="384"/>
        <v>0</v>
      </c>
      <c r="DS456" s="3">
        <f t="shared" si="384"/>
        <v>0</v>
      </c>
      <c r="DT456" s="3">
        <f t="shared" si="384"/>
        <v>0</v>
      </c>
      <c r="DU456" s="3">
        <f t="shared" si="384"/>
        <v>0</v>
      </c>
      <c r="DV456" s="3">
        <f t="shared" si="384"/>
        <v>0</v>
      </c>
      <c r="DW456" s="3">
        <f t="shared" si="384"/>
        <v>0</v>
      </c>
      <c r="DX456" s="3">
        <f t="shared" si="384"/>
        <v>0</v>
      </c>
      <c r="DY456" s="3">
        <f t="shared" si="384"/>
        <v>0</v>
      </c>
      <c r="DZ456" s="3">
        <f t="shared" si="384"/>
        <v>0</v>
      </c>
      <c r="EA456" s="3">
        <f t="shared" si="384"/>
        <v>0</v>
      </c>
      <c r="EB456" s="3">
        <f t="shared" si="384"/>
        <v>0</v>
      </c>
      <c r="EC456" s="3">
        <f t="shared" si="384"/>
        <v>0</v>
      </c>
      <c r="ED456" s="3">
        <f t="shared" si="384"/>
        <v>0</v>
      </c>
      <c r="EE456" s="3">
        <f t="shared" si="384"/>
        <v>0</v>
      </c>
      <c r="EF456" s="3">
        <f t="shared" si="384"/>
        <v>0</v>
      </c>
      <c r="EG456" s="3">
        <f t="shared" si="384"/>
        <v>0</v>
      </c>
      <c r="EH456" s="3">
        <f t="shared" si="384"/>
        <v>0</v>
      </c>
      <c r="EI456" s="3">
        <f t="shared" si="384"/>
        <v>0</v>
      </c>
      <c r="EJ456" s="3">
        <f t="shared" si="384"/>
        <v>0</v>
      </c>
      <c r="EK456" s="3">
        <f t="shared" si="384"/>
        <v>0</v>
      </c>
      <c r="EL456" s="3">
        <f t="shared" si="384"/>
        <v>0</v>
      </c>
      <c r="EM456" s="3">
        <f t="shared" ref="EM456:FR456" si="385">EM458</f>
        <v>0</v>
      </c>
      <c r="EN456" s="3">
        <f t="shared" si="385"/>
        <v>0</v>
      </c>
      <c r="EO456" s="3">
        <f t="shared" si="385"/>
        <v>0</v>
      </c>
      <c r="EP456" s="3">
        <f t="shared" si="385"/>
        <v>0</v>
      </c>
      <c r="EQ456" s="3">
        <f t="shared" si="385"/>
        <v>0</v>
      </c>
      <c r="ER456" s="3">
        <f t="shared" si="385"/>
        <v>0</v>
      </c>
      <c r="ES456" s="3">
        <f t="shared" si="385"/>
        <v>0</v>
      </c>
      <c r="ET456" s="3">
        <f t="shared" si="385"/>
        <v>0</v>
      </c>
      <c r="EU456" s="3">
        <f t="shared" si="385"/>
        <v>0</v>
      </c>
      <c r="EV456" s="3">
        <f t="shared" si="385"/>
        <v>0</v>
      </c>
      <c r="EW456" s="3">
        <f t="shared" si="385"/>
        <v>0</v>
      </c>
      <c r="EX456" s="3">
        <f t="shared" si="385"/>
        <v>0</v>
      </c>
      <c r="EY456" s="3">
        <f t="shared" si="385"/>
        <v>0</v>
      </c>
      <c r="EZ456" s="3">
        <f t="shared" si="385"/>
        <v>0</v>
      </c>
      <c r="FA456" s="3">
        <f t="shared" si="385"/>
        <v>0</v>
      </c>
      <c r="FB456" s="3">
        <f t="shared" si="385"/>
        <v>0</v>
      </c>
      <c r="FC456" s="3">
        <f t="shared" si="385"/>
        <v>0</v>
      </c>
      <c r="FD456" s="3">
        <f t="shared" si="385"/>
        <v>0</v>
      </c>
      <c r="FE456" s="3">
        <f t="shared" si="385"/>
        <v>0</v>
      </c>
      <c r="FF456" s="3">
        <f t="shared" si="385"/>
        <v>0</v>
      </c>
      <c r="FG456" s="3">
        <f t="shared" si="385"/>
        <v>0</v>
      </c>
      <c r="FH456" s="3">
        <f t="shared" si="385"/>
        <v>0</v>
      </c>
      <c r="FI456" s="3">
        <f t="shared" si="385"/>
        <v>0</v>
      </c>
      <c r="FJ456" s="3">
        <f t="shared" si="385"/>
        <v>0</v>
      </c>
      <c r="FK456" s="3">
        <f t="shared" si="385"/>
        <v>0</v>
      </c>
      <c r="FL456" s="3">
        <f t="shared" si="385"/>
        <v>0</v>
      </c>
      <c r="FM456" s="3">
        <f t="shared" si="385"/>
        <v>0</v>
      </c>
      <c r="FN456" s="3">
        <f t="shared" si="385"/>
        <v>0</v>
      </c>
      <c r="FO456" s="3">
        <f t="shared" si="385"/>
        <v>0</v>
      </c>
      <c r="FP456" s="3">
        <f t="shared" si="385"/>
        <v>0</v>
      </c>
      <c r="FQ456" s="3">
        <f t="shared" si="385"/>
        <v>0</v>
      </c>
      <c r="FR456" s="3">
        <f t="shared" si="385"/>
        <v>0</v>
      </c>
      <c r="FS456" s="3">
        <f t="shared" ref="FS456:GX456" si="386">FS458</f>
        <v>0</v>
      </c>
      <c r="FT456" s="3">
        <f t="shared" si="386"/>
        <v>0</v>
      </c>
      <c r="FU456" s="3">
        <f t="shared" si="386"/>
        <v>0</v>
      </c>
      <c r="FV456" s="3">
        <f t="shared" si="386"/>
        <v>0</v>
      </c>
      <c r="FW456" s="3">
        <f t="shared" si="386"/>
        <v>0</v>
      </c>
      <c r="FX456" s="3">
        <f t="shared" si="386"/>
        <v>0</v>
      </c>
      <c r="FY456" s="3">
        <f t="shared" si="386"/>
        <v>0</v>
      </c>
      <c r="FZ456" s="3">
        <f t="shared" si="386"/>
        <v>0</v>
      </c>
      <c r="GA456" s="3">
        <f t="shared" si="386"/>
        <v>0</v>
      </c>
      <c r="GB456" s="3">
        <f t="shared" si="386"/>
        <v>0</v>
      </c>
      <c r="GC456" s="3">
        <f t="shared" si="386"/>
        <v>0</v>
      </c>
      <c r="GD456" s="3">
        <f t="shared" si="386"/>
        <v>0</v>
      </c>
      <c r="GE456" s="3">
        <f t="shared" si="386"/>
        <v>0</v>
      </c>
      <c r="GF456" s="3">
        <f t="shared" si="386"/>
        <v>0</v>
      </c>
      <c r="GG456" s="3">
        <f t="shared" si="386"/>
        <v>0</v>
      </c>
      <c r="GH456" s="3">
        <f t="shared" si="386"/>
        <v>0</v>
      </c>
      <c r="GI456" s="3">
        <f t="shared" si="386"/>
        <v>0</v>
      </c>
      <c r="GJ456" s="3">
        <f t="shared" si="386"/>
        <v>0</v>
      </c>
      <c r="GK456" s="3">
        <f t="shared" si="386"/>
        <v>0</v>
      </c>
      <c r="GL456" s="3">
        <f t="shared" si="386"/>
        <v>0</v>
      </c>
      <c r="GM456" s="3">
        <f t="shared" si="386"/>
        <v>0</v>
      </c>
      <c r="GN456" s="3">
        <f t="shared" si="386"/>
        <v>0</v>
      </c>
      <c r="GO456" s="3">
        <f t="shared" si="386"/>
        <v>0</v>
      </c>
      <c r="GP456" s="3">
        <f t="shared" si="386"/>
        <v>0</v>
      </c>
      <c r="GQ456" s="3">
        <f t="shared" si="386"/>
        <v>0</v>
      </c>
      <c r="GR456" s="3">
        <f t="shared" si="386"/>
        <v>0</v>
      </c>
      <c r="GS456" s="3">
        <f t="shared" si="386"/>
        <v>0</v>
      </c>
      <c r="GT456" s="3">
        <f t="shared" si="386"/>
        <v>0</v>
      </c>
      <c r="GU456" s="3">
        <f t="shared" si="386"/>
        <v>0</v>
      </c>
      <c r="GV456" s="3">
        <f t="shared" si="386"/>
        <v>0</v>
      </c>
      <c r="GW456" s="3">
        <f t="shared" si="386"/>
        <v>0</v>
      </c>
      <c r="GX456" s="3">
        <f t="shared" si="386"/>
        <v>0</v>
      </c>
    </row>
    <row r="458" spans="1:206" x14ac:dyDescent="0.2">
      <c r="A458" s="2">
        <v>51</v>
      </c>
      <c r="B458" s="2">
        <f>B454</f>
        <v>1</v>
      </c>
      <c r="C458" s="2">
        <f>A454</f>
        <v>4</v>
      </c>
      <c r="D458" s="2">
        <f>ROW(A454)</f>
        <v>454</v>
      </c>
      <c r="E458" s="2"/>
      <c r="F458" s="2" t="str">
        <f>IF(F454&lt;&gt;"",F454,"")</f>
        <v>Новый раздел</v>
      </c>
      <c r="G458" s="2" t="str">
        <f>IF(G454&lt;&gt;"",G454,"")</f>
        <v>21.4. Пересадка кустарников без кома, в двухрядную живую изгородь</v>
      </c>
      <c r="H458" s="2">
        <v>0</v>
      </c>
      <c r="I458" s="2"/>
      <c r="J458" s="2"/>
      <c r="K458" s="2"/>
      <c r="L458" s="2"/>
      <c r="M458" s="2"/>
      <c r="N458" s="2"/>
      <c r="O458" s="2">
        <f t="shared" ref="O458:T458" si="387">ROUND(AB458,2)</f>
        <v>0</v>
      </c>
      <c r="P458" s="2">
        <f t="shared" si="387"/>
        <v>0</v>
      </c>
      <c r="Q458" s="2">
        <f t="shared" si="387"/>
        <v>0</v>
      </c>
      <c r="R458" s="2">
        <f t="shared" si="387"/>
        <v>0</v>
      </c>
      <c r="S458" s="2">
        <f t="shared" si="387"/>
        <v>0</v>
      </c>
      <c r="T458" s="2">
        <f t="shared" si="387"/>
        <v>0</v>
      </c>
      <c r="U458" s="2">
        <f>AH458</f>
        <v>0</v>
      </c>
      <c r="V458" s="2">
        <f>AI458</f>
        <v>0</v>
      </c>
      <c r="W458" s="2">
        <f>ROUND(AJ458,2)</f>
        <v>0</v>
      </c>
      <c r="X458" s="2">
        <f>ROUND(AK458,2)</f>
        <v>0</v>
      </c>
      <c r="Y458" s="2">
        <f>ROUND(AL458,2)</f>
        <v>0</v>
      </c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>
        <f t="shared" ref="AO458:BD458" si="388">ROUND(BX458,2)</f>
        <v>0</v>
      </c>
      <c r="AP458" s="2">
        <f t="shared" si="388"/>
        <v>0</v>
      </c>
      <c r="AQ458" s="2">
        <f t="shared" si="388"/>
        <v>0</v>
      </c>
      <c r="AR458" s="2">
        <f t="shared" si="388"/>
        <v>0</v>
      </c>
      <c r="AS458" s="2">
        <f t="shared" si="388"/>
        <v>0</v>
      </c>
      <c r="AT458" s="2">
        <f t="shared" si="388"/>
        <v>0</v>
      </c>
      <c r="AU458" s="2">
        <f t="shared" si="388"/>
        <v>0</v>
      </c>
      <c r="AV458" s="2">
        <f t="shared" si="388"/>
        <v>0</v>
      </c>
      <c r="AW458" s="2">
        <f t="shared" si="388"/>
        <v>0</v>
      </c>
      <c r="AX458" s="2">
        <f t="shared" si="388"/>
        <v>0</v>
      </c>
      <c r="AY458" s="2">
        <f t="shared" si="388"/>
        <v>0</v>
      </c>
      <c r="AZ458" s="2">
        <f t="shared" si="388"/>
        <v>0</v>
      </c>
      <c r="BA458" s="2">
        <f t="shared" si="388"/>
        <v>0</v>
      </c>
      <c r="BB458" s="2">
        <f t="shared" si="388"/>
        <v>0</v>
      </c>
      <c r="BC458" s="2">
        <f t="shared" si="388"/>
        <v>0</v>
      </c>
      <c r="BD458" s="2">
        <f t="shared" si="388"/>
        <v>0</v>
      </c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>
        <v>0</v>
      </c>
    </row>
    <row r="460" spans="1:206" x14ac:dyDescent="0.2">
      <c r="A460" s="4">
        <v>50</v>
      </c>
      <c r="B460" s="4">
        <v>0</v>
      </c>
      <c r="C460" s="4">
        <v>0</v>
      </c>
      <c r="D460" s="4">
        <v>1</v>
      </c>
      <c r="E460" s="4">
        <v>201</v>
      </c>
      <c r="F460" s="4">
        <f>ROUND(Source!O458,O460)</f>
        <v>0</v>
      </c>
      <c r="G460" s="4" t="s">
        <v>89</v>
      </c>
      <c r="H460" s="4" t="s">
        <v>90</v>
      </c>
      <c r="I460" s="4"/>
      <c r="J460" s="4"/>
      <c r="K460" s="4">
        <v>201</v>
      </c>
      <c r="L460" s="4">
        <v>1</v>
      </c>
      <c r="M460" s="4">
        <v>3</v>
      </c>
      <c r="N460" s="4" t="s">
        <v>3</v>
      </c>
      <c r="O460" s="4">
        <v>2</v>
      </c>
      <c r="P460" s="4"/>
      <c r="Q460" s="4"/>
      <c r="R460" s="4"/>
      <c r="S460" s="4"/>
      <c r="T460" s="4"/>
      <c r="U460" s="4"/>
      <c r="V460" s="4"/>
      <c r="W460" s="4"/>
    </row>
    <row r="461" spans="1:206" x14ac:dyDescent="0.2">
      <c r="A461" s="4">
        <v>50</v>
      </c>
      <c r="B461" s="4">
        <v>0</v>
      </c>
      <c r="C461" s="4">
        <v>0</v>
      </c>
      <c r="D461" s="4">
        <v>1</v>
      </c>
      <c r="E461" s="4">
        <v>202</v>
      </c>
      <c r="F461" s="4">
        <f>ROUND(Source!P458,O461)</f>
        <v>0</v>
      </c>
      <c r="G461" s="4" t="s">
        <v>91</v>
      </c>
      <c r="H461" s="4" t="s">
        <v>92</v>
      </c>
      <c r="I461" s="4"/>
      <c r="J461" s="4"/>
      <c r="K461" s="4">
        <v>202</v>
      </c>
      <c r="L461" s="4">
        <v>2</v>
      </c>
      <c r="M461" s="4">
        <v>3</v>
      </c>
      <c r="N461" s="4" t="s">
        <v>3</v>
      </c>
      <c r="O461" s="4">
        <v>2</v>
      </c>
      <c r="P461" s="4"/>
      <c r="Q461" s="4"/>
      <c r="R461" s="4"/>
      <c r="S461" s="4"/>
      <c r="T461" s="4"/>
      <c r="U461" s="4"/>
      <c r="V461" s="4"/>
      <c r="W461" s="4"/>
    </row>
    <row r="462" spans="1:206" x14ac:dyDescent="0.2">
      <c r="A462" s="4">
        <v>50</v>
      </c>
      <c r="B462" s="4">
        <v>0</v>
      </c>
      <c r="C462" s="4">
        <v>0</v>
      </c>
      <c r="D462" s="4">
        <v>1</v>
      </c>
      <c r="E462" s="4">
        <v>222</v>
      </c>
      <c r="F462" s="4">
        <f>ROUND(Source!AO458,O462)</f>
        <v>0</v>
      </c>
      <c r="G462" s="4" t="s">
        <v>93</v>
      </c>
      <c r="H462" s="4" t="s">
        <v>94</v>
      </c>
      <c r="I462" s="4"/>
      <c r="J462" s="4"/>
      <c r="K462" s="4">
        <v>222</v>
      </c>
      <c r="L462" s="4">
        <v>3</v>
      </c>
      <c r="M462" s="4">
        <v>3</v>
      </c>
      <c r="N462" s="4" t="s">
        <v>3</v>
      </c>
      <c r="O462" s="4">
        <v>2</v>
      </c>
      <c r="P462" s="4"/>
      <c r="Q462" s="4"/>
      <c r="R462" s="4"/>
      <c r="S462" s="4"/>
      <c r="T462" s="4"/>
      <c r="U462" s="4"/>
      <c r="V462" s="4"/>
      <c r="W462" s="4"/>
    </row>
    <row r="463" spans="1:206" x14ac:dyDescent="0.2">
      <c r="A463" s="4">
        <v>50</v>
      </c>
      <c r="B463" s="4">
        <v>0</v>
      </c>
      <c r="C463" s="4">
        <v>0</v>
      </c>
      <c r="D463" s="4">
        <v>1</v>
      </c>
      <c r="E463" s="4">
        <v>225</v>
      </c>
      <c r="F463" s="4">
        <f>ROUND(Source!AV458,O463)</f>
        <v>0</v>
      </c>
      <c r="G463" s="4" t="s">
        <v>95</v>
      </c>
      <c r="H463" s="4" t="s">
        <v>96</v>
      </c>
      <c r="I463" s="4"/>
      <c r="J463" s="4"/>
      <c r="K463" s="4">
        <v>225</v>
      </c>
      <c r="L463" s="4">
        <v>4</v>
      </c>
      <c r="M463" s="4">
        <v>3</v>
      </c>
      <c r="N463" s="4" t="s">
        <v>3</v>
      </c>
      <c r="O463" s="4">
        <v>2</v>
      </c>
      <c r="P463" s="4"/>
      <c r="Q463" s="4"/>
      <c r="R463" s="4"/>
      <c r="S463" s="4"/>
      <c r="T463" s="4"/>
      <c r="U463" s="4"/>
      <c r="V463" s="4"/>
      <c r="W463" s="4"/>
    </row>
    <row r="464" spans="1:206" x14ac:dyDescent="0.2">
      <c r="A464" s="4">
        <v>50</v>
      </c>
      <c r="B464" s="4">
        <v>0</v>
      </c>
      <c r="C464" s="4">
        <v>0</v>
      </c>
      <c r="D464" s="4">
        <v>1</v>
      </c>
      <c r="E464" s="4">
        <v>226</v>
      </c>
      <c r="F464" s="4">
        <f>ROUND(Source!AW458,O464)</f>
        <v>0</v>
      </c>
      <c r="G464" s="4" t="s">
        <v>97</v>
      </c>
      <c r="H464" s="4" t="s">
        <v>98</v>
      </c>
      <c r="I464" s="4"/>
      <c r="J464" s="4"/>
      <c r="K464" s="4">
        <v>226</v>
      </c>
      <c r="L464" s="4">
        <v>5</v>
      </c>
      <c r="M464" s="4">
        <v>3</v>
      </c>
      <c r="N464" s="4" t="s">
        <v>3</v>
      </c>
      <c r="O464" s="4">
        <v>2</v>
      </c>
      <c r="P464" s="4"/>
      <c r="Q464" s="4"/>
      <c r="R464" s="4"/>
      <c r="S464" s="4"/>
      <c r="T464" s="4"/>
      <c r="U464" s="4"/>
      <c r="V464" s="4"/>
      <c r="W464" s="4"/>
    </row>
    <row r="465" spans="1:23" x14ac:dyDescent="0.2">
      <c r="A465" s="4">
        <v>50</v>
      </c>
      <c r="B465" s="4">
        <v>0</v>
      </c>
      <c r="C465" s="4">
        <v>0</v>
      </c>
      <c r="D465" s="4">
        <v>1</v>
      </c>
      <c r="E465" s="4">
        <v>227</v>
      </c>
      <c r="F465" s="4">
        <f>ROUND(Source!AX458,O465)</f>
        <v>0</v>
      </c>
      <c r="G465" s="4" t="s">
        <v>99</v>
      </c>
      <c r="H465" s="4" t="s">
        <v>100</v>
      </c>
      <c r="I465" s="4"/>
      <c r="J465" s="4"/>
      <c r="K465" s="4">
        <v>227</v>
      </c>
      <c r="L465" s="4">
        <v>6</v>
      </c>
      <c r="M465" s="4">
        <v>3</v>
      </c>
      <c r="N465" s="4" t="s">
        <v>3</v>
      </c>
      <c r="O465" s="4">
        <v>2</v>
      </c>
      <c r="P465" s="4"/>
      <c r="Q465" s="4"/>
      <c r="R465" s="4"/>
      <c r="S465" s="4"/>
      <c r="T465" s="4"/>
      <c r="U465" s="4"/>
      <c r="V465" s="4"/>
      <c r="W465" s="4"/>
    </row>
    <row r="466" spans="1:23" x14ac:dyDescent="0.2">
      <c r="A466" s="4">
        <v>50</v>
      </c>
      <c r="B466" s="4">
        <v>0</v>
      </c>
      <c r="C466" s="4">
        <v>0</v>
      </c>
      <c r="D466" s="4">
        <v>1</v>
      </c>
      <c r="E466" s="4">
        <v>228</v>
      </c>
      <c r="F466" s="4">
        <f>ROUND(Source!AY458,O466)</f>
        <v>0</v>
      </c>
      <c r="G466" s="4" t="s">
        <v>101</v>
      </c>
      <c r="H466" s="4" t="s">
        <v>102</v>
      </c>
      <c r="I466" s="4"/>
      <c r="J466" s="4"/>
      <c r="K466" s="4">
        <v>228</v>
      </c>
      <c r="L466" s="4">
        <v>7</v>
      </c>
      <c r="M466" s="4">
        <v>3</v>
      </c>
      <c r="N466" s="4" t="s">
        <v>3</v>
      </c>
      <c r="O466" s="4">
        <v>2</v>
      </c>
      <c r="P466" s="4"/>
      <c r="Q466" s="4"/>
      <c r="R466" s="4"/>
      <c r="S466" s="4"/>
      <c r="T466" s="4"/>
      <c r="U466" s="4"/>
      <c r="V466" s="4"/>
      <c r="W466" s="4"/>
    </row>
    <row r="467" spans="1:23" x14ac:dyDescent="0.2">
      <c r="A467" s="4">
        <v>50</v>
      </c>
      <c r="B467" s="4">
        <v>0</v>
      </c>
      <c r="C467" s="4">
        <v>0</v>
      </c>
      <c r="D467" s="4">
        <v>1</v>
      </c>
      <c r="E467" s="4">
        <v>216</v>
      </c>
      <c r="F467" s="4">
        <f>ROUND(Source!AP458,O467)</f>
        <v>0</v>
      </c>
      <c r="G467" s="4" t="s">
        <v>103</v>
      </c>
      <c r="H467" s="4" t="s">
        <v>104</v>
      </c>
      <c r="I467" s="4"/>
      <c r="J467" s="4"/>
      <c r="K467" s="4">
        <v>216</v>
      </c>
      <c r="L467" s="4">
        <v>8</v>
      </c>
      <c r="M467" s="4">
        <v>3</v>
      </c>
      <c r="N467" s="4" t="s">
        <v>3</v>
      </c>
      <c r="O467" s="4">
        <v>2</v>
      </c>
      <c r="P467" s="4"/>
      <c r="Q467" s="4"/>
      <c r="R467" s="4"/>
      <c r="S467" s="4"/>
      <c r="T467" s="4"/>
      <c r="U467" s="4"/>
      <c r="V467" s="4"/>
      <c r="W467" s="4"/>
    </row>
    <row r="468" spans="1:23" x14ac:dyDescent="0.2">
      <c r="A468" s="4">
        <v>50</v>
      </c>
      <c r="B468" s="4">
        <v>0</v>
      </c>
      <c r="C468" s="4">
        <v>0</v>
      </c>
      <c r="D468" s="4">
        <v>1</v>
      </c>
      <c r="E468" s="4">
        <v>223</v>
      </c>
      <c r="F468" s="4">
        <f>ROUND(Source!AQ458,O468)</f>
        <v>0</v>
      </c>
      <c r="G468" s="4" t="s">
        <v>105</v>
      </c>
      <c r="H468" s="4" t="s">
        <v>106</v>
      </c>
      <c r="I468" s="4"/>
      <c r="J468" s="4"/>
      <c r="K468" s="4">
        <v>223</v>
      </c>
      <c r="L468" s="4">
        <v>9</v>
      </c>
      <c r="M468" s="4">
        <v>3</v>
      </c>
      <c r="N468" s="4" t="s">
        <v>3</v>
      </c>
      <c r="O468" s="4">
        <v>2</v>
      </c>
      <c r="P468" s="4"/>
      <c r="Q468" s="4"/>
      <c r="R468" s="4"/>
      <c r="S468" s="4"/>
      <c r="T468" s="4"/>
      <c r="U468" s="4"/>
      <c r="V468" s="4"/>
      <c r="W468" s="4"/>
    </row>
    <row r="469" spans="1:23" x14ac:dyDescent="0.2">
      <c r="A469" s="4">
        <v>50</v>
      </c>
      <c r="B469" s="4">
        <v>0</v>
      </c>
      <c r="C469" s="4">
        <v>0</v>
      </c>
      <c r="D469" s="4">
        <v>1</v>
      </c>
      <c r="E469" s="4">
        <v>229</v>
      </c>
      <c r="F469" s="4">
        <f>ROUND(Source!AZ458,O469)</f>
        <v>0</v>
      </c>
      <c r="G469" s="4" t="s">
        <v>107</v>
      </c>
      <c r="H469" s="4" t="s">
        <v>108</v>
      </c>
      <c r="I469" s="4"/>
      <c r="J469" s="4"/>
      <c r="K469" s="4">
        <v>229</v>
      </c>
      <c r="L469" s="4">
        <v>10</v>
      </c>
      <c r="M469" s="4">
        <v>3</v>
      </c>
      <c r="N469" s="4" t="s">
        <v>3</v>
      </c>
      <c r="O469" s="4">
        <v>2</v>
      </c>
      <c r="P469" s="4"/>
      <c r="Q469" s="4"/>
      <c r="R469" s="4"/>
      <c r="S469" s="4"/>
      <c r="T469" s="4"/>
      <c r="U469" s="4"/>
      <c r="V469" s="4"/>
      <c r="W469" s="4"/>
    </row>
    <row r="470" spans="1:23" x14ac:dyDescent="0.2">
      <c r="A470" s="4">
        <v>50</v>
      </c>
      <c r="B470" s="4">
        <v>0</v>
      </c>
      <c r="C470" s="4">
        <v>0</v>
      </c>
      <c r="D470" s="4">
        <v>1</v>
      </c>
      <c r="E470" s="4">
        <v>203</v>
      </c>
      <c r="F470" s="4">
        <f>ROUND(Source!Q458,O470)</f>
        <v>0</v>
      </c>
      <c r="G470" s="4" t="s">
        <v>109</v>
      </c>
      <c r="H470" s="4" t="s">
        <v>110</v>
      </c>
      <c r="I470" s="4"/>
      <c r="J470" s="4"/>
      <c r="K470" s="4">
        <v>203</v>
      </c>
      <c r="L470" s="4">
        <v>11</v>
      </c>
      <c r="M470" s="4">
        <v>3</v>
      </c>
      <c r="N470" s="4" t="s">
        <v>3</v>
      </c>
      <c r="O470" s="4">
        <v>2</v>
      </c>
      <c r="P470" s="4"/>
      <c r="Q470" s="4"/>
      <c r="R470" s="4"/>
      <c r="S470" s="4"/>
      <c r="T470" s="4"/>
      <c r="U470" s="4"/>
      <c r="V470" s="4"/>
      <c r="W470" s="4"/>
    </row>
    <row r="471" spans="1:23" x14ac:dyDescent="0.2">
      <c r="A471" s="4">
        <v>50</v>
      </c>
      <c r="B471" s="4">
        <v>0</v>
      </c>
      <c r="C471" s="4">
        <v>0</v>
      </c>
      <c r="D471" s="4">
        <v>1</v>
      </c>
      <c r="E471" s="4">
        <v>231</v>
      </c>
      <c r="F471" s="4">
        <f>ROUND(Source!BB458,O471)</f>
        <v>0</v>
      </c>
      <c r="G471" s="4" t="s">
        <v>111</v>
      </c>
      <c r="H471" s="4" t="s">
        <v>112</v>
      </c>
      <c r="I471" s="4"/>
      <c r="J471" s="4"/>
      <c r="K471" s="4">
        <v>231</v>
      </c>
      <c r="L471" s="4">
        <v>12</v>
      </c>
      <c r="M471" s="4">
        <v>3</v>
      </c>
      <c r="N471" s="4" t="s">
        <v>3</v>
      </c>
      <c r="O471" s="4">
        <v>2</v>
      </c>
      <c r="P471" s="4"/>
      <c r="Q471" s="4"/>
      <c r="R471" s="4"/>
      <c r="S471" s="4"/>
      <c r="T471" s="4"/>
      <c r="U471" s="4"/>
      <c r="V471" s="4"/>
      <c r="W471" s="4"/>
    </row>
    <row r="472" spans="1:23" x14ac:dyDescent="0.2">
      <c r="A472" s="4">
        <v>50</v>
      </c>
      <c r="B472" s="4">
        <v>0</v>
      </c>
      <c r="C472" s="4">
        <v>0</v>
      </c>
      <c r="D472" s="4">
        <v>1</v>
      </c>
      <c r="E472" s="4">
        <v>204</v>
      </c>
      <c r="F472" s="4">
        <f>ROUND(Source!R458,O472)</f>
        <v>0</v>
      </c>
      <c r="G472" s="4" t="s">
        <v>113</v>
      </c>
      <c r="H472" s="4" t="s">
        <v>114</v>
      </c>
      <c r="I472" s="4"/>
      <c r="J472" s="4"/>
      <c r="K472" s="4">
        <v>204</v>
      </c>
      <c r="L472" s="4">
        <v>13</v>
      </c>
      <c r="M472" s="4">
        <v>3</v>
      </c>
      <c r="N472" s="4" t="s">
        <v>3</v>
      </c>
      <c r="O472" s="4">
        <v>2</v>
      </c>
      <c r="P472" s="4"/>
      <c r="Q472" s="4"/>
      <c r="R472" s="4"/>
      <c r="S472" s="4"/>
      <c r="T472" s="4"/>
      <c r="U472" s="4"/>
      <c r="V472" s="4"/>
      <c r="W472" s="4"/>
    </row>
    <row r="473" spans="1:23" x14ac:dyDescent="0.2">
      <c r="A473" s="4">
        <v>50</v>
      </c>
      <c r="B473" s="4">
        <v>0</v>
      </c>
      <c r="C473" s="4">
        <v>0</v>
      </c>
      <c r="D473" s="4">
        <v>1</v>
      </c>
      <c r="E473" s="4">
        <v>205</v>
      </c>
      <c r="F473" s="4">
        <f>ROUND(Source!S458,O473)</f>
        <v>0</v>
      </c>
      <c r="G473" s="4" t="s">
        <v>115</v>
      </c>
      <c r="H473" s="4" t="s">
        <v>116</v>
      </c>
      <c r="I473" s="4"/>
      <c r="J473" s="4"/>
      <c r="K473" s="4">
        <v>205</v>
      </c>
      <c r="L473" s="4">
        <v>14</v>
      </c>
      <c r="M473" s="4">
        <v>3</v>
      </c>
      <c r="N473" s="4" t="s">
        <v>3</v>
      </c>
      <c r="O473" s="4">
        <v>2</v>
      </c>
      <c r="P473" s="4"/>
      <c r="Q473" s="4"/>
      <c r="R473" s="4"/>
      <c r="S473" s="4"/>
      <c r="T473" s="4"/>
      <c r="U473" s="4"/>
      <c r="V473" s="4"/>
      <c r="W473" s="4"/>
    </row>
    <row r="474" spans="1:23" x14ac:dyDescent="0.2">
      <c r="A474" s="4">
        <v>50</v>
      </c>
      <c r="B474" s="4">
        <v>0</v>
      </c>
      <c r="C474" s="4">
        <v>0</v>
      </c>
      <c r="D474" s="4">
        <v>1</v>
      </c>
      <c r="E474" s="4">
        <v>232</v>
      </c>
      <c r="F474" s="4">
        <f>ROUND(Source!BC458,O474)</f>
        <v>0</v>
      </c>
      <c r="G474" s="4" t="s">
        <v>117</v>
      </c>
      <c r="H474" s="4" t="s">
        <v>118</v>
      </c>
      <c r="I474" s="4"/>
      <c r="J474" s="4"/>
      <c r="K474" s="4">
        <v>232</v>
      </c>
      <c r="L474" s="4">
        <v>15</v>
      </c>
      <c r="M474" s="4">
        <v>3</v>
      </c>
      <c r="N474" s="4" t="s">
        <v>3</v>
      </c>
      <c r="O474" s="4">
        <v>2</v>
      </c>
      <c r="P474" s="4"/>
      <c r="Q474" s="4"/>
      <c r="R474" s="4"/>
      <c r="S474" s="4"/>
      <c r="T474" s="4"/>
      <c r="U474" s="4"/>
      <c r="V474" s="4"/>
      <c r="W474" s="4"/>
    </row>
    <row r="475" spans="1:23" x14ac:dyDescent="0.2">
      <c r="A475" s="4">
        <v>50</v>
      </c>
      <c r="B475" s="4">
        <v>0</v>
      </c>
      <c r="C475" s="4">
        <v>0</v>
      </c>
      <c r="D475" s="4">
        <v>1</v>
      </c>
      <c r="E475" s="4">
        <v>214</v>
      </c>
      <c r="F475" s="4">
        <f>ROUND(Source!AS458,O475)</f>
        <v>0</v>
      </c>
      <c r="G475" s="4" t="s">
        <v>119</v>
      </c>
      <c r="H475" s="4" t="s">
        <v>120</v>
      </c>
      <c r="I475" s="4"/>
      <c r="J475" s="4"/>
      <c r="K475" s="4">
        <v>214</v>
      </c>
      <c r="L475" s="4">
        <v>16</v>
      </c>
      <c r="M475" s="4">
        <v>3</v>
      </c>
      <c r="N475" s="4" t="s">
        <v>3</v>
      </c>
      <c r="O475" s="4">
        <v>2</v>
      </c>
      <c r="P475" s="4"/>
      <c r="Q475" s="4"/>
      <c r="R475" s="4"/>
      <c r="S475" s="4"/>
      <c r="T475" s="4"/>
      <c r="U475" s="4"/>
      <c r="V475" s="4"/>
      <c r="W475" s="4"/>
    </row>
    <row r="476" spans="1:23" x14ac:dyDescent="0.2">
      <c r="A476" s="4">
        <v>50</v>
      </c>
      <c r="B476" s="4">
        <v>0</v>
      </c>
      <c r="C476" s="4">
        <v>0</v>
      </c>
      <c r="D476" s="4">
        <v>1</v>
      </c>
      <c r="E476" s="4">
        <v>215</v>
      </c>
      <c r="F476" s="4">
        <f>ROUND(Source!AT458,O476)</f>
        <v>0</v>
      </c>
      <c r="G476" s="4" t="s">
        <v>121</v>
      </c>
      <c r="H476" s="4" t="s">
        <v>122</v>
      </c>
      <c r="I476" s="4"/>
      <c r="J476" s="4"/>
      <c r="K476" s="4">
        <v>215</v>
      </c>
      <c r="L476" s="4">
        <v>17</v>
      </c>
      <c r="M476" s="4">
        <v>3</v>
      </c>
      <c r="N476" s="4" t="s">
        <v>3</v>
      </c>
      <c r="O476" s="4">
        <v>2</v>
      </c>
      <c r="P476" s="4"/>
      <c r="Q476" s="4"/>
      <c r="R476" s="4"/>
      <c r="S476" s="4"/>
      <c r="T476" s="4"/>
      <c r="U476" s="4"/>
      <c r="V476" s="4"/>
      <c r="W476" s="4"/>
    </row>
    <row r="477" spans="1:23" x14ac:dyDescent="0.2">
      <c r="A477" s="4">
        <v>50</v>
      </c>
      <c r="B477" s="4">
        <v>0</v>
      </c>
      <c r="C477" s="4">
        <v>0</v>
      </c>
      <c r="D477" s="4">
        <v>1</v>
      </c>
      <c r="E477" s="4">
        <v>217</v>
      </c>
      <c r="F477" s="4">
        <f>ROUND(Source!AU458,O477)</f>
        <v>0</v>
      </c>
      <c r="G477" s="4" t="s">
        <v>123</v>
      </c>
      <c r="H477" s="4" t="s">
        <v>124</v>
      </c>
      <c r="I477" s="4"/>
      <c r="J477" s="4"/>
      <c r="K477" s="4">
        <v>217</v>
      </c>
      <c r="L477" s="4">
        <v>18</v>
      </c>
      <c r="M477" s="4">
        <v>3</v>
      </c>
      <c r="N477" s="4" t="s">
        <v>3</v>
      </c>
      <c r="O477" s="4">
        <v>2</v>
      </c>
      <c r="P477" s="4"/>
      <c r="Q477" s="4"/>
      <c r="R477" s="4"/>
      <c r="S477" s="4"/>
      <c r="T477" s="4"/>
      <c r="U477" s="4"/>
      <c r="V477" s="4"/>
      <c r="W477" s="4"/>
    </row>
    <row r="478" spans="1:23" x14ac:dyDescent="0.2">
      <c r="A478" s="4">
        <v>50</v>
      </c>
      <c r="B478" s="4">
        <v>0</v>
      </c>
      <c r="C478" s="4">
        <v>0</v>
      </c>
      <c r="D478" s="4">
        <v>1</v>
      </c>
      <c r="E478" s="4">
        <v>230</v>
      </c>
      <c r="F478" s="4">
        <f>ROUND(Source!BA458,O478)</f>
        <v>0</v>
      </c>
      <c r="G478" s="4" t="s">
        <v>125</v>
      </c>
      <c r="H478" s="4" t="s">
        <v>126</v>
      </c>
      <c r="I478" s="4"/>
      <c r="J478" s="4"/>
      <c r="K478" s="4">
        <v>230</v>
      </c>
      <c r="L478" s="4">
        <v>19</v>
      </c>
      <c r="M478" s="4">
        <v>3</v>
      </c>
      <c r="N478" s="4" t="s">
        <v>3</v>
      </c>
      <c r="O478" s="4">
        <v>2</v>
      </c>
      <c r="P478" s="4"/>
      <c r="Q478" s="4"/>
      <c r="R478" s="4"/>
      <c r="S478" s="4"/>
      <c r="T478" s="4"/>
      <c r="U478" s="4"/>
      <c r="V478" s="4"/>
      <c r="W478" s="4"/>
    </row>
    <row r="479" spans="1:23" x14ac:dyDescent="0.2">
      <c r="A479" s="4">
        <v>50</v>
      </c>
      <c r="B479" s="4">
        <v>0</v>
      </c>
      <c r="C479" s="4">
        <v>0</v>
      </c>
      <c r="D479" s="4">
        <v>1</v>
      </c>
      <c r="E479" s="4">
        <v>206</v>
      </c>
      <c r="F479" s="4">
        <f>ROUND(Source!T458,O479)</f>
        <v>0</v>
      </c>
      <c r="G479" s="4" t="s">
        <v>127</v>
      </c>
      <c r="H479" s="4" t="s">
        <v>128</v>
      </c>
      <c r="I479" s="4"/>
      <c r="J479" s="4"/>
      <c r="K479" s="4">
        <v>206</v>
      </c>
      <c r="L479" s="4">
        <v>20</v>
      </c>
      <c r="M479" s="4">
        <v>3</v>
      </c>
      <c r="N479" s="4" t="s">
        <v>3</v>
      </c>
      <c r="O479" s="4">
        <v>2</v>
      </c>
      <c r="P479" s="4"/>
      <c r="Q479" s="4"/>
      <c r="R479" s="4"/>
      <c r="S479" s="4"/>
      <c r="T479" s="4"/>
      <c r="U479" s="4"/>
      <c r="V479" s="4"/>
      <c r="W479" s="4"/>
    </row>
    <row r="480" spans="1:23" x14ac:dyDescent="0.2">
      <c r="A480" s="4">
        <v>50</v>
      </c>
      <c r="B480" s="4">
        <v>0</v>
      </c>
      <c r="C480" s="4">
        <v>0</v>
      </c>
      <c r="D480" s="4">
        <v>1</v>
      </c>
      <c r="E480" s="4">
        <v>207</v>
      </c>
      <c r="F480" s="4">
        <f>Source!U458</f>
        <v>0</v>
      </c>
      <c r="G480" s="4" t="s">
        <v>129</v>
      </c>
      <c r="H480" s="4" t="s">
        <v>130</v>
      </c>
      <c r="I480" s="4"/>
      <c r="J480" s="4"/>
      <c r="K480" s="4">
        <v>207</v>
      </c>
      <c r="L480" s="4">
        <v>21</v>
      </c>
      <c r="M480" s="4">
        <v>3</v>
      </c>
      <c r="N480" s="4" t="s">
        <v>3</v>
      </c>
      <c r="O480" s="4">
        <v>-1</v>
      </c>
      <c r="P480" s="4"/>
      <c r="Q480" s="4"/>
      <c r="R480" s="4"/>
      <c r="S480" s="4"/>
      <c r="T480" s="4"/>
      <c r="U480" s="4"/>
      <c r="V480" s="4"/>
      <c r="W480" s="4"/>
    </row>
    <row r="481" spans="1:245" x14ac:dyDescent="0.2">
      <c r="A481" s="4">
        <v>50</v>
      </c>
      <c r="B481" s="4">
        <v>0</v>
      </c>
      <c r="C481" s="4">
        <v>0</v>
      </c>
      <c r="D481" s="4">
        <v>1</v>
      </c>
      <c r="E481" s="4">
        <v>208</v>
      </c>
      <c r="F481" s="4">
        <f>Source!V458</f>
        <v>0</v>
      </c>
      <c r="G481" s="4" t="s">
        <v>131</v>
      </c>
      <c r="H481" s="4" t="s">
        <v>132</v>
      </c>
      <c r="I481" s="4"/>
      <c r="J481" s="4"/>
      <c r="K481" s="4">
        <v>208</v>
      </c>
      <c r="L481" s="4">
        <v>22</v>
      </c>
      <c r="M481" s="4">
        <v>3</v>
      </c>
      <c r="N481" s="4" t="s">
        <v>3</v>
      </c>
      <c r="O481" s="4">
        <v>-1</v>
      </c>
      <c r="P481" s="4"/>
      <c r="Q481" s="4"/>
      <c r="R481" s="4"/>
      <c r="S481" s="4"/>
      <c r="T481" s="4"/>
      <c r="U481" s="4"/>
      <c r="V481" s="4"/>
      <c r="W481" s="4"/>
    </row>
    <row r="482" spans="1:245" x14ac:dyDescent="0.2">
      <c r="A482" s="4">
        <v>50</v>
      </c>
      <c r="B482" s="4">
        <v>0</v>
      </c>
      <c r="C482" s="4">
        <v>0</v>
      </c>
      <c r="D482" s="4">
        <v>1</v>
      </c>
      <c r="E482" s="4">
        <v>209</v>
      </c>
      <c r="F482" s="4">
        <f>ROUND(Source!W458,O482)</f>
        <v>0</v>
      </c>
      <c r="G482" s="4" t="s">
        <v>133</v>
      </c>
      <c r="H482" s="4" t="s">
        <v>134</v>
      </c>
      <c r="I482" s="4"/>
      <c r="J482" s="4"/>
      <c r="K482" s="4">
        <v>209</v>
      </c>
      <c r="L482" s="4">
        <v>23</v>
      </c>
      <c r="M482" s="4">
        <v>3</v>
      </c>
      <c r="N482" s="4" t="s">
        <v>3</v>
      </c>
      <c r="O482" s="4">
        <v>2</v>
      </c>
      <c r="P482" s="4"/>
      <c r="Q482" s="4"/>
      <c r="R482" s="4"/>
      <c r="S482" s="4"/>
      <c r="T482" s="4"/>
      <c r="U482" s="4"/>
      <c r="V482" s="4"/>
      <c r="W482" s="4"/>
    </row>
    <row r="483" spans="1:245" x14ac:dyDescent="0.2">
      <c r="A483" s="4">
        <v>50</v>
      </c>
      <c r="B483" s="4">
        <v>0</v>
      </c>
      <c r="C483" s="4">
        <v>0</v>
      </c>
      <c r="D483" s="4">
        <v>1</v>
      </c>
      <c r="E483" s="4">
        <v>233</v>
      </c>
      <c r="F483" s="4">
        <f>ROUND(Source!BD458,O483)</f>
        <v>0</v>
      </c>
      <c r="G483" s="4" t="s">
        <v>135</v>
      </c>
      <c r="H483" s="4" t="s">
        <v>136</v>
      </c>
      <c r="I483" s="4"/>
      <c r="J483" s="4"/>
      <c r="K483" s="4">
        <v>233</v>
      </c>
      <c r="L483" s="4">
        <v>24</v>
      </c>
      <c r="M483" s="4">
        <v>3</v>
      </c>
      <c r="N483" s="4" t="s">
        <v>3</v>
      </c>
      <c r="O483" s="4">
        <v>2</v>
      </c>
      <c r="P483" s="4"/>
      <c r="Q483" s="4"/>
      <c r="R483" s="4"/>
      <c r="S483" s="4"/>
      <c r="T483" s="4"/>
      <c r="U483" s="4"/>
      <c r="V483" s="4"/>
      <c r="W483" s="4"/>
    </row>
    <row r="484" spans="1:245" x14ac:dyDescent="0.2">
      <c r="A484" s="4">
        <v>50</v>
      </c>
      <c r="B484" s="4">
        <v>0</v>
      </c>
      <c r="C484" s="4">
        <v>0</v>
      </c>
      <c r="D484" s="4">
        <v>1</v>
      </c>
      <c r="E484" s="4">
        <v>210</v>
      </c>
      <c r="F484" s="4">
        <f>ROUND(Source!X458,O484)</f>
        <v>0</v>
      </c>
      <c r="G484" s="4" t="s">
        <v>137</v>
      </c>
      <c r="H484" s="4" t="s">
        <v>138</v>
      </c>
      <c r="I484" s="4"/>
      <c r="J484" s="4"/>
      <c r="K484" s="4">
        <v>210</v>
      </c>
      <c r="L484" s="4">
        <v>25</v>
      </c>
      <c r="M484" s="4">
        <v>3</v>
      </c>
      <c r="N484" s="4" t="s">
        <v>3</v>
      </c>
      <c r="O484" s="4">
        <v>2</v>
      </c>
      <c r="P484" s="4"/>
      <c r="Q484" s="4"/>
      <c r="R484" s="4"/>
      <c r="S484" s="4"/>
      <c r="T484" s="4"/>
      <c r="U484" s="4"/>
      <c r="V484" s="4"/>
      <c r="W484" s="4"/>
    </row>
    <row r="485" spans="1:245" x14ac:dyDescent="0.2">
      <c r="A485" s="4">
        <v>50</v>
      </c>
      <c r="B485" s="4">
        <v>0</v>
      </c>
      <c r="C485" s="4">
        <v>0</v>
      </c>
      <c r="D485" s="4">
        <v>1</v>
      </c>
      <c r="E485" s="4">
        <v>211</v>
      </c>
      <c r="F485" s="4">
        <f>ROUND(Source!Y458,O485)</f>
        <v>0</v>
      </c>
      <c r="G485" s="4" t="s">
        <v>139</v>
      </c>
      <c r="H485" s="4" t="s">
        <v>140</v>
      </c>
      <c r="I485" s="4"/>
      <c r="J485" s="4"/>
      <c r="K485" s="4">
        <v>211</v>
      </c>
      <c r="L485" s="4">
        <v>26</v>
      </c>
      <c r="M485" s="4">
        <v>3</v>
      </c>
      <c r="N485" s="4" t="s">
        <v>3</v>
      </c>
      <c r="O485" s="4">
        <v>2</v>
      </c>
      <c r="P485" s="4"/>
      <c r="Q485" s="4"/>
      <c r="R485" s="4"/>
      <c r="S485" s="4"/>
      <c r="T485" s="4"/>
      <c r="U485" s="4"/>
      <c r="V485" s="4"/>
      <c r="W485" s="4"/>
    </row>
    <row r="486" spans="1:245" x14ac:dyDescent="0.2">
      <c r="A486" s="4">
        <v>50</v>
      </c>
      <c r="B486" s="4">
        <v>0</v>
      </c>
      <c r="C486" s="4">
        <v>0</v>
      </c>
      <c r="D486" s="4">
        <v>1</v>
      </c>
      <c r="E486" s="4">
        <v>224</v>
      </c>
      <c r="F486" s="4">
        <f>ROUND(Source!AR458,O486)</f>
        <v>0</v>
      </c>
      <c r="G486" s="4" t="s">
        <v>141</v>
      </c>
      <c r="H486" s="4" t="s">
        <v>142</v>
      </c>
      <c r="I486" s="4"/>
      <c r="J486" s="4"/>
      <c r="K486" s="4">
        <v>224</v>
      </c>
      <c r="L486" s="4">
        <v>27</v>
      </c>
      <c r="M486" s="4">
        <v>3</v>
      </c>
      <c r="N486" s="4" t="s">
        <v>3</v>
      </c>
      <c r="O486" s="4">
        <v>2</v>
      </c>
      <c r="P486" s="4"/>
      <c r="Q486" s="4"/>
      <c r="R486" s="4"/>
      <c r="S486" s="4"/>
      <c r="T486" s="4"/>
      <c r="U486" s="4"/>
      <c r="V486" s="4"/>
      <c r="W486" s="4"/>
    </row>
    <row r="488" spans="1:245" x14ac:dyDescent="0.2">
      <c r="A488" s="1">
        <v>4</v>
      </c>
      <c r="B488" s="1">
        <v>1</v>
      </c>
      <c r="C488" s="1"/>
      <c r="D488" s="1">
        <f>ROW(A503)</f>
        <v>503</v>
      </c>
      <c r="E488" s="1"/>
      <c r="F488" s="1" t="s">
        <v>13</v>
      </c>
      <c r="G488" s="1" t="s">
        <v>332</v>
      </c>
      <c r="H488" s="1" t="s">
        <v>3</v>
      </c>
      <c r="I488" s="1">
        <v>0</v>
      </c>
      <c r="J488" s="1"/>
      <c r="K488" s="1">
        <v>0</v>
      </c>
      <c r="L488" s="1"/>
      <c r="M488" s="1"/>
      <c r="N488" s="1"/>
      <c r="O488" s="1"/>
      <c r="P488" s="1"/>
      <c r="Q488" s="1"/>
      <c r="R488" s="1"/>
      <c r="S488" s="1"/>
      <c r="T488" s="1"/>
      <c r="U488" s="1" t="s">
        <v>3</v>
      </c>
      <c r="V488" s="1">
        <v>0</v>
      </c>
      <c r="W488" s="1"/>
      <c r="X488" s="1"/>
      <c r="Y488" s="1"/>
      <c r="Z488" s="1"/>
      <c r="AA488" s="1"/>
      <c r="AB488" s="1" t="s">
        <v>3</v>
      </c>
      <c r="AC488" s="1" t="s">
        <v>3</v>
      </c>
      <c r="AD488" s="1" t="s">
        <v>3</v>
      </c>
      <c r="AE488" s="1" t="s">
        <v>3</v>
      </c>
      <c r="AF488" s="1" t="s">
        <v>3</v>
      </c>
      <c r="AG488" s="1" t="s">
        <v>3</v>
      </c>
      <c r="AH488" s="1"/>
      <c r="AI488" s="1"/>
      <c r="AJ488" s="1"/>
      <c r="AK488" s="1"/>
      <c r="AL488" s="1"/>
      <c r="AM488" s="1"/>
      <c r="AN488" s="1"/>
      <c r="AO488" s="1"/>
      <c r="AP488" s="1" t="s">
        <v>3</v>
      </c>
      <c r="AQ488" s="1" t="s">
        <v>3</v>
      </c>
      <c r="AR488" s="1" t="s">
        <v>3</v>
      </c>
      <c r="AS488" s="1"/>
      <c r="AT488" s="1"/>
      <c r="AU488" s="1"/>
      <c r="AV488" s="1"/>
      <c r="AW488" s="1"/>
      <c r="AX488" s="1"/>
      <c r="AY488" s="1"/>
      <c r="AZ488" s="1" t="s">
        <v>3</v>
      </c>
      <c r="BA488" s="1"/>
      <c r="BB488" s="1" t="s">
        <v>3</v>
      </c>
      <c r="BC488" s="1" t="s">
        <v>3</v>
      </c>
      <c r="BD488" s="1" t="s">
        <v>3</v>
      </c>
      <c r="BE488" s="1" t="s">
        <v>3</v>
      </c>
      <c r="BF488" s="1" t="s">
        <v>3</v>
      </c>
      <c r="BG488" s="1" t="s">
        <v>3</v>
      </c>
      <c r="BH488" s="1" t="s">
        <v>3</v>
      </c>
      <c r="BI488" s="1" t="s">
        <v>3</v>
      </c>
      <c r="BJ488" s="1" t="s">
        <v>3</v>
      </c>
      <c r="BK488" s="1" t="s">
        <v>3</v>
      </c>
      <c r="BL488" s="1" t="s">
        <v>3</v>
      </c>
      <c r="BM488" s="1" t="s">
        <v>3</v>
      </c>
      <c r="BN488" s="1" t="s">
        <v>3</v>
      </c>
      <c r="BO488" s="1" t="s">
        <v>3</v>
      </c>
      <c r="BP488" s="1" t="s">
        <v>3</v>
      </c>
      <c r="BQ488" s="1"/>
      <c r="BR488" s="1"/>
      <c r="BS488" s="1"/>
      <c r="BT488" s="1"/>
      <c r="BU488" s="1"/>
      <c r="BV488" s="1"/>
      <c r="BW488" s="1"/>
      <c r="BX488" s="1">
        <v>0</v>
      </c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>
        <v>0</v>
      </c>
    </row>
    <row r="490" spans="1:245" x14ac:dyDescent="0.2">
      <c r="A490" s="2">
        <v>52</v>
      </c>
      <c r="B490" s="2">
        <f t="shared" ref="B490:G490" si="389">B503</f>
        <v>1</v>
      </c>
      <c r="C490" s="2">
        <f t="shared" si="389"/>
        <v>4</v>
      </c>
      <c r="D490" s="2">
        <f t="shared" si="389"/>
        <v>488</v>
      </c>
      <c r="E490" s="2">
        <f t="shared" si="389"/>
        <v>0</v>
      </c>
      <c r="F490" s="2" t="str">
        <f t="shared" si="389"/>
        <v>Новый раздел</v>
      </c>
      <c r="G490" s="2" t="str">
        <f t="shared" si="389"/>
        <v>22.1 Посадка деревьев с комом 0,8х0,6 м, высотой от 3 м</v>
      </c>
      <c r="H490" s="2"/>
      <c r="I490" s="2"/>
      <c r="J490" s="2"/>
      <c r="K490" s="2"/>
      <c r="L490" s="2"/>
      <c r="M490" s="2"/>
      <c r="N490" s="2"/>
      <c r="O490" s="2">
        <f t="shared" ref="O490:AT490" si="390">O503</f>
        <v>1174053.8600000001</v>
      </c>
      <c r="P490" s="2">
        <f t="shared" si="390"/>
        <v>933663.02</v>
      </c>
      <c r="Q490" s="2">
        <f t="shared" si="390"/>
        <v>41668.89</v>
      </c>
      <c r="R490" s="2">
        <f t="shared" si="390"/>
        <v>16414.740000000002</v>
      </c>
      <c r="S490" s="2">
        <f t="shared" si="390"/>
        <v>198721.95</v>
      </c>
      <c r="T490" s="2">
        <f t="shared" si="390"/>
        <v>0</v>
      </c>
      <c r="U490" s="2">
        <f t="shared" si="390"/>
        <v>747.74956071999998</v>
      </c>
      <c r="V490" s="2">
        <f t="shared" si="390"/>
        <v>0</v>
      </c>
      <c r="W490" s="2">
        <f t="shared" si="390"/>
        <v>0</v>
      </c>
      <c r="X490" s="2">
        <f t="shared" si="390"/>
        <v>202202.76</v>
      </c>
      <c r="Y490" s="2">
        <f t="shared" si="390"/>
        <v>93310.25</v>
      </c>
      <c r="Z490" s="2">
        <f t="shared" si="390"/>
        <v>0</v>
      </c>
      <c r="AA490" s="2">
        <f t="shared" si="390"/>
        <v>0</v>
      </c>
      <c r="AB490" s="2">
        <f t="shared" si="390"/>
        <v>1174053.8600000001</v>
      </c>
      <c r="AC490" s="2">
        <f t="shared" si="390"/>
        <v>933663.02</v>
      </c>
      <c r="AD490" s="2">
        <f t="shared" si="390"/>
        <v>41668.89</v>
      </c>
      <c r="AE490" s="2">
        <f t="shared" si="390"/>
        <v>16414.740000000002</v>
      </c>
      <c r="AF490" s="2">
        <f t="shared" si="390"/>
        <v>198721.95</v>
      </c>
      <c r="AG490" s="2">
        <f t="shared" si="390"/>
        <v>0</v>
      </c>
      <c r="AH490" s="2">
        <f t="shared" si="390"/>
        <v>747.74956071999998</v>
      </c>
      <c r="AI490" s="2">
        <f t="shared" si="390"/>
        <v>0</v>
      </c>
      <c r="AJ490" s="2">
        <f t="shared" si="390"/>
        <v>0</v>
      </c>
      <c r="AK490" s="2">
        <f t="shared" si="390"/>
        <v>202202.76</v>
      </c>
      <c r="AL490" s="2">
        <f t="shared" si="390"/>
        <v>93310.25</v>
      </c>
      <c r="AM490" s="2">
        <f t="shared" si="390"/>
        <v>0</v>
      </c>
      <c r="AN490" s="2">
        <f t="shared" si="390"/>
        <v>0</v>
      </c>
      <c r="AO490" s="2">
        <f t="shared" si="390"/>
        <v>0</v>
      </c>
      <c r="AP490" s="2">
        <f t="shared" si="390"/>
        <v>0</v>
      </c>
      <c r="AQ490" s="2">
        <f t="shared" si="390"/>
        <v>0</v>
      </c>
      <c r="AR490" s="2">
        <f t="shared" si="390"/>
        <v>1495338.02</v>
      </c>
      <c r="AS490" s="2">
        <f t="shared" si="390"/>
        <v>1495338.02</v>
      </c>
      <c r="AT490" s="2">
        <f t="shared" si="390"/>
        <v>0</v>
      </c>
      <c r="AU490" s="2">
        <f t="shared" ref="AU490:BZ490" si="391">AU503</f>
        <v>0</v>
      </c>
      <c r="AV490" s="2">
        <f t="shared" si="391"/>
        <v>933663.02</v>
      </c>
      <c r="AW490" s="2">
        <f t="shared" si="391"/>
        <v>933663.02</v>
      </c>
      <c r="AX490" s="2">
        <f t="shared" si="391"/>
        <v>0</v>
      </c>
      <c r="AY490" s="2">
        <f t="shared" si="391"/>
        <v>933663.02</v>
      </c>
      <c r="AZ490" s="2">
        <f t="shared" si="391"/>
        <v>0</v>
      </c>
      <c r="BA490" s="2">
        <f t="shared" si="391"/>
        <v>0</v>
      </c>
      <c r="BB490" s="2">
        <f t="shared" si="391"/>
        <v>0</v>
      </c>
      <c r="BC490" s="2">
        <f t="shared" si="391"/>
        <v>0</v>
      </c>
      <c r="BD490" s="2">
        <f t="shared" si="391"/>
        <v>0</v>
      </c>
      <c r="BE490" s="2">
        <f t="shared" si="391"/>
        <v>0</v>
      </c>
      <c r="BF490" s="2">
        <f t="shared" si="391"/>
        <v>0</v>
      </c>
      <c r="BG490" s="2">
        <f t="shared" si="391"/>
        <v>0</v>
      </c>
      <c r="BH490" s="2">
        <f t="shared" si="391"/>
        <v>0</v>
      </c>
      <c r="BI490" s="2">
        <f t="shared" si="391"/>
        <v>0</v>
      </c>
      <c r="BJ490" s="2">
        <f t="shared" si="391"/>
        <v>0</v>
      </c>
      <c r="BK490" s="2">
        <f t="shared" si="391"/>
        <v>0</v>
      </c>
      <c r="BL490" s="2">
        <f t="shared" si="391"/>
        <v>0</v>
      </c>
      <c r="BM490" s="2">
        <f t="shared" si="391"/>
        <v>0</v>
      </c>
      <c r="BN490" s="2">
        <f t="shared" si="391"/>
        <v>0</v>
      </c>
      <c r="BO490" s="2">
        <f t="shared" si="391"/>
        <v>0</v>
      </c>
      <c r="BP490" s="2">
        <f t="shared" si="391"/>
        <v>0</v>
      </c>
      <c r="BQ490" s="2">
        <f t="shared" si="391"/>
        <v>0</v>
      </c>
      <c r="BR490" s="2">
        <f t="shared" si="391"/>
        <v>0</v>
      </c>
      <c r="BS490" s="2">
        <f t="shared" si="391"/>
        <v>0</v>
      </c>
      <c r="BT490" s="2">
        <f t="shared" si="391"/>
        <v>0</v>
      </c>
      <c r="BU490" s="2">
        <f t="shared" si="391"/>
        <v>0</v>
      </c>
      <c r="BV490" s="2">
        <f t="shared" si="391"/>
        <v>0</v>
      </c>
      <c r="BW490" s="2">
        <f t="shared" si="391"/>
        <v>0</v>
      </c>
      <c r="BX490" s="2">
        <f t="shared" si="391"/>
        <v>0</v>
      </c>
      <c r="BY490" s="2">
        <f t="shared" si="391"/>
        <v>0</v>
      </c>
      <c r="BZ490" s="2">
        <f t="shared" si="391"/>
        <v>0</v>
      </c>
      <c r="CA490" s="2">
        <f t="shared" ref="CA490:DF490" si="392">CA503</f>
        <v>1495338.02</v>
      </c>
      <c r="CB490" s="2">
        <f t="shared" si="392"/>
        <v>1495338.02</v>
      </c>
      <c r="CC490" s="2">
        <f t="shared" si="392"/>
        <v>0</v>
      </c>
      <c r="CD490" s="2">
        <f t="shared" si="392"/>
        <v>0</v>
      </c>
      <c r="CE490" s="2">
        <f t="shared" si="392"/>
        <v>933663.02</v>
      </c>
      <c r="CF490" s="2">
        <f t="shared" si="392"/>
        <v>933663.02</v>
      </c>
      <c r="CG490" s="2">
        <f t="shared" si="392"/>
        <v>0</v>
      </c>
      <c r="CH490" s="2">
        <f t="shared" si="392"/>
        <v>933663.02</v>
      </c>
      <c r="CI490" s="2">
        <f t="shared" si="392"/>
        <v>0</v>
      </c>
      <c r="CJ490" s="2">
        <f t="shared" si="392"/>
        <v>0</v>
      </c>
      <c r="CK490" s="2">
        <f t="shared" si="392"/>
        <v>0</v>
      </c>
      <c r="CL490" s="2">
        <f t="shared" si="392"/>
        <v>0</v>
      </c>
      <c r="CM490" s="2">
        <f t="shared" si="392"/>
        <v>0</v>
      </c>
      <c r="CN490" s="2">
        <f t="shared" si="392"/>
        <v>0</v>
      </c>
      <c r="CO490" s="2">
        <f t="shared" si="392"/>
        <v>0</v>
      </c>
      <c r="CP490" s="2">
        <f t="shared" si="392"/>
        <v>0</v>
      </c>
      <c r="CQ490" s="2">
        <f t="shared" si="392"/>
        <v>0</v>
      </c>
      <c r="CR490" s="2">
        <f t="shared" si="392"/>
        <v>0</v>
      </c>
      <c r="CS490" s="2">
        <f t="shared" si="392"/>
        <v>0</v>
      </c>
      <c r="CT490" s="2">
        <f t="shared" si="392"/>
        <v>0</v>
      </c>
      <c r="CU490" s="2">
        <f t="shared" si="392"/>
        <v>0</v>
      </c>
      <c r="CV490" s="2">
        <f t="shared" si="392"/>
        <v>0</v>
      </c>
      <c r="CW490" s="2">
        <f t="shared" si="392"/>
        <v>0</v>
      </c>
      <c r="CX490" s="2">
        <f t="shared" si="392"/>
        <v>0</v>
      </c>
      <c r="CY490" s="2">
        <f t="shared" si="392"/>
        <v>0</v>
      </c>
      <c r="CZ490" s="2">
        <f t="shared" si="392"/>
        <v>0</v>
      </c>
      <c r="DA490" s="2">
        <f t="shared" si="392"/>
        <v>0</v>
      </c>
      <c r="DB490" s="2">
        <f t="shared" si="392"/>
        <v>0</v>
      </c>
      <c r="DC490" s="2">
        <f t="shared" si="392"/>
        <v>0</v>
      </c>
      <c r="DD490" s="2">
        <f t="shared" si="392"/>
        <v>0</v>
      </c>
      <c r="DE490" s="2">
        <f t="shared" si="392"/>
        <v>0</v>
      </c>
      <c r="DF490" s="2">
        <f t="shared" si="392"/>
        <v>0</v>
      </c>
      <c r="DG490" s="3">
        <f t="shared" ref="DG490:EL490" si="393">DG503</f>
        <v>0</v>
      </c>
      <c r="DH490" s="3">
        <f t="shared" si="393"/>
        <v>0</v>
      </c>
      <c r="DI490" s="3">
        <f t="shared" si="393"/>
        <v>0</v>
      </c>
      <c r="DJ490" s="3">
        <f t="shared" si="393"/>
        <v>0</v>
      </c>
      <c r="DK490" s="3">
        <f t="shared" si="393"/>
        <v>0</v>
      </c>
      <c r="DL490" s="3">
        <f t="shared" si="393"/>
        <v>0</v>
      </c>
      <c r="DM490" s="3">
        <f t="shared" si="393"/>
        <v>0</v>
      </c>
      <c r="DN490" s="3">
        <f t="shared" si="393"/>
        <v>0</v>
      </c>
      <c r="DO490" s="3">
        <f t="shared" si="393"/>
        <v>0</v>
      </c>
      <c r="DP490" s="3">
        <f t="shared" si="393"/>
        <v>0</v>
      </c>
      <c r="DQ490" s="3">
        <f t="shared" si="393"/>
        <v>0</v>
      </c>
      <c r="DR490" s="3">
        <f t="shared" si="393"/>
        <v>0</v>
      </c>
      <c r="DS490" s="3">
        <f t="shared" si="393"/>
        <v>0</v>
      </c>
      <c r="DT490" s="3">
        <f t="shared" si="393"/>
        <v>0</v>
      </c>
      <c r="DU490" s="3">
        <f t="shared" si="393"/>
        <v>0</v>
      </c>
      <c r="DV490" s="3">
        <f t="shared" si="393"/>
        <v>0</v>
      </c>
      <c r="DW490" s="3">
        <f t="shared" si="393"/>
        <v>0</v>
      </c>
      <c r="DX490" s="3">
        <f t="shared" si="393"/>
        <v>0</v>
      </c>
      <c r="DY490" s="3">
        <f t="shared" si="393"/>
        <v>0</v>
      </c>
      <c r="DZ490" s="3">
        <f t="shared" si="393"/>
        <v>0</v>
      </c>
      <c r="EA490" s="3">
        <f t="shared" si="393"/>
        <v>0</v>
      </c>
      <c r="EB490" s="3">
        <f t="shared" si="393"/>
        <v>0</v>
      </c>
      <c r="EC490" s="3">
        <f t="shared" si="393"/>
        <v>0</v>
      </c>
      <c r="ED490" s="3">
        <f t="shared" si="393"/>
        <v>0</v>
      </c>
      <c r="EE490" s="3">
        <f t="shared" si="393"/>
        <v>0</v>
      </c>
      <c r="EF490" s="3">
        <f t="shared" si="393"/>
        <v>0</v>
      </c>
      <c r="EG490" s="3">
        <f t="shared" si="393"/>
        <v>0</v>
      </c>
      <c r="EH490" s="3">
        <f t="shared" si="393"/>
        <v>0</v>
      </c>
      <c r="EI490" s="3">
        <f t="shared" si="393"/>
        <v>0</v>
      </c>
      <c r="EJ490" s="3">
        <f t="shared" si="393"/>
        <v>0</v>
      </c>
      <c r="EK490" s="3">
        <f t="shared" si="393"/>
        <v>0</v>
      </c>
      <c r="EL490" s="3">
        <f t="shared" si="393"/>
        <v>0</v>
      </c>
      <c r="EM490" s="3">
        <f t="shared" ref="EM490:FR490" si="394">EM503</f>
        <v>0</v>
      </c>
      <c r="EN490" s="3">
        <f t="shared" si="394"/>
        <v>0</v>
      </c>
      <c r="EO490" s="3">
        <f t="shared" si="394"/>
        <v>0</v>
      </c>
      <c r="EP490" s="3">
        <f t="shared" si="394"/>
        <v>0</v>
      </c>
      <c r="EQ490" s="3">
        <f t="shared" si="394"/>
        <v>0</v>
      </c>
      <c r="ER490" s="3">
        <f t="shared" si="394"/>
        <v>0</v>
      </c>
      <c r="ES490" s="3">
        <f t="shared" si="394"/>
        <v>0</v>
      </c>
      <c r="ET490" s="3">
        <f t="shared" si="394"/>
        <v>0</v>
      </c>
      <c r="EU490" s="3">
        <f t="shared" si="394"/>
        <v>0</v>
      </c>
      <c r="EV490" s="3">
        <f t="shared" si="394"/>
        <v>0</v>
      </c>
      <c r="EW490" s="3">
        <f t="shared" si="394"/>
        <v>0</v>
      </c>
      <c r="EX490" s="3">
        <f t="shared" si="394"/>
        <v>0</v>
      </c>
      <c r="EY490" s="3">
        <f t="shared" si="394"/>
        <v>0</v>
      </c>
      <c r="EZ490" s="3">
        <f t="shared" si="394"/>
        <v>0</v>
      </c>
      <c r="FA490" s="3">
        <f t="shared" si="394"/>
        <v>0</v>
      </c>
      <c r="FB490" s="3">
        <f t="shared" si="394"/>
        <v>0</v>
      </c>
      <c r="FC490" s="3">
        <f t="shared" si="394"/>
        <v>0</v>
      </c>
      <c r="FD490" s="3">
        <f t="shared" si="394"/>
        <v>0</v>
      </c>
      <c r="FE490" s="3">
        <f t="shared" si="394"/>
        <v>0</v>
      </c>
      <c r="FF490" s="3">
        <f t="shared" si="394"/>
        <v>0</v>
      </c>
      <c r="FG490" s="3">
        <f t="shared" si="394"/>
        <v>0</v>
      </c>
      <c r="FH490" s="3">
        <f t="shared" si="394"/>
        <v>0</v>
      </c>
      <c r="FI490" s="3">
        <f t="shared" si="394"/>
        <v>0</v>
      </c>
      <c r="FJ490" s="3">
        <f t="shared" si="394"/>
        <v>0</v>
      </c>
      <c r="FK490" s="3">
        <f t="shared" si="394"/>
        <v>0</v>
      </c>
      <c r="FL490" s="3">
        <f t="shared" si="394"/>
        <v>0</v>
      </c>
      <c r="FM490" s="3">
        <f t="shared" si="394"/>
        <v>0</v>
      </c>
      <c r="FN490" s="3">
        <f t="shared" si="394"/>
        <v>0</v>
      </c>
      <c r="FO490" s="3">
        <f t="shared" si="394"/>
        <v>0</v>
      </c>
      <c r="FP490" s="3">
        <f t="shared" si="394"/>
        <v>0</v>
      </c>
      <c r="FQ490" s="3">
        <f t="shared" si="394"/>
        <v>0</v>
      </c>
      <c r="FR490" s="3">
        <f t="shared" si="394"/>
        <v>0</v>
      </c>
      <c r="FS490" s="3">
        <f t="shared" ref="FS490:GX490" si="395">FS503</f>
        <v>0</v>
      </c>
      <c r="FT490" s="3">
        <f t="shared" si="395"/>
        <v>0</v>
      </c>
      <c r="FU490" s="3">
        <f t="shared" si="395"/>
        <v>0</v>
      </c>
      <c r="FV490" s="3">
        <f t="shared" si="395"/>
        <v>0</v>
      </c>
      <c r="FW490" s="3">
        <f t="shared" si="395"/>
        <v>0</v>
      </c>
      <c r="FX490" s="3">
        <f t="shared" si="395"/>
        <v>0</v>
      </c>
      <c r="FY490" s="3">
        <f t="shared" si="395"/>
        <v>0</v>
      </c>
      <c r="FZ490" s="3">
        <f t="shared" si="395"/>
        <v>0</v>
      </c>
      <c r="GA490" s="3">
        <f t="shared" si="395"/>
        <v>0</v>
      </c>
      <c r="GB490" s="3">
        <f t="shared" si="395"/>
        <v>0</v>
      </c>
      <c r="GC490" s="3">
        <f t="shared" si="395"/>
        <v>0</v>
      </c>
      <c r="GD490" s="3">
        <f t="shared" si="395"/>
        <v>0</v>
      </c>
      <c r="GE490" s="3">
        <f t="shared" si="395"/>
        <v>0</v>
      </c>
      <c r="GF490" s="3">
        <f t="shared" si="395"/>
        <v>0</v>
      </c>
      <c r="GG490" s="3">
        <f t="shared" si="395"/>
        <v>0</v>
      </c>
      <c r="GH490" s="3">
        <f t="shared" si="395"/>
        <v>0</v>
      </c>
      <c r="GI490" s="3">
        <f t="shared" si="395"/>
        <v>0</v>
      </c>
      <c r="GJ490" s="3">
        <f t="shared" si="395"/>
        <v>0</v>
      </c>
      <c r="GK490" s="3">
        <f t="shared" si="395"/>
        <v>0</v>
      </c>
      <c r="GL490" s="3">
        <f t="shared" si="395"/>
        <v>0</v>
      </c>
      <c r="GM490" s="3">
        <f t="shared" si="395"/>
        <v>0</v>
      </c>
      <c r="GN490" s="3">
        <f t="shared" si="395"/>
        <v>0</v>
      </c>
      <c r="GO490" s="3">
        <f t="shared" si="395"/>
        <v>0</v>
      </c>
      <c r="GP490" s="3">
        <f t="shared" si="395"/>
        <v>0</v>
      </c>
      <c r="GQ490" s="3">
        <f t="shared" si="395"/>
        <v>0</v>
      </c>
      <c r="GR490" s="3">
        <f t="shared" si="395"/>
        <v>0</v>
      </c>
      <c r="GS490" s="3">
        <f t="shared" si="395"/>
        <v>0</v>
      </c>
      <c r="GT490" s="3">
        <f t="shared" si="395"/>
        <v>0</v>
      </c>
      <c r="GU490" s="3">
        <f t="shared" si="395"/>
        <v>0</v>
      </c>
      <c r="GV490" s="3">
        <f t="shared" si="395"/>
        <v>0</v>
      </c>
      <c r="GW490" s="3">
        <f t="shared" si="395"/>
        <v>0</v>
      </c>
      <c r="GX490" s="3">
        <f t="shared" si="395"/>
        <v>0</v>
      </c>
    </row>
    <row r="492" spans="1:245" x14ac:dyDescent="0.2">
      <c r="A492">
        <v>17</v>
      </c>
      <c r="B492">
        <v>1</v>
      </c>
      <c r="C492">
        <f>ROW(SmtRes!A185)</f>
        <v>185</v>
      </c>
      <c r="D492">
        <f>ROW(EtalonRes!A186)</f>
        <v>186</v>
      </c>
      <c r="E492" t="s">
        <v>333</v>
      </c>
      <c r="F492" t="s">
        <v>334</v>
      </c>
      <c r="G492" t="s">
        <v>335</v>
      </c>
      <c r="H492" t="s">
        <v>310</v>
      </c>
      <c r="I492">
        <f>ROUND(122*0.4/10,9)</f>
        <v>4.88</v>
      </c>
      <c r="J492">
        <v>0</v>
      </c>
      <c r="O492">
        <f t="shared" ref="O492:O501" si="396">ROUND(CP492,2)</f>
        <v>48410.96</v>
      </c>
      <c r="P492">
        <f t="shared" ref="P492:P501" si="397">ROUND((ROUND((AC492*AW492*I492),2)*BC492),2)</f>
        <v>9562.7199999999993</v>
      </c>
      <c r="Q492">
        <f t="shared" ref="Q492:Q501" si="398">(ROUND((ROUND(((ET492)*AV492*I492),2)*BB492),2)+ROUND((ROUND(((AE492-(EU492))*AV492*I492),2)*BS492),2))</f>
        <v>2207.29</v>
      </c>
      <c r="R492">
        <f t="shared" ref="R492:R501" si="399">ROUND((ROUND((AE492*AV492*I492),2)*BS492),2)</f>
        <v>1349.15</v>
      </c>
      <c r="S492">
        <f t="shared" ref="S492:S501" si="400">ROUND((ROUND((AF492*AV492*I492),2)*BA492),2)</f>
        <v>36640.949999999997</v>
      </c>
      <c r="T492">
        <f t="shared" ref="T492:T501" si="401">ROUND(CU492*I492,2)</f>
        <v>0</v>
      </c>
      <c r="U492">
        <f t="shared" ref="U492:U501" si="402">CV492*I492</f>
        <v>146.15600000000001</v>
      </c>
      <c r="V492">
        <f t="shared" ref="V492:V501" si="403">CW492*I492</f>
        <v>0</v>
      </c>
      <c r="W492">
        <f t="shared" ref="W492:W501" si="404">ROUND(CX492*I492,2)</f>
        <v>0</v>
      </c>
      <c r="X492">
        <f t="shared" ref="X492:X501" si="405">ROUND(CY492,2)</f>
        <v>37373.769999999997</v>
      </c>
      <c r="Y492">
        <f t="shared" ref="Y492:Y501" si="406">ROUND(CZ492,2)</f>
        <v>17221.25</v>
      </c>
      <c r="AA492">
        <v>33989672</v>
      </c>
      <c r="AB492">
        <f t="shared" ref="AB492:AB501" si="407">ROUND((AC492+AD492+AF492),6)</f>
        <v>1205</v>
      </c>
      <c r="AC492">
        <f t="shared" ref="AC492:AC501" si="408">ROUND((ES492),6)</f>
        <v>855.71</v>
      </c>
      <c r="AD492">
        <f t="shared" ref="AD492:AD501" si="409">ROUND((((ET492)-(EU492))+AE492),6)</f>
        <v>43.2</v>
      </c>
      <c r="AE492">
        <f t="shared" ref="AE492:AE501" si="410">ROUND((EU492),6)</f>
        <v>11.27</v>
      </c>
      <c r="AF492">
        <f t="shared" ref="AF492:AF501" si="411">ROUND((EV492),6)</f>
        <v>306.08999999999997</v>
      </c>
      <c r="AG492">
        <f t="shared" ref="AG492:AG501" si="412">ROUND((AP492),6)</f>
        <v>0</v>
      </c>
      <c r="AH492">
        <f t="shared" ref="AH492:AH501" si="413">(EW492)</f>
        <v>29.95</v>
      </c>
      <c r="AI492">
        <f t="shared" ref="AI492:AI501" si="414">(EX492)</f>
        <v>0</v>
      </c>
      <c r="AJ492">
        <f t="shared" ref="AJ492:AJ501" si="415">(AS492)</f>
        <v>0</v>
      </c>
      <c r="AK492">
        <v>1205</v>
      </c>
      <c r="AL492">
        <v>855.71</v>
      </c>
      <c r="AM492">
        <v>43.2</v>
      </c>
      <c r="AN492">
        <v>11.27</v>
      </c>
      <c r="AO492">
        <v>306.08999999999997</v>
      </c>
      <c r="AP492">
        <v>0</v>
      </c>
      <c r="AQ492">
        <v>29.95</v>
      </c>
      <c r="AR492">
        <v>0</v>
      </c>
      <c r="AS492">
        <v>0</v>
      </c>
      <c r="AT492">
        <v>102</v>
      </c>
      <c r="AU492">
        <v>47</v>
      </c>
      <c r="AV492">
        <v>1</v>
      </c>
      <c r="AW492">
        <v>1</v>
      </c>
      <c r="AZ492">
        <v>1</v>
      </c>
      <c r="BA492">
        <v>24.53</v>
      </c>
      <c r="BB492">
        <v>10.47</v>
      </c>
      <c r="BC492">
        <v>2.29</v>
      </c>
      <c r="BD492" t="s">
        <v>3</v>
      </c>
      <c r="BE492" t="s">
        <v>3</v>
      </c>
      <c r="BF492" t="s">
        <v>3</v>
      </c>
      <c r="BG492" t="s">
        <v>3</v>
      </c>
      <c r="BH492">
        <v>0</v>
      </c>
      <c r="BI492">
        <v>1</v>
      </c>
      <c r="BJ492" t="s">
        <v>336</v>
      </c>
      <c r="BM492">
        <v>292</v>
      </c>
      <c r="BN492">
        <v>0</v>
      </c>
      <c r="BO492" t="s">
        <v>334</v>
      </c>
      <c r="BP492">
        <v>1</v>
      </c>
      <c r="BQ492">
        <v>30</v>
      </c>
      <c r="BR492">
        <v>0</v>
      </c>
      <c r="BS492">
        <v>24.53</v>
      </c>
      <c r="BT492">
        <v>1</v>
      </c>
      <c r="BU492">
        <v>1</v>
      </c>
      <c r="BV492">
        <v>1</v>
      </c>
      <c r="BW492">
        <v>1</v>
      </c>
      <c r="BX492">
        <v>1</v>
      </c>
      <c r="BY492" t="s">
        <v>3</v>
      </c>
      <c r="BZ492">
        <v>102</v>
      </c>
      <c r="CA492">
        <v>47</v>
      </c>
      <c r="CE492">
        <v>30</v>
      </c>
      <c r="CF492">
        <v>0</v>
      </c>
      <c r="CG492">
        <v>0</v>
      </c>
      <c r="CM492">
        <v>0</v>
      </c>
      <c r="CN492" t="s">
        <v>3</v>
      </c>
      <c r="CO492">
        <v>0</v>
      </c>
      <c r="CP492">
        <f t="shared" ref="CP492:CP501" si="416">(P492+Q492+S492)</f>
        <v>48410.959999999992</v>
      </c>
      <c r="CQ492">
        <f t="shared" ref="CQ492:CQ501" si="417">ROUND((ROUND((AC492*AW492*1),2)*BC492),2)</f>
        <v>1959.58</v>
      </c>
      <c r="CR492">
        <f t="shared" ref="CR492:CR501" si="418">(ROUND((ROUND(((ET492)*AV492*1),2)*BB492),2)+ROUND((ROUND(((AE492-(EU492))*AV492*1),2)*BS492),2))</f>
        <v>452.3</v>
      </c>
      <c r="CS492">
        <f t="shared" ref="CS492:CS501" si="419">ROUND((ROUND((AE492*AV492*1),2)*BS492),2)</f>
        <v>276.45</v>
      </c>
      <c r="CT492">
        <f t="shared" ref="CT492:CT501" si="420">ROUND((ROUND((AF492*AV492*1),2)*BA492),2)</f>
        <v>7508.39</v>
      </c>
      <c r="CU492">
        <f t="shared" ref="CU492:CU501" si="421">AG492</f>
        <v>0</v>
      </c>
      <c r="CV492">
        <f t="shared" ref="CV492:CV501" si="422">(AH492*AV492)</f>
        <v>29.95</v>
      </c>
      <c r="CW492">
        <f t="shared" ref="CW492:CW501" si="423">AI492</f>
        <v>0</v>
      </c>
      <c r="CX492">
        <f t="shared" ref="CX492:CX501" si="424">AJ492</f>
        <v>0</v>
      </c>
      <c r="CY492">
        <f t="shared" ref="CY492:CY501" si="425">S492*(BZ492/100)</f>
        <v>37373.769</v>
      </c>
      <c r="CZ492">
        <f t="shared" ref="CZ492:CZ501" si="426">S492*(CA492/100)</f>
        <v>17221.246499999997</v>
      </c>
      <c r="DC492" t="s">
        <v>3</v>
      </c>
      <c r="DD492" t="s">
        <v>3</v>
      </c>
      <c r="DE492" t="s">
        <v>3</v>
      </c>
      <c r="DF492" t="s">
        <v>3</v>
      </c>
      <c r="DG492" t="s">
        <v>3</v>
      </c>
      <c r="DH492" t="s">
        <v>3</v>
      </c>
      <c r="DI492" t="s">
        <v>3</v>
      </c>
      <c r="DJ492" t="s">
        <v>3</v>
      </c>
      <c r="DK492" t="s">
        <v>3</v>
      </c>
      <c r="DL492" t="s">
        <v>3</v>
      </c>
      <c r="DM492" t="s">
        <v>3</v>
      </c>
      <c r="DN492">
        <v>187</v>
      </c>
      <c r="DO492">
        <v>101</v>
      </c>
      <c r="DP492">
        <v>1</v>
      </c>
      <c r="DQ492">
        <v>1</v>
      </c>
      <c r="DU492">
        <v>1013</v>
      </c>
      <c r="DV492" t="s">
        <v>310</v>
      </c>
      <c r="DW492" t="s">
        <v>310</v>
      </c>
      <c r="DX492">
        <v>1</v>
      </c>
      <c r="EE492">
        <v>33797931</v>
      </c>
      <c r="EF492">
        <v>30</v>
      </c>
      <c r="EG492" t="s">
        <v>77</v>
      </c>
      <c r="EH492">
        <v>0</v>
      </c>
      <c r="EI492" t="s">
        <v>3</v>
      </c>
      <c r="EJ492">
        <v>1</v>
      </c>
      <c r="EK492">
        <v>292</v>
      </c>
      <c r="EL492" t="s">
        <v>312</v>
      </c>
      <c r="EM492" t="s">
        <v>313</v>
      </c>
      <c r="EO492" t="s">
        <v>3</v>
      </c>
      <c r="EQ492">
        <v>131072</v>
      </c>
      <c r="ER492">
        <v>1205</v>
      </c>
      <c r="ES492">
        <v>855.71</v>
      </c>
      <c r="ET492">
        <v>43.2</v>
      </c>
      <c r="EU492">
        <v>11.27</v>
      </c>
      <c r="EV492">
        <v>306.08999999999997</v>
      </c>
      <c r="EW492">
        <v>29.95</v>
      </c>
      <c r="EX492">
        <v>0</v>
      </c>
      <c r="EY492">
        <v>0</v>
      </c>
      <c r="FQ492">
        <v>0</v>
      </c>
      <c r="FR492">
        <f t="shared" ref="FR492:FR501" si="427">ROUND(IF(AND(BH492=3,BI492=3),P492,0),2)</f>
        <v>0</v>
      </c>
      <c r="FS492">
        <v>0</v>
      </c>
      <c r="FX492">
        <v>187</v>
      </c>
      <c r="FY492">
        <v>101</v>
      </c>
      <c r="GA492" t="s">
        <v>3</v>
      </c>
      <c r="GD492">
        <v>0</v>
      </c>
      <c r="GF492">
        <v>1730217116</v>
      </c>
      <c r="GG492">
        <v>2</v>
      </c>
      <c r="GH492">
        <v>1</v>
      </c>
      <c r="GI492">
        <v>2</v>
      </c>
      <c r="GJ492">
        <v>0</v>
      </c>
      <c r="GK492">
        <f>ROUND(R492*(R12)/100,2)</f>
        <v>2118.17</v>
      </c>
      <c r="GL492">
        <f t="shared" ref="GL492:GL501" si="428">ROUND(IF(AND(BH492=3,BI492=3,FS492&lt;&gt;0),P492,0),2)</f>
        <v>0</v>
      </c>
      <c r="GM492">
        <f t="shared" ref="GM492:GM501" si="429">ROUND(O492+X492+Y492+GK492,2)+GX492</f>
        <v>105124.15</v>
      </c>
      <c r="GN492">
        <f t="shared" ref="GN492:GN501" si="430">IF(OR(BI492=0,BI492=1),ROUND(O492+X492+Y492+GK492,2),0)</f>
        <v>105124.15</v>
      </c>
      <c r="GO492">
        <f t="shared" ref="GO492:GO501" si="431">IF(BI492=2,ROUND(O492+X492+Y492+GK492,2),0)</f>
        <v>0</v>
      </c>
      <c r="GP492">
        <f t="shared" ref="GP492:GP501" si="432">IF(BI492=4,ROUND(O492+X492+Y492+GK492,2)+GX492,0)</f>
        <v>0</v>
      </c>
      <c r="GR492">
        <v>0</v>
      </c>
      <c r="GS492">
        <v>3</v>
      </c>
      <c r="GT492">
        <v>0</v>
      </c>
      <c r="GU492" t="s">
        <v>3</v>
      </c>
      <c r="GV492">
        <f t="shared" ref="GV492:GV501" si="433">ROUND((GT492),6)</f>
        <v>0</v>
      </c>
      <c r="GW492">
        <v>1</v>
      </c>
      <c r="GX492">
        <f t="shared" ref="GX492:GX501" si="434">ROUND(HC492*I492,2)</f>
        <v>0</v>
      </c>
      <c r="HA492">
        <v>0</v>
      </c>
      <c r="HB492">
        <v>0</v>
      </c>
      <c r="HC492">
        <f t="shared" ref="HC492:HC501" si="435">GV492*GW492</f>
        <v>0</v>
      </c>
      <c r="IK492">
        <v>0</v>
      </c>
    </row>
    <row r="493" spans="1:245" x14ac:dyDescent="0.2">
      <c r="A493">
        <v>18</v>
      </c>
      <c r="B493">
        <v>1</v>
      </c>
      <c r="C493">
        <v>184</v>
      </c>
      <c r="E493" t="s">
        <v>337</v>
      </c>
      <c r="F493" t="s">
        <v>280</v>
      </c>
      <c r="G493" t="s">
        <v>281</v>
      </c>
      <c r="H493" t="s">
        <v>66</v>
      </c>
      <c r="I493">
        <f>I492*J493</f>
        <v>30.256</v>
      </c>
      <c r="J493">
        <v>6.2</v>
      </c>
      <c r="O493">
        <f t="shared" si="396"/>
        <v>29588.98</v>
      </c>
      <c r="P493">
        <f t="shared" si="397"/>
        <v>29588.98</v>
      </c>
      <c r="Q493">
        <f t="shared" si="398"/>
        <v>0</v>
      </c>
      <c r="R493">
        <f t="shared" si="399"/>
        <v>0</v>
      </c>
      <c r="S493">
        <f t="shared" si="400"/>
        <v>0</v>
      </c>
      <c r="T493">
        <f t="shared" si="401"/>
        <v>0</v>
      </c>
      <c r="U493">
        <f t="shared" si="402"/>
        <v>0</v>
      </c>
      <c r="V493">
        <f t="shared" si="403"/>
        <v>0</v>
      </c>
      <c r="W493">
        <f t="shared" si="404"/>
        <v>0</v>
      </c>
      <c r="X493">
        <f t="shared" si="405"/>
        <v>0</v>
      </c>
      <c r="Y493">
        <f t="shared" si="406"/>
        <v>0</v>
      </c>
      <c r="AA493">
        <v>33989672</v>
      </c>
      <c r="AB493">
        <f t="shared" si="407"/>
        <v>146.84</v>
      </c>
      <c r="AC493">
        <f t="shared" si="408"/>
        <v>146.84</v>
      </c>
      <c r="AD493">
        <f t="shared" si="409"/>
        <v>0</v>
      </c>
      <c r="AE493">
        <f t="shared" si="410"/>
        <v>0</v>
      </c>
      <c r="AF493">
        <f t="shared" si="411"/>
        <v>0</v>
      </c>
      <c r="AG493">
        <f t="shared" si="412"/>
        <v>0</v>
      </c>
      <c r="AH493">
        <f t="shared" si="413"/>
        <v>0</v>
      </c>
      <c r="AI493">
        <f t="shared" si="414"/>
        <v>0</v>
      </c>
      <c r="AJ493">
        <f t="shared" si="415"/>
        <v>0</v>
      </c>
      <c r="AK493">
        <v>146.84</v>
      </c>
      <c r="AL493">
        <v>146.84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1</v>
      </c>
      <c r="AW493">
        <v>1</v>
      </c>
      <c r="AZ493">
        <v>1</v>
      </c>
      <c r="BA493">
        <v>1</v>
      </c>
      <c r="BB493">
        <v>1</v>
      </c>
      <c r="BC493">
        <v>6.66</v>
      </c>
      <c r="BD493" t="s">
        <v>3</v>
      </c>
      <c r="BE493" t="s">
        <v>3</v>
      </c>
      <c r="BF493" t="s">
        <v>3</v>
      </c>
      <c r="BG493" t="s">
        <v>3</v>
      </c>
      <c r="BH493">
        <v>3</v>
      </c>
      <c r="BI493">
        <v>1</v>
      </c>
      <c r="BJ493" t="s">
        <v>282</v>
      </c>
      <c r="BM493">
        <v>292</v>
      </c>
      <c r="BN493">
        <v>0</v>
      </c>
      <c r="BO493" t="s">
        <v>280</v>
      </c>
      <c r="BP493">
        <v>1</v>
      </c>
      <c r="BQ493">
        <v>30</v>
      </c>
      <c r="BR493">
        <v>0</v>
      </c>
      <c r="BS493">
        <v>1</v>
      </c>
      <c r="BT493">
        <v>1</v>
      </c>
      <c r="BU493">
        <v>1</v>
      </c>
      <c r="BV493">
        <v>1</v>
      </c>
      <c r="BW493">
        <v>1</v>
      </c>
      <c r="BX493">
        <v>1</v>
      </c>
      <c r="BY493" t="s">
        <v>3</v>
      </c>
      <c r="BZ493">
        <v>0</v>
      </c>
      <c r="CA493">
        <v>0</v>
      </c>
      <c r="CE493">
        <v>30</v>
      </c>
      <c r="CF493">
        <v>0</v>
      </c>
      <c r="CG493">
        <v>0</v>
      </c>
      <c r="CM493">
        <v>0</v>
      </c>
      <c r="CN493" t="s">
        <v>3</v>
      </c>
      <c r="CO493">
        <v>0</v>
      </c>
      <c r="CP493">
        <f t="shared" si="416"/>
        <v>29588.98</v>
      </c>
      <c r="CQ493">
        <f t="shared" si="417"/>
        <v>977.95</v>
      </c>
      <c r="CR493">
        <f t="shared" si="418"/>
        <v>0</v>
      </c>
      <c r="CS493">
        <f t="shared" si="419"/>
        <v>0</v>
      </c>
      <c r="CT493">
        <f t="shared" si="420"/>
        <v>0</v>
      </c>
      <c r="CU493">
        <f t="shared" si="421"/>
        <v>0</v>
      </c>
      <c r="CV493">
        <f t="shared" si="422"/>
        <v>0</v>
      </c>
      <c r="CW493">
        <f t="shared" si="423"/>
        <v>0</v>
      </c>
      <c r="CX493">
        <f t="shared" si="424"/>
        <v>0</v>
      </c>
      <c r="CY493">
        <f t="shared" si="425"/>
        <v>0</v>
      </c>
      <c r="CZ493">
        <f t="shared" si="426"/>
        <v>0</v>
      </c>
      <c r="DC493" t="s">
        <v>3</v>
      </c>
      <c r="DD493" t="s">
        <v>3</v>
      </c>
      <c r="DE493" t="s">
        <v>3</v>
      </c>
      <c r="DF493" t="s">
        <v>3</v>
      </c>
      <c r="DG493" t="s">
        <v>3</v>
      </c>
      <c r="DH493" t="s">
        <v>3</v>
      </c>
      <c r="DI493" t="s">
        <v>3</v>
      </c>
      <c r="DJ493" t="s">
        <v>3</v>
      </c>
      <c r="DK493" t="s">
        <v>3</v>
      </c>
      <c r="DL493" t="s">
        <v>3</v>
      </c>
      <c r="DM493" t="s">
        <v>3</v>
      </c>
      <c r="DN493">
        <v>187</v>
      </c>
      <c r="DO493">
        <v>101</v>
      </c>
      <c r="DP493">
        <v>1</v>
      </c>
      <c r="DQ493">
        <v>1</v>
      </c>
      <c r="DU493">
        <v>1007</v>
      </c>
      <c r="DV493" t="s">
        <v>66</v>
      </c>
      <c r="DW493" t="s">
        <v>66</v>
      </c>
      <c r="DX493">
        <v>1</v>
      </c>
      <c r="EE493">
        <v>33797931</v>
      </c>
      <c r="EF493">
        <v>30</v>
      </c>
      <c r="EG493" t="s">
        <v>77</v>
      </c>
      <c r="EH493">
        <v>0</v>
      </c>
      <c r="EI493" t="s">
        <v>3</v>
      </c>
      <c r="EJ493">
        <v>1</v>
      </c>
      <c r="EK493">
        <v>292</v>
      </c>
      <c r="EL493" t="s">
        <v>312</v>
      </c>
      <c r="EM493" t="s">
        <v>313</v>
      </c>
      <c r="EO493" t="s">
        <v>3</v>
      </c>
      <c r="EQ493">
        <v>0</v>
      </c>
      <c r="ER493">
        <v>146.84</v>
      </c>
      <c r="ES493">
        <v>146.84</v>
      </c>
      <c r="ET493">
        <v>0</v>
      </c>
      <c r="EU493">
        <v>0</v>
      </c>
      <c r="EV493">
        <v>0</v>
      </c>
      <c r="EW493">
        <v>0</v>
      </c>
      <c r="EX493">
        <v>0</v>
      </c>
      <c r="FQ493">
        <v>0</v>
      </c>
      <c r="FR493">
        <f t="shared" si="427"/>
        <v>0</v>
      </c>
      <c r="FS493">
        <v>0</v>
      </c>
      <c r="FX493">
        <v>187</v>
      </c>
      <c r="FY493">
        <v>101</v>
      </c>
      <c r="GA493" t="s">
        <v>3</v>
      </c>
      <c r="GD493">
        <v>0</v>
      </c>
      <c r="GF493">
        <v>92320855</v>
      </c>
      <c r="GG493">
        <v>2</v>
      </c>
      <c r="GH493">
        <v>1</v>
      </c>
      <c r="GI493">
        <v>2</v>
      </c>
      <c r="GJ493">
        <v>0</v>
      </c>
      <c r="GK493">
        <f>ROUND(R493*(R12)/100,2)</f>
        <v>0</v>
      </c>
      <c r="GL493">
        <f t="shared" si="428"/>
        <v>0</v>
      </c>
      <c r="GM493">
        <f t="shared" si="429"/>
        <v>29588.98</v>
      </c>
      <c r="GN493">
        <f t="shared" si="430"/>
        <v>29588.98</v>
      </c>
      <c r="GO493">
        <f t="shared" si="431"/>
        <v>0</v>
      </c>
      <c r="GP493">
        <f t="shared" si="432"/>
        <v>0</v>
      </c>
      <c r="GR493">
        <v>0</v>
      </c>
      <c r="GS493">
        <v>3</v>
      </c>
      <c r="GT493">
        <v>0</v>
      </c>
      <c r="GU493" t="s">
        <v>3</v>
      </c>
      <c r="GV493">
        <f t="shared" si="433"/>
        <v>0</v>
      </c>
      <c r="GW493">
        <v>1</v>
      </c>
      <c r="GX493">
        <f t="shared" si="434"/>
        <v>0</v>
      </c>
      <c r="HA493">
        <v>0</v>
      </c>
      <c r="HB493">
        <v>0</v>
      </c>
      <c r="HC493">
        <f t="shared" si="435"/>
        <v>0</v>
      </c>
      <c r="IK493">
        <v>0</v>
      </c>
    </row>
    <row r="494" spans="1:245" x14ac:dyDescent="0.2">
      <c r="A494">
        <v>17</v>
      </c>
      <c r="B494">
        <v>1</v>
      </c>
      <c r="C494">
        <f>ROW(SmtRes!A188)</f>
        <v>188</v>
      </c>
      <c r="D494">
        <f>ROW(EtalonRes!A189)</f>
        <v>189</v>
      </c>
      <c r="E494" t="s">
        <v>338</v>
      </c>
      <c r="F494" t="s">
        <v>339</v>
      </c>
      <c r="G494" t="s">
        <v>340</v>
      </c>
      <c r="H494" t="s">
        <v>310</v>
      </c>
      <c r="I494">
        <f>ROUND(122*0.6/10,9)</f>
        <v>7.32</v>
      </c>
      <c r="J494">
        <v>0</v>
      </c>
      <c r="O494">
        <f t="shared" si="396"/>
        <v>108099.23</v>
      </c>
      <c r="P494">
        <f t="shared" si="397"/>
        <v>14344.1</v>
      </c>
      <c r="Q494">
        <f t="shared" si="398"/>
        <v>0</v>
      </c>
      <c r="R494">
        <f t="shared" si="399"/>
        <v>0</v>
      </c>
      <c r="S494">
        <f t="shared" si="400"/>
        <v>93755.13</v>
      </c>
      <c r="T494">
        <f t="shared" si="401"/>
        <v>0</v>
      </c>
      <c r="U494">
        <f t="shared" si="402"/>
        <v>373.97880000000004</v>
      </c>
      <c r="V494">
        <f t="shared" si="403"/>
        <v>0</v>
      </c>
      <c r="W494">
        <f t="shared" si="404"/>
        <v>0</v>
      </c>
      <c r="X494">
        <f t="shared" si="405"/>
        <v>95630.23</v>
      </c>
      <c r="Y494">
        <f t="shared" si="406"/>
        <v>44064.91</v>
      </c>
      <c r="AA494">
        <v>33989672</v>
      </c>
      <c r="AB494">
        <f t="shared" si="407"/>
        <v>1377.85</v>
      </c>
      <c r="AC494">
        <f t="shared" si="408"/>
        <v>855.71</v>
      </c>
      <c r="AD494">
        <f t="shared" si="409"/>
        <v>0</v>
      </c>
      <c r="AE494">
        <f t="shared" si="410"/>
        <v>0</v>
      </c>
      <c r="AF494">
        <f t="shared" si="411"/>
        <v>522.14</v>
      </c>
      <c r="AG494">
        <f t="shared" si="412"/>
        <v>0</v>
      </c>
      <c r="AH494">
        <f t="shared" si="413"/>
        <v>51.09</v>
      </c>
      <c r="AI494">
        <f t="shared" si="414"/>
        <v>0</v>
      </c>
      <c r="AJ494">
        <f t="shared" si="415"/>
        <v>0</v>
      </c>
      <c r="AK494">
        <v>1377.85</v>
      </c>
      <c r="AL494">
        <v>855.71</v>
      </c>
      <c r="AM494">
        <v>0</v>
      </c>
      <c r="AN494">
        <v>0</v>
      </c>
      <c r="AO494">
        <v>522.14</v>
      </c>
      <c r="AP494">
        <v>0</v>
      </c>
      <c r="AQ494">
        <v>51.09</v>
      </c>
      <c r="AR494">
        <v>0</v>
      </c>
      <c r="AS494">
        <v>0</v>
      </c>
      <c r="AT494">
        <v>102</v>
      </c>
      <c r="AU494">
        <v>47</v>
      </c>
      <c r="AV494">
        <v>1</v>
      </c>
      <c r="AW494">
        <v>1</v>
      </c>
      <c r="AZ494">
        <v>1</v>
      </c>
      <c r="BA494">
        <v>24.53</v>
      </c>
      <c r="BB494">
        <v>1</v>
      </c>
      <c r="BC494">
        <v>2.29</v>
      </c>
      <c r="BD494" t="s">
        <v>3</v>
      </c>
      <c r="BE494" t="s">
        <v>3</v>
      </c>
      <c r="BF494" t="s">
        <v>3</v>
      </c>
      <c r="BG494" t="s">
        <v>3</v>
      </c>
      <c r="BH494">
        <v>0</v>
      </c>
      <c r="BI494">
        <v>1</v>
      </c>
      <c r="BJ494" t="s">
        <v>341</v>
      </c>
      <c r="BM494">
        <v>292</v>
      </c>
      <c r="BN494">
        <v>0</v>
      </c>
      <c r="BO494" t="s">
        <v>339</v>
      </c>
      <c r="BP494">
        <v>1</v>
      </c>
      <c r="BQ494">
        <v>30</v>
      </c>
      <c r="BR494">
        <v>0</v>
      </c>
      <c r="BS494">
        <v>24.53</v>
      </c>
      <c r="BT494">
        <v>1</v>
      </c>
      <c r="BU494">
        <v>1</v>
      </c>
      <c r="BV494">
        <v>1</v>
      </c>
      <c r="BW494">
        <v>1</v>
      </c>
      <c r="BX494">
        <v>1</v>
      </c>
      <c r="BY494" t="s">
        <v>3</v>
      </c>
      <c r="BZ494">
        <v>102</v>
      </c>
      <c r="CA494">
        <v>47</v>
      </c>
      <c r="CE494">
        <v>30</v>
      </c>
      <c r="CF494">
        <v>0</v>
      </c>
      <c r="CG494">
        <v>0</v>
      </c>
      <c r="CM494">
        <v>0</v>
      </c>
      <c r="CN494" t="s">
        <v>3</v>
      </c>
      <c r="CO494">
        <v>0</v>
      </c>
      <c r="CP494">
        <f t="shared" si="416"/>
        <v>108099.23000000001</v>
      </c>
      <c r="CQ494">
        <f t="shared" si="417"/>
        <v>1959.58</v>
      </c>
      <c r="CR494">
        <f t="shared" si="418"/>
        <v>0</v>
      </c>
      <c r="CS494">
        <f t="shared" si="419"/>
        <v>0</v>
      </c>
      <c r="CT494">
        <f t="shared" si="420"/>
        <v>12808.09</v>
      </c>
      <c r="CU494">
        <f t="shared" si="421"/>
        <v>0</v>
      </c>
      <c r="CV494">
        <f t="shared" si="422"/>
        <v>51.09</v>
      </c>
      <c r="CW494">
        <f t="shared" si="423"/>
        <v>0</v>
      </c>
      <c r="CX494">
        <f t="shared" si="424"/>
        <v>0</v>
      </c>
      <c r="CY494">
        <f t="shared" si="425"/>
        <v>95630.232600000003</v>
      </c>
      <c r="CZ494">
        <f t="shared" si="426"/>
        <v>44064.911099999998</v>
      </c>
      <c r="DC494" t="s">
        <v>3</v>
      </c>
      <c r="DD494" t="s">
        <v>3</v>
      </c>
      <c r="DE494" t="s">
        <v>3</v>
      </c>
      <c r="DF494" t="s">
        <v>3</v>
      </c>
      <c r="DG494" t="s">
        <v>3</v>
      </c>
      <c r="DH494" t="s">
        <v>3</v>
      </c>
      <c r="DI494" t="s">
        <v>3</v>
      </c>
      <c r="DJ494" t="s">
        <v>3</v>
      </c>
      <c r="DK494" t="s">
        <v>3</v>
      </c>
      <c r="DL494" t="s">
        <v>3</v>
      </c>
      <c r="DM494" t="s">
        <v>3</v>
      </c>
      <c r="DN494">
        <v>187</v>
      </c>
      <c r="DO494">
        <v>101</v>
      </c>
      <c r="DP494">
        <v>1</v>
      </c>
      <c r="DQ494">
        <v>1</v>
      </c>
      <c r="DU494">
        <v>1013</v>
      </c>
      <c r="DV494" t="s">
        <v>310</v>
      </c>
      <c r="DW494" t="s">
        <v>310</v>
      </c>
      <c r="DX494">
        <v>1</v>
      </c>
      <c r="EE494">
        <v>33797931</v>
      </c>
      <c r="EF494">
        <v>30</v>
      </c>
      <c r="EG494" t="s">
        <v>77</v>
      </c>
      <c r="EH494">
        <v>0</v>
      </c>
      <c r="EI494" t="s">
        <v>3</v>
      </c>
      <c r="EJ494">
        <v>1</v>
      </c>
      <c r="EK494">
        <v>292</v>
      </c>
      <c r="EL494" t="s">
        <v>312</v>
      </c>
      <c r="EM494" t="s">
        <v>313</v>
      </c>
      <c r="EO494" t="s">
        <v>3</v>
      </c>
      <c r="EQ494">
        <v>131072</v>
      </c>
      <c r="ER494">
        <v>1377.85</v>
      </c>
      <c r="ES494">
        <v>855.71</v>
      </c>
      <c r="ET494">
        <v>0</v>
      </c>
      <c r="EU494">
        <v>0</v>
      </c>
      <c r="EV494">
        <v>522.14</v>
      </c>
      <c r="EW494">
        <v>51.09</v>
      </c>
      <c r="EX494">
        <v>0</v>
      </c>
      <c r="EY494">
        <v>0</v>
      </c>
      <c r="FQ494">
        <v>0</v>
      </c>
      <c r="FR494">
        <f t="shared" si="427"/>
        <v>0</v>
      </c>
      <c r="FS494">
        <v>0</v>
      </c>
      <c r="FX494">
        <v>187</v>
      </c>
      <c r="FY494">
        <v>101</v>
      </c>
      <c r="GA494" t="s">
        <v>3</v>
      </c>
      <c r="GD494">
        <v>0</v>
      </c>
      <c r="GF494">
        <v>1925008454</v>
      </c>
      <c r="GG494">
        <v>2</v>
      </c>
      <c r="GH494">
        <v>1</v>
      </c>
      <c r="GI494">
        <v>2</v>
      </c>
      <c r="GJ494">
        <v>0</v>
      </c>
      <c r="GK494">
        <f>ROUND(R494*(R12)/100,2)</f>
        <v>0</v>
      </c>
      <c r="GL494">
        <f t="shared" si="428"/>
        <v>0</v>
      </c>
      <c r="GM494">
        <f t="shared" si="429"/>
        <v>247794.37</v>
      </c>
      <c r="GN494">
        <f t="shared" si="430"/>
        <v>247794.37</v>
      </c>
      <c r="GO494">
        <f t="shared" si="431"/>
        <v>0</v>
      </c>
      <c r="GP494">
        <f t="shared" si="432"/>
        <v>0</v>
      </c>
      <c r="GR494">
        <v>0</v>
      </c>
      <c r="GS494">
        <v>3</v>
      </c>
      <c r="GT494">
        <v>0</v>
      </c>
      <c r="GU494" t="s">
        <v>3</v>
      </c>
      <c r="GV494">
        <f t="shared" si="433"/>
        <v>0</v>
      </c>
      <c r="GW494">
        <v>1</v>
      </c>
      <c r="GX494">
        <f t="shared" si="434"/>
        <v>0</v>
      </c>
      <c r="HA494">
        <v>0</v>
      </c>
      <c r="HB494">
        <v>0</v>
      </c>
      <c r="HC494">
        <f t="shared" si="435"/>
        <v>0</v>
      </c>
      <c r="IK494">
        <v>0</v>
      </c>
    </row>
    <row r="495" spans="1:245" x14ac:dyDescent="0.2">
      <c r="A495">
        <v>18</v>
      </c>
      <c r="B495">
        <v>1</v>
      </c>
      <c r="C495">
        <v>187</v>
      </c>
      <c r="E495" t="s">
        <v>342</v>
      </c>
      <c r="F495" t="s">
        <v>280</v>
      </c>
      <c r="G495" t="s">
        <v>281</v>
      </c>
      <c r="H495" t="s">
        <v>66</v>
      </c>
      <c r="I495">
        <f>I494*J495</f>
        <v>45.384</v>
      </c>
      <c r="J495">
        <v>6.2</v>
      </c>
      <c r="O495">
        <f t="shared" si="396"/>
        <v>44383.51</v>
      </c>
      <c r="P495">
        <f t="shared" si="397"/>
        <v>44383.51</v>
      </c>
      <c r="Q495">
        <f t="shared" si="398"/>
        <v>0</v>
      </c>
      <c r="R495">
        <f t="shared" si="399"/>
        <v>0</v>
      </c>
      <c r="S495">
        <f t="shared" si="400"/>
        <v>0</v>
      </c>
      <c r="T495">
        <f t="shared" si="401"/>
        <v>0</v>
      </c>
      <c r="U495">
        <f t="shared" si="402"/>
        <v>0</v>
      </c>
      <c r="V495">
        <f t="shared" si="403"/>
        <v>0</v>
      </c>
      <c r="W495">
        <f t="shared" si="404"/>
        <v>0</v>
      </c>
      <c r="X495">
        <f t="shared" si="405"/>
        <v>0</v>
      </c>
      <c r="Y495">
        <f t="shared" si="406"/>
        <v>0</v>
      </c>
      <c r="AA495">
        <v>33989672</v>
      </c>
      <c r="AB495">
        <f t="shared" si="407"/>
        <v>146.84</v>
      </c>
      <c r="AC495">
        <f t="shared" si="408"/>
        <v>146.84</v>
      </c>
      <c r="AD495">
        <f t="shared" si="409"/>
        <v>0</v>
      </c>
      <c r="AE495">
        <f t="shared" si="410"/>
        <v>0</v>
      </c>
      <c r="AF495">
        <f t="shared" si="411"/>
        <v>0</v>
      </c>
      <c r="AG495">
        <f t="shared" si="412"/>
        <v>0</v>
      </c>
      <c r="AH495">
        <f t="shared" si="413"/>
        <v>0</v>
      </c>
      <c r="AI495">
        <f t="shared" si="414"/>
        <v>0</v>
      </c>
      <c r="AJ495">
        <f t="shared" si="415"/>
        <v>0</v>
      </c>
      <c r="AK495">
        <v>146.84</v>
      </c>
      <c r="AL495">
        <v>146.84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1</v>
      </c>
      <c r="AW495">
        <v>1</v>
      </c>
      <c r="AZ495">
        <v>1</v>
      </c>
      <c r="BA495">
        <v>1</v>
      </c>
      <c r="BB495">
        <v>1</v>
      </c>
      <c r="BC495">
        <v>6.66</v>
      </c>
      <c r="BD495" t="s">
        <v>3</v>
      </c>
      <c r="BE495" t="s">
        <v>3</v>
      </c>
      <c r="BF495" t="s">
        <v>3</v>
      </c>
      <c r="BG495" t="s">
        <v>3</v>
      </c>
      <c r="BH495">
        <v>3</v>
      </c>
      <c r="BI495">
        <v>1</v>
      </c>
      <c r="BJ495" t="s">
        <v>282</v>
      </c>
      <c r="BM495">
        <v>292</v>
      </c>
      <c r="BN495">
        <v>0</v>
      </c>
      <c r="BO495" t="s">
        <v>280</v>
      </c>
      <c r="BP495">
        <v>1</v>
      </c>
      <c r="BQ495">
        <v>30</v>
      </c>
      <c r="BR495">
        <v>0</v>
      </c>
      <c r="BS495">
        <v>1</v>
      </c>
      <c r="BT495">
        <v>1</v>
      </c>
      <c r="BU495">
        <v>1</v>
      </c>
      <c r="BV495">
        <v>1</v>
      </c>
      <c r="BW495">
        <v>1</v>
      </c>
      <c r="BX495">
        <v>1</v>
      </c>
      <c r="BY495" t="s">
        <v>3</v>
      </c>
      <c r="BZ495">
        <v>0</v>
      </c>
      <c r="CA495">
        <v>0</v>
      </c>
      <c r="CE495">
        <v>30</v>
      </c>
      <c r="CF495">
        <v>0</v>
      </c>
      <c r="CG495">
        <v>0</v>
      </c>
      <c r="CM495">
        <v>0</v>
      </c>
      <c r="CN495" t="s">
        <v>3</v>
      </c>
      <c r="CO495">
        <v>0</v>
      </c>
      <c r="CP495">
        <f t="shared" si="416"/>
        <v>44383.51</v>
      </c>
      <c r="CQ495">
        <f t="shared" si="417"/>
        <v>977.95</v>
      </c>
      <c r="CR495">
        <f t="shared" si="418"/>
        <v>0</v>
      </c>
      <c r="CS495">
        <f t="shared" si="419"/>
        <v>0</v>
      </c>
      <c r="CT495">
        <f t="shared" si="420"/>
        <v>0</v>
      </c>
      <c r="CU495">
        <f t="shared" si="421"/>
        <v>0</v>
      </c>
      <c r="CV495">
        <f t="shared" si="422"/>
        <v>0</v>
      </c>
      <c r="CW495">
        <f t="shared" si="423"/>
        <v>0</v>
      </c>
      <c r="CX495">
        <f t="shared" si="424"/>
        <v>0</v>
      </c>
      <c r="CY495">
        <f t="shared" si="425"/>
        <v>0</v>
      </c>
      <c r="CZ495">
        <f t="shared" si="426"/>
        <v>0</v>
      </c>
      <c r="DC495" t="s">
        <v>3</v>
      </c>
      <c r="DD495" t="s">
        <v>3</v>
      </c>
      <c r="DE495" t="s">
        <v>3</v>
      </c>
      <c r="DF495" t="s">
        <v>3</v>
      </c>
      <c r="DG495" t="s">
        <v>3</v>
      </c>
      <c r="DH495" t="s">
        <v>3</v>
      </c>
      <c r="DI495" t="s">
        <v>3</v>
      </c>
      <c r="DJ495" t="s">
        <v>3</v>
      </c>
      <c r="DK495" t="s">
        <v>3</v>
      </c>
      <c r="DL495" t="s">
        <v>3</v>
      </c>
      <c r="DM495" t="s">
        <v>3</v>
      </c>
      <c r="DN495">
        <v>187</v>
      </c>
      <c r="DO495">
        <v>101</v>
      </c>
      <c r="DP495">
        <v>1</v>
      </c>
      <c r="DQ495">
        <v>1</v>
      </c>
      <c r="DU495">
        <v>1007</v>
      </c>
      <c r="DV495" t="s">
        <v>66</v>
      </c>
      <c r="DW495" t="s">
        <v>66</v>
      </c>
      <c r="DX495">
        <v>1</v>
      </c>
      <c r="EE495">
        <v>33797931</v>
      </c>
      <c r="EF495">
        <v>30</v>
      </c>
      <c r="EG495" t="s">
        <v>77</v>
      </c>
      <c r="EH495">
        <v>0</v>
      </c>
      <c r="EI495" t="s">
        <v>3</v>
      </c>
      <c r="EJ495">
        <v>1</v>
      </c>
      <c r="EK495">
        <v>292</v>
      </c>
      <c r="EL495" t="s">
        <v>312</v>
      </c>
      <c r="EM495" t="s">
        <v>313</v>
      </c>
      <c r="EO495" t="s">
        <v>3</v>
      </c>
      <c r="EQ495">
        <v>0</v>
      </c>
      <c r="ER495">
        <v>146.84</v>
      </c>
      <c r="ES495">
        <v>146.84</v>
      </c>
      <c r="ET495">
        <v>0</v>
      </c>
      <c r="EU495">
        <v>0</v>
      </c>
      <c r="EV495">
        <v>0</v>
      </c>
      <c r="EW495">
        <v>0</v>
      </c>
      <c r="EX495">
        <v>0</v>
      </c>
      <c r="FQ495">
        <v>0</v>
      </c>
      <c r="FR495">
        <f t="shared" si="427"/>
        <v>0</v>
      </c>
      <c r="FS495">
        <v>0</v>
      </c>
      <c r="FX495">
        <v>187</v>
      </c>
      <c r="FY495">
        <v>101</v>
      </c>
      <c r="GA495" t="s">
        <v>3</v>
      </c>
      <c r="GD495">
        <v>0</v>
      </c>
      <c r="GF495">
        <v>92320855</v>
      </c>
      <c r="GG495">
        <v>2</v>
      </c>
      <c r="GH495">
        <v>1</v>
      </c>
      <c r="GI495">
        <v>2</v>
      </c>
      <c r="GJ495">
        <v>0</v>
      </c>
      <c r="GK495">
        <f>ROUND(R495*(R12)/100,2)</f>
        <v>0</v>
      </c>
      <c r="GL495">
        <f t="shared" si="428"/>
        <v>0</v>
      </c>
      <c r="GM495">
        <f t="shared" si="429"/>
        <v>44383.51</v>
      </c>
      <c r="GN495">
        <f t="shared" si="430"/>
        <v>44383.51</v>
      </c>
      <c r="GO495">
        <f t="shared" si="431"/>
        <v>0</v>
      </c>
      <c r="GP495">
        <f t="shared" si="432"/>
        <v>0</v>
      </c>
      <c r="GR495">
        <v>0</v>
      </c>
      <c r="GS495">
        <v>3</v>
      </c>
      <c r="GT495">
        <v>0</v>
      </c>
      <c r="GU495" t="s">
        <v>3</v>
      </c>
      <c r="GV495">
        <f t="shared" si="433"/>
        <v>0</v>
      </c>
      <c r="GW495">
        <v>1</v>
      </c>
      <c r="GX495">
        <f t="shared" si="434"/>
        <v>0</v>
      </c>
      <c r="HA495">
        <v>0</v>
      </c>
      <c r="HB495">
        <v>0</v>
      </c>
      <c r="HC495">
        <f t="shared" si="435"/>
        <v>0</v>
      </c>
      <c r="IK495">
        <v>0</v>
      </c>
    </row>
    <row r="496" spans="1:245" x14ac:dyDescent="0.2">
      <c r="A496">
        <v>17</v>
      </c>
      <c r="B496">
        <v>1</v>
      </c>
      <c r="C496">
        <f>ROW(SmtRes!A191)</f>
        <v>191</v>
      </c>
      <c r="D496">
        <f>ROW(EtalonRes!A192)</f>
        <v>192</v>
      </c>
      <c r="E496" t="s">
        <v>343</v>
      </c>
      <c r="F496" t="s">
        <v>202</v>
      </c>
      <c r="G496" t="s">
        <v>203</v>
      </c>
      <c r="H496" t="s">
        <v>204</v>
      </c>
      <c r="I496">
        <f>ROUND(122*0.6*1.13*0.9/100,9)</f>
        <v>0.74444399999999999</v>
      </c>
      <c r="J496">
        <v>0</v>
      </c>
      <c r="O496">
        <f t="shared" si="396"/>
        <v>5795.56</v>
      </c>
      <c r="P496">
        <f t="shared" si="397"/>
        <v>0</v>
      </c>
      <c r="Q496">
        <f t="shared" si="398"/>
        <v>5537.99</v>
      </c>
      <c r="R496">
        <f t="shared" si="399"/>
        <v>2565.35</v>
      </c>
      <c r="S496">
        <f t="shared" si="400"/>
        <v>257.57</v>
      </c>
      <c r="T496">
        <f t="shared" si="401"/>
        <v>0</v>
      </c>
      <c r="U496">
        <f t="shared" si="402"/>
        <v>1.02733272</v>
      </c>
      <c r="V496">
        <f t="shared" si="403"/>
        <v>0</v>
      </c>
      <c r="W496">
        <f t="shared" si="404"/>
        <v>0</v>
      </c>
      <c r="X496">
        <f t="shared" si="405"/>
        <v>236.96</v>
      </c>
      <c r="Y496">
        <f t="shared" si="406"/>
        <v>128.79</v>
      </c>
      <c r="AA496">
        <v>33989672</v>
      </c>
      <c r="AB496">
        <f t="shared" si="407"/>
        <v>771.65</v>
      </c>
      <c r="AC496">
        <f t="shared" si="408"/>
        <v>0</v>
      </c>
      <c r="AD496">
        <f t="shared" si="409"/>
        <v>757.55</v>
      </c>
      <c r="AE496">
        <f t="shared" si="410"/>
        <v>140.47999999999999</v>
      </c>
      <c r="AF496">
        <f t="shared" si="411"/>
        <v>14.1</v>
      </c>
      <c r="AG496">
        <f t="shared" si="412"/>
        <v>0</v>
      </c>
      <c r="AH496">
        <f t="shared" si="413"/>
        <v>1.38</v>
      </c>
      <c r="AI496">
        <f t="shared" si="414"/>
        <v>0</v>
      </c>
      <c r="AJ496">
        <f t="shared" si="415"/>
        <v>0</v>
      </c>
      <c r="AK496">
        <v>771.65</v>
      </c>
      <c r="AL496">
        <v>0</v>
      </c>
      <c r="AM496">
        <v>757.55</v>
      </c>
      <c r="AN496">
        <v>140.47999999999999</v>
      </c>
      <c r="AO496">
        <v>14.1</v>
      </c>
      <c r="AP496">
        <v>0</v>
      </c>
      <c r="AQ496">
        <v>1.38</v>
      </c>
      <c r="AR496">
        <v>0</v>
      </c>
      <c r="AS496">
        <v>0</v>
      </c>
      <c r="AT496">
        <v>92</v>
      </c>
      <c r="AU496">
        <v>50</v>
      </c>
      <c r="AV496">
        <v>1</v>
      </c>
      <c r="AW496">
        <v>1</v>
      </c>
      <c r="AZ496">
        <v>1</v>
      </c>
      <c r="BA496">
        <v>24.53</v>
      </c>
      <c r="BB496">
        <v>9.82</v>
      </c>
      <c r="BC496">
        <v>1</v>
      </c>
      <c r="BD496" t="s">
        <v>3</v>
      </c>
      <c r="BE496" t="s">
        <v>3</v>
      </c>
      <c r="BF496" t="s">
        <v>3</v>
      </c>
      <c r="BG496" t="s">
        <v>3</v>
      </c>
      <c r="BH496">
        <v>0</v>
      </c>
      <c r="BI496">
        <v>1</v>
      </c>
      <c r="BJ496" t="s">
        <v>205</v>
      </c>
      <c r="BM496">
        <v>2</v>
      </c>
      <c r="BN496">
        <v>0</v>
      </c>
      <c r="BO496" t="s">
        <v>202</v>
      </c>
      <c r="BP496">
        <v>1</v>
      </c>
      <c r="BQ496">
        <v>30</v>
      </c>
      <c r="BR496">
        <v>0</v>
      </c>
      <c r="BS496">
        <v>24.53</v>
      </c>
      <c r="BT496">
        <v>1</v>
      </c>
      <c r="BU496">
        <v>1</v>
      </c>
      <c r="BV496">
        <v>1</v>
      </c>
      <c r="BW496">
        <v>1</v>
      </c>
      <c r="BX496">
        <v>1</v>
      </c>
      <c r="BY496" t="s">
        <v>3</v>
      </c>
      <c r="BZ496">
        <v>92</v>
      </c>
      <c r="CA496">
        <v>50</v>
      </c>
      <c r="CE496">
        <v>30</v>
      </c>
      <c r="CF496">
        <v>0</v>
      </c>
      <c r="CG496">
        <v>0</v>
      </c>
      <c r="CM496">
        <v>0</v>
      </c>
      <c r="CN496" t="s">
        <v>3</v>
      </c>
      <c r="CO496">
        <v>0</v>
      </c>
      <c r="CP496">
        <f t="shared" si="416"/>
        <v>5795.5599999999995</v>
      </c>
      <c r="CQ496">
        <f t="shared" si="417"/>
        <v>0</v>
      </c>
      <c r="CR496">
        <f t="shared" si="418"/>
        <v>7439.14</v>
      </c>
      <c r="CS496">
        <f t="shared" si="419"/>
        <v>3445.97</v>
      </c>
      <c r="CT496">
        <f t="shared" si="420"/>
        <v>345.87</v>
      </c>
      <c r="CU496">
        <f t="shared" si="421"/>
        <v>0</v>
      </c>
      <c r="CV496">
        <f t="shared" si="422"/>
        <v>1.38</v>
      </c>
      <c r="CW496">
        <f t="shared" si="423"/>
        <v>0</v>
      </c>
      <c r="CX496">
        <f t="shared" si="424"/>
        <v>0</v>
      </c>
      <c r="CY496">
        <f t="shared" si="425"/>
        <v>236.96440000000001</v>
      </c>
      <c r="CZ496">
        <f t="shared" si="426"/>
        <v>128.785</v>
      </c>
      <c r="DC496" t="s">
        <v>3</v>
      </c>
      <c r="DD496" t="s">
        <v>3</v>
      </c>
      <c r="DE496" t="s">
        <v>3</v>
      </c>
      <c r="DF496" t="s">
        <v>3</v>
      </c>
      <c r="DG496" t="s">
        <v>3</v>
      </c>
      <c r="DH496" t="s">
        <v>3</v>
      </c>
      <c r="DI496" t="s">
        <v>3</v>
      </c>
      <c r="DJ496" t="s">
        <v>3</v>
      </c>
      <c r="DK496" t="s">
        <v>3</v>
      </c>
      <c r="DL496" t="s">
        <v>3</v>
      </c>
      <c r="DM496" t="s">
        <v>3</v>
      </c>
      <c r="DN496">
        <v>98</v>
      </c>
      <c r="DO496">
        <v>77</v>
      </c>
      <c r="DP496">
        <v>1</v>
      </c>
      <c r="DQ496">
        <v>1</v>
      </c>
      <c r="DU496">
        <v>1013</v>
      </c>
      <c r="DV496" t="s">
        <v>204</v>
      </c>
      <c r="DW496" t="s">
        <v>204</v>
      </c>
      <c r="DX496">
        <v>1</v>
      </c>
      <c r="EE496">
        <v>33797685</v>
      </c>
      <c r="EF496">
        <v>30</v>
      </c>
      <c r="EG496" t="s">
        <v>77</v>
      </c>
      <c r="EH496">
        <v>0</v>
      </c>
      <c r="EI496" t="s">
        <v>3</v>
      </c>
      <c r="EJ496">
        <v>1</v>
      </c>
      <c r="EK496">
        <v>2</v>
      </c>
      <c r="EL496" t="s">
        <v>206</v>
      </c>
      <c r="EM496" t="s">
        <v>207</v>
      </c>
      <c r="EO496" t="s">
        <v>3</v>
      </c>
      <c r="EQ496">
        <v>131072</v>
      </c>
      <c r="ER496">
        <v>771.65</v>
      </c>
      <c r="ES496">
        <v>0</v>
      </c>
      <c r="ET496">
        <v>757.55</v>
      </c>
      <c r="EU496">
        <v>140.47999999999999</v>
      </c>
      <c r="EV496">
        <v>14.1</v>
      </c>
      <c r="EW496">
        <v>1.38</v>
      </c>
      <c r="EX496">
        <v>0</v>
      </c>
      <c r="EY496">
        <v>0</v>
      </c>
      <c r="FQ496">
        <v>0</v>
      </c>
      <c r="FR496">
        <f t="shared" si="427"/>
        <v>0</v>
      </c>
      <c r="FS496">
        <v>0</v>
      </c>
      <c r="FX496">
        <v>98</v>
      </c>
      <c r="FY496">
        <v>77</v>
      </c>
      <c r="GA496" t="s">
        <v>3</v>
      </c>
      <c r="GD496">
        <v>0</v>
      </c>
      <c r="GF496">
        <v>445216503</v>
      </c>
      <c r="GG496">
        <v>2</v>
      </c>
      <c r="GH496">
        <v>1</v>
      </c>
      <c r="GI496">
        <v>2</v>
      </c>
      <c r="GJ496">
        <v>0</v>
      </c>
      <c r="GK496">
        <f>ROUND(R496*(R12)/100,2)</f>
        <v>4027.6</v>
      </c>
      <c r="GL496">
        <f t="shared" si="428"/>
        <v>0</v>
      </c>
      <c r="GM496">
        <f t="shared" si="429"/>
        <v>10188.91</v>
      </c>
      <c r="GN496">
        <f t="shared" si="430"/>
        <v>10188.91</v>
      </c>
      <c r="GO496">
        <f t="shared" si="431"/>
        <v>0</v>
      </c>
      <c r="GP496">
        <f t="shared" si="432"/>
        <v>0</v>
      </c>
      <c r="GR496">
        <v>0</v>
      </c>
      <c r="GS496">
        <v>3</v>
      </c>
      <c r="GT496">
        <v>0</v>
      </c>
      <c r="GU496" t="s">
        <v>3</v>
      </c>
      <c r="GV496">
        <f t="shared" si="433"/>
        <v>0</v>
      </c>
      <c r="GW496">
        <v>1</v>
      </c>
      <c r="GX496">
        <f t="shared" si="434"/>
        <v>0</v>
      </c>
      <c r="HA496">
        <v>0</v>
      </c>
      <c r="HB496">
        <v>0</v>
      </c>
      <c r="HC496">
        <f t="shared" si="435"/>
        <v>0</v>
      </c>
      <c r="IK496">
        <v>0</v>
      </c>
    </row>
    <row r="497" spans="1:245" x14ac:dyDescent="0.2">
      <c r="A497">
        <v>17</v>
      </c>
      <c r="B497">
        <v>1</v>
      </c>
      <c r="C497">
        <f>ROW(SmtRes!A192)</f>
        <v>192</v>
      </c>
      <c r="D497">
        <f>ROW(EtalonRes!A193)</f>
        <v>193</v>
      </c>
      <c r="E497" t="s">
        <v>344</v>
      </c>
      <c r="F497" t="s">
        <v>215</v>
      </c>
      <c r="G497" t="s">
        <v>216</v>
      </c>
      <c r="H497" t="s">
        <v>204</v>
      </c>
      <c r="I497">
        <f>ROUND(122*0.6*1.13*0.1/100,9)</f>
        <v>8.2715999999999998E-2</v>
      </c>
      <c r="J497">
        <v>0</v>
      </c>
      <c r="O497">
        <f t="shared" si="396"/>
        <v>1613.34</v>
      </c>
      <c r="P497">
        <f t="shared" si="397"/>
        <v>0</v>
      </c>
      <c r="Q497">
        <f t="shared" si="398"/>
        <v>0</v>
      </c>
      <c r="R497">
        <f t="shared" si="399"/>
        <v>0</v>
      </c>
      <c r="S497">
        <f t="shared" si="400"/>
        <v>1613.34</v>
      </c>
      <c r="T497">
        <f t="shared" si="401"/>
        <v>0</v>
      </c>
      <c r="U497">
        <f t="shared" si="402"/>
        <v>6.8654279999999996</v>
      </c>
      <c r="V497">
        <f t="shared" si="403"/>
        <v>0</v>
      </c>
      <c r="W497">
        <f t="shared" si="404"/>
        <v>0</v>
      </c>
      <c r="X497">
        <f t="shared" si="405"/>
        <v>1177.74</v>
      </c>
      <c r="Y497">
        <f t="shared" si="406"/>
        <v>661.47</v>
      </c>
      <c r="AA497">
        <v>33989672</v>
      </c>
      <c r="AB497">
        <f t="shared" si="407"/>
        <v>795.14</v>
      </c>
      <c r="AC497">
        <f t="shared" si="408"/>
        <v>0</v>
      </c>
      <c r="AD497">
        <f t="shared" si="409"/>
        <v>0</v>
      </c>
      <c r="AE497">
        <f t="shared" si="410"/>
        <v>0</v>
      </c>
      <c r="AF497">
        <f t="shared" si="411"/>
        <v>795.14</v>
      </c>
      <c r="AG497">
        <f t="shared" si="412"/>
        <v>0</v>
      </c>
      <c r="AH497">
        <f t="shared" si="413"/>
        <v>83</v>
      </c>
      <c r="AI497">
        <f t="shared" si="414"/>
        <v>0</v>
      </c>
      <c r="AJ497">
        <f t="shared" si="415"/>
        <v>0</v>
      </c>
      <c r="AK497">
        <v>795.14</v>
      </c>
      <c r="AL497">
        <v>0</v>
      </c>
      <c r="AM497">
        <v>0</v>
      </c>
      <c r="AN497">
        <v>0</v>
      </c>
      <c r="AO497">
        <v>795.14</v>
      </c>
      <c r="AP497">
        <v>0</v>
      </c>
      <c r="AQ497">
        <v>83</v>
      </c>
      <c r="AR497">
        <v>0</v>
      </c>
      <c r="AS497">
        <v>0</v>
      </c>
      <c r="AT497">
        <v>73</v>
      </c>
      <c r="AU497">
        <v>41</v>
      </c>
      <c r="AV497">
        <v>1</v>
      </c>
      <c r="AW497">
        <v>1</v>
      </c>
      <c r="AZ497">
        <v>1</v>
      </c>
      <c r="BA497">
        <v>24.53</v>
      </c>
      <c r="BB497">
        <v>1</v>
      </c>
      <c r="BC497">
        <v>1</v>
      </c>
      <c r="BD497" t="s">
        <v>3</v>
      </c>
      <c r="BE497" t="s">
        <v>3</v>
      </c>
      <c r="BF497" t="s">
        <v>3</v>
      </c>
      <c r="BG497" t="s">
        <v>3</v>
      </c>
      <c r="BH497">
        <v>0</v>
      </c>
      <c r="BI497">
        <v>1</v>
      </c>
      <c r="BJ497" t="s">
        <v>217</v>
      </c>
      <c r="BM497">
        <v>393</v>
      </c>
      <c r="BN497">
        <v>0</v>
      </c>
      <c r="BO497" t="s">
        <v>215</v>
      </c>
      <c r="BP497">
        <v>1</v>
      </c>
      <c r="BQ497">
        <v>60</v>
      </c>
      <c r="BR497">
        <v>0</v>
      </c>
      <c r="BS497">
        <v>24.53</v>
      </c>
      <c r="BT497">
        <v>1</v>
      </c>
      <c r="BU497">
        <v>1</v>
      </c>
      <c r="BV497">
        <v>1</v>
      </c>
      <c r="BW497">
        <v>1</v>
      </c>
      <c r="BX497">
        <v>1</v>
      </c>
      <c r="BY497" t="s">
        <v>3</v>
      </c>
      <c r="BZ497">
        <v>73</v>
      </c>
      <c r="CA497">
        <v>41</v>
      </c>
      <c r="CE497">
        <v>30</v>
      </c>
      <c r="CF497">
        <v>0</v>
      </c>
      <c r="CG497">
        <v>0</v>
      </c>
      <c r="CM497">
        <v>0</v>
      </c>
      <c r="CN497" t="s">
        <v>3</v>
      </c>
      <c r="CO497">
        <v>0</v>
      </c>
      <c r="CP497">
        <f t="shared" si="416"/>
        <v>1613.34</v>
      </c>
      <c r="CQ497">
        <f t="shared" si="417"/>
        <v>0</v>
      </c>
      <c r="CR497">
        <f t="shared" si="418"/>
        <v>0</v>
      </c>
      <c r="CS497">
        <f t="shared" si="419"/>
        <v>0</v>
      </c>
      <c r="CT497">
        <f t="shared" si="420"/>
        <v>19504.78</v>
      </c>
      <c r="CU497">
        <f t="shared" si="421"/>
        <v>0</v>
      </c>
      <c r="CV497">
        <f t="shared" si="422"/>
        <v>83</v>
      </c>
      <c r="CW497">
        <f t="shared" si="423"/>
        <v>0</v>
      </c>
      <c r="CX497">
        <f t="shared" si="424"/>
        <v>0</v>
      </c>
      <c r="CY497">
        <f t="shared" si="425"/>
        <v>1177.7382</v>
      </c>
      <c r="CZ497">
        <f t="shared" si="426"/>
        <v>661.46939999999995</v>
      </c>
      <c r="DC497" t="s">
        <v>3</v>
      </c>
      <c r="DD497" t="s">
        <v>3</v>
      </c>
      <c r="DE497" t="s">
        <v>3</v>
      </c>
      <c r="DF497" t="s">
        <v>3</v>
      </c>
      <c r="DG497" t="s">
        <v>3</v>
      </c>
      <c r="DH497" t="s">
        <v>3</v>
      </c>
      <c r="DI497" t="s">
        <v>3</v>
      </c>
      <c r="DJ497" t="s">
        <v>3</v>
      </c>
      <c r="DK497" t="s">
        <v>3</v>
      </c>
      <c r="DL497" t="s">
        <v>3</v>
      </c>
      <c r="DM497" t="s">
        <v>3</v>
      </c>
      <c r="DN497">
        <v>91</v>
      </c>
      <c r="DO497">
        <v>67</v>
      </c>
      <c r="DP497">
        <v>1</v>
      </c>
      <c r="DQ497">
        <v>1</v>
      </c>
      <c r="DU497">
        <v>1013</v>
      </c>
      <c r="DV497" t="s">
        <v>204</v>
      </c>
      <c r="DW497" t="s">
        <v>204</v>
      </c>
      <c r="DX497">
        <v>1</v>
      </c>
      <c r="EE497">
        <v>33798032</v>
      </c>
      <c r="EF497">
        <v>60</v>
      </c>
      <c r="EG497" t="s">
        <v>20</v>
      </c>
      <c r="EH497">
        <v>0</v>
      </c>
      <c r="EI497" t="s">
        <v>3</v>
      </c>
      <c r="EJ497">
        <v>1</v>
      </c>
      <c r="EK497">
        <v>393</v>
      </c>
      <c r="EL497" t="s">
        <v>218</v>
      </c>
      <c r="EM497" t="s">
        <v>219</v>
      </c>
      <c r="EO497" t="s">
        <v>3</v>
      </c>
      <c r="EQ497">
        <v>131072</v>
      </c>
      <c r="ER497">
        <v>795.14</v>
      </c>
      <c r="ES497">
        <v>0</v>
      </c>
      <c r="ET497">
        <v>0</v>
      </c>
      <c r="EU497">
        <v>0</v>
      </c>
      <c r="EV497">
        <v>795.14</v>
      </c>
      <c r="EW497">
        <v>83</v>
      </c>
      <c r="EX497">
        <v>0</v>
      </c>
      <c r="EY497">
        <v>0</v>
      </c>
      <c r="FQ497">
        <v>0</v>
      </c>
      <c r="FR497">
        <f t="shared" si="427"/>
        <v>0</v>
      </c>
      <c r="FS497">
        <v>0</v>
      </c>
      <c r="FX497">
        <v>91</v>
      </c>
      <c r="FY497">
        <v>67</v>
      </c>
      <c r="GA497" t="s">
        <v>3</v>
      </c>
      <c r="GD497">
        <v>0</v>
      </c>
      <c r="GF497">
        <v>2144161260</v>
      </c>
      <c r="GG497">
        <v>2</v>
      </c>
      <c r="GH497">
        <v>1</v>
      </c>
      <c r="GI497">
        <v>2</v>
      </c>
      <c r="GJ497">
        <v>0</v>
      </c>
      <c r="GK497">
        <f>ROUND(R497*(R12)/100,2)</f>
        <v>0</v>
      </c>
      <c r="GL497">
        <f t="shared" si="428"/>
        <v>0</v>
      </c>
      <c r="GM497">
        <f t="shared" si="429"/>
        <v>3452.55</v>
      </c>
      <c r="GN497">
        <f t="shared" si="430"/>
        <v>3452.55</v>
      </c>
      <c r="GO497">
        <f t="shared" si="431"/>
        <v>0</v>
      </c>
      <c r="GP497">
        <f t="shared" si="432"/>
        <v>0</v>
      </c>
      <c r="GR497">
        <v>0</v>
      </c>
      <c r="GS497">
        <v>3</v>
      </c>
      <c r="GT497">
        <v>0</v>
      </c>
      <c r="GU497" t="s">
        <v>3</v>
      </c>
      <c r="GV497">
        <f t="shared" si="433"/>
        <v>0</v>
      </c>
      <c r="GW497">
        <v>1</v>
      </c>
      <c r="GX497">
        <f t="shared" si="434"/>
        <v>0</v>
      </c>
      <c r="HA497">
        <v>0</v>
      </c>
      <c r="HB497">
        <v>0</v>
      </c>
      <c r="HC497">
        <f t="shared" si="435"/>
        <v>0</v>
      </c>
      <c r="IK497">
        <v>0</v>
      </c>
    </row>
    <row r="498" spans="1:245" x14ac:dyDescent="0.2">
      <c r="A498">
        <v>17</v>
      </c>
      <c r="B498">
        <v>1</v>
      </c>
      <c r="C498">
        <f>ROW(SmtRes!A193)</f>
        <v>193</v>
      </c>
      <c r="D498">
        <f>ROW(EtalonRes!A194)</f>
        <v>194</v>
      </c>
      <c r="E498" t="s">
        <v>345</v>
      </c>
      <c r="F498" t="s">
        <v>271</v>
      </c>
      <c r="G498" t="s">
        <v>272</v>
      </c>
      <c r="H498" t="s">
        <v>51</v>
      </c>
      <c r="I498">
        <v>0</v>
      </c>
      <c r="J498">
        <v>0</v>
      </c>
      <c r="O498">
        <f t="shared" si="396"/>
        <v>0</v>
      </c>
      <c r="P498">
        <f t="shared" si="397"/>
        <v>0</v>
      </c>
      <c r="Q498">
        <f t="shared" si="398"/>
        <v>0</v>
      </c>
      <c r="R498">
        <f t="shared" si="399"/>
        <v>0</v>
      </c>
      <c r="S498">
        <f t="shared" si="400"/>
        <v>0</v>
      </c>
      <c r="T498">
        <f t="shared" si="401"/>
        <v>0</v>
      </c>
      <c r="U498">
        <f t="shared" si="402"/>
        <v>0</v>
      </c>
      <c r="V498">
        <f t="shared" si="403"/>
        <v>0</v>
      </c>
      <c r="W498">
        <f t="shared" si="404"/>
        <v>0</v>
      </c>
      <c r="X498">
        <f t="shared" si="405"/>
        <v>0</v>
      </c>
      <c r="Y498">
        <f t="shared" si="406"/>
        <v>0</v>
      </c>
      <c r="AA498">
        <v>33989672</v>
      </c>
      <c r="AB498">
        <f t="shared" si="407"/>
        <v>50.8</v>
      </c>
      <c r="AC498">
        <f t="shared" si="408"/>
        <v>0</v>
      </c>
      <c r="AD498">
        <f t="shared" si="409"/>
        <v>50.8</v>
      </c>
      <c r="AE498">
        <f t="shared" si="410"/>
        <v>0</v>
      </c>
      <c r="AF498">
        <f t="shared" si="411"/>
        <v>0</v>
      </c>
      <c r="AG498">
        <f t="shared" si="412"/>
        <v>0</v>
      </c>
      <c r="AH498">
        <f t="shared" si="413"/>
        <v>0</v>
      </c>
      <c r="AI498">
        <f t="shared" si="414"/>
        <v>0</v>
      </c>
      <c r="AJ498">
        <f t="shared" si="415"/>
        <v>0</v>
      </c>
      <c r="AK498">
        <v>50.8</v>
      </c>
      <c r="AL498">
        <v>0</v>
      </c>
      <c r="AM498">
        <v>50.8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93</v>
      </c>
      <c r="AU498">
        <v>64</v>
      </c>
      <c r="AV498">
        <v>1</v>
      </c>
      <c r="AW498">
        <v>1</v>
      </c>
      <c r="AZ498">
        <v>1</v>
      </c>
      <c r="BA498">
        <v>1</v>
      </c>
      <c r="BB498">
        <v>10.61</v>
      </c>
      <c r="BC498">
        <v>1</v>
      </c>
      <c r="BD498" t="s">
        <v>3</v>
      </c>
      <c r="BE498" t="s">
        <v>3</v>
      </c>
      <c r="BF498" t="s">
        <v>3</v>
      </c>
      <c r="BG498" t="s">
        <v>3</v>
      </c>
      <c r="BH498">
        <v>0</v>
      </c>
      <c r="BI498">
        <v>4</v>
      </c>
      <c r="BJ498" t="s">
        <v>273</v>
      </c>
      <c r="BM498">
        <v>1111</v>
      </c>
      <c r="BN498">
        <v>0</v>
      </c>
      <c r="BO498" t="s">
        <v>271</v>
      </c>
      <c r="BP498">
        <v>1</v>
      </c>
      <c r="BQ498">
        <v>150</v>
      </c>
      <c r="BR498">
        <v>0</v>
      </c>
      <c r="BS498">
        <v>1</v>
      </c>
      <c r="BT498">
        <v>1</v>
      </c>
      <c r="BU498">
        <v>1</v>
      </c>
      <c r="BV498">
        <v>1</v>
      </c>
      <c r="BW498">
        <v>1</v>
      </c>
      <c r="BX498">
        <v>1</v>
      </c>
      <c r="BY498" t="s">
        <v>3</v>
      </c>
      <c r="BZ498">
        <v>93</v>
      </c>
      <c r="CA498">
        <v>64</v>
      </c>
      <c r="CE498">
        <v>30</v>
      </c>
      <c r="CF498">
        <v>0</v>
      </c>
      <c r="CG498">
        <v>0</v>
      </c>
      <c r="CM498">
        <v>0</v>
      </c>
      <c r="CN498" t="s">
        <v>3</v>
      </c>
      <c r="CO498">
        <v>0</v>
      </c>
      <c r="CP498">
        <f t="shared" si="416"/>
        <v>0</v>
      </c>
      <c r="CQ498">
        <f t="shared" si="417"/>
        <v>0</v>
      </c>
      <c r="CR498">
        <f t="shared" si="418"/>
        <v>538.99</v>
      </c>
      <c r="CS498">
        <f t="shared" si="419"/>
        <v>0</v>
      </c>
      <c r="CT498">
        <f t="shared" si="420"/>
        <v>0</v>
      </c>
      <c r="CU498">
        <f t="shared" si="421"/>
        <v>0</v>
      </c>
      <c r="CV498">
        <f t="shared" si="422"/>
        <v>0</v>
      </c>
      <c r="CW498">
        <f t="shared" si="423"/>
        <v>0</v>
      </c>
      <c r="CX498">
        <f t="shared" si="424"/>
        <v>0</v>
      </c>
      <c r="CY498">
        <f t="shared" si="425"/>
        <v>0</v>
      </c>
      <c r="CZ498">
        <f t="shared" si="426"/>
        <v>0</v>
      </c>
      <c r="DC498" t="s">
        <v>3</v>
      </c>
      <c r="DD498" t="s">
        <v>3</v>
      </c>
      <c r="DE498" t="s">
        <v>3</v>
      </c>
      <c r="DF498" t="s">
        <v>3</v>
      </c>
      <c r="DG498" t="s">
        <v>3</v>
      </c>
      <c r="DH498" t="s">
        <v>3</v>
      </c>
      <c r="DI498" t="s">
        <v>3</v>
      </c>
      <c r="DJ498" t="s">
        <v>3</v>
      </c>
      <c r="DK498" t="s">
        <v>3</v>
      </c>
      <c r="DL498" t="s">
        <v>3</v>
      </c>
      <c r="DM498" t="s">
        <v>3</v>
      </c>
      <c r="DN498">
        <v>0</v>
      </c>
      <c r="DO498">
        <v>0</v>
      </c>
      <c r="DP498">
        <v>1</v>
      </c>
      <c r="DQ498">
        <v>1</v>
      </c>
      <c r="DU498">
        <v>1009</v>
      </c>
      <c r="DV498" t="s">
        <v>51</v>
      </c>
      <c r="DW498" t="s">
        <v>51</v>
      </c>
      <c r="DX498">
        <v>1000</v>
      </c>
      <c r="EE498">
        <v>33798750</v>
      </c>
      <c r="EF498">
        <v>150</v>
      </c>
      <c r="EG498" t="s">
        <v>53</v>
      </c>
      <c r="EH498">
        <v>0</v>
      </c>
      <c r="EI498" t="s">
        <v>3</v>
      </c>
      <c r="EJ498">
        <v>4</v>
      </c>
      <c r="EK498">
        <v>1111</v>
      </c>
      <c r="EL498" t="s">
        <v>224</v>
      </c>
      <c r="EM498" t="s">
        <v>225</v>
      </c>
      <c r="EO498" t="s">
        <v>3</v>
      </c>
      <c r="EQ498">
        <v>131072</v>
      </c>
      <c r="ER498">
        <v>50.8</v>
      </c>
      <c r="ES498">
        <v>0</v>
      </c>
      <c r="ET498">
        <v>50.8</v>
      </c>
      <c r="EU498">
        <v>0</v>
      </c>
      <c r="EV498">
        <v>0</v>
      </c>
      <c r="EW498">
        <v>0</v>
      </c>
      <c r="EX498">
        <v>0</v>
      </c>
      <c r="EY498">
        <v>0</v>
      </c>
      <c r="FQ498">
        <v>0</v>
      </c>
      <c r="FR498">
        <f t="shared" si="427"/>
        <v>0</v>
      </c>
      <c r="FS498">
        <v>0</v>
      </c>
      <c r="FX498">
        <v>0</v>
      </c>
      <c r="FY498">
        <v>0</v>
      </c>
      <c r="GA498" t="s">
        <v>3</v>
      </c>
      <c r="GD498">
        <v>0</v>
      </c>
      <c r="GF498">
        <v>-1019048002</v>
      </c>
      <c r="GG498">
        <v>2</v>
      </c>
      <c r="GH498">
        <v>1</v>
      </c>
      <c r="GI498">
        <v>2</v>
      </c>
      <c r="GJ498">
        <v>0</v>
      </c>
      <c r="GK498">
        <f>ROUND(R498*(R12)/100,2)</f>
        <v>0</v>
      </c>
      <c r="GL498">
        <f t="shared" si="428"/>
        <v>0</v>
      </c>
      <c r="GM498">
        <f t="shared" si="429"/>
        <v>0</v>
      </c>
      <c r="GN498">
        <f t="shared" si="430"/>
        <v>0</v>
      </c>
      <c r="GO498">
        <f t="shared" si="431"/>
        <v>0</v>
      </c>
      <c r="GP498">
        <f t="shared" si="432"/>
        <v>0</v>
      </c>
      <c r="GR498">
        <v>0</v>
      </c>
      <c r="GS498">
        <v>3</v>
      </c>
      <c r="GT498">
        <v>0</v>
      </c>
      <c r="GU498" t="s">
        <v>3</v>
      </c>
      <c r="GV498">
        <f t="shared" si="433"/>
        <v>0</v>
      </c>
      <c r="GW498">
        <v>1</v>
      </c>
      <c r="GX498">
        <f t="shared" si="434"/>
        <v>0</v>
      </c>
      <c r="HA498">
        <v>0</v>
      </c>
      <c r="HB498">
        <v>0</v>
      </c>
      <c r="HC498">
        <f t="shared" si="435"/>
        <v>0</v>
      </c>
      <c r="IK498">
        <v>0</v>
      </c>
    </row>
    <row r="499" spans="1:245" x14ac:dyDescent="0.2">
      <c r="A499">
        <v>17</v>
      </c>
      <c r="B499">
        <v>1</v>
      </c>
      <c r="C499">
        <f>ROW(SmtRes!A194)</f>
        <v>194</v>
      </c>
      <c r="D499">
        <f>ROW(EtalonRes!A195)</f>
        <v>195</v>
      </c>
      <c r="E499" t="s">
        <v>346</v>
      </c>
      <c r="F499" t="s">
        <v>227</v>
      </c>
      <c r="G499" t="s">
        <v>228</v>
      </c>
      <c r="H499" t="s">
        <v>38</v>
      </c>
      <c r="I499">
        <f>ROUND(I498,9)</f>
        <v>0</v>
      </c>
      <c r="J499">
        <v>0</v>
      </c>
      <c r="O499">
        <f t="shared" si="396"/>
        <v>0</v>
      </c>
      <c r="P499">
        <f t="shared" si="397"/>
        <v>0</v>
      </c>
      <c r="Q499">
        <f t="shared" si="398"/>
        <v>0</v>
      </c>
      <c r="R499">
        <f t="shared" si="399"/>
        <v>0</v>
      </c>
      <c r="S499">
        <f t="shared" si="400"/>
        <v>0</v>
      </c>
      <c r="T499">
        <f t="shared" si="401"/>
        <v>0</v>
      </c>
      <c r="U499">
        <f t="shared" si="402"/>
        <v>0</v>
      </c>
      <c r="V499">
        <f t="shared" si="403"/>
        <v>0</v>
      </c>
      <c r="W499">
        <f t="shared" si="404"/>
        <v>0</v>
      </c>
      <c r="X499">
        <f t="shared" si="405"/>
        <v>0</v>
      </c>
      <c r="Y499">
        <f t="shared" si="406"/>
        <v>0</v>
      </c>
      <c r="AA499">
        <v>33989672</v>
      </c>
      <c r="AB499">
        <f t="shared" si="407"/>
        <v>12.61</v>
      </c>
      <c r="AC499">
        <f t="shared" si="408"/>
        <v>0</v>
      </c>
      <c r="AD499">
        <f t="shared" si="409"/>
        <v>12.61</v>
      </c>
      <c r="AE499">
        <f t="shared" si="410"/>
        <v>0</v>
      </c>
      <c r="AF499">
        <f t="shared" si="411"/>
        <v>0</v>
      </c>
      <c r="AG499">
        <f t="shared" si="412"/>
        <v>0</v>
      </c>
      <c r="AH499">
        <f t="shared" si="413"/>
        <v>0</v>
      </c>
      <c r="AI499">
        <f t="shared" si="414"/>
        <v>0</v>
      </c>
      <c r="AJ499">
        <f t="shared" si="415"/>
        <v>0</v>
      </c>
      <c r="AK499">
        <v>12.61</v>
      </c>
      <c r="AL499">
        <v>0</v>
      </c>
      <c r="AM499">
        <v>12.61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93</v>
      </c>
      <c r="AU499">
        <v>64</v>
      </c>
      <c r="AV499">
        <v>1</v>
      </c>
      <c r="AW499">
        <v>1</v>
      </c>
      <c r="AZ499">
        <v>1</v>
      </c>
      <c r="BA499">
        <v>1</v>
      </c>
      <c r="BB499">
        <v>7.63</v>
      </c>
      <c r="BC499">
        <v>1</v>
      </c>
      <c r="BD499" t="s">
        <v>3</v>
      </c>
      <c r="BE499" t="s">
        <v>3</v>
      </c>
      <c r="BF499" t="s">
        <v>3</v>
      </c>
      <c r="BG499" t="s">
        <v>3</v>
      </c>
      <c r="BH499">
        <v>0</v>
      </c>
      <c r="BI499">
        <v>4</v>
      </c>
      <c r="BJ499" t="s">
        <v>229</v>
      </c>
      <c r="BM499">
        <v>1113</v>
      </c>
      <c r="BN499">
        <v>0</v>
      </c>
      <c r="BO499" t="s">
        <v>227</v>
      </c>
      <c r="BP499">
        <v>1</v>
      </c>
      <c r="BQ499">
        <v>150</v>
      </c>
      <c r="BR499">
        <v>0</v>
      </c>
      <c r="BS499">
        <v>1</v>
      </c>
      <c r="BT499">
        <v>1</v>
      </c>
      <c r="BU499">
        <v>1</v>
      </c>
      <c r="BV499">
        <v>1</v>
      </c>
      <c r="BW499">
        <v>1</v>
      </c>
      <c r="BX499">
        <v>1</v>
      </c>
      <c r="BY499" t="s">
        <v>3</v>
      </c>
      <c r="BZ499">
        <v>93</v>
      </c>
      <c r="CA499">
        <v>64</v>
      </c>
      <c r="CE499">
        <v>30</v>
      </c>
      <c r="CF499">
        <v>0</v>
      </c>
      <c r="CG499">
        <v>0</v>
      </c>
      <c r="CM499">
        <v>0</v>
      </c>
      <c r="CN499" t="s">
        <v>3</v>
      </c>
      <c r="CO499">
        <v>0</v>
      </c>
      <c r="CP499">
        <f t="shared" si="416"/>
        <v>0</v>
      </c>
      <c r="CQ499">
        <f t="shared" si="417"/>
        <v>0</v>
      </c>
      <c r="CR499">
        <f t="shared" si="418"/>
        <v>96.21</v>
      </c>
      <c r="CS499">
        <f t="shared" si="419"/>
        <v>0</v>
      </c>
      <c r="CT499">
        <f t="shared" si="420"/>
        <v>0</v>
      </c>
      <c r="CU499">
        <f t="shared" si="421"/>
        <v>0</v>
      </c>
      <c r="CV499">
        <f t="shared" si="422"/>
        <v>0</v>
      </c>
      <c r="CW499">
        <f t="shared" si="423"/>
        <v>0</v>
      </c>
      <c r="CX499">
        <f t="shared" si="424"/>
        <v>0</v>
      </c>
      <c r="CY499">
        <f t="shared" si="425"/>
        <v>0</v>
      </c>
      <c r="CZ499">
        <f t="shared" si="426"/>
        <v>0</v>
      </c>
      <c r="DC499" t="s">
        <v>3</v>
      </c>
      <c r="DD499" t="s">
        <v>3</v>
      </c>
      <c r="DE499" t="s">
        <v>3</v>
      </c>
      <c r="DF499" t="s">
        <v>3</v>
      </c>
      <c r="DG499" t="s">
        <v>3</v>
      </c>
      <c r="DH499" t="s">
        <v>3</v>
      </c>
      <c r="DI499" t="s">
        <v>3</v>
      </c>
      <c r="DJ499" t="s">
        <v>3</v>
      </c>
      <c r="DK499" t="s">
        <v>3</v>
      </c>
      <c r="DL499" t="s">
        <v>3</v>
      </c>
      <c r="DM499" t="s">
        <v>3</v>
      </c>
      <c r="DN499">
        <v>0</v>
      </c>
      <c r="DO499">
        <v>0</v>
      </c>
      <c r="DP499">
        <v>1</v>
      </c>
      <c r="DQ499">
        <v>1</v>
      </c>
      <c r="DU499">
        <v>1013</v>
      </c>
      <c r="DV499" t="s">
        <v>38</v>
      </c>
      <c r="DW499" t="s">
        <v>38</v>
      </c>
      <c r="DX499">
        <v>1</v>
      </c>
      <c r="EE499">
        <v>33798752</v>
      </c>
      <c r="EF499">
        <v>150</v>
      </c>
      <c r="EG499" t="s">
        <v>53</v>
      </c>
      <c r="EH499">
        <v>0</v>
      </c>
      <c r="EI499" t="s">
        <v>3</v>
      </c>
      <c r="EJ499">
        <v>4</v>
      </c>
      <c r="EK499">
        <v>1113</v>
      </c>
      <c r="EL499" t="s">
        <v>54</v>
      </c>
      <c r="EM499" t="s">
        <v>55</v>
      </c>
      <c r="EO499" t="s">
        <v>3</v>
      </c>
      <c r="EQ499">
        <v>131072</v>
      </c>
      <c r="ER499">
        <v>12.61</v>
      </c>
      <c r="ES499">
        <v>0</v>
      </c>
      <c r="ET499">
        <v>12.61</v>
      </c>
      <c r="EU499">
        <v>0</v>
      </c>
      <c r="EV499">
        <v>0</v>
      </c>
      <c r="EW499">
        <v>0</v>
      </c>
      <c r="EX499">
        <v>0</v>
      </c>
      <c r="EY499">
        <v>0</v>
      </c>
      <c r="FQ499">
        <v>0</v>
      </c>
      <c r="FR499">
        <f t="shared" si="427"/>
        <v>0</v>
      </c>
      <c r="FS499">
        <v>0</v>
      </c>
      <c r="FX499">
        <v>0</v>
      </c>
      <c r="FY499">
        <v>0</v>
      </c>
      <c r="GA499" t="s">
        <v>3</v>
      </c>
      <c r="GD499">
        <v>0</v>
      </c>
      <c r="GF499">
        <v>-1630031867</v>
      </c>
      <c r="GG499">
        <v>2</v>
      </c>
      <c r="GH499">
        <v>1</v>
      </c>
      <c r="GI499">
        <v>2</v>
      </c>
      <c r="GJ499">
        <v>0</v>
      </c>
      <c r="GK499">
        <f>ROUND(R499*(R12)/100,2)</f>
        <v>0</v>
      </c>
      <c r="GL499">
        <f t="shared" si="428"/>
        <v>0</v>
      </c>
      <c r="GM499">
        <f t="shared" si="429"/>
        <v>0</v>
      </c>
      <c r="GN499">
        <f t="shared" si="430"/>
        <v>0</v>
      </c>
      <c r="GO499">
        <f t="shared" si="431"/>
        <v>0</v>
      </c>
      <c r="GP499">
        <f t="shared" si="432"/>
        <v>0</v>
      </c>
      <c r="GR499">
        <v>0</v>
      </c>
      <c r="GS499">
        <v>3</v>
      </c>
      <c r="GT499">
        <v>0</v>
      </c>
      <c r="GU499" t="s">
        <v>3</v>
      </c>
      <c r="GV499">
        <f t="shared" si="433"/>
        <v>0</v>
      </c>
      <c r="GW499">
        <v>1</v>
      </c>
      <c r="GX499">
        <f t="shared" si="434"/>
        <v>0</v>
      </c>
      <c r="HA499">
        <v>0</v>
      </c>
      <c r="HB499">
        <v>0</v>
      </c>
      <c r="HC499">
        <f t="shared" si="435"/>
        <v>0</v>
      </c>
      <c r="IK499">
        <v>0</v>
      </c>
    </row>
    <row r="500" spans="1:245" x14ac:dyDescent="0.2">
      <c r="A500">
        <v>17</v>
      </c>
      <c r="B500">
        <v>1</v>
      </c>
      <c r="C500">
        <f>ROW(SmtRes!A200)</f>
        <v>200</v>
      </c>
      <c r="D500">
        <f>ROW(EtalonRes!A201)</f>
        <v>201</v>
      </c>
      <c r="E500" t="s">
        <v>347</v>
      </c>
      <c r="F500" t="s">
        <v>348</v>
      </c>
      <c r="G500" t="s">
        <v>349</v>
      </c>
      <c r="H500" t="s">
        <v>323</v>
      </c>
      <c r="I500">
        <f>ROUND(122/10,5)</f>
        <v>12.2</v>
      </c>
      <c r="J500">
        <v>0</v>
      </c>
      <c r="O500">
        <f t="shared" si="396"/>
        <v>103004.39</v>
      </c>
      <c r="P500">
        <f t="shared" si="397"/>
        <v>2625.82</v>
      </c>
      <c r="Q500">
        <f t="shared" si="398"/>
        <v>33923.61</v>
      </c>
      <c r="R500">
        <f t="shared" si="399"/>
        <v>12500.24</v>
      </c>
      <c r="S500">
        <f t="shared" si="400"/>
        <v>66454.960000000006</v>
      </c>
      <c r="T500">
        <f t="shared" si="401"/>
        <v>0</v>
      </c>
      <c r="U500">
        <f t="shared" si="402"/>
        <v>219.72200000000001</v>
      </c>
      <c r="V500">
        <f t="shared" si="403"/>
        <v>0</v>
      </c>
      <c r="W500">
        <f t="shared" si="404"/>
        <v>0</v>
      </c>
      <c r="X500">
        <f t="shared" si="405"/>
        <v>67784.06</v>
      </c>
      <c r="Y500">
        <f t="shared" si="406"/>
        <v>31233.83</v>
      </c>
      <c r="AA500">
        <v>33989672</v>
      </c>
      <c r="AB500">
        <f t="shared" si="407"/>
        <v>603.74</v>
      </c>
      <c r="AC500">
        <f t="shared" si="408"/>
        <v>40.08</v>
      </c>
      <c r="AD500">
        <f t="shared" si="409"/>
        <v>341.6</v>
      </c>
      <c r="AE500">
        <f t="shared" si="410"/>
        <v>41.77</v>
      </c>
      <c r="AF500">
        <f t="shared" si="411"/>
        <v>222.06</v>
      </c>
      <c r="AG500">
        <f t="shared" si="412"/>
        <v>0</v>
      </c>
      <c r="AH500">
        <f t="shared" si="413"/>
        <v>18.010000000000002</v>
      </c>
      <c r="AI500">
        <f t="shared" si="414"/>
        <v>0</v>
      </c>
      <c r="AJ500">
        <f t="shared" si="415"/>
        <v>0</v>
      </c>
      <c r="AK500">
        <v>603.74</v>
      </c>
      <c r="AL500">
        <v>40.08</v>
      </c>
      <c r="AM500">
        <v>341.6</v>
      </c>
      <c r="AN500">
        <v>41.77</v>
      </c>
      <c r="AO500">
        <v>222.06</v>
      </c>
      <c r="AP500">
        <v>0</v>
      </c>
      <c r="AQ500">
        <v>18.010000000000002</v>
      </c>
      <c r="AR500">
        <v>0</v>
      </c>
      <c r="AS500">
        <v>0</v>
      </c>
      <c r="AT500">
        <v>102</v>
      </c>
      <c r="AU500">
        <v>47</v>
      </c>
      <c r="AV500">
        <v>1</v>
      </c>
      <c r="AW500">
        <v>1</v>
      </c>
      <c r="AZ500">
        <v>1</v>
      </c>
      <c r="BA500">
        <v>24.53</v>
      </c>
      <c r="BB500">
        <v>8.14</v>
      </c>
      <c r="BC500">
        <v>5.37</v>
      </c>
      <c r="BD500" t="s">
        <v>3</v>
      </c>
      <c r="BE500" t="s">
        <v>3</v>
      </c>
      <c r="BF500" t="s">
        <v>3</v>
      </c>
      <c r="BG500" t="s">
        <v>3</v>
      </c>
      <c r="BH500">
        <v>0</v>
      </c>
      <c r="BI500">
        <v>1</v>
      </c>
      <c r="BJ500" t="s">
        <v>350</v>
      </c>
      <c r="BM500">
        <v>292</v>
      </c>
      <c r="BN500">
        <v>0</v>
      </c>
      <c r="BO500" t="s">
        <v>348</v>
      </c>
      <c r="BP500">
        <v>1</v>
      </c>
      <c r="BQ500">
        <v>30</v>
      </c>
      <c r="BR500">
        <v>0</v>
      </c>
      <c r="BS500">
        <v>24.53</v>
      </c>
      <c r="BT500">
        <v>1</v>
      </c>
      <c r="BU500">
        <v>1</v>
      </c>
      <c r="BV500">
        <v>1</v>
      </c>
      <c r="BW500">
        <v>1</v>
      </c>
      <c r="BX500">
        <v>1</v>
      </c>
      <c r="BY500" t="s">
        <v>3</v>
      </c>
      <c r="BZ500">
        <v>102</v>
      </c>
      <c r="CA500">
        <v>47</v>
      </c>
      <c r="CE500">
        <v>30</v>
      </c>
      <c r="CF500">
        <v>0</v>
      </c>
      <c r="CG500">
        <v>0</v>
      </c>
      <c r="CM500">
        <v>0</v>
      </c>
      <c r="CN500" t="s">
        <v>3</v>
      </c>
      <c r="CO500">
        <v>0</v>
      </c>
      <c r="CP500">
        <f t="shared" si="416"/>
        <v>103004.39000000001</v>
      </c>
      <c r="CQ500">
        <f t="shared" si="417"/>
        <v>215.23</v>
      </c>
      <c r="CR500">
        <f t="shared" si="418"/>
        <v>2780.62</v>
      </c>
      <c r="CS500">
        <f t="shared" si="419"/>
        <v>1024.6199999999999</v>
      </c>
      <c r="CT500">
        <f t="shared" si="420"/>
        <v>5447.13</v>
      </c>
      <c r="CU500">
        <f t="shared" si="421"/>
        <v>0</v>
      </c>
      <c r="CV500">
        <f t="shared" si="422"/>
        <v>18.010000000000002</v>
      </c>
      <c r="CW500">
        <f t="shared" si="423"/>
        <v>0</v>
      </c>
      <c r="CX500">
        <f t="shared" si="424"/>
        <v>0</v>
      </c>
      <c r="CY500">
        <f t="shared" si="425"/>
        <v>67784.059200000003</v>
      </c>
      <c r="CZ500">
        <f t="shared" si="426"/>
        <v>31233.831200000001</v>
      </c>
      <c r="DC500" t="s">
        <v>3</v>
      </c>
      <c r="DD500" t="s">
        <v>3</v>
      </c>
      <c r="DE500" t="s">
        <v>3</v>
      </c>
      <c r="DF500" t="s">
        <v>3</v>
      </c>
      <c r="DG500" t="s">
        <v>3</v>
      </c>
      <c r="DH500" t="s">
        <v>3</v>
      </c>
      <c r="DI500" t="s">
        <v>3</v>
      </c>
      <c r="DJ500" t="s">
        <v>3</v>
      </c>
      <c r="DK500" t="s">
        <v>3</v>
      </c>
      <c r="DL500" t="s">
        <v>3</v>
      </c>
      <c r="DM500" t="s">
        <v>3</v>
      </c>
      <c r="DN500">
        <v>187</v>
      </c>
      <c r="DO500">
        <v>101</v>
      </c>
      <c r="DP500">
        <v>1</v>
      </c>
      <c r="DQ500">
        <v>1</v>
      </c>
      <c r="DU500">
        <v>1013</v>
      </c>
      <c r="DV500" t="s">
        <v>323</v>
      </c>
      <c r="DW500" t="s">
        <v>323</v>
      </c>
      <c r="DX500">
        <v>1</v>
      </c>
      <c r="EE500">
        <v>33797931</v>
      </c>
      <c r="EF500">
        <v>30</v>
      </c>
      <c r="EG500" t="s">
        <v>77</v>
      </c>
      <c r="EH500">
        <v>0</v>
      </c>
      <c r="EI500" t="s">
        <v>3</v>
      </c>
      <c r="EJ500">
        <v>1</v>
      </c>
      <c r="EK500">
        <v>292</v>
      </c>
      <c r="EL500" t="s">
        <v>312</v>
      </c>
      <c r="EM500" t="s">
        <v>313</v>
      </c>
      <c r="EO500" t="s">
        <v>3</v>
      </c>
      <c r="EQ500">
        <v>131072</v>
      </c>
      <c r="ER500">
        <v>603.74</v>
      </c>
      <c r="ES500">
        <v>40.08</v>
      </c>
      <c r="ET500">
        <v>341.6</v>
      </c>
      <c r="EU500">
        <v>41.77</v>
      </c>
      <c r="EV500">
        <v>222.06</v>
      </c>
      <c r="EW500">
        <v>18.010000000000002</v>
      </c>
      <c r="EX500">
        <v>0</v>
      </c>
      <c r="EY500">
        <v>0</v>
      </c>
      <c r="FQ500">
        <v>0</v>
      </c>
      <c r="FR500">
        <f t="shared" si="427"/>
        <v>0</v>
      </c>
      <c r="FS500">
        <v>0</v>
      </c>
      <c r="FX500">
        <v>187</v>
      </c>
      <c r="FY500">
        <v>101</v>
      </c>
      <c r="GA500" t="s">
        <v>3</v>
      </c>
      <c r="GD500">
        <v>0</v>
      </c>
      <c r="GF500">
        <v>2008465296</v>
      </c>
      <c r="GG500">
        <v>2</v>
      </c>
      <c r="GH500">
        <v>1</v>
      </c>
      <c r="GI500">
        <v>2</v>
      </c>
      <c r="GJ500">
        <v>0</v>
      </c>
      <c r="GK500">
        <f>ROUND(R500*(R12)/100,2)</f>
        <v>19625.38</v>
      </c>
      <c r="GL500">
        <f t="shared" si="428"/>
        <v>0</v>
      </c>
      <c r="GM500">
        <f t="shared" si="429"/>
        <v>221647.66</v>
      </c>
      <c r="GN500">
        <f t="shared" si="430"/>
        <v>221647.66</v>
      </c>
      <c r="GO500">
        <f t="shared" si="431"/>
        <v>0</v>
      </c>
      <c r="GP500">
        <f t="shared" si="432"/>
        <v>0</v>
      </c>
      <c r="GR500">
        <v>0</v>
      </c>
      <c r="GS500">
        <v>3</v>
      </c>
      <c r="GT500">
        <v>0</v>
      </c>
      <c r="GU500" t="s">
        <v>3</v>
      </c>
      <c r="GV500">
        <f t="shared" si="433"/>
        <v>0</v>
      </c>
      <c r="GW500">
        <v>1</v>
      </c>
      <c r="GX500">
        <f t="shared" si="434"/>
        <v>0</v>
      </c>
      <c r="HA500">
        <v>0</v>
      </c>
      <c r="HB500">
        <v>0</v>
      </c>
      <c r="HC500">
        <f t="shared" si="435"/>
        <v>0</v>
      </c>
      <c r="IK500">
        <v>0</v>
      </c>
    </row>
    <row r="501" spans="1:245" x14ac:dyDescent="0.2">
      <c r="A501">
        <v>18</v>
      </c>
      <c r="B501">
        <v>1</v>
      </c>
      <c r="C501">
        <v>199</v>
      </c>
      <c r="E501" t="s">
        <v>351</v>
      </c>
      <c r="F501" t="s">
        <v>352</v>
      </c>
      <c r="G501" t="s">
        <v>353</v>
      </c>
      <c r="H501" t="s">
        <v>328</v>
      </c>
      <c r="I501">
        <f>I500*J501</f>
        <v>122</v>
      </c>
      <c r="J501">
        <v>10</v>
      </c>
      <c r="O501">
        <f t="shared" si="396"/>
        <v>833157.89</v>
      </c>
      <c r="P501">
        <f t="shared" si="397"/>
        <v>833157.89</v>
      </c>
      <c r="Q501">
        <f t="shared" si="398"/>
        <v>0</v>
      </c>
      <c r="R501">
        <f t="shared" si="399"/>
        <v>0</v>
      </c>
      <c r="S501">
        <f t="shared" si="400"/>
        <v>0</v>
      </c>
      <c r="T501">
        <f t="shared" si="401"/>
        <v>0</v>
      </c>
      <c r="U501">
        <f t="shared" si="402"/>
        <v>0</v>
      </c>
      <c r="V501">
        <f t="shared" si="403"/>
        <v>0</v>
      </c>
      <c r="W501">
        <f t="shared" si="404"/>
        <v>0</v>
      </c>
      <c r="X501">
        <f t="shared" si="405"/>
        <v>0</v>
      </c>
      <c r="Y501">
        <f t="shared" si="406"/>
        <v>0</v>
      </c>
      <c r="AA501">
        <v>33989672</v>
      </c>
      <c r="AB501">
        <f t="shared" si="407"/>
        <v>330.55</v>
      </c>
      <c r="AC501">
        <f t="shared" si="408"/>
        <v>330.55</v>
      </c>
      <c r="AD501">
        <f t="shared" si="409"/>
        <v>0</v>
      </c>
      <c r="AE501">
        <f t="shared" si="410"/>
        <v>0</v>
      </c>
      <c r="AF501">
        <f t="shared" si="411"/>
        <v>0</v>
      </c>
      <c r="AG501">
        <f t="shared" si="412"/>
        <v>0</v>
      </c>
      <c r="AH501">
        <f t="shared" si="413"/>
        <v>0</v>
      </c>
      <c r="AI501">
        <f t="shared" si="414"/>
        <v>0</v>
      </c>
      <c r="AJ501">
        <f t="shared" si="415"/>
        <v>0</v>
      </c>
      <c r="AK501">
        <v>330.55</v>
      </c>
      <c r="AL501">
        <v>330.55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1</v>
      </c>
      <c r="AW501">
        <v>1</v>
      </c>
      <c r="AZ501">
        <v>1</v>
      </c>
      <c r="BA501">
        <v>1</v>
      </c>
      <c r="BB501">
        <v>1</v>
      </c>
      <c r="BC501">
        <v>20.66</v>
      </c>
      <c r="BD501" t="s">
        <v>3</v>
      </c>
      <c r="BE501" t="s">
        <v>3</v>
      </c>
      <c r="BF501" t="s">
        <v>3</v>
      </c>
      <c r="BG501" t="s">
        <v>3</v>
      </c>
      <c r="BH501">
        <v>3</v>
      </c>
      <c r="BI501">
        <v>1</v>
      </c>
      <c r="BJ501" t="s">
        <v>354</v>
      </c>
      <c r="BM501">
        <v>292</v>
      </c>
      <c r="BN501">
        <v>0</v>
      </c>
      <c r="BO501" t="s">
        <v>352</v>
      </c>
      <c r="BP501">
        <v>1</v>
      </c>
      <c r="BQ501">
        <v>30</v>
      </c>
      <c r="BR501">
        <v>0</v>
      </c>
      <c r="BS501">
        <v>1</v>
      </c>
      <c r="BT501">
        <v>1</v>
      </c>
      <c r="BU501">
        <v>1</v>
      </c>
      <c r="BV501">
        <v>1</v>
      </c>
      <c r="BW501">
        <v>1</v>
      </c>
      <c r="BX501">
        <v>1</v>
      </c>
      <c r="BY501" t="s">
        <v>3</v>
      </c>
      <c r="BZ501">
        <v>0</v>
      </c>
      <c r="CA501">
        <v>0</v>
      </c>
      <c r="CE501">
        <v>30</v>
      </c>
      <c r="CF501">
        <v>0</v>
      </c>
      <c r="CG501">
        <v>0</v>
      </c>
      <c r="CM501">
        <v>0</v>
      </c>
      <c r="CN501" t="s">
        <v>3</v>
      </c>
      <c r="CO501">
        <v>0</v>
      </c>
      <c r="CP501">
        <f t="shared" si="416"/>
        <v>833157.89</v>
      </c>
      <c r="CQ501">
        <f t="shared" si="417"/>
        <v>6829.16</v>
      </c>
      <c r="CR501">
        <f t="shared" si="418"/>
        <v>0</v>
      </c>
      <c r="CS501">
        <f t="shared" si="419"/>
        <v>0</v>
      </c>
      <c r="CT501">
        <f t="shared" si="420"/>
        <v>0</v>
      </c>
      <c r="CU501">
        <f t="shared" si="421"/>
        <v>0</v>
      </c>
      <c r="CV501">
        <f t="shared" si="422"/>
        <v>0</v>
      </c>
      <c r="CW501">
        <f t="shared" si="423"/>
        <v>0</v>
      </c>
      <c r="CX501">
        <f t="shared" si="424"/>
        <v>0</v>
      </c>
      <c r="CY501">
        <f t="shared" si="425"/>
        <v>0</v>
      </c>
      <c r="CZ501">
        <f t="shared" si="426"/>
        <v>0</v>
      </c>
      <c r="DC501" t="s">
        <v>3</v>
      </c>
      <c r="DD501" t="s">
        <v>3</v>
      </c>
      <c r="DE501" t="s">
        <v>3</v>
      </c>
      <c r="DF501" t="s">
        <v>3</v>
      </c>
      <c r="DG501" t="s">
        <v>3</v>
      </c>
      <c r="DH501" t="s">
        <v>3</v>
      </c>
      <c r="DI501" t="s">
        <v>3</v>
      </c>
      <c r="DJ501" t="s">
        <v>3</v>
      </c>
      <c r="DK501" t="s">
        <v>3</v>
      </c>
      <c r="DL501" t="s">
        <v>3</v>
      </c>
      <c r="DM501" t="s">
        <v>3</v>
      </c>
      <c r="DN501">
        <v>187</v>
      </c>
      <c r="DO501">
        <v>101</v>
      </c>
      <c r="DP501">
        <v>1</v>
      </c>
      <c r="DQ501">
        <v>1</v>
      </c>
      <c r="DU501">
        <v>1010</v>
      </c>
      <c r="DV501" t="s">
        <v>328</v>
      </c>
      <c r="DW501" t="s">
        <v>328</v>
      </c>
      <c r="DX501">
        <v>1</v>
      </c>
      <c r="EE501">
        <v>33797931</v>
      </c>
      <c r="EF501">
        <v>30</v>
      </c>
      <c r="EG501" t="s">
        <v>77</v>
      </c>
      <c r="EH501">
        <v>0</v>
      </c>
      <c r="EI501" t="s">
        <v>3</v>
      </c>
      <c r="EJ501">
        <v>1</v>
      </c>
      <c r="EK501">
        <v>292</v>
      </c>
      <c r="EL501" t="s">
        <v>312</v>
      </c>
      <c r="EM501" t="s">
        <v>313</v>
      </c>
      <c r="EO501" t="s">
        <v>3</v>
      </c>
      <c r="EQ501">
        <v>0</v>
      </c>
      <c r="ER501">
        <v>330.55</v>
      </c>
      <c r="ES501">
        <v>330.55</v>
      </c>
      <c r="ET501">
        <v>0</v>
      </c>
      <c r="EU501">
        <v>0</v>
      </c>
      <c r="EV501">
        <v>0</v>
      </c>
      <c r="EW501">
        <v>0</v>
      </c>
      <c r="EX501">
        <v>0</v>
      </c>
      <c r="FQ501">
        <v>0</v>
      </c>
      <c r="FR501">
        <f t="shared" si="427"/>
        <v>0</v>
      </c>
      <c r="FS501">
        <v>0</v>
      </c>
      <c r="FX501">
        <v>187</v>
      </c>
      <c r="FY501">
        <v>101</v>
      </c>
      <c r="GA501" t="s">
        <v>3</v>
      </c>
      <c r="GD501">
        <v>0</v>
      </c>
      <c r="GF501">
        <v>-1513397672</v>
      </c>
      <c r="GG501">
        <v>2</v>
      </c>
      <c r="GH501">
        <v>1</v>
      </c>
      <c r="GI501">
        <v>2</v>
      </c>
      <c r="GJ501">
        <v>0</v>
      </c>
      <c r="GK501">
        <f>ROUND(R501*(R12)/100,2)</f>
        <v>0</v>
      </c>
      <c r="GL501">
        <f t="shared" si="428"/>
        <v>0</v>
      </c>
      <c r="GM501">
        <f t="shared" si="429"/>
        <v>833157.89</v>
      </c>
      <c r="GN501">
        <f t="shared" si="430"/>
        <v>833157.89</v>
      </c>
      <c r="GO501">
        <f t="shared" si="431"/>
        <v>0</v>
      </c>
      <c r="GP501">
        <f t="shared" si="432"/>
        <v>0</v>
      </c>
      <c r="GR501">
        <v>0</v>
      </c>
      <c r="GS501">
        <v>3</v>
      </c>
      <c r="GT501">
        <v>0</v>
      </c>
      <c r="GU501" t="s">
        <v>3</v>
      </c>
      <c r="GV501">
        <f t="shared" si="433"/>
        <v>0</v>
      </c>
      <c r="GW501">
        <v>1</v>
      </c>
      <c r="GX501">
        <f t="shared" si="434"/>
        <v>0</v>
      </c>
      <c r="HA501">
        <v>0</v>
      </c>
      <c r="HB501">
        <v>0</v>
      </c>
      <c r="HC501">
        <f t="shared" si="435"/>
        <v>0</v>
      </c>
      <c r="IK501">
        <v>0</v>
      </c>
    </row>
    <row r="503" spans="1:245" x14ac:dyDescent="0.2">
      <c r="A503" s="2">
        <v>51</v>
      </c>
      <c r="B503" s="2">
        <f>B488</f>
        <v>1</v>
      </c>
      <c r="C503" s="2">
        <f>A488</f>
        <v>4</v>
      </c>
      <c r="D503" s="2">
        <f>ROW(A488)</f>
        <v>488</v>
      </c>
      <c r="E503" s="2"/>
      <c r="F503" s="2" t="str">
        <f>IF(F488&lt;&gt;"",F488,"")</f>
        <v>Новый раздел</v>
      </c>
      <c r="G503" s="2" t="str">
        <f>IF(G488&lt;&gt;"",G488,"")</f>
        <v>22.1 Посадка деревьев с комом 0,8х0,6 м, высотой от 3 м</v>
      </c>
      <c r="H503" s="2">
        <v>0</v>
      </c>
      <c r="I503" s="2"/>
      <c r="J503" s="2"/>
      <c r="K503" s="2"/>
      <c r="L503" s="2"/>
      <c r="M503" s="2"/>
      <c r="N503" s="2"/>
      <c r="O503" s="2">
        <f t="shared" ref="O503:T503" si="436">ROUND(AB503,2)</f>
        <v>1174053.8600000001</v>
      </c>
      <c r="P503" s="2">
        <f t="shared" si="436"/>
        <v>933663.02</v>
      </c>
      <c r="Q503" s="2">
        <f t="shared" si="436"/>
        <v>41668.89</v>
      </c>
      <c r="R503" s="2">
        <f t="shared" si="436"/>
        <v>16414.740000000002</v>
      </c>
      <c r="S503" s="2">
        <f t="shared" si="436"/>
        <v>198721.95</v>
      </c>
      <c r="T503" s="2">
        <f t="shared" si="436"/>
        <v>0</v>
      </c>
      <c r="U503" s="2">
        <f>AH503</f>
        <v>747.74956071999998</v>
      </c>
      <c r="V503" s="2">
        <f>AI503</f>
        <v>0</v>
      </c>
      <c r="W503" s="2">
        <f>ROUND(AJ503,2)</f>
        <v>0</v>
      </c>
      <c r="X503" s="2">
        <f>ROUND(AK503,2)</f>
        <v>202202.76</v>
      </c>
      <c r="Y503" s="2">
        <f>ROUND(AL503,2)</f>
        <v>93310.25</v>
      </c>
      <c r="Z503" s="2"/>
      <c r="AA503" s="2"/>
      <c r="AB503" s="2">
        <f>ROUND(SUMIF(AA492:AA501,"=33989672",O492:O501),2)</f>
        <v>1174053.8600000001</v>
      </c>
      <c r="AC503" s="2">
        <f>ROUND(SUMIF(AA492:AA501,"=33989672",P492:P501),2)</f>
        <v>933663.02</v>
      </c>
      <c r="AD503" s="2">
        <f>ROUND(SUMIF(AA492:AA501,"=33989672",Q492:Q501),2)</f>
        <v>41668.89</v>
      </c>
      <c r="AE503" s="2">
        <f>ROUND(SUMIF(AA492:AA501,"=33989672",R492:R501),2)</f>
        <v>16414.740000000002</v>
      </c>
      <c r="AF503" s="2">
        <f>ROUND(SUMIF(AA492:AA501,"=33989672",S492:S501),2)</f>
        <v>198721.95</v>
      </c>
      <c r="AG503" s="2">
        <f>ROUND(SUMIF(AA492:AA501,"=33989672",T492:T501),2)</f>
        <v>0</v>
      </c>
      <c r="AH503" s="2">
        <f>SUMIF(AA492:AA501,"=33989672",U492:U501)</f>
        <v>747.74956071999998</v>
      </c>
      <c r="AI503" s="2">
        <f>SUMIF(AA492:AA501,"=33989672",V492:V501)</f>
        <v>0</v>
      </c>
      <c r="AJ503" s="2">
        <f>ROUND(SUMIF(AA492:AA501,"=33989672",W492:W501),2)</f>
        <v>0</v>
      </c>
      <c r="AK503" s="2">
        <f>ROUND(SUMIF(AA492:AA501,"=33989672",X492:X501),2)</f>
        <v>202202.76</v>
      </c>
      <c r="AL503" s="2">
        <f>ROUND(SUMIF(AA492:AA501,"=33989672",Y492:Y501),2)</f>
        <v>93310.25</v>
      </c>
      <c r="AM503" s="2"/>
      <c r="AN503" s="2"/>
      <c r="AO503" s="2">
        <f t="shared" ref="AO503:BD503" si="437">ROUND(BX503,2)</f>
        <v>0</v>
      </c>
      <c r="AP503" s="2">
        <f t="shared" si="437"/>
        <v>0</v>
      </c>
      <c r="AQ503" s="2">
        <f t="shared" si="437"/>
        <v>0</v>
      </c>
      <c r="AR503" s="2">
        <f t="shared" si="437"/>
        <v>1495338.02</v>
      </c>
      <c r="AS503" s="2">
        <f t="shared" si="437"/>
        <v>1495338.02</v>
      </c>
      <c r="AT503" s="2">
        <f t="shared" si="437"/>
        <v>0</v>
      </c>
      <c r="AU503" s="2">
        <f t="shared" si="437"/>
        <v>0</v>
      </c>
      <c r="AV503" s="2">
        <f t="shared" si="437"/>
        <v>933663.02</v>
      </c>
      <c r="AW503" s="2">
        <f t="shared" si="437"/>
        <v>933663.02</v>
      </c>
      <c r="AX503" s="2">
        <f t="shared" si="437"/>
        <v>0</v>
      </c>
      <c r="AY503" s="2">
        <f t="shared" si="437"/>
        <v>933663.02</v>
      </c>
      <c r="AZ503" s="2">
        <f t="shared" si="437"/>
        <v>0</v>
      </c>
      <c r="BA503" s="2">
        <f t="shared" si="437"/>
        <v>0</v>
      </c>
      <c r="BB503" s="2">
        <f t="shared" si="437"/>
        <v>0</v>
      </c>
      <c r="BC503" s="2">
        <f t="shared" si="437"/>
        <v>0</v>
      </c>
      <c r="BD503" s="2">
        <f t="shared" si="437"/>
        <v>0</v>
      </c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>
        <f>ROUND(SUMIF(AA492:AA501,"=33989672",FQ492:FQ501),2)</f>
        <v>0</v>
      </c>
      <c r="BY503" s="2">
        <f>ROUND(SUMIF(AA492:AA501,"=33989672",FR492:FR501),2)</f>
        <v>0</v>
      </c>
      <c r="BZ503" s="2">
        <f>ROUND(SUMIF(AA492:AA501,"=33989672",GL492:GL501),2)</f>
        <v>0</v>
      </c>
      <c r="CA503" s="2">
        <f>ROUND(SUMIF(AA492:AA501,"=33989672",GM492:GM501),2)</f>
        <v>1495338.02</v>
      </c>
      <c r="CB503" s="2">
        <f>ROUND(SUMIF(AA492:AA501,"=33989672",GN492:GN501),2)</f>
        <v>1495338.02</v>
      </c>
      <c r="CC503" s="2">
        <f>ROUND(SUMIF(AA492:AA501,"=33989672",GO492:GO501),2)</f>
        <v>0</v>
      </c>
      <c r="CD503" s="2">
        <f>ROUND(SUMIF(AA492:AA501,"=33989672",GP492:GP501),2)</f>
        <v>0</v>
      </c>
      <c r="CE503" s="2">
        <f>AC503-BX503</f>
        <v>933663.02</v>
      </c>
      <c r="CF503" s="2">
        <f>AC503-BY503</f>
        <v>933663.02</v>
      </c>
      <c r="CG503" s="2">
        <f>BX503-BZ503</f>
        <v>0</v>
      </c>
      <c r="CH503" s="2">
        <f>AC503-BX503-BY503+BZ503</f>
        <v>933663.02</v>
      </c>
      <c r="CI503" s="2">
        <f>BY503-BZ503</f>
        <v>0</v>
      </c>
      <c r="CJ503" s="2">
        <f>ROUND(SUMIF(AA492:AA501,"=33989672",GX492:GX501),2)</f>
        <v>0</v>
      </c>
      <c r="CK503" s="2">
        <f>ROUND(SUMIF(AA492:AA501,"=33989672",GY492:GY501),2)</f>
        <v>0</v>
      </c>
      <c r="CL503" s="2">
        <f>ROUND(SUMIF(AA492:AA501,"=33989672",GZ492:GZ501),2)</f>
        <v>0</v>
      </c>
      <c r="CM503" s="2">
        <f>ROUND(SUMIF(AA492:AA501,"=33989672",HD492:HD501),2)</f>
        <v>0</v>
      </c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>
        <v>0</v>
      </c>
    </row>
    <row r="505" spans="1:245" x14ac:dyDescent="0.2">
      <c r="A505" s="4">
        <v>50</v>
      </c>
      <c r="B505" s="4">
        <v>0</v>
      </c>
      <c r="C505" s="4">
        <v>0</v>
      </c>
      <c r="D505" s="4">
        <v>1</v>
      </c>
      <c r="E505" s="4">
        <v>201</v>
      </c>
      <c r="F505" s="4">
        <f>ROUND(Source!O503,O505)</f>
        <v>1174053.8600000001</v>
      </c>
      <c r="G505" s="4" t="s">
        <v>89</v>
      </c>
      <c r="H505" s="4" t="s">
        <v>90</v>
      </c>
      <c r="I505" s="4"/>
      <c r="J505" s="4"/>
      <c r="K505" s="4">
        <v>201</v>
      </c>
      <c r="L505" s="4">
        <v>1</v>
      </c>
      <c r="M505" s="4">
        <v>3</v>
      </c>
      <c r="N505" s="4" t="s">
        <v>3</v>
      </c>
      <c r="O505" s="4">
        <v>2</v>
      </c>
      <c r="P505" s="4"/>
      <c r="Q505" s="4"/>
      <c r="R505" s="4"/>
      <c r="S505" s="4"/>
      <c r="T505" s="4"/>
      <c r="U505" s="4"/>
      <c r="V505" s="4"/>
      <c r="W505" s="4"/>
    </row>
    <row r="506" spans="1:245" x14ac:dyDescent="0.2">
      <c r="A506" s="4">
        <v>50</v>
      </c>
      <c r="B506" s="4">
        <v>0</v>
      </c>
      <c r="C506" s="4">
        <v>0</v>
      </c>
      <c r="D506" s="4">
        <v>1</v>
      </c>
      <c r="E506" s="4">
        <v>202</v>
      </c>
      <c r="F506" s="4">
        <f>ROUND(Source!P503,O506)</f>
        <v>933663.02</v>
      </c>
      <c r="G506" s="4" t="s">
        <v>91</v>
      </c>
      <c r="H506" s="4" t="s">
        <v>92</v>
      </c>
      <c r="I506" s="4"/>
      <c r="J506" s="4"/>
      <c r="K506" s="4">
        <v>202</v>
      </c>
      <c r="L506" s="4">
        <v>2</v>
      </c>
      <c r="M506" s="4">
        <v>3</v>
      </c>
      <c r="N506" s="4" t="s">
        <v>3</v>
      </c>
      <c r="O506" s="4">
        <v>2</v>
      </c>
      <c r="P506" s="4"/>
      <c r="Q506" s="4"/>
      <c r="R506" s="4"/>
      <c r="S506" s="4"/>
      <c r="T506" s="4"/>
      <c r="U506" s="4"/>
      <c r="V506" s="4"/>
      <c r="W506" s="4"/>
    </row>
    <row r="507" spans="1:245" x14ac:dyDescent="0.2">
      <c r="A507" s="4">
        <v>50</v>
      </c>
      <c r="B507" s="4">
        <v>0</v>
      </c>
      <c r="C507" s="4">
        <v>0</v>
      </c>
      <c r="D507" s="4">
        <v>1</v>
      </c>
      <c r="E507" s="4">
        <v>222</v>
      </c>
      <c r="F507" s="4">
        <f>ROUND(Source!AO503,O507)</f>
        <v>0</v>
      </c>
      <c r="G507" s="4" t="s">
        <v>93</v>
      </c>
      <c r="H507" s="4" t="s">
        <v>94</v>
      </c>
      <c r="I507" s="4"/>
      <c r="J507" s="4"/>
      <c r="K507" s="4">
        <v>222</v>
      </c>
      <c r="L507" s="4">
        <v>3</v>
      </c>
      <c r="M507" s="4">
        <v>3</v>
      </c>
      <c r="N507" s="4" t="s">
        <v>3</v>
      </c>
      <c r="O507" s="4">
        <v>2</v>
      </c>
      <c r="P507" s="4"/>
      <c r="Q507" s="4"/>
      <c r="R507" s="4"/>
      <c r="S507" s="4"/>
      <c r="T507" s="4"/>
      <c r="U507" s="4"/>
      <c r="V507" s="4"/>
      <c r="W507" s="4"/>
    </row>
    <row r="508" spans="1:245" x14ac:dyDescent="0.2">
      <c r="A508" s="4">
        <v>50</v>
      </c>
      <c r="B508" s="4">
        <v>0</v>
      </c>
      <c r="C508" s="4">
        <v>0</v>
      </c>
      <c r="D508" s="4">
        <v>1</v>
      </c>
      <c r="E508" s="4">
        <v>225</v>
      </c>
      <c r="F508" s="4">
        <f>ROUND(Source!AV503,O508)</f>
        <v>933663.02</v>
      </c>
      <c r="G508" s="4" t="s">
        <v>95</v>
      </c>
      <c r="H508" s="4" t="s">
        <v>96</v>
      </c>
      <c r="I508" s="4"/>
      <c r="J508" s="4"/>
      <c r="K508" s="4">
        <v>225</v>
      </c>
      <c r="L508" s="4">
        <v>4</v>
      </c>
      <c r="M508" s="4">
        <v>3</v>
      </c>
      <c r="N508" s="4" t="s">
        <v>3</v>
      </c>
      <c r="O508" s="4">
        <v>2</v>
      </c>
      <c r="P508" s="4"/>
      <c r="Q508" s="4"/>
      <c r="R508" s="4"/>
      <c r="S508" s="4"/>
      <c r="T508" s="4"/>
      <c r="U508" s="4"/>
      <c r="V508" s="4"/>
      <c r="W508" s="4"/>
    </row>
    <row r="509" spans="1:245" x14ac:dyDescent="0.2">
      <c r="A509" s="4">
        <v>50</v>
      </c>
      <c r="B509" s="4">
        <v>0</v>
      </c>
      <c r="C509" s="4">
        <v>0</v>
      </c>
      <c r="D509" s="4">
        <v>1</v>
      </c>
      <c r="E509" s="4">
        <v>226</v>
      </c>
      <c r="F509" s="4">
        <f>ROUND(Source!AW503,O509)</f>
        <v>933663.02</v>
      </c>
      <c r="G509" s="4" t="s">
        <v>97</v>
      </c>
      <c r="H509" s="4" t="s">
        <v>98</v>
      </c>
      <c r="I509" s="4"/>
      <c r="J509" s="4"/>
      <c r="K509" s="4">
        <v>226</v>
      </c>
      <c r="L509" s="4">
        <v>5</v>
      </c>
      <c r="M509" s="4">
        <v>3</v>
      </c>
      <c r="N509" s="4" t="s">
        <v>3</v>
      </c>
      <c r="O509" s="4">
        <v>2</v>
      </c>
      <c r="P509" s="4"/>
      <c r="Q509" s="4"/>
      <c r="R509" s="4"/>
      <c r="S509" s="4"/>
      <c r="T509" s="4"/>
      <c r="U509" s="4"/>
      <c r="V509" s="4"/>
      <c r="W509" s="4"/>
    </row>
    <row r="510" spans="1:245" x14ac:dyDescent="0.2">
      <c r="A510" s="4">
        <v>50</v>
      </c>
      <c r="B510" s="4">
        <v>0</v>
      </c>
      <c r="C510" s="4">
        <v>0</v>
      </c>
      <c r="D510" s="4">
        <v>1</v>
      </c>
      <c r="E510" s="4">
        <v>227</v>
      </c>
      <c r="F510" s="4">
        <f>ROUND(Source!AX503,O510)</f>
        <v>0</v>
      </c>
      <c r="G510" s="4" t="s">
        <v>99</v>
      </c>
      <c r="H510" s="4" t="s">
        <v>100</v>
      </c>
      <c r="I510" s="4"/>
      <c r="J510" s="4"/>
      <c r="K510" s="4">
        <v>227</v>
      </c>
      <c r="L510" s="4">
        <v>6</v>
      </c>
      <c r="M510" s="4">
        <v>3</v>
      </c>
      <c r="N510" s="4" t="s">
        <v>3</v>
      </c>
      <c r="O510" s="4">
        <v>2</v>
      </c>
      <c r="P510" s="4"/>
      <c r="Q510" s="4"/>
      <c r="R510" s="4"/>
      <c r="S510" s="4"/>
      <c r="T510" s="4"/>
      <c r="U510" s="4"/>
      <c r="V510" s="4"/>
      <c r="W510" s="4"/>
    </row>
    <row r="511" spans="1:245" x14ac:dyDescent="0.2">
      <c r="A511" s="4">
        <v>50</v>
      </c>
      <c r="B511" s="4">
        <v>0</v>
      </c>
      <c r="C511" s="4">
        <v>0</v>
      </c>
      <c r="D511" s="4">
        <v>1</v>
      </c>
      <c r="E511" s="4">
        <v>228</v>
      </c>
      <c r="F511" s="4">
        <f>ROUND(Source!AY503,O511)</f>
        <v>933663.02</v>
      </c>
      <c r="G511" s="4" t="s">
        <v>101</v>
      </c>
      <c r="H511" s="4" t="s">
        <v>102</v>
      </c>
      <c r="I511" s="4"/>
      <c r="J511" s="4"/>
      <c r="K511" s="4">
        <v>228</v>
      </c>
      <c r="L511" s="4">
        <v>7</v>
      </c>
      <c r="M511" s="4">
        <v>3</v>
      </c>
      <c r="N511" s="4" t="s">
        <v>3</v>
      </c>
      <c r="O511" s="4">
        <v>2</v>
      </c>
      <c r="P511" s="4"/>
      <c r="Q511" s="4"/>
      <c r="R511" s="4"/>
      <c r="S511" s="4"/>
      <c r="T511" s="4"/>
      <c r="U511" s="4"/>
      <c r="V511" s="4"/>
      <c r="W511" s="4"/>
    </row>
    <row r="512" spans="1:245" x14ac:dyDescent="0.2">
      <c r="A512" s="4">
        <v>50</v>
      </c>
      <c r="B512" s="4">
        <v>0</v>
      </c>
      <c r="C512" s="4">
        <v>0</v>
      </c>
      <c r="D512" s="4">
        <v>1</v>
      </c>
      <c r="E512" s="4">
        <v>216</v>
      </c>
      <c r="F512" s="4">
        <f>ROUND(Source!AP503,O512)</f>
        <v>0</v>
      </c>
      <c r="G512" s="4" t="s">
        <v>103</v>
      </c>
      <c r="H512" s="4" t="s">
        <v>104</v>
      </c>
      <c r="I512" s="4"/>
      <c r="J512" s="4"/>
      <c r="K512" s="4">
        <v>216</v>
      </c>
      <c r="L512" s="4">
        <v>8</v>
      </c>
      <c r="M512" s="4">
        <v>3</v>
      </c>
      <c r="N512" s="4" t="s">
        <v>3</v>
      </c>
      <c r="O512" s="4">
        <v>2</v>
      </c>
      <c r="P512" s="4"/>
      <c r="Q512" s="4"/>
      <c r="R512" s="4"/>
      <c r="S512" s="4"/>
      <c r="T512" s="4"/>
      <c r="U512" s="4"/>
      <c r="V512" s="4"/>
      <c r="W512" s="4"/>
    </row>
    <row r="513" spans="1:23" x14ac:dyDescent="0.2">
      <c r="A513" s="4">
        <v>50</v>
      </c>
      <c r="B513" s="4">
        <v>0</v>
      </c>
      <c r="C513" s="4">
        <v>0</v>
      </c>
      <c r="D513" s="4">
        <v>1</v>
      </c>
      <c r="E513" s="4">
        <v>223</v>
      </c>
      <c r="F513" s="4">
        <f>ROUND(Source!AQ503,O513)</f>
        <v>0</v>
      </c>
      <c r="G513" s="4" t="s">
        <v>105</v>
      </c>
      <c r="H513" s="4" t="s">
        <v>106</v>
      </c>
      <c r="I513" s="4"/>
      <c r="J513" s="4"/>
      <c r="K513" s="4">
        <v>223</v>
      </c>
      <c r="L513" s="4">
        <v>9</v>
      </c>
      <c r="M513" s="4">
        <v>3</v>
      </c>
      <c r="N513" s="4" t="s">
        <v>3</v>
      </c>
      <c r="O513" s="4">
        <v>2</v>
      </c>
      <c r="P513" s="4"/>
      <c r="Q513" s="4"/>
      <c r="R513" s="4"/>
      <c r="S513" s="4"/>
      <c r="T513" s="4"/>
      <c r="U513" s="4"/>
      <c r="V513" s="4"/>
      <c r="W513" s="4"/>
    </row>
    <row r="514" spans="1:23" x14ac:dyDescent="0.2">
      <c r="A514" s="4">
        <v>50</v>
      </c>
      <c r="B514" s="4">
        <v>0</v>
      </c>
      <c r="C514" s="4">
        <v>0</v>
      </c>
      <c r="D514" s="4">
        <v>1</v>
      </c>
      <c r="E514" s="4">
        <v>229</v>
      </c>
      <c r="F514" s="4">
        <f>ROUND(Source!AZ503,O514)</f>
        <v>0</v>
      </c>
      <c r="G514" s="4" t="s">
        <v>107</v>
      </c>
      <c r="H514" s="4" t="s">
        <v>108</v>
      </c>
      <c r="I514" s="4"/>
      <c r="J514" s="4"/>
      <c r="K514" s="4">
        <v>229</v>
      </c>
      <c r="L514" s="4">
        <v>10</v>
      </c>
      <c r="M514" s="4">
        <v>3</v>
      </c>
      <c r="N514" s="4" t="s">
        <v>3</v>
      </c>
      <c r="O514" s="4">
        <v>2</v>
      </c>
      <c r="P514" s="4"/>
      <c r="Q514" s="4"/>
      <c r="R514" s="4"/>
      <c r="S514" s="4"/>
      <c r="T514" s="4"/>
      <c r="U514" s="4"/>
      <c r="V514" s="4"/>
      <c r="W514" s="4"/>
    </row>
    <row r="515" spans="1:23" x14ac:dyDescent="0.2">
      <c r="A515" s="4">
        <v>50</v>
      </c>
      <c r="B515" s="4">
        <v>0</v>
      </c>
      <c r="C515" s="4">
        <v>0</v>
      </c>
      <c r="D515" s="4">
        <v>1</v>
      </c>
      <c r="E515" s="4">
        <v>203</v>
      </c>
      <c r="F515" s="4">
        <f>ROUND(Source!Q503,O515)</f>
        <v>41668.89</v>
      </c>
      <c r="G515" s="4" t="s">
        <v>109</v>
      </c>
      <c r="H515" s="4" t="s">
        <v>110</v>
      </c>
      <c r="I515" s="4"/>
      <c r="J515" s="4"/>
      <c r="K515" s="4">
        <v>203</v>
      </c>
      <c r="L515" s="4">
        <v>11</v>
      </c>
      <c r="M515" s="4">
        <v>3</v>
      </c>
      <c r="N515" s="4" t="s">
        <v>3</v>
      </c>
      <c r="O515" s="4">
        <v>2</v>
      </c>
      <c r="P515" s="4"/>
      <c r="Q515" s="4"/>
      <c r="R515" s="4"/>
      <c r="S515" s="4"/>
      <c r="T515" s="4"/>
      <c r="U515" s="4"/>
      <c r="V515" s="4"/>
      <c r="W515" s="4"/>
    </row>
    <row r="516" spans="1:23" x14ac:dyDescent="0.2">
      <c r="A516" s="4">
        <v>50</v>
      </c>
      <c r="B516" s="4">
        <v>0</v>
      </c>
      <c r="C516" s="4">
        <v>0</v>
      </c>
      <c r="D516" s="4">
        <v>1</v>
      </c>
      <c r="E516" s="4">
        <v>231</v>
      </c>
      <c r="F516" s="4">
        <f>ROUND(Source!BB503,O516)</f>
        <v>0</v>
      </c>
      <c r="G516" s="4" t="s">
        <v>111</v>
      </c>
      <c r="H516" s="4" t="s">
        <v>112</v>
      </c>
      <c r="I516" s="4"/>
      <c r="J516" s="4"/>
      <c r="K516" s="4">
        <v>231</v>
      </c>
      <c r="L516" s="4">
        <v>12</v>
      </c>
      <c r="M516" s="4">
        <v>3</v>
      </c>
      <c r="N516" s="4" t="s">
        <v>3</v>
      </c>
      <c r="O516" s="4">
        <v>2</v>
      </c>
      <c r="P516" s="4"/>
      <c r="Q516" s="4"/>
      <c r="R516" s="4"/>
      <c r="S516" s="4"/>
      <c r="T516" s="4"/>
      <c r="U516" s="4"/>
      <c r="V516" s="4"/>
      <c r="W516" s="4"/>
    </row>
    <row r="517" spans="1:23" x14ac:dyDescent="0.2">
      <c r="A517" s="4">
        <v>50</v>
      </c>
      <c r="B517" s="4">
        <v>0</v>
      </c>
      <c r="C517" s="4">
        <v>0</v>
      </c>
      <c r="D517" s="4">
        <v>1</v>
      </c>
      <c r="E517" s="4">
        <v>204</v>
      </c>
      <c r="F517" s="4">
        <f>ROUND(Source!R503,O517)</f>
        <v>16414.740000000002</v>
      </c>
      <c r="G517" s="4" t="s">
        <v>113</v>
      </c>
      <c r="H517" s="4" t="s">
        <v>114</v>
      </c>
      <c r="I517" s="4"/>
      <c r="J517" s="4"/>
      <c r="K517" s="4">
        <v>204</v>
      </c>
      <c r="L517" s="4">
        <v>13</v>
      </c>
      <c r="M517" s="4">
        <v>3</v>
      </c>
      <c r="N517" s="4" t="s">
        <v>3</v>
      </c>
      <c r="O517" s="4">
        <v>2</v>
      </c>
      <c r="P517" s="4"/>
      <c r="Q517" s="4"/>
      <c r="R517" s="4"/>
      <c r="S517" s="4"/>
      <c r="T517" s="4"/>
      <c r="U517" s="4"/>
      <c r="V517" s="4"/>
      <c r="W517" s="4"/>
    </row>
    <row r="518" spans="1:23" x14ac:dyDescent="0.2">
      <c r="A518" s="4">
        <v>50</v>
      </c>
      <c r="B518" s="4">
        <v>0</v>
      </c>
      <c r="C518" s="4">
        <v>0</v>
      </c>
      <c r="D518" s="4">
        <v>1</v>
      </c>
      <c r="E518" s="4">
        <v>205</v>
      </c>
      <c r="F518" s="4">
        <f>ROUND(Source!S503,O518)</f>
        <v>198721.95</v>
      </c>
      <c r="G518" s="4" t="s">
        <v>115</v>
      </c>
      <c r="H518" s="4" t="s">
        <v>116</v>
      </c>
      <c r="I518" s="4"/>
      <c r="J518" s="4"/>
      <c r="K518" s="4">
        <v>205</v>
      </c>
      <c r="L518" s="4">
        <v>14</v>
      </c>
      <c r="M518" s="4">
        <v>3</v>
      </c>
      <c r="N518" s="4" t="s">
        <v>3</v>
      </c>
      <c r="O518" s="4">
        <v>2</v>
      </c>
      <c r="P518" s="4"/>
      <c r="Q518" s="4"/>
      <c r="R518" s="4"/>
      <c r="S518" s="4"/>
      <c r="T518" s="4"/>
      <c r="U518" s="4"/>
      <c r="V518" s="4"/>
      <c r="W518" s="4"/>
    </row>
    <row r="519" spans="1:23" x14ac:dyDescent="0.2">
      <c r="A519" s="4">
        <v>50</v>
      </c>
      <c r="B519" s="4">
        <v>0</v>
      </c>
      <c r="C519" s="4">
        <v>0</v>
      </c>
      <c r="D519" s="4">
        <v>1</v>
      </c>
      <c r="E519" s="4">
        <v>232</v>
      </c>
      <c r="F519" s="4">
        <f>ROUND(Source!BC503,O519)</f>
        <v>0</v>
      </c>
      <c r="G519" s="4" t="s">
        <v>117</v>
      </c>
      <c r="H519" s="4" t="s">
        <v>118</v>
      </c>
      <c r="I519" s="4"/>
      <c r="J519" s="4"/>
      <c r="K519" s="4">
        <v>232</v>
      </c>
      <c r="L519" s="4">
        <v>15</v>
      </c>
      <c r="M519" s="4">
        <v>3</v>
      </c>
      <c r="N519" s="4" t="s">
        <v>3</v>
      </c>
      <c r="O519" s="4">
        <v>2</v>
      </c>
      <c r="P519" s="4"/>
      <c r="Q519" s="4"/>
      <c r="R519" s="4"/>
      <c r="S519" s="4"/>
      <c r="T519" s="4"/>
      <c r="U519" s="4"/>
      <c r="V519" s="4"/>
      <c r="W519" s="4"/>
    </row>
    <row r="520" spans="1:23" x14ac:dyDescent="0.2">
      <c r="A520" s="4">
        <v>50</v>
      </c>
      <c r="B520" s="4">
        <v>0</v>
      </c>
      <c r="C520" s="4">
        <v>0</v>
      </c>
      <c r="D520" s="4">
        <v>1</v>
      </c>
      <c r="E520" s="4">
        <v>214</v>
      </c>
      <c r="F520" s="4">
        <f>ROUND(Source!AS503,O520)</f>
        <v>1495338.02</v>
      </c>
      <c r="G520" s="4" t="s">
        <v>119</v>
      </c>
      <c r="H520" s="4" t="s">
        <v>120</v>
      </c>
      <c r="I520" s="4"/>
      <c r="J520" s="4"/>
      <c r="K520" s="4">
        <v>214</v>
      </c>
      <c r="L520" s="4">
        <v>16</v>
      </c>
      <c r="M520" s="4">
        <v>3</v>
      </c>
      <c r="N520" s="4" t="s">
        <v>3</v>
      </c>
      <c r="O520" s="4">
        <v>2</v>
      </c>
      <c r="P520" s="4"/>
      <c r="Q520" s="4"/>
      <c r="R520" s="4"/>
      <c r="S520" s="4"/>
      <c r="T520" s="4"/>
      <c r="U520" s="4"/>
      <c r="V520" s="4"/>
      <c r="W520" s="4"/>
    </row>
    <row r="521" spans="1:23" x14ac:dyDescent="0.2">
      <c r="A521" s="4">
        <v>50</v>
      </c>
      <c r="B521" s="4">
        <v>0</v>
      </c>
      <c r="C521" s="4">
        <v>0</v>
      </c>
      <c r="D521" s="4">
        <v>1</v>
      </c>
      <c r="E521" s="4">
        <v>215</v>
      </c>
      <c r="F521" s="4">
        <f>ROUND(Source!AT503,O521)</f>
        <v>0</v>
      </c>
      <c r="G521" s="4" t="s">
        <v>121</v>
      </c>
      <c r="H521" s="4" t="s">
        <v>122</v>
      </c>
      <c r="I521" s="4"/>
      <c r="J521" s="4"/>
      <c r="K521" s="4">
        <v>215</v>
      </c>
      <c r="L521" s="4">
        <v>17</v>
      </c>
      <c r="M521" s="4">
        <v>3</v>
      </c>
      <c r="N521" s="4" t="s">
        <v>3</v>
      </c>
      <c r="O521" s="4">
        <v>2</v>
      </c>
      <c r="P521" s="4"/>
      <c r="Q521" s="4"/>
      <c r="R521" s="4"/>
      <c r="S521" s="4"/>
      <c r="T521" s="4"/>
      <c r="U521" s="4"/>
      <c r="V521" s="4"/>
      <c r="W521" s="4"/>
    </row>
    <row r="522" spans="1:23" x14ac:dyDescent="0.2">
      <c r="A522" s="4">
        <v>50</v>
      </c>
      <c r="B522" s="4">
        <v>0</v>
      </c>
      <c r="C522" s="4">
        <v>0</v>
      </c>
      <c r="D522" s="4">
        <v>1</v>
      </c>
      <c r="E522" s="4">
        <v>217</v>
      </c>
      <c r="F522" s="4">
        <f>ROUND(Source!AU503,O522)</f>
        <v>0</v>
      </c>
      <c r="G522" s="4" t="s">
        <v>123</v>
      </c>
      <c r="H522" s="4" t="s">
        <v>124</v>
      </c>
      <c r="I522" s="4"/>
      <c r="J522" s="4"/>
      <c r="K522" s="4">
        <v>217</v>
      </c>
      <c r="L522" s="4">
        <v>18</v>
      </c>
      <c r="M522" s="4">
        <v>3</v>
      </c>
      <c r="N522" s="4" t="s">
        <v>3</v>
      </c>
      <c r="O522" s="4">
        <v>2</v>
      </c>
      <c r="P522" s="4"/>
      <c r="Q522" s="4"/>
      <c r="R522" s="4"/>
      <c r="S522" s="4"/>
      <c r="T522" s="4"/>
      <c r="U522" s="4"/>
      <c r="V522" s="4"/>
      <c r="W522" s="4"/>
    </row>
    <row r="523" spans="1:23" x14ac:dyDescent="0.2">
      <c r="A523" s="4">
        <v>50</v>
      </c>
      <c r="B523" s="4">
        <v>0</v>
      </c>
      <c r="C523" s="4">
        <v>0</v>
      </c>
      <c r="D523" s="4">
        <v>1</v>
      </c>
      <c r="E523" s="4">
        <v>230</v>
      </c>
      <c r="F523" s="4">
        <f>ROUND(Source!BA503,O523)</f>
        <v>0</v>
      </c>
      <c r="G523" s="4" t="s">
        <v>125</v>
      </c>
      <c r="H523" s="4" t="s">
        <v>126</v>
      </c>
      <c r="I523" s="4"/>
      <c r="J523" s="4"/>
      <c r="K523" s="4">
        <v>230</v>
      </c>
      <c r="L523" s="4">
        <v>19</v>
      </c>
      <c r="M523" s="4">
        <v>3</v>
      </c>
      <c r="N523" s="4" t="s">
        <v>3</v>
      </c>
      <c r="O523" s="4">
        <v>2</v>
      </c>
      <c r="P523" s="4"/>
      <c r="Q523" s="4"/>
      <c r="R523" s="4"/>
      <c r="S523" s="4"/>
      <c r="T523" s="4"/>
      <c r="U523" s="4"/>
      <c r="V523" s="4"/>
      <c r="W523" s="4"/>
    </row>
    <row r="524" spans="1:23" x14ac:dyDescent="0.2">
      <c r="A524" s="4">
        <v>50</v>
      </c>
      <c r="B524" s="4">
        <v>0</v>
      </c>
      <c r="C524" s="4">
        <v>0</v>
      </c>
      <c r="D524" s="4">
        <v>1</v>
      </c>
      <c r="E524" s="4">
        <v>206</v>
      </c>
      <c r="F524" s="4">
        <f>ROUND(Source!T503,O524)</f>
        <v>0</v>
      </c>
      <c r="G524" s="4" t="s">
        <v>127</v>
      </c>
      <c r="H524" s="4" t="s">
        <v>128</v>
      </c>
      <c r="I524" s="4"/>
      <c r="J524" s="4"/>
      <c r="K524" s="4">
        <v>206</v>
      </c>
      <c r="L524" s="4">
        <v>20</v>
      </c>
      <c r="M524" s="4">
        <v>3</v>
      </c>
      <c r="N524" s="4" t="s">
        <v>3</v>
      </c>
      <c r="O524" s="4">
        <v>2</v>
      </c>
      <c r="P524" s="4"/>
      <c r="Q524" s="4"/>
      <c r="R524" s="4"/>
      <c r="S524" s="4"/>
      <c r="T524" s="4"/>
      <c r="U524" s="4"/>
      <c r="V524" s="4"/>
      <c r="W524" s="4"/>
    </row>
    <row r="525" spans="1:23" x14ac:dyDescent="0.2">
      <c r="A525" s="4">
        <v>50</v>
      </c>
      <c r="B525" s="4">
        <v>0</v>
      </c>
      <c r="C525" s="4">
        <v>0</v>
      </c>
      <c r="D525" s="4">
        <v>1</v>
      </c>
      <c r="E525" s="4">
        <v>207</v>
      </c>
      <c r="F525" s="4">
        <f>Source!U503</f>
        <v>747.74956071999998</v>
      </c>
      <c r="G525" s="4" t="s">
        <v>129</v>
      </c>
      <c r="H525" s="4" t="s">
        <v>130</v>
      </c>
      <c r="I525" s="4"/>
      <c r="J525" s="4"/>
      <c r="K525" s="4">
        <v>207</v>
      </c>
      <c r="L525" s="4">
        <v>21</v>
      </c>
      <c r="M525" s="4">
        <v>3</v>
      </c>
      <c r="N525" s="4" t="s">
        <v>3</v>
      </c>
      <c r="O525" s="4">
        <v>-1</v>
      </c>
      <c r="P525" s="4"/>
      <c r="Q525" s="4"/>
      <c r="R525" s="4"/>
      <c r="S525" s="4"/>
      <c r="T525" s="4"/>
      <c r="U525" s="4"/>
      <c r="V525" s="4"/>
      <c r="W525" s="4"/>
    </row>
    <row r="526" spans="1:23" x14ac:dyDescent="0.2">
      <c r="A526" s="4">
        <v>50</v>
      </c>
      <c r="B526" s="4">
        <v>0</v>
      </c>
      <c r="C526" s="4">
        <v>0</v>
      </c>
      <c r="D526" s="4">
        <v>1</v>
      </c>
      <c r="E526" s="4">
        <v>208</v>
      </c>
      <c r="F526" s="4">
        <f>Source!V503</f>
        <v>0</v>
      </c>
      <c r="G526" s="4" t="s">
        <v>131</v>
      </c>
      <c r="H526" s="4" t="s">
        <v>132</v>
      </c>
      <c r="I526" s="4"/>
      <c r="J526" s="4"/>
      <c r="K526" s="4">
        <v>208</v>
      </c>
      <c r="L526" s="4">
        <v>22</v>
      </c>
      <c r="M526" s="4">
        <v>3</v>
      </c>
      <c r="N526" s="4" t="s">
        <v>3</v>
      </c>
      <c r="O526" s="4">
        <v>-1</v>
      </c>
      <c r="P526" s="4"/>
      <c r="Q526" s="4"/>
      <c r="R526" s="4"/>
      <c r="S526" s="4"/>
      <c r="T526" s="4"/>
      <c r="U526" s="4"/>
      <c r="V526" s="4"/>
      <c r="W526" s="4"/>
    </row>
    <row r="527" spans="1:23" x14ac:dyDescent="0.2">
      <c r="A527" s="4">
        <v>50</v>
      </c>
      <c r="B527" s="4">
        <v>0</v>
      </c>
      <c r="C527" s="4">
        <v>0</v>
      </c>
      <c r="D527" s="4">
        <v>1</v>
      </c>
      <c r="E527" s="4">
        <v>209</v>
      </c>
      <c r="F527" s="4">
        <f>ROUND(Source!W503,O527)</f>
        <v>0</v>
      </c>
      <c r="G527" s="4" t="s">
        <v>133</v>
      </c>
      <c r="H527" s="4" t="s">
        <v>134</v>
      </c>
      <c r="I527" s="4"/>
      <c r="J527" s="4"/>
      <c r="K527" s="4">
        <v>209</v>
      </c>
      <c r="L527" s="4">
        <v>23</v>
      </c>
      <c r="M527" s="4">
        <v>3</v>
      </c>
      <c r="N527" s="4" t="s">
        <v>3</v>
      </c>
      <c r="O527" s="4">
        <v>2</v>
      </c>
      <c r="P527" s="4"/>
      <c r="Q527" s="4"/>
      <c r="R527" s="4"/>
      <c r="S527" s="4"/>
      <c r="T527" s="4"/>
      <c r="U527" s="4"/>
      <c r="V527" s="4"/>
      <c r="W527" s="4"/>
    </row>
    <row r="528" spans="1:23" x14ac:dyDescent="0.2">
      <c r="A528" s="4">
        <v>50</v>
      </c>
      <c r="B528" s="4">
        <v>0</v>
      </c>
      <c r="C528" s="4">
        <v>0</v>
      </c>
      <c r="D528" s="4">
        <v>1</v>
      </c>
      <c r="E528" s="4">
        <v>233</v>
      </c>
      <c r="F528" s="4">
        <f>ROUND(Source!BD503,O528)</f>
        <v>0</v>
      </c>
      <c r="G528" s="4" t="s">
        <v>135</v>
      </c>
      <c r="H528" s="4" t="s">
        <v>136</v>
      </c>
      <c r="I528" s="4"/>
      <c r="J528" s="4"/>
      <c r="K528" s="4">
        <v>233</v>
      </c>
      <c r="L528" s="4">
        <v>24</v>
      </c>
      <c r="M528" s="4">
        <v>3</v>
      </c>
      <c r="N528" s="4" t="s">
        <v>3</v>
      </c>
      <c r="O528" s="4">
        <v>2</v>
      </c>
      <c r="P528" s="4"/>
      <c r="Q528" s="4"/>
      <c r="R528" s="4"/>
      <c r="S528" s="4"/>
      <c r="T528" s="4"/>
      <c r="U528" s="4"/>
      <c r="V528" s="4"/>
      <c r="W528" s="4"/>
    </row>
    <row r="529" spans="1:206" x14ac:dyDescent="0.2">
      <c r="A529" s="4">
        <v>50</v>
      </c>
      <c r="B529" s="4">
        <v>0</v>
      </c>
      <c r="C529" s="4">
        <v>0</v>
      </c>
      <c r="D529" s="4">
        <v>1</v>
      </c>
      <c r="E529" s="4">
        <v>210</v>
      </c>
      <c r="F529" s="4">
        <f>ROUND(Source!X503,O529)</f>
        <v>202202.76</v>
      </c>
      <c r="G529" s="4" t="s">
        <v>137</v>
      </c>
      <c r="H529" s="4" t="s">
        <v>138</v>
      </c>
      <c r="I529" s="4"/>
      <c r="J529" s="4"/>
      <c r="K529" s="4">
        <v>210</v>
      </c>
      <c r="L529" s="4">
        <v>25</v>
      </c>
      <c r="M529" s="4">
        <v>3</v>
      </c>
      <c r="N529" s="4" t="s">
        <v>3</v>
      </c>
      <c r="O529" s="4">
        <v>2</v>
      </c>
      <c r="P529" s="4"/>
      <c r="Q529" s="4"/>
      <c r="R529" s="4"/>
      <c r="S529" s="4"/>
      <c r="T529" s="4"/>
      <c r="U529" s="4"/>
      <c r="V529" s="4"/>
      <c r="W529" s="4"/>
    </row>
    <row r="530" spans="1:206" x14ac:dyDescent="0.2">
      <c r="A530" s="4">
        <v>50</v>
      </c>
      <c r="B530" s="4">
        <v>0</v>
      </c>
      <c r="C530" s="4">
        <v>0</v>
      </c>
      <c r="D530" s="4">
        <v>1</v>
      </c>
      <c r="E530" s="4">
        <v>211</v>
      </c>
      <c r="F530" s="4">
        <f>ROUND(Source!Y503,O530)</f>
        <v>93310.25</v>
      </c>
      <c r="G530" s="4" t="s">
        <v>139</v>
      </c>
      <c r="H530" s="4" t="s">
        <v>140</v>
      </c>
      <c r="I530" s="4"/>
      <c r="J530" s="4"/>
      <c r="K530" s="4">
        <v>211</v>
      </c>
      <c r="L530" s="4">
        <v>26</v>
      </c>
      <c r="M530" s="4">
        <v>3</v>
      </c>
      <c r="N530" s="4" t="s">
        <v>3</v>
      </c>
      <c r="O530" s="4">
        <v>2</v>
      </c>
      <c r="P530" s="4"/>
      <c r="Q530" s="4"/>
      <c r="R530" s="4"/>
      <c r="S530" s="4"/>
      <c r="T530" s="4"/>
      <c r="U530" s="4"/>
      <c r="V530" s="4"/>
      <c r="W530" s="4"/>
    </row>
    <row r="531" spans="1:206" x14ac:dyDescent="0.2">
      <c r="A531" s="4">
        <v>50</v>
      </c>
      <c r="B531" s="4">
        <v>0</v>
      </c>
      <c r="C531" s="4">
        <v>0</v>
      </c>
      <c r="D531" s="4">
        <v>1</v>
      </c>
      <c r="E531" s="4">
        <v>224</v>
      </c>
      <c r="F531" s="4">
        <f>ROUND(Source!AR503,O531)</f>
        <v>1495338.02</v>
      </c>
      <c r="G531" s="4" t="s">
        <v>141</v>
      </c>
      <c r="H531" s="4" t="s">
        <v>142</v>
      </c>
      <c r="I531" s="4"/>
      <c r="J531" s="4"/>
      <c r="K531" s="4">
        <v>224</v>
      </c>
      <c r="L531" s="4">
        <v>27</v>
      </c>
      <c r="M531" s="4">
        <v>3</v>
      </c>
      <c r="N531" s="4" t="s">
        <v>3</v>
      </c>
      <c r="O531" s="4">
        <v>2</v>
      </c>
      <c r="P531" s="4"/>
      <c r="Q531" s="4"/>
      <c r="R531" s="4"/>
      <c r="S531" s="4"/>
      <c r="T531" s="4"/>
      <c r="U531" s="4"/>
      <c r="V531" s="4"/>
      <c r="W531" s="4"/>
    </row>
    <row r="532" spans="1:206" x14ac:dyDescent="0.2">
      <c r="A532" s="4">
        <v>50</v>
      </c>
      <c r="B532" s="4">
        <v>1</v>
      </c>
      <c r="C532" s="4">
        <v>0</v>
      </c>
      <c r="D532" s="4">
        <v>2</v>
      </c>
      <c r="E532" s="4">
        <v>0</v>
      </c>
      <c r="F532" s="4">
        <f>ROUND(F531*1.2,O532)</f>
        <v>1794405.62</v>
      </c>
      <c r="G532" s="4" t="s">
        <v>15</v>
      </c>
      <c r="H532" s="4" t="s">
        <v>170</v>
      </c>
      <c r="I532" s="4"/>
      <c r="J532" s="4"/>
      <c r="K532" s="4">
        <v>212</v>
      </c>
      <c r="L532" s="4">
        <v>28</v>
      </c>
      <c r="M532" s="4">
        <v>0</v>
      </c>
      <c r="N532" s="4" t="s">
        <v>3</v>
      </c>
      <c r="O532" s="4">
        <v>2</v>
      </c>
      <c r="P532" s="4"/>
      <c r="Q532" s="4"/>
      <c r="R532" s="4"/>
      <c r="S532" s="4"/>
      <c r="T532" s="4"/>
      <c r="U532" s="4"/>
      <c r="V532" s="4"/>
      <c r="W532" s="4"/>
    </row>
    <row r="534" spans="1:206" x14ac:dyDescent="0.2">
      <c r="A534" s="1">
        <v>4</v>
      </c>
      <c r="B534" s="1">
        <v>1</v>
      </c>
      <c r="C534" s="1"/>
      <c r="D534" s="1">
        <f>ROW(A538)</f>
        <v>538</v>
      </c>
      <c r="E534" s="1"/>
      <c r="F534" s="1" t="s">
        <v>13</v>
      </c>
      <c r="G534" s="1" t="s">
        <v>355</v>
      </c>
      <c r="H534" s="1" t="s">
        <v>3</v>
      </c>
      <c r="I534" s="1">
        <v>0</v>
      </c>
      <c r="J534" s="1"/>
      <c r="K534" s="1">
        <v>0</v>
      </c>
      <c r="L534" s="1"/>
      <c r="M534" s="1"/>
      <c r="N534" s="1"/>
      <c r="O534" s="1"/>
      <c r="P534" s="1"/>
      <c r="Q534" s="1"/>
      <c r="R534" s="1"/>
      <c r="S534" s="1"/>
      <c r="T534" s="1"/>
      <c r="U534" s="1" t="s">
        <v>3</v>
      </c>
      <c r="V534" s="1">
        <v>0</v>
      </c>
      <c r="W534" s="1"/>
      <c r="X534" s="1"/>
      <c r="Y534" s="1"/>
      <c r="Z534" s="1"/>
      <c r="AA534" s="1"/>
      <c r="AB534" s="1" t="s">
        <v>3</v>
      </c>
      <c r="AC534" s="1" t="s">
        <v>3</v>
      </c>
      <c r="AD534" s="1" t="s">
        <v>3</v>
      </c>
      <c r="AE534" s="1" t="s">
        <v>3</v>
      </c>
      <c r="AF534" s="1" t="s">
        <v>3</v>
      </c>
      <c r="AG534" s="1" t="s">
        <v>3</v>
      </c>
      <c r="AH534" s="1"/>
      <c r="AI534" s="1"/>
      <c r="AJ534" s="1"/>
      <c r="AK534" s="1"/>
      <c r="AL534" s="1"/>
      <c r="AM534" s="1"/>
      <c r="AN534" s="1"/>
      <c r="AO534" s="1"/>
      <c r="AP534" s="1" t="s">
        <v>3</v>
      </c>
      <c r="AQ534" s="1" t="s">
        <v>3</v>
      </c>
      <c r="AR534" s="1" t="s">
        <v>3</v>
      </c>
      <c r="AS534" s="1"/>
      <c r="AT534" s="1"/>
      <c r="AU534" s="1"/>
      <c r="AV534" s="1"/>
      <c r="AW534" s="1"/>
      <c r="AX534" s="1"/>
      <c r="AY534" s="1"/>
      <c r="AZ534" s="1" t="s">
        <v>3</v>
      </c>
      <c r="BA534" s="1"/>
      <c r="BB534" s="1" t="s">
        <v>3</v>
      </c>
      <c r="BC534" s="1" t="s">
        <v>3</v>
      </c>
      <c r="BD534" s="1" t="s">
        <v>3</v>
      </c>
      <c r="BE534" s="1" t="s">
        <v>3</v>
      </c>
      <c r="BF534" s="1" t="s">
        <v>3</v>
      </c>
      <c r="BG534" s="1" t="s">
        <v>3</v>
      </c>
      <c r="BH534" s="1" t="s">
        <v>3</v>
      </c>
      <c r="BI534" s="1" t="s">
        <v>3</v>
      </c>
      <c r="BJ534" s="1" t="s">
        <v>3</v>
      </c>
      <c r="BK534" s="1" t="s">
        <v>3</v>
      </c>
      <c r="BL534" s="1" t="s">
        <v>3</v>
      </c>
      <c r="BM534" s="1" t="s">
        <v>3</v>
      </c>
      <c r="BN534" s="1" t="s">
        <v>3</v>
      </c>
      <c r="BO534" s="1" t="s">
        <v>3</v>
      </c>
      <c r="BP534" s="1" t="s">
        <v>3</v>
      </c>
      <c r="BQ534" s="1"/>
      <c r="BR534" s="1"/>
      <c r="BS534" s="1"/>
      <c r="BT534" s="1"/>
      <c r="BU534" s="1"/>
      <c r="BV534" s="1"/>
      <c r="BW534" s="1"/>
      <c r="BX534" s="1">
        <v>0</v>
      </c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>
        <v>0</v>
      </c>
    </row>
    <row r="536" spans="1:206" x14ac:dyDescent="0.2">
      <c r="A536" s="2">
        <v>52</v>
      </c>
      <c r="B536" s="2">
        <f t="shared" ref="B536:G536" si="438">B538</f>
        <v>1</v>
      </c>
      <c r="C536" s="2">
        <f t="shared" si="438"/>
        <v>4</v>
      </c>
      <c r="D536" s="2">
        <f t="shared" si="438"/>
        <v>534</v>
      </c>
      <c r="E536" s="2">
        <f t="shared" si="438"/>
        <v>0</v>
      </c>
      <c r="F536" s="2" t="str">
        <f t="shared" si="438"/>
        <v>Новый раздел</v>
      </c>
      <c r="G536" s="2" t="str">
        <f t="shared" si="438"/>
        <v>22.2 Пересадка деревьев с комом 0,8х0,6 м, высотой от 3 м</v>
      </c>
      <c r="H536" s="2"/>
      <c r="I536" s="2"/>
      <c r="J536" s="2"/>
      <c r="K536" s="2"/>
      <c r="L536" s="2"/>
      <c r="M536" s="2"/>
      <c r="N536" s="2"/>
      <c r="O536" s="2">
        <f t="shared" ref="O536:AT536" si="439">O538</f>
        <v>0</v>
      </c>
      <c r="P536" s="2">
        <f t="shared" si="439"/>
        <v>0</v>
      </c>
      <c r="Q536" s="2">
        <f t="shared" si="439"/>
        <v>0</v>
      </c>
      <c r="R536" s="2">
        <f t="shared" si="439"/>
        <v>0</v>
      </c>
      <c r="S536" s="2">
        <f t="shared" si="439"/>
        <v>0</v>
      </c>
      <c r="T536" s="2">
        <f t="shared" si="439"/>
        <v>0</v>
      </c>
      <c r="U536" s="2">
        <f t="shared" si="439"/>
        <v>0</v>
      </c>
      <c r="V536" s="2">
        <f t="shared" si="439"/>
        <v>0</v>
      </c>
      <c r="W536" s="2">
        <f t="shared" si="439"/>
        <v>0</v>
      </c>
      <c r="X536" s="2">
        <f t="shared" si="439"/>
        <v>0</v>
      </c>
      <c r="Y536" s="2">
        <f t="shared" si="439"/>
        <v>0</v>
      </c>
      <c r="Z536" s="2">
        <f t="shared" si="439"/>
        <v>0</v>
      </c>
      <c r="AA536" s="2">
        <f t="shared" si="439"/>
        <v>0</v>
      </c>
      <c r="AB536" s="2">
        <f t="shared" si="439"/>
        <v>0</v>
      </c>
      <c r="AC536" s="2">
        <f t="shared" si="439"/>
        <v>0</v>
      </c>
      <c r="AD536" s="2">
        <f t="shared" si="439"/>
        <v>0</v>
      </c>
      <c r="AE536" s="2">
        <f t="shared" si="439"/>
        <v>0</v>
      </c>
      <c r="AF536" s="2">
        <f t="shared" si="439"/>
        <v>0</v>
      </c>
      <c r="AG536" s="2">
        <f t="shared" si="439"/>
        <v>0</v>
      </c>
      <c r="AH536" s="2">
        <f t="shared" si="439"/>
        <v>0</v>
      </c>
      <c r="AI536" s="2">
        <f t="shared" si="439"/>
        <v>0</v>
      </c>
      <c r="AJ536" s="2">
        <f t="shared" si="439"/>
        <v>0</v>
      </c>
      <c r="AK536" s="2">
        <f t="shared" si="439"/>
        <v>0</v>
      </c>
      <c r="AL536" s="2">
        <f t="shared" si="439"/>
        <v>0</v>
      </c>
      <c r="AM536" s="2">
        <f t="shared" si="439"/>
        <v>0</v>
      </c>
      <c r="AN536" s="2">
        <f t="shared" si="439"/>
        <v>0</v>
      </c>
      <c r="AO536" s="2">
        <f t="shared" si="439"/>
        <v>0</v>
      </c>
      <c r="AP536" s="2">
        <f t="shared" si="439"/>
        <v>0</v>
      </c>
      <c r="AQ536" s="2">
        <f t="shared" si="439"/>
        <v>0</v>
      </c>
      <c r="AR536" s="2">
        <f t="shared" si="439"/>
        <v>0</v>
      </c>
      <c r="AS536" s="2">
        <f t="shared" si="439"/>
        <v>0</v>
      </c>
      <c r="AT536" s="2">
        <f t="shared" si="439"/>
        <v>0</v>
      </c>
      <c r="AU536" s="2">
        <f t="shared" ref="AU536:BZ536" si="440">AU538</f>
        <v>0</v>
      </c>
      <c r="AV536" s="2">
        <f t="shared" si="440"/>
        <v>0</v>
      </c>
      <c r="AW536" s="2">
        <f t="shared" si="440"/>
        <v>0</v>
      </c>
      <c r="AX536" s="2">
        <f t="shared" si="440"/>
        <v>0</v>
      </c>
      <c r="AY536" s="2">
        <f t="shared" si="440"/>
        <v>0</v>
      </c>
      <c r="AZ536" s="2">
        <f t="shared" si="440"/>
        <v>0</v>
      </c>
      <c r="BA536" s="2">
        <f t="shared" si="440"/>
        <v>0</v>
      </c>
      <c r="BB536" s="2">
        <f t="shared" si="440"/>
        <v>0</v>
      </c>
      <c r="BC536" s="2">
        <f t="shared" si="440"/>
        <v>0</v>
      </c>
      <c r="BD536" s="2">
        <f t="shared" si="440"/>
        <v>0</v>
      </c>
      <c r="BE536" s="2">
        <f t="shared" si="440"/>
        <v>0</v>
      </c>
      <c r="BF536" s="2">
        <f t="shared" si="440"/>
        <v>0</v>
      </c>
      <c r="BG536" s="2">
        <f t="shared" si="440"/>
        <v>0</v>
      </c>
      <c r="BH536" s="2">
        <f t="shared" si="440"/>
        <v>0</v>
      </c>
      <c r="BI536" s="2">
        <f t="shared" si="440"/>
        <v>0</v>
      </c>
      <c r="BJ536" s="2">
        <f t="shared" si="440"/>
        <v>0</v>
      </c>
      <c r="BK536" s="2">
        <f t="shared" si="440"/>
        <v>0</v>
      </c>
      <c r="BL536" s="2">
        <f t="shared" si="440"/>
        <v>0</v>
      </c>
      <c r="BM536" s="2">
        <f t="shared" si="440"/>
        <v>0</v>
      </c>
      <c r="BN536" s="2">
        <f t="shared" si="440"/>
        <v>0</v>
      </c>
      <c r="BO536" s="2">
        <f t="shared" si="440"/>
        <v>0</v>
      </c>
      <c r="BP536" s="2">
        <f t="shared" si="440"/>
        <v>0</v>
      </c>
      <c r="BQ536" s="2">
        <f t="shared" si="440"/>
        <v>0</v>
      </c>
      <c r="BR536" s="2">
        <f t="shared" si="440"/>
        <v>0</v>
      </c>
      <c r="BS536" s="2">
        <f t="shared" si="440"/>
        <v>0</v>
      </c>
      <c r="BT536" s="2">
        <f t="shared" si="440"/>
        <v>0</v>
      </c>
      <c r="BU536" s="2">
        <f t="shared" si="440"/>
        <v>0</v>
      </c>
      <c r="BV536" s="2">
        <f t="shared" si="440"/>
        <v>0</v>
      </c>
      <c r="BW536" s="2">
        <f t="shared" si="440"/>
        <v>0</v>
      </c>
      <c r="BX536" s="2">
        <f t="shared" si="440"/>
        <v>0</v>
      </c>
      <c r="BY536" s="2">
        <f t="shared" si="440"/>
        <v>0</v>
      </c>
      <c r="BZ536" s="2">
        <f t="shared" si="440"/>
        <v>0</v>
      </c>
      <c r="CA536" s="2">
        <f t="shared" ref="CA536:DF536" si="441">CA538</f>
        <v>0</v>
      </c>
      <c r="CB536" s="2">
        <f t="shared" si="441"/>
        <v>0</v>
      </c>
      <c r="CC536" s="2">
        <f t="shared" si="441"/>
        <v>0</v>
      </c>
      <c r="CD536" s="2">
        <f t="shared" si="441"/>
        <v>0</v>
      </c>
      <c r="CE536" s="2">
        <f t="shared" si="441"/>
        <v>0</v>
      </c>
      <c r="CF536" s="2">
        <f t="shared" si="441"/>
        <v>0</v>
      </c>
      <c r="CG536" s="2">
        <f t="shared" si="441"/>
        <v>0</v>
      </c>
      <c r="CH536" s="2">
        <f t="shared" si="441"/>
        <v>0</v>
      </c>
      <c r="CI536" s="2">
        <f t="shared" si="441"/>
        <v>0</v>
      </c>
      <c r="CJ536" s="2">
        <f t="shared" si="441"/>
        <v>0</v>
      </c>
      <c r="CK536" s="2">
        <f t="shared" si="441"/>
        <v>0</v>
      </c>
      <c r="CL536" s="2">
        <f t="shared" si="441"/>
        <v>0</v>
      </c>
      <c r="CM536" s="2">
        <f t="shared" si="441"/>
        <v>0</v>
      </c>
      <c r="CN536" s="2">
        <f t="shared" si="441"/>
        <v>0</v>
      </c>
      <c r="CO536" s="2">
        <f t="shared" si="441"/>
        <v>0</v>
      </c>
      <c r="CP536" s="2">
        <f t="shared" si="441"/>
        <v>0</v>
      </c>
      <c r="CQ536" s="2">
        <f t="shared" si="441"/>
        <v>0</v>
      </c>
      <c r="CR536" s="2">
        <f t="shared" si="441"/>
        <v>0</v>
      </c>
      <c r="CS536" s="2">
        <f t="shared" si="441"/>
        <v>0</v>
      </c>
      <c r="CT536" s="2">
        <f t="shared" si="441"/>
        <v>0</v>
      </c>
      <c r="CU536" s="2">
        <f t="shared" si="441"/>
        <v>0</v>
      </c>
      <c r="CV536" s="2">
        <f t="shared" si="441"/>
        <v>0</v>
      </c>
      <c r="CW536" s="2">
        <f t="shared" si="441"/>
        <v>0</v>
      </c>
      <c r="CX536" s="2">
        <f t="shared" si="441"/>
        <v>0</v>
      </c>
      <c r="CY536" s="2">
        <f t="shared" si="441"/>
        <v>0</v>
      </c>
      <c r="CZ536" s="2">
        <f t="shared" si="441"/>
        <v>0</v>
      </c>
      <c r="DA536" s="2">
        <f t="shared" si="441"/>
        <v>0</v>
      </c>
      <c r="DB536" s="2">
        <f t="shared" si="441"/>
        <v>0</v>
      </c>
      <c r="DC536" s="2">
        <f t="shared" si="441"/>
        <v>0</v>
      </c>
      <c r="DD536" s="2">
        <f t="shared" si="441"/>
        <v>0</v>
      </c>
      <c r="DE536" s="2">
        <f t="shared" si="441"/>
        <v>0</v>
      </c>
      <c r="DF536" s="2">
        <f t="shared" si="441"/>
        <v>0</v>
      </c>
      <c r="DG536" s="3">
        <f t="shared" ref="DG536:EL536" si="442">DG538</f>
        <v>0</v>
      </c>
      <c r="DH536" s="3">
        <f t="shared" si="442"/>
        <v>0</v>
      </c>
      <c r="DI536" s="3">
        <f t="shared" si="442"/>
        <v>0</v>
      </c>
      <c r="DJ536" s="3">
        <f t="shared" si="442"/>
        <v>0</v>
      </c>
      <c r="DK536" s="3">
        <f t="shared" si="442"/>
        <v>0</v>
      </c>
      <c r="DL536" s="3">
        <f t="shared" si="442"/>
        <v>0</v>
      </c>
      <c r="DM536" s="3">
        <f t="shared" si="442"/>
        <v>0</v>
      </c>
      <c r="DN536" s="3">
        <f t="shared" si="442"/>
        <v>0</v>
      </c>
      <c r="DO536" s="3">
        <f t="shared" si="442"/>
        <v>0</v>
      </c>
      <c r="DP536" s="3">
        <f t="shared" si="442"/>
        <v>0</v>
      </c>
      <c r="DQ536" s="3">
        <f t="shared" si="442"/>
        <v>0</v>
      </c>
      <c r="DR536" s="3">
        <f t="shared" si="442"/>
        <v>0</v>
      </c>
      <c r="DS536" s="3">
        <f t="shared" si="442"/>
        <v>0</v>
      </c>
      <c r="DT536" s="3">
        <f t="shared" si="442"/>
        <v>0</v>
      </c>
      <c r="DU536" s="3">
        <f t="shared" si="442"/>
        <v>0</v>
      </c>
      <c r="DV536" s="3">
        <f t="shared" si="442"/>
        <v>0</v>
      </c>
      <c r="DW536" s="3">
        <f t="shared" si="442"/>
        <v>0</v>
      </c>
      <c r="DX536" s="3">
        <f t="shared" si="442"/>
        <v>0</v>
      </c>
      <c r="DY536" s="3">
        <f t="shared" si="442"/>
        <v>0</v>
      </c>
      <c r="DZ536" s="3">
        <f t="shared" si="442"/>
        <v>0</v>
      </c>
      <c r="EA536" s="3">
        <f t="shared" si="442"/>
        <v>0</v>
      </c>
      <c r="EB536" s="3">
        <f t="shared" si="442"/>
        <v>0</v>
      </c>
      <c r="EC536" s="3">
        <f t="shared" si="442"/>
        <v>0</v>
      </c>
      <c r="ED536" s="3">
        <f t="shared" si="442"/>
        <v>0</v>
      </c>
      <c r="EE536" s="3">
        <f t="shared" si="442"/>
        <v>0</v>
      </c>
      <c r="EF536" s="3">
        <f t="shared" si="442"/>
        <v>0</v>
      </c>
      <c r="EG536" s="3">
        <f t="shared" si="442"/>
        <v>0</v>
      </c>
      <c r="EH536" s="3">
        <f t="shared" si="442"/>
        <v>0</v>
      </c>
      <c r="EI536" s="3">
        <f t="shared" si="442"/>
        <v>0</v>
      </c>
      <c r="EJ536" s="3">
        <f t="shared" si="442"/>
        <v>0</v>
      </c>
      <c r="EK536" s="3">
        <f t="shared" si="442"/>
        <v>0</v>
      </c>
      <c r="EL536" s="3">
        <f t="shared" si="442"/>
        <v>0</v>
      </c>
      <c r="EM536" s="3">
        <f t="shared" ref="EM536:FR536" si="443">EM538</f>
        <v>0</v>
      </c>
      <c r="EN536" s="3">
        <f t="shared" si="443"/>
        <v>0</v>
      </c>
      <c r="EO536" s="3">
        <f t="shared" si="443"/>
        <v>0</v>
      </c>
      <c r="EP536" s="3">
        <f t="shared" si="443"/>
        <v>0</v>
      </c>
      <c r="EQ536" s="3">
        <f t="shared" si="443"/>
        <v>0</v>
      </c>
      <c r="ER536" s="3">
        <f t="shared" si="443"/>
        <v>0</v>
      </c>
      <c r="ES536" s="3">
        <f t="shared" si="443"/>
        <v>0</v>
      </c>
      <c r="ET536" s="3">
        <f t="shared" si="443"/>
        <v>0</v>
      </c>
      <c r="EU536" s="3">
        <f t="shared" si="443"/>
        <v>0</v>
      </c>
      <c r="EV536" s="3">
        <f t="shared" si="443"/>
        <v>0</v>
      </c>
      <c r="EW536" s="3">
        <f t="shared" si="443"/>
        <v>0</v>
      </c>
      <c r="EX536" s="3">
        <f t="shared" si="443"/>
        <v>0</v>
      </c>
      <c r="EY536" s="3">
        <f t="shared" si="443"/>
        <v>0</v>
      </c>
      <c r="EZ536" s="3">
        <f t="shared" si="443"/>
        <v>0</v>
      </c>
      <c r="FA536" s="3">
        <f t="shared" si="443"/>
        <v>0</v>
      </c>
      <c r="FB536" s="3">
        <f t="shared" si="443"/>
        <v>0</v>
      </c>
      <c r="FC536" s="3">
        <f t="shared" si="443"/>
        <v>0</v>
      </c>
      <c r="FD536" s="3">
        <f t="shared" si="443"/>
        <v>0</v>
      </c>
      <c r="FE536" s="3">
        <f t="shared" si="443"/>
        <v>0</v>
      </c>
      <c r="FF536" s="3">
        <f t="shared" si="443"/>
        <v>0</v>
      </c>
      <c r="FG536" s="3">
        <f t="shared" si="443"/>
        <v>0</v>
      </c>
      <c r="FH536" s="3">
        <f t="shared" si="443"/>
        <v>0</v>
      </c>
      <c r="FI536" s="3">
        <f t="shared" si="443"/>
        <v>0</v>
      </c>
      <c r="FJ536" s="3">
        <f t="shared" si="443"/>
        <v>0</v>
      </c>
      <c r="FK536" s="3">
        <f t="shared" si="443"/>
        <v>0</v>
      </c>
      <c r="FL536" s="3">
        <f t="shared" si="443"/>
        <v>0</v>
      </c>
      <c r="FM536" s="3">
        <f t="shared" si="443"/>
        <v>0</v>
      </c>
      <c r="FN536" s="3">
        <f t="shared" si="443"/>
        <v>0</v>
      </c>
      <c r="FO536" s="3">
        <f t="shared" si="443"/>
        <v>0</v>
      </c>
      <c r="FP536" s="3">
        <f t="shared" si="443"/>
        <v>0</v>
      </c>
      <c r="FQ536" s="3">
        <f t="shared" si="443"/>
        <v>0</v>
      </c>
      <c r="FR536" s="3">
        <f t="shared" si="443"/>
        <v>0</v>
      </c>
      <c r="FS536" s="3">
        <f t="shared" ref="FS536:GX536" si="444">FS538</f>
        <v>0</v>
      </c>
      <c r="FT536" s="3">
        <f t="shared" si="444"/>
        <v>0</v>
      </c>
      <c r="FU536" s="3">
        <f t="shared" si="444"/>
        <v>0</v>
      </c>
      <c r="FV536" s="3">
        <f t="shared" si="444"/>
        <v>0</v>
      </c>
      <c r="FW536" s="3">
        <f t="shared" si="444"/>
        <v>0</v>
      </c>
      <c r="FX536" s="3">
        <f t="shared" si="444"/>
        <v>0</v>
      </c>
      <c r="FY536" s="3">
        <f t="shared" si="444"/>
        <v>0</v>
      </c>
      <c r="FZ536" s="3">
        <f t="shared" si="444"/>
        <v>0</v>
      </c>
      <c r="GA536" s="3">
        <f t="shared" si="444"/>
        <v>0</v>
      </c>
      <c r="GB536" s="3">
        <f t="shared" si="444"/>
        <v>0</v>
      </c>
      <c r="GC536" s="3">
        <f t="shared" si="444"/>
        <v>0</v>
      </c>
      <c r="GD536" s="3">
        <f t="shared" si="444"/>
        <v>0</v>
      </c>
      <c r="GE536" s="3">
        <f t="shared" si="444"/>
        <v>0</v>
      </c>
      <c r="GF536" s="3">
        <f t="shared" si="444"/>
        <v>0</v>
      </c>
      <c r="GG536" s="3">
        <f t="shared" si="444"/>
        <v>0</v>
      </c>
      <c r="GH536" s="3">
        <f t="shared" si="444"/>
        <v>0</v>
      </c>
      <c r="GI536" s="3">
        <f t="shared" si="444"/>
        <v>0</v>
      </c>
      <c r="GJ536" s="3">
        <f t="shared" si="444"/>
        <v>0</v>
      </c>
      <c r="GK536" s="3">
        <f t="shared" si="444"/>
        <v>0</v>
      </c>
      <c r="GL536" s="3">
        <f t="shared" si="444"/>
        <v>0</v>
      </c>
      <c r="GM536" s="3">
        <f t="shared" si="444"/>
        <v>0</v>
      </c>
      <c r="GN536" s="3">
        <f t="shared" si="444"/>
        <v>0</v>
      </c>
      <c r="GO536" s="3">
        <f t="shared" si="444"/>
        <v>0</v>
      </c>
      <c r="GP536" s="3">
        <f t="shared" si="444"/>
        <v>0</v>
      </c>
      <c r="GQ536" s="3">
        <f t="shared" si="444"/>
        <v>0</v>
      </c>
      <c r="GR536" s="3">
        <f t="shared" si="444"/>
        <v>0</v>
      </c>
      <c r="GS536" s="3">
        <f t="shared" si="444"/>
        <v>0</v>
      </c>
      <c r="GT536" s="3">
        <f t="shared" si="444"/>
        <v>0</v>
      </c>
      <c r="GU536" s="3">
        <f t="shared" si="444"/>
        <v>0</v>
      </c>
      <c r="GV536" s="3">
        <f t="shared" si="444"/>
        <v>0</v>
      </c>
      <c r="GW536" s="3">
        <f t="shared" si="444"/>
        <v>0</v>
      </c>
      <c r="GX536" s="3">
        <f t="shared" si="444"/>
        <v>0</v>
      </c>
    </row>
    <row r="538" spans="1:206" x14ac:dyDescent="0.2">
      <c r="A538" s="2">
        <v>51</v>
      </c>
      <c r="B538" s="2">
        <f>B534</f>
        <v>1</v>
      </c>
      <c r="C538" s="2">
        <f>A534</f>
        <v>4</v>
      </c>
      <c r="D538" s="2">
        <f>ROW(A534)</f>
        <v>534</v>
      </c>
      <c r="E538" s="2"/>
      <c r="F538" s="2" t="str">
        <f>IF(F534&lt;&gt;"",F534,"")</f>
        <v>Новый раздел</v>
      </c>
      <c r="G538" s="2" t="str">
        <f>IF(G534&lt;&gt;"",G534,"")</f>
        <v>22.2 Пересадка деревьев с комом 0,8х0,6 м, высотой от 3 м</v>
      </c>
      <c r="H538" s="2">
        <v>0</v>
      </c>
      <c r="I538" s="2"/>
      <c r="J538" s="2"/>
      <c r="K538" s="2"/>
      <c r="L538" s="2"/>
      <c r="M538" s="2"/>
      <c r="N538" s="2"/>
      <c r="O538" s="2">
        <f t="shared" ref="O538:T538" si="445">ROUND(AB538,2)</f>
        <v>0</v>
      </c>
      <c r="P538" s="2">
        <f t="shared" si="445"/>
        <v>0</v>
      </c>
      <c r="Q538" s="2">
        <f t="shared" si="445"/>
        <v>0</v>
      </c>
      <c r="R538" s="2">
        <f t="shared" si="445"/>
        <v>0</v>
      </c>
      <c r="S538" s="2">
        <f t="shared" si="445"/>
        <v>0</v>
      </c>
      <c r="T538" s="2">
        <f t="shared" si="445"/>
        <v>0</v>
      </c>
      <c r="U538" s="2">
        <f>AH538</f>
        <v>0</v>
      </c>
      <c r="V538" s="2">
        <f>AI538</f>
        <v>0</v>
      </c>
      <c r="W538" s="2">
        <f>ROUND(AJ538,2)</f>
        <v>0</v>
      </c>
      <c r="X538" s="2">
        <f>ROUND(AK538,2)</f>
        <v>0</v>
      </c>
      <c r="Y538" s="2">
        <f>ROUND(AL538,2)</f>
        <v>0</v>
      </c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>
        <f t="shared" ref="AO538:BD538" si="446">ROUND(BX538,2)</f>
        <v>0</v>
      </c>
      <c r="AP538" s="2">
        <f t="shared" si="446"/>
        <v>0</v>
      </c>
      <c r="AQ538" s="2">
        <f t="shared" si="446"/>
        <v>0</v>
      </c>
      <c r="AR538" s="2">
        <f t="shared" si="446"/>
        <v>0</v>
      </c>
      <c r="AS538" s="2">
        <f t="shared" si="446"/>
        <v>0</v>
      </c>
      <c r="AT538" s="2">
        <f t="shared" si="446"/>
        <v>0</v>
      </c>
      <c r="AU538" s="2">
        <f t="shared" si="446"/>
        <v>0</v>
      </c>
      <c r="AV538" s="2">
        <f t="shared" si="446"/>
        <v>0</v>
      </c>
      <c r="AW538" s="2">
        <f t="shared" si="446"/>
        <v>0</v>
      </c>
      <c r="AX538" s="2">
        <f t="shared" si="446"/>
        <v>0</v>
      </c>
      <c r="AY538" s="2">
        <f t="shared" si="446"/>
        <v>0</v>
      </c>
      <c r="AZ538" s="2">
        <f t="shared" si="446"/>
        <v>0</v>
      </c>
      <c r="BA538" s="2">
        <f t="shared" si="446"/>
        <v>0</v>
      </c>
      <c r="BB538" s="2">
        <f t="shared" si="446"/>
        <v>0</v>
      </c>
      <c r="BC538" s="2">
        <f t="shared" si="446"/>
        <v>0</v>
      </c>
      <c r="BD538" s="2">
        <f t="shared" si="446"/>
        <v>0</v>
      </c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>
        <v>0</v>
      </c>
    </row>
    <row r="540" spans="1:206" x14ac:dyDescent="0.2">
      <c r="A540" s="4">
        <v>50</v>
      </c>
      <c r="B540" s="4">
        <v>0</v>
      </c>
      <c r="C540" s="4">
        <v>0</v>
      </c>
      <c r="D540" s="4">
        <v>1</v>
      </c>
      <c r="E540" s="4">
        <v>201</v>
      </c>
      <c r="F540" s="4">
        <f>ROUND(Source!O538,O540)</f>
        <v>0</v>
      </c>
      <c r="G540" s="4" t="s">
        <v>89</v>
      </c>
      <c r="H540" s="4" t="s">
        <v>90</v>
      </c>
      <c r="I540" s="4"/>
      <c r="J540" s="4"/>
      <c r="K540" s="4">
        <v>201</v>
      </c>
      <c r="L540" s="4">
        <v>1</v>
      </c>
      <c r="M540" s="4">
        <v>3</v>
      </c>
      <c r="N540" s="4" t="s">
        <v>3</v>
      </c>
      <c r="O540" s="4">
        <v>2</v>
      </c>
      <c r="P540" s="4"/>
      <c r="Q540" s="4"/>
      <c r="R540" s="4"/>
      <c r="S540" s="4"/>
      <c r="T540" s="4"/>
      <c r="U540" s="4"/>
      <c r="V540" s="4"/>
      <c r="W540" s="4"/>
    </row>
    <row r="541" spans="1:206" x14ac:dyDescent="0.2">
      <c r="A541" s="4">
        <v>50</v>
      </c>
      <c r="B541" s="4">
        <v>0</v>
      </c>
      <c r="C541" s="4">
        <v>0</v>
      </c>
      <c r="D541" s="4">
        <v>1</v>
      </c>
      <c r="E541" s="4">
        <v>202</v>
      </c>
      <c r="F541" s="4">
        <f>ROUND(Source!P538,O541)</f>
        <v>0</v>
      </c>
      <c r="G541" s="4" t="s">
        <v>91</v>
      </c>
      <c r="H541" s="4" t="s">
        <v>92</v>
      </c>
      <c r="I541" s="4"/>
      <c r="J541" s="4"/>
      <c r="K541" s="4">
        <v>202</v>
      </c>
      <c r="L541" s="4">
        <v>2</v>
      </c>
      <c r="M541" s="4">
        <v>3</v>
      </c>
      <c r="N541" s="4" t="s">
        <v>3</v>
      </c>
      <c r="O541" s="4">
        <v>2</v>
      </c>
      <c r="P541" s="4"/>
      <c r="Q541" s="4"/>
      <c r="R541" s="4"/>
      <c r="S541" s="4"/>
      <c r="T541" s="4"/>
      <c r="U541" s="4"/>
      <c r="V541" s="4"/>
      <c r="W541" s="4"/>
    </row>
    <row r="542" spans="1:206" x14ac:dyDescent="0.2">
      <c r="A542" s="4">
        <v>50</v>
      </c>
      <c r="B542" s="4">
        <v>0</v>
      </c>
      <c r="C542" s="4">
        <v>0</v>
      </c>
      <c r="D542" s="4">
        <v>1</v>
      </c>
      <c r="E542" s="4">
        <v>222</v>
      </c>
      <c r="F542" s="4">
        <f>ROUND(Source!AO538,O542)</f>
        <v>0</v>
      </c>
      <c r="G542" s="4" t="s">
        <v>93</v>
      </c>
      <c r="H542" s="4" t="s">
        <v>94</v>
      </c>
      <c r="I542" s="4"/>
      <c r="J542" s="4"/>
      <c r="K542" s="4">
        <v>222</v>
      </c>
      <c r="L542" s="4">
        <v>3</v>
      </c>
      <c r="M542" s="4">
        <v>3</v>
      </c>
      <c r="N542" s="4" t="s">
        <v>3</v>
      </c>
      <c r="O542" s="4">
        <v>2</v>
      </c>
      <c r="P542" s="4"/>
      <c r="Q542" s="4"/>
      <c r="R542" s="4"/>
      <c r="S542" s="4"/>
      <c r="T542" s="4"/>
      <c r="U542" s="4"/>
      <c r="V542" s="4"/>
      <c r="W542" s="4"/>
    </row>
    <row r="543" spans="1:206" x14ac:dyDescent="0.2">
      <c r="A543" s="4">
        <v>50</v>
      </c>
      <c r="B543" s="4">
        <v>0</v>
      </c>
      <c r="C543" s="4">
        <v>0</v>
      </c>
      <c r="D543" s="4">
        <v>1</v>
      </c>
      <c r="E543" s="4">
        <v>225</v>
      </c>
      <c r="F543" s="4">
        <f>ROUND(Source!AV538,O543)</f>
        <v>0</v>
      </c>
      <c r="G543" s="4" t="s">
        <v>95</v>
      </c>
      <c r="H543" s="4" t="s">
        <v>96</v>
      </c>
      <c r="I543" s="4"/>
      <c r="J543" s="4"/>
      <c r="K543" s="4">
        <v>225</v>
      </c>
      <c r="L543" s="4">
        <v>4</v>
      </c>
      <c r="M543" s="4">
        <v>3</v>
      </c>
      <c r="N543" s="4" t="s">
        <v>3</v>
      </c>
      <c r="O543" s="4">
        <v>2</v>
      </c>
      <c r="P543" s="4"/>
      <c r="Q543" s="4"/>
      <c r="R543" s="4"/>
      <c r="S543" s="4"/>
      <c r="T543" s="4"/>
      <c r="U543" s="4"/>
      <c r="V543" s="4"/>
      <c r="W543" s="4"/>
    </row>
    <row r="544" spans="1:206" x14ac:dyDescent="0.2">
      <c r="A544" s="4">
        <v>50</v>
      </c>
      <c r="B544" s="4">
        <v>0</v>
      </c>
      <c r="C544" s="4">
        <v>0</v>
      </c>
      <c r="D544" s="4">
        <v>1</v>
      </c>
      <c r="E544" s="4">
        <v>226</v>
      </c>
      <c r="F544" s="4">
        <f>ROUND(Source!AW538,O544)</f>
        <v>0</v>
      </c>
      <c r="G544" s="4" t="s">
        <v>97</v>
      </c>
      <c r="H544" s="4" t="s">
        <v>98</v>
      </c>
      <c r="I544" s="4"/>
      <c r="J544" s="4"/>
      <c r="K544" s="4">
        <v>226</v>
      </c>
      <c r="L544" s="4">
        <v>5</v>
      </c>
      <c r="M544" s="4">
        <v>3</v>
      </c>
      <c r="N544" s="4" t="s">
        <v>3</v>
      </c>
      <c r="O544" s="4">
        <v>2</v>
      </c>
      <c r="P544" s="4"/>
      <c r="Q544" s="4"/>
      <c r="R544" s="4"/>
      <c r="S544" s="4"/>
      <c r="T544" s="4"/>
      <c r="U544" s="4"/>
      <c r="V544" s="4"/>
      <c r="W544" s="4"/>
    </row>
    <row r="545" spans="1:23" x14ac:dyDescent="0.2">
      <c r="A545" s="4">
        <v>50</v>
      </c>
      <c r="B545" s="4">
        <v>0</v>
      </c>
      <c r="C545" s="4">
        <v>0</v>
      </c>
      <c r="D545" s="4">
        <v>1</v>
      </c>
      <c r="E545" s="4">
        <v>227</v>
      </c>
      <c r="F545" s="4">
        <f>ROUND(Source!AX538,O545)</f>
        <v>0</v>
      </c>
      <c r="G545" s="4" t="s">
        <v>99</v>
      </c>
      <c r="H545" s="4" t="s">
        <v>100</v>
      </c>
      <c r="I545" s="4"/>
      <c r="J545" s="4"/>
      <c r="K545" s="4">
        <v>227</v>
      </c>
      <c r="L545" s="4">
        <v>6</v>
      </c>
      <c r="M545" s="4">
        <v>3</v>
      </c>
      <c r="N545" s="4" t="s">
        <v>3</v>
      </c>
      <c r="O545" s="4">
        <v>2</v>
      </c>
      <c r="P545" s="4"/>
      <c r="Q545" s="4"/>
      <c r="R545" s="4"/>
      <c r="S545" s="4"/>
      <c r="T545" s="4"/>
      <c r="U545" s="4"/>
      <c r="V545" s="4"/>
      <c r="W545" s="4"/>
    </row>
    <row r="546" spans="1:23" x14ac:dyDescent="0.2">
      <c r="A546" s="4">
        <v>50</v>
      </c>
      <c r="B546" s="4">
        <v>0</v>
      </c>
      <c r="C546" s="4">
        <v>0</v>
      </c>
      <c r="D546" s="4">
        <v>1</v>
      </c>
      <c r="E546" s="4">
        <v>228</v>
      </c>
      <c r="F546" s="4">
        <f>ROUND(Source!AY538,O546)</f>
        <v>0</v>
      </c>
      <c r="G546" s="4" t="s">
        <v>101</v>
      </c>
      <c r="H546" s="4" t="s">
        <v>102</v>
      </c>
      <c r="I546" s="4"/>
      <c r="J546" s="4"/>
      <c r="K546" s="4">
        <v>228</v>
      </c>
      <c r="L546" s="4">
        <v>7</v>
      </c>
      <c r="M546" s="4">
        <v>3</v>
      </c>
      <c r="N546" s="4" t="s">
        <v>3</v>
      </c>
      <c r="O546" s="4">
        <v>2</v>
      </c>
      <c r="P546" s="4"/>
      <c r="Q546" s="4"/>
      <c r="R546" s="4"/>
      <c r="S546" s="4"/>
      <c r="T546" s="4"/>
      <c r="U546" s="4"/>
      <c r="V546" s="4"/>
      <c r="W546" s="4"/>
    </row>
    <row r="547" spans="1:23" x14ac:dyDescent="0.2">
      <c r="A547" s="4">
        <v>50</v>
      </c>
      <c r="B547" s="4">
        <v>0</v>
      </c>
      <c r="C547" s="4">
        <v>0</v>
      </c>
      <c r="D547" s="4">
        <v>1</v>
      </c>
      <c r="E547" s="4">
        <v>216</v>
      </c>
      <c r="F547" s="4">
        <f>ROUND(Source!AP538,O547)</f>
        <v>0</v>
      </c>
      <c r="G547" s="4" t="s">
        <v>103</v>
      </c>
      <c r="H547" s="4" t="s">
        <v>104</v>
      </c>
      <c r="I547" s="4"/>
      <c r="J547" s="4"/>
      <c r="K547" s="4">
        <v>216</v>
      </c>
      <c r="L547" s="4">
        <v>8</v>
      </c>
      <c r="M547" s="4">
        <v>3</v>
      </c>
      <c r="N547" s="4" t="s">
        <v>3</v>
      </c>
      <c r="O547" s="4">
        <v>2</v>
      </c>
      <c r="P547" s="4"/>
      <c r="Q547" s="4"/>
      <c r="R547" s="4"/>
      <c r="S547" s="4"/>
      <c r="T547" s="4"/>
      <c r="U547" s="4"/>
      <c r="V547" s="4"/>
      <c r="W547" s="4"/>
    </row>
    <row r="548" spans="1:23" x14ac:dyDescent="0.2">
      <c r="A548" s="4">
        <v>50</v>
      </c>
      <c r="B548" s="4">
        <v>0</v>
      </c>
      <c r="C548" s="4">
        <v>0</v>
      </c>
      <c r="D548" s="4">
        <v>1</v>
      </c>
      <c r="E548" s="4">
        <v>223</v>
      </c>
      <c r="F548" s="4">
        <f>ROUND(Source!AQ538,O548)</f>
        <v>0</v>
      </c>
      <c r="G548" s="4" t="s">
        <v>105</v>
      </c>
      <c r="H548" s="4" t="s">
        <v>106</v>
      </c>
      <c r="I548" s="4"/>
      <c r="J548" s="4"/>
      <c r="K548" s="4">
        <v>223</v>
      </c>
      <c r="L548" s="4">
        <v>9</v>
      </c>
      <c r="M548" s="4">
        <v>3</v>
      </c>
      <c r="N548" s="4" t="s">
        <v>3</v>
      </c>
      <c r="O548" s="4">
        <v>2</v>
      </c>
      <c r="P548" s="4"/>
      <c r="Q548" s="4"/>
      <c r="R548" s="4"/>
      <c r="S548" s="4"/>
      <c r="T548" s="4"/>
      <c r="U548" s="4"/>
      <c r="V548" s="4"/>
      <c r="W548" s="4"/>
    </row>
    <row r="549" spans="1:23" x14ac:dyDescent="0.2">
      <c r="A549" s="4">
        <v>50</v>
      </c>
      <c r="B549" s="4">
        <v>0</v>
      </c>
      <c r="C549" s="4">
        <v>0</v>
      </c>
      <c r="D549" s="4">
        <v>1</v>
      </c>
      <c r="E549" s="4">
        <v>229</v>
      </c>
      <c r="F549" s="4">
        <f>ROUND(Source!AZ538,O549)</f>
        <v>0</v>
      </c>
      <c r="G549" s="4" t="s">
        <v>107</v>
      </c>
      <c r="H549" s="4" t="s">
        <v>108</v>
      </c>
      <c r="I549" s="4"/>
      <c r="J549" s="4"/>
      <c r="K549" s="4">
        <v>229</v>
      </c>
      <c r="L549" s="4">
        <v>10</v>
      </c>
      <c r="M549" s="4">
        <v>3</v>
      </c>
      <c r="N549" s="4" t="s">
        <v>3</v>
      </c>
      <c r="O549" s="4">
        <v>2</v>
      </c>
      <c r="P549" s="4"/>
      <c r="Q549" s="4"/>
      <c r="R549" s="4"/>
      <c r="S549" s="4"/>
      <c r="T549" s="4"/>
      <c r="U549" s="4"/>
      <c r="V549" s="4"/>
      <c r="W549" s="4"/>
    </row>
    <row r="550" spans="1:23" x14ac:dyDescent="0.2">
      <c r="A550" s="4">
        <v>50</v>
      </c>
      <c r="B550" s="4">
        <v>0</v>
      </c>
      <c r="C550" s="4">
        <v>0</v>
      </c>
      <c r="D550" s="4">
        <v>1</v>
      </c>
      <c r="E550" s="4">
        <v>203</v>
      </c>
      <c r="F550" s="4">
        <f>ROUND(Source!Q538,O550)</f>
        <v>0</v>
      </c>
      <c r="G550" s="4" t="s">
        <v>109</v>
      </c>
      <c r="H550" s="4" t="s">
        <v>110</v>
      </c>
      <c r="I550" s="4"/>
      <c r="J550" s="4"/>
      <c r="K550" s="4">
        <v>203</v>
      </c>
      <c r="L550" s="4">
        <v>11</v>
      </c>
      <c r="M550" s="4">
        <v>3</v>
      </c>
      <c r="N550" s="4" t="s">
        <v>3</v>
      </c>
      <c r="O550" s="4">
        <v>2</v>
      </c>
      <c r="P550" s="4"/>
      <c r="Q550" s="4"/>
      <c r="R550" s="4"/>
      <c r="S550" s="4"/>
      <c r="T550" s="4"/>
      <c r="U550" s="4"/>
      <c r="V550" s="4"/>
      <c r="W550" s="4"/>
    </row>
    <row r="551" spans="1:23" x14ac:dyDescent="0.2">
      <c r="A551" s="4">
        <v>50</v>
      </c>
      <c r="B551" s="4">
        <v>0</v>
      </c>
      <c r="C551" s="4">
        <v>0</v>
      </c>
      <c r="D551" s="4">
        <v>1</v>
      </c>
      <c r="E551" s="4">
        <v>231</v>
      </c>
      <c r="F551" s="4">
        <f>ROUND(Source!BB538,O551)</f>
        <v>0</v>
      </c>
      <c r="G551" s="4" t="s">
        <v>111</v>
      </c>
      <c r="H551" s="4" t="s">
        <v>112</v>
      </c>
      <c r="I551" s="4"/>
      <c r="J551" s="4"/>
      <c r="K551" s="4">
        <v>231</v>
      </c>
      <c r="L551" s="4">
        <v>12</v>
      </c>
      <c r="M551" s="4">
        <v>3</v>
      </c>
      <c r="N551" s="4" t="s">
        <v>3</v>
      </c>
      <c r="O551" s="4">
        <v>2</v>
      </c>
      <c r="P551" s="4"/>
      <c r="Q551" s="4"/>
      <c r="R551" s="4"/>
      <c r="S551" s="4"/>
      <c r="T551" s="4"/>
      <c r="U551" s="4"/>
      <c r="V551" s="4"/>
      <c r="W551" s="4"/>
    </row>
    <row r="552" spans="1:23" x14ac:dyDescent="0.2">
      <c r="A552" s="4">
        <v>50</v>
      </c>
      <c r="B552" s="4">
        <v>0</v>
      </c>
      <c r="C552" s="4">
        <v>0</v>
      </c>
      <c r="D552" s="4">
        <v>1</v>
      </c>
      <c r="E552" s="4">
        <v>204</v>
      </c>
      <c r="F552" s="4">
        <f>ROUND(Source!R538,O552)</f>
        <v>0</v>
      </c>
      <c r="G552" s="4" t="s">
        <v>113</v>
      </c>
      <c r="H552" s="4" t="s">
        <v>114</v>
      </c>
      <c r="I552" s="4"/>
      <c r="J552" s="4"/>
      <c r="K552" s="4">
        <v>204</v>
      </c>
      <c r="L552" s="4">
        <v>13</v>
      </c>
      <c r="M552" s="4">
        <v>3</v>
      </c>
      <c r="N552" s="4" t="s">
        <v>3</v>
      </c>
      <c r="O552" s="4">
        <v>2</v>
      </c>
      <c r="P552" s="4"/>
      <c r="Q552" s="4"/>
      <c r="R552" s="4"/>
      <c r="S552" s="4"/>
      <c r="T552" s="4"/>
      <c r="U552" s="4"/>
      <c r="V552" s="4"/>
      <c r="W552" s="4"/>
    </row>
    <row r="553" spans="1:23" x14ac:dyDescent="0.2">
      <c r="A553" s="4">
        <v>50</v>
      </c>
      <c r="B553" s="4">
        <v>0</v>
      </c>
      <c r="C553" s="4">
        <v>0</v>
      </c>
      <c r="D553" s="4">
        <v>1</v>
      </c>
      <c r="E553" s="4">
        <v>205</v>
      </c>
      <c r="F553" s="4">
        <f>ROUND(Source!S538,O553)</f>
        <v>0</v>
      </c>
      <c r="G553" s="4" t="s">
        <v>115</v>
      </c>
      <c r="H553" s="4" t="s">
        <v>116</v>
      </c>
      <c r="I553" s="4"/>
      <c r="J553" s="4"/>
      <c r="K553" s="4">
        <v>205</v>
      </c>
      <c r="L553" s="4">
        <v>14</v>
      </c>
      <c r="M553" s="4">
        <v>3</v>
      </c>
      <c r="N553" s="4" t="s">
        <v>3</v>
      </c>
      <c r="O553" s="4">
        <v>2</v>
      </c>
      <c r="P553" s="4"/>
      <c r="Q553" s="4"/>
      <c r="R553" s="4"/>
      <c r="S553" s="4"/>
      <c r="T553" s="4"/>
      <c r="U553" s="4"/>
      <c r="V553" s="4"/>
      <c r="W553" s="4"/>
    </row>
    <row r="554" spans="1:23" x14ac:dyDescent="0.2">
      <c r="A554" s="4">
        <v>50</v>
      </c>
      <c r="B554" s="4">
        <v>0</v>
      </c>
      <c r="C554" s="4">
        <v>0</v>
      </c>
      <c r="D554" s="4">
        <v>1</v>
      </c>
      <c r="E554" s="4">
        <v>232</v>
      </c>
      <c r="F554" s="4">
        <f>ROUND(Source!BC538,O554)</f>
        <v>0</v>
      </c>
      <c r="G554" s="4" t="s">
        <v>117</v>
      </c>
      <c r="H554" s="4" t="s">
        <v>118</v>
      </c>
      <c r="I554" s="4"/>
      <c r="J554" s="4"/>
      <c r="K554" s="4">
        <v>232</v>
      </c>
      <c r="L554" s="4">
        <v>15</v>
      </c>
      <c r="M554" s="4">
        <v>3</v>
      </c>
      <c r="N554" s="4" t="s">
        <v>3</v>
      </c>
      <c r="O554" s="4">
        <v>2</v>
      </c>
      <c r="P554" s="4"/>
      <c r="Q554" s="4"/>
      <c r="R554" s="4"/>
      <c r="S554" s="4"/>
      <c r="T554" s="4"/>
      <c r="U554" s="4"/>
      <c r="V554" s="4"/>
      <c r="W554" s="4"/>
    </row>
    <row r="555" spans="1:23" x14ac:dyDescent="0.2">
      <c r="A555" s="4">
        <v>50</v>
      </c>
      <c r="B555" s="4">
        <v>0</v>
      </c>
      <c r="C555" s="4">
        <v>0</v>
      </c>
      <c r="D555" s="4">
        <v>1</v>
      </c>
      <c r="E555" s="4">
        <v>214</v>
      </c>
      <c r="F555" s="4">
        <f>ROUND(Source!AS538,O555)</f>
        <v>0</v>
      </c>
      <c r="G555" s="4" t="s">
        <v>119</v>
      </c>
      <c r="H555" s="4" t="s">
        <v>120</v>
      </c>
      <c r="I555" s="4"/>
      <c r="J555" s="4"/>
      <c r="K555" s="4">
        <v>214</v>
      </c>
      <c r="L555" s="4">
        <v>16</v>
      </c>
      <c r="M555" s="4">
        <v>3</v>
      </c>
      <c r="N555" s="4" t="s">
        <v>3</v>
      </c>
      <c r="O555" s="4">
        <v>2</v>
      </c>
      <c r="P555" s="4"/>
      <c r="Q555" s="4"/>
      <c r="R555" s="4"/>
      <c r="S555" s="4"/>
      <c r="T555" s="4"/>
      <c r="U555" s="4"/>
      <c r="V555" s="4"/>
      <c r="W555" s="4"/>
    </row>
    <row r="556" spans="1:23" x14ac:dyDescent="0.2">
      <c r="A556" s="4">
        <v>50</v>
      </c>
      <c r="B556" s="4">
        <v>0</v>
      </c>
      <c r="C556" s="4">
        <v>0</v>
      </c>
      <c r="D556" s="4">
        <v>1</v>
      </c>
      <c r="E556" s="4">
        <v>215</v>
      </c>
      <c r="F556" s="4">
        <f>ROUND(Source!AT538,O556)</f>
        <v>0</v>
      </c>
      <c r="G556" s="4" t="s">
        <v>121</v>
      </c>
      <c r="H556" s="4" t="s">
        <v>122</v>
      </c>
      <c r="I556" s="4"/>
      <c r="J556" s="4"/>
      <c r="K556" s="4">
        <v>215</v>
      </c>
      <c r="L556" s="4">
        <v>17</v>
      </c>
      <c r="M556" s="4">
        <v>3</v>
      </c>
      <c r="N556" s="4" t="s">
        <v>3</v>
      </c>
      <c r="O556" s="4">
        <v>2</v>
      </c>
      <c r="P556" s="4"/>
      <c r="Q556" s="4"/>
      <c r="R556" s="4"/>
      <c r="S556" s="4"/>
      <c r="T556" s="4"/>
      <c r="U556" s="4"/>
      <c r="V556" s="4"/>
      <c r="W556" s="4"/>
    </row>
    <row r="557" spans="1:23" x14ac:dyDescent="0.2">
      <c r="A557" s="4">
        <v>50</v>
      </c>
      <c r="B557" s="4">
        <v>0</v>
      </c>
      <c r="C557" s="4">
        <v>0</v>
      </c>
      <c r="D557" s="4">
        <v>1</v>
      </c>
      <c r="E557" s="4">
        <v>217</v>
      </c>
      <c r="F557" s="4">
        <f>ROUND(Source!AU538,O557)</f>
        <v>0</v>
      </c>
      <c r="G557" s="4" t="s">
        <v>123</v>
      </c>
      <c r="H557" s="4" t="s">
        <v>124</v>
      </c>
      <c r="I557" s="4"/>
      <c r="J557" s="4"/>
      <c r="K557" s="4">
        <v>217</v>
      </c>
      <c r="L557" s="4">
        <v>18</v>
      </c>
      <c r="M557" s="4">
        <v>3</v>
      </c>
      <c r="N557" s="4" t="s">
        <v>3</v>
      </c>
      <c r="O557" s="4">
        <v>2</v>
      </c>
      <c r="P557" s="4"/>
      <c r="Q557" s="4"/>
      <c r="R557" s="4"/>
      <c r="S557" s="4"/>
      <c r="T557" s="4"/>
      <c r="U557" s="4"/>
      <c r="V557" s="4"/>
      <c r="W557" s="4"/>
    </row>
    <row r="558" spans="1:23" x14ac:dyDescent="0.2">
      <c r="A558" s="4">
        <v>50</v>
      </c>
      <c r="B558" s="4">
        <v>0</v>
      </c>
      <c r="C558" s="4">
        <v>0</v>
      </c>
      <c r="D558" s="4">
        <v>1</v>
      </c>
      <c r="E558" s="4">
        <v>230</v>
      </c>
      <c r="F558" s="4">
        <f>ROUND(Source!BA538,O558)</f>
        <v>0</v>
      </c>
      <c r="G558" s="4" t="s">
        <v>125</v>
      </c>
      <c r="H558" s="4" t="s">
        <v>126</v>
      </c>
      <c r="I558" s="4"/>
      <c r="J558" s="4"/>
      <c r="K558" s="4">
        <v>230</v>
      </c>
      <c r="L558" s="4">
        <v>19</v>
      </c>
      <c r="M558" s="4">
        <v>3</v>
      </c>
      <c r="N558" s="4" t="s">
        <v>3</v>
      </c>
      <c r="O558" s="4">
        <v>2</v>
      </c>
      <c r="P558" s="4"/>
      <c r="Q558" s="4"/>
      <c r="R558" s="4"/>
      <c r="S558" s="4"/>
      <c r="T558" s="4"/>
      <c r="U558" s="4"/>
      <c r="V558" s="4"/>
      <c r="W558" s="4"/>
    </row>
    <row r="559" spans="1:23" x14ac:dyDescent="0.2">
      <c r="A559" s="4">
        <v>50</v>
      </c>
      <c r="B559" s="4">
        <v>0</v>
      </c>
      <c r="C559" s="4">
        <v>0</v>
      </c>
      <c r="D559" s="4">
        <v>1</v>
      </c>
      <c r="E559" s="4">
        <v>206</v>
      </c>
      <c r="F559" s="4">
        <f>ROUND(Source!T538,O559)</f>
        <v>0</v>
      </c>
      <c r="G559" s="4" t="s">
        <v>127</v>
      </c>
      <c r="H559" s="4" t="s">
        <v>128</v>
      </c>
      <c r="I559" s="4"/>
      <c r="J559" s="4"/>
      <c r="K559" s="4">
        <v>206</v>
      </c>
      <c r="L559" s="4">
        <v>20</v>
      </c>
      <c r="M559" s="4">
        <v>3</v>
      </c>
      <c r="N559" s="4" t="s">
        <v>3</v>
      </c>
      <c r="O559" s="4">
        <v>2</v>
      </c>
      <c r="P559" s="4"/>
      <c r="Q559" s="4"/>
      <c r="R559" s="4"/>
      <c r="S559" s="4"/>
      <c r="T559" s="4"/>
      <c r="U559" s="4"/>
      <c r="V559" s="4"/>
      <c r="W559" s="4"/>
    </row>
    <row r="560" spans="1:23" x14ac:dyDescent="0.2">
      <c r="A560" s="4">
        <v>50</v>
      </c>
      <c r="B560" s="4">
        <v>0</v>
      </c>
      <c r="C560" s="4">
        <v>0</v>
      </c>
      <c r="D560" s="4">
        <v>1</v>
      </c>
      <c r="E560" s="4">
        <v>207</v>
      </c>
      <c r="F560" s="4">
        <f>Source!U538</f>
        <v>0</v>
      </c>
      <c r="G560" s="4" t="s">
        <v>129</v>
      </c>
      <c r="H560" s="4" t="s">
        <v>130</v>
      </c>
      <c r="I560" s="4"/>
      <c r="J560" s="4"/>
      <c r="K560" s="4">
        <v>207</v>
      </c>
      <c r="L560" s="4">
        <v>21</v>
      </c>
      <c r="M560" s="4">
        <v>3</v>
      </c>
      <c r="N560" s="4" t="s">
        <v>3</v>
      </c>
      <c r="O560" s="4">
        <v>-1</v>
      </c>
      <c r="P560" s="4"/>
      <c r="Q560" s="4"/>
      <c r="R560" s="4"/>
      <c r="S560" s="4"/>
      <c r="T560" s="4"/>
      <c r="U560" s="4"/>
      <c r="V560" s="4"/>
      <c r="W560" s="4"/>
    </row>
    <row r="561" spans="1:245" x14ac:dyDescent="0.2">
      <c r="A561" s="4">
        <v>50</v>
      </c>
      <c r="B561" s="4">
        <v>0</v>
      </c>
      <c r="C561" s="4">
        <v>0</v>
      </c>
      <c r="D561" s="4">
        <v>1</v>
      </c>
      <c r="E561" s="4">
        <v>208</v>
      </c>
      <c r="F561" s="4">
        <f>Source!V538</f>
        <v>0</v>
      </c>
      <c r="G561" s="4" t="s">
        <v>131</v>
      </c>
      <c r="H561" s="4" t="s">
        <v>132</v>
      </c>
      <c r="I561" s="4"/>
      <c r="J561" s="4"/>
      <c r="K561" s="4">
        <v>208</v>
      </c>
      <c r="L561" s="4">
        <v>22</v>
      </c>
      <c r="M561" s="4">
        <v>3</v>
      </c>
      <c r="N561" s="4" t="s">
        <v>3</v>
      </c>
      <c r="O561" s="4">
        <v>-1</v>
      </c>
      <c r="P561" s="4"/>
      <c r="Q561" s="4"/>
      <c r="R561" s="4"/>
      <c r="S561" s="4"/>
      <c r="T561" s="4"/>
      <c r="U561" s="4"/>
      <c r="V561" s="4"/>
      <c r="W561" s="4"/>
    </row>
    <row r="562" spans="1:245" x14ac:dyDescent="0.2">
      <c r="A562" s="4">
        <v>50</v>
      </c>
      <c r="B562" s="4">
        <v>0</v>
      </c>
      <c r="C562" s="4">
        <v>0</v>
      </c>
      <c r="D562" s="4">
        <v>1</v>
      </c>
      <c r="E562" s="4">
        <v>209</v>
      </c>
      <c r="F562" s="4">
        <f>ROUND(Source!W538,O562)</f>
        <v>0</v>
      </c>
      <c r="G562" s="4" t="s">
        <v>133</v>
      </c>
      <c r="H562" s="4" t="s">
        <v>134</v>
      </c>
      <c r="I562" s="4"/>
      <c r="J562" s="4"/>
      <c r="K562" s="4">
        <v>209</v>
      </c>
      <c r="L562" s="4">
        <v>23</v>
      </c>
      <c r="M562" s="4">
        <v>3</v>
      </c>
      <c r="N562" s="4" t="s">
        <v>3</v>
      </c>
      <c r="O562" s="4">
        <v>2</v>
      </c>
      <c r="P562" s="4"/>
      <c r="Q562" s="4"/>
      <c r="R562" s="4"/>
      <c r="S562" s="4"/>
      <c r="T562" s="4"/>
      <c r="U562" s="4"/>
      <c r="V562" s="4"/>
      <c r="W562" s="4"/>
    </row>
    <row r="563" spans="1:245" x14ac:dyDescent="0.2">
      <c r="A563" s="4">
        <v>50</v>
      </c>
      <c r="B563" s="4">
        <v>0</v>
      </c>
      <c r="C563" s="4">
        <v>0</v>
      </c>
      <c r="D563" s="4">
        <v>1</v>
      </c>
      <c r="E563" s="4">
        <v>233</v>
      </c>
      <c r="F563" s="4">
        <f>ROUND(Source!BD538,O563)</f>
        <v>0</v>
      </c>
      <c r="G563" s="4" t="s">
        <v>135</v>
      </c>
      <c r="H563" s="4" t="s">
        <v>136</v>
      </c>
      <c r="I563" s="4"/>
      <c r="J563" s="4"/>
      <c r="K563" s="4">
        <v>233</v>
      </c>
      <c r="L563" s="4">
        <v>24</v>
      </c>
      <c r="M563" s="4">
        <v>3</v>
      </c>
      <c r="N563" s="4" t="s">
        <v>3</v>
      </c>
      <c r="O563" s="4">
        <v>2</v>
      </c>
      <c r="P563" s="4"/>
      <c r="Q563" s="4"/>
      <c r="R563" s="4"/>
      <c r="S563" s="4"/>
      <c r="T563" s="4"/>
      <c r="U563" s="4"/>
      <c r="V563" s="4"/>
      <c r="W563" s="4"/>
    </row>
    <row r="564" spans="1:245" x14ac:dyDescent="0.2">
      <c r="A564" s="4">
        <v>50</v>
      </c>
      <c r="B564" s="4">
        <v>0</v>
      </c>
      <c r="C564" s="4">
        <v>0</v>
      </c>
      <c r="D564" s="4">
        <v>1</v>
      </c>
      <c r="E564" s="4">
        <v>210</v>
      </c>
      <c r="F564" s="4">
        <f>ROUND(Source!X538,O564)</f>
        <v>0</v>
      </c>
      <c r="G564" s="4" t="s">
        <v>137</v>
      </c>
      <c r="H564" s="4" t="s">
        <v>138</v>
      </c>
      <c r="I564" s="4"/>
      <c r="J564" s="4"/>
      <c r="K564" s="4">
        <v>210</v>
      </c>
      <c r="L564" s="4">
        <v>25</v>
      </c>
      <c r="M564" s="4">
        <v>3</v>
      </c>
      <c r="N564" s="4" t="s">
        <v>3</v>
      </c>
      <c r="O564" s="4">
        <v>2</v>
      </c>
      <c r="P564" s="4"/>
      <c r="Q564" s="4"/>
      <c r="R564" s="4"/>
      <c r="S564" s="4"/>
      <c r="T564" s="4"/>
      <c r="U564" s="4"/>
      <c r="V564" s="4"/>
      <c r="W564" s="4"/>
    </row>
    <row r="565" spans="1:245" x14ac:dyDescent="0.2">
      <c r="A565" s="4">
        <v>50</v>
      </c>
      <c r="B565" s="4">
        <v>0</v>
      </c>
      <c r="C565" s="4">
        <v>0</v>
      </c>
      <c r="D565" s="4">
        <v>1</v>
      </c>
      <c r="E565" s="4">
        <v>211</v>
      </c>
      <c r="F565" s="4">
        <f>ROUND(Source!Y538,O565)</f>
        <v>0</v>
      </c>
      <c r="G565" s="4" t="s">
        <v>139</v>
      </c>
      <c r="H565" s="4" t="s">
        <v>140</v>
      </c>
      <c r="I565" s="4"/>
      <c r="J565" s="4"/>
      <c r="K565" s="4">
        <v>211</v>
      </c>
      <c r="L565" s="4">
        <v>26</v>
      </c>
      <c r="M565" s="4">
        <v>3</v>
      </c>
      <c r="N565" s="4" t="s">
        <v>3</v>
      </c>
      <c r="O565" s="4">
        <v>2</v>
      </c>
      <c r="P565" s="4"/>
      <c r="Q565" s="4"/>
      <c r="R565" s="4"/>
      <c r="S565" s="4"/>
      <c r="T565" s="4"/>
      <c r="U565" s="4"/>
      <c r="V565" s="4"/>
      <c r="W565" s="4"/>
    </row>
    <row r="566" spans="1:245" x14ac:dyDescent="0.2">
      <c r="A566" s="4">
        <v>50</v>
      </c>
      <c r="B566" s="4">
        <v>0</v>
      </c>
      <c r="C566" s="4">
        <v>0</v>
      </c>
      <c r="D566" s="4">
        <v>1</v>
      </c>
      <c r="E566" s="4">
        <v>224</v>
      </c>
      <c r="F566" s="4">
        <f>ROUND(Source!AR538,O566)</f>
        <v>0</v>
      </c>
      <c r="G566" s="4" t="s">
        <v>141</v>
      </c>
      <c r="H566" s="4" t="s">
        <v>142</v>
      </c>
      <c r="I566" s="4"/>
      <c r="J566" s="4"/>
      <c r="K566" s="4">
        <v>224</v>
      </c>
      <c r="L566" s="4">
        <v>27</v>
      </c>
      <c r="M566" s="4">
        <v>3</v>
      </c>
      <c r="N566" s="4" t="s">
        <v>3</v>
      </c>
      <c r="O566" s="4">
        <v>2</v>
      </c>
      <c r="P566" s="4"/>
      <c r="Q566" s="4"/>
      <c r="R566" s="4"/>
      <c r="S566" s="4"/>
      <c r="T566" s="4"/>
      <c r="U566" s="4"/>
      <c r="V566" s="4"/>
      <c r="W566" s="4"/>
    </row>
    <row r="568" spans="1:245" x14ac:dyDescent="0.2">
      <c r="A568" s="1">
        <v>4</v>
      </c>
      <c r="B568" s="1">
        <v>1</v>
      </c>
      <c r="C568" s="1"/>
      <c r="D568" s="1">
        <f>ROW(A583)</f>
        <v>583</v>
      </c>
      <c r="E568" s="1"/>
      <c r="F568" s="1" t="s">
        <v>13</v>
      </c>
      <c r="G568" s="1" t="s">
        <v>356</v>
      </c>
      <c r="H568" s="1" t="s">
        <v>3</v>
      </c>
      <c r="I568" s="1">
        <v>0</v>
      </c>
      <c r="J568" s="1"/>
      <c r="K568" s="1">
        <v>0</v>
      </c>
      <c r="L568" s="1"/>
      <c r="M568" s="1"/>
      <c r="N568" s="1"/>
      <c r="O568" s="1"/>
      <c r="P568" s="1"/>
      <c r="Q568" s="1"/>
      <c r="R568" s="1"/>
      <c r="S568" s="1"/>
      <c r="T568" s="1"/>
      <c r="U568" s="1" t="s">
        <v>3</v>
      </c>
      <c r="V568" s="1">
        <v>0</v>
      </c>
      <c r="W568" s="1"/>
      <c r="X568" s="1"/>
      <c r="Y568" s="1"/>
      <c r="Z568" s="1"/>
      <c r="AA568" s="1"/>
      <c r="AB568" s="1" t="s">
        <v>3</v>
      </c>
      <c r="AC568" s="1" t="s">
        <v>3</v>
      </c>
      <c r="AD568" s="1" t="s">
        <v>3</v>
      </c>
      <c r="AE568" s="1" t="s">
        <v>3</v>
      </c>
      <c r="AF568" s="1" t="s">
        <v>3</v>
      </c>
      <c r="AG568" s="1" t="s">
        <v>3</v>
      </c>
      <c r="AH568" s="1"/>
      <c r="AI568" s="1"/>
      <c r="AJ568" s="1"/>
      <c r="AK568" s="1"/>
      <c r="AL568" s="1"/>
      <c r="AM568" s="1"/>
      <c r="AN568" s="1"/>
      <c r="AO568" s="1"/>
      <c r="AP568" s="1" t="s">
        <v>3</v>
      </c>
      <c r="AQ568" s="1" t="s">
        <v>3</v>
      </c>
      <c r="AR568" s="1" t="s">
        <v>3</v>
      </c>
      <c r="AS568" s="1"/>
      <c r="AT568" s="1"/>
      <c r="AU568" s="1"/>
      <c r="AV568" s="1"/>
      <c r="AW568" s="1"/>
      <c r="AX568" s="1"/>
      <c r="AY568" s="1"/>
      <c r="AZ568" s="1" t="s">
        <v>3</v>
      </c>
      <c r="BA568" s="1"/>
      <c r="BB568" s="1" t="s">
        <v>3</v>
      </c>
      <c r="BC568" s="1" t="s">
        <v>3</v>
      </c>
      <c r="BD568" s="1" t="s">
        <v>3</v>
      </c>
      <c r="BE568" s="1" t="s">
        <v>3</v>
      </c>
      <c r="BF568" s="1" t="s">
        <v>3</v>
      </c>
      <c r="BG568" s="1" t="s">
        <v>3</v>
      </c>
      <c r="BH568" s="1" t="s">
        <v>3</v>
      </c>
      <c r="BI568" s="1" t="s">
        <v>3</v>
      </c>
      <c r="BJ568" s="1" t="s">
        <v>3</v>
      </c>
      <c r="BK568" s="1" t="s">
        <v>3</v>
      </c>
      <c r="BL568" s="1" t="s">
        <v>3</v>
      </c>
      <c r="BM568" s="1" t="s">
        <v>3</v>
      </c>
      <c r="BN568" s="1" t="s">
        <v>3</v>
      </c>
      <c r="BO568" s="1" t="s">
        <v>3</v>
      </c>
      <c r="BP568" s="1" t="s">
        <v>3</v>
      </c>
      <c r="BQ568" s="1"/>
      <c r="BR568" s="1"/>
      <c r="BS568" s="1"/>
      <c r="BT568" s="1"/>
      <c r="BU568" s="1"/>
      <c r="BV568" s="1"/>
      <c r="BW568" s="1"/>
      <c r="BX568" s="1">
        <v>0</v>
      </c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>
        <v>0</v>
      </c>
    </row>
    <row r="570" spans="1:245" x14ac:dyDescent="0.2">
      <c r="A570" s="2">
        <v>52</v>
      </c>
      <c r="B570" s="2">
        <f t="shared" ref="B570:G570" si="447">B583</f>
        <v>1</v>
      </c>
      <c r="C570" s="2">
        <f t="shared" si="447"/>
        <v>4</v>
      </c>
      <c r="D570" s="2">
        <f t="shared" si="447"/>
        <v>568</v>
      </c>
      <c r="E570" s="2">
        <f t="shared" si="447"/>
        <v>0</v>
      </c>
      <c r="F570" s="2" t="str">
        <f t="shared" si="447"/>
        <v>Новый раздел</v>
      </c>
      <c r="G570" s="2" t="str">
        <f t="shared" si="447"/>
        <v>23.1. Устройство цветников (многолетники)</v>
      </c>
      <c r="H570" s="2"/>
      <c r="I570" s="2"/>
      <c r="J570" s="2"/>
      <c r="K570" s="2"/>
      <c r="L570" s="2"/>
      <c r="M570" s="2"/>
      <c r="N570" s="2"/>
      <c r="O570" s="2">
        <f t="shared" ref="O570:AT570" si="448">O583</f>
        <v>573751.92000000004</v>
      </c>
      <c r="P570" s="2">
        <f t="shared" si="448"/>
        <v>419552.91</v>
      </c>
      <c r="Q570" s="2">
        <f t="shared" si="448"/>
        <v>0</v>
      </c>
      <c r="R570" s="2">
        <f t="shared" si="448"/>
        <v>0</v>
      </c>
      <c r="S570" s="2">
        <f t="shared" si="448"/>
        <v>154199.01</v>
      </c>
      <c r="T570" s="2">
        <f t="shared" si="448"/>
        <v>0</v>
      </c>
      <c r="U570" s="2">
        <f t="shared" si="448"/>
        <v>583.26059999999995</v>
      </c>
      <c r="V570" s="2">
        <f t="shared" si="448"/>
        <v>0</v>
      </c>
      <c r="W570" s="2">
        <f t="shared" si="448"/>
        <v>0</v>
      </c>
      <c r="X570" s="2">
        <f t="shared" si="448"/>
        <v>157282.98000000001</v>
      </c>
      <c r="Y570" s="2">
        <f t="shared" si="448"/>
        <v>72473.539999999994</v>
      </c>
      <c r="Z570" s="2">
        <f t="shared" si="448"/>
        <v>0</v>
      </c>
      <c r="AA570" s="2">
        <f t="shared" si="448"/>
        <v>0</v>
      </c>
      <c r="AB570" s="2">
        <f t="shared" si="448"/>
        <v>573751.92000000004</v>
      </c>
      <c r="AC570" s="2">
        <f t="shared" si="448"/>
        <v>419552.91</v>
      </c>
      <c r="AD570" s="2">
        <f t="shared" si="448"/>
        <v>0</v>
      </c>
      <c r="AE570" s="2">
        <f t="shared" si="448"/>
        <v>0</v>
      </c>
      <c r="AF570" s="2">
        <f t="shared" si="448"/>
        <v>154199.01</v>
      </c>
      <c r="AG570" s="2">
        <f t="shared" si="448"/>
        <v>0</v>
      </c>
      <c r="AH570" s="2">
        <f t="shared" si="448"/>
        <v>583.26059999999995</v>
      </c>
      <c r="AI570" s="2">
        <f t="shared" si="448"/>
        <v>0</v>
      </c>
      <c r="AJ570" s="2">
        <f t="shared" si="448"/>
        <v>0</v>
      </c>
      <c r="AK570" s="2">
        <f t="shared" si="448"/>
        <v>157282.98000000001</v>
      </c>
      <c r="AL570" s="2">
        <f t="shared" si="448"/>
        <v>72473.539999999994</v>
      </c>
      <c r="AM570" s="2">
        <f t="shared" si="448"/>
        <v>0</v>
      </c>
      <c r="AN570" s="2">
        <f t="shared" si="448"/>
        <v>0</v>
      </c>
      <c r="AO570" s="2">
        <f t="shared" si="448"/>
        <v>0</v>
      </c>
      <c r="AP570" s="2">
        <f t="shared" si="448"/>
        <v>0</v>
      </c>
      <c r="AQ570" s="2">
        <f t="shared" si="448"/>
        <v>0</v>
      </c>
      <c r="AR570" s="2">
        <f t="shared" si="448"/>
        <v>803508.44</v>
      </c>
      <c r="AS570" s="2">
        <f t="shared" si="448"/>
        <v>803508.44</v>
      </c>
      <c r="AT570" s="2">
        <f t="shared" si="448"/>
        <v>0</v>
      </c>
      <c r="AU570" s="2">
        <f t="shared" ref="AU570:BZ570" si="449">AU583</f>
        <v>0</v>
      </c>
      <c r="AV570" s="2">
        <f t="shared" si="449"/>
        <v>419552.91</v>
      </c>
      <c r="AW570" s="2">
        <f t="shared" si="449"/>
        <v>419552.91</v>
      </c>
      <c r="AX570" s="2">
        <f t="shared" si="449"/>
        <v>0</v>
      </c>
      <c r="AY570" s="2">
        <f t="shared" si="449"/>
        <v>419552.91</v>
      </c>
      <c r="AZ570" s="2">
        <f t="shared" si="449"/>
        <v>0</v>
      </c>
      <c r="BA570" s="2">
        <f t="shared" si="449"/>
        <v>0</v>
      </c>
      <c r="BB570" s="2">
        <f t="shared" si="449"/>
        <v>0</v>
      </c>
      <c r="BC570" s="2">
        <f t="shared" si="449"/>
        <v>0</v>
      </c>
      <c r="BD570" s="2">
        <f t="shared" si="449"/>
        <v>0</v>
      </c>
      <c r="BE570" s="2">
        <f t="shared" si="449"/>
        <v>0</v>
      </c>
      <c r="BF570" s="2">
        <f t="shared" si="449"/>
        <v>0</v>
      </c>
      <c r="BG570" s="2">
        <f t="shared" si="449"/>
        <v>0</v>
      </c>
      <c r="BH570" s="2">
        <f t="shared" si="449"/>
        <v>0</v>
      </c>
      <c r="BI570" s="2">
        <f t="shared" si="449"/>
        <v>0</v>
      </c>
      <c r="BJ570" s="2">
        <f t="shared" si="449"/>
        <v>0</v>
      </c>
      <c r="BK570" s="2">
        <f t="shared" si="449"/>
        <v>0</v>
      </c>
      <c r="BL570" s="2">
        <f t="shared" si="449"/>
        <v>0</v>
      </c>
      <c r="BM570" s="2">
        <f t="shared" si="449"/>
        <v>0</v>
      </c>
      <c r="BN570" s="2">
        <f t="shared" si="449"/>
        <v>0</v>
      </c>
      <c r="BO570" s="2">
        <f t="shared" si="449"/>
        <v>0</v>
      </c>
      <c r="BP570" s="2">
        <f t="shared" si="449"/>
        <v>0</v>
      </c>
      <c r="BQ570" s="2">
        <f t="shared" si="449"/>
        <v>0</v>
      </c>
      <c r="BR570" s="2">
        <f t="shared" si="449"/>
        <v>0</v>
      </c>
      <c r="BS570" s="2">
        <f t="shared" si="449"/>
        <v>0</v>
      </c>
      <c r="BT570" s="2">
        <f t="shared" si="449"/>
        <v>0</v>
      </c>
      <c r="BU570" s="2">
        <f t="shared" si="449"/>
        <v>0</v>
      </c>
      <c r="BV570" s="2">
        <f t="shared" si="449"/>
        <v>0</v>
      </c>
      <c r="BW570" s="2">
        <f t="shared" si="449"/>
        <v>0</v>
      </c>
      <c r="BX570" s="2">
        <f t="shared" si="449"/>
        <v>0</v>
      </c>
      <c r="BY570" s="2">
        <f t="shared" si="449"/>
        <v>0</v>
      </c>
      <c r="BZ570" s="2">
        <f t="shared" si="449"/>
        <v>0</v>
      </c>
      <c r="CA570" s="2">
        <f t="shared" ref="CA570:DF570" si="450">CA583</f>
        <v>803508.44</v>
      </c>
      <c r="CB570" s="2">
        <f t="shared" si="450"/>
        <v>803508.44</v>
      </c>
      <c r="CC570" s="2">
        <f t="shared" si="450"/>
        <v>0</v>
      </c>
      <c r="CD570" s="2">
        <f t="shared" si="450"/>
        <v>0</v>
      </c>
      <c r="CE570" s="2">
        <f t="shared" si="450"/>
        <v>419552.91</v>
      </c>
      <c r="CF570" s="2">
        <f t="shared" si="450"/>
        <v>419552.91</v>
      </c>
      <c r="CG570" s="2">
        <f t="shared" si="450"/>
        <v>0</v>
      </c>
      <c r="CH570" s="2">
        <f t="shared" si="450"/>
        <v>419552.91</v>
      </c>
      <c r="CI570" s="2">
        <f t="shared" si="450"/>
        <v>0</v>
      </c>
      <c r="CJ570" s="2">
        <f t="shared" si="450"/>
        <v>0</v>
      </c>
      <c r="CK570" s="2">
        <f t="shared" si="450"/>
        <v>0</v>
      </c>
      <c r="CL570" s="2">
        <f t="shared" si="450"/>
        <v>0</v>
      </c>
      <c r="CM570" s="2">
        <f t="shared" si="450"/>
        <v>0</v>
      </c>
      <c r="CN570" s="2">
        <f t="shared" si="450"/>
        <v>0</v>
      </c>
      <c r="CO570" s="2">
        <f t="shared" si="450"/>
        <v>0</v>
      </c>
      <c r="CP570" s="2">
        <f t="shared" si="450"/>
        <v>0</v>
      </c>
      <c r="CQ570" s="2">
        <f t="shared" si="450"/>
        <v>0</v>
      </c>
      <c r="CR570" s="2">
        <f t="shared" si="450"/>
        <v>0</v>
      </c>
      <c r="CS570" s="2">
        <f t="shared" si="450"/>
        <v>0</v>
      </c>
      <c r="CT570" s="2">
        <f t="shared" si="450"/>
        <v>0</v>
      </c>
      <c r="CU570" s="2">
        <f t="shared" si="450"/>
        <v>0</v>
      </c>
      <c r="CV570" s="2">
        <f t="shared" si="450"/>
        <v>0</v>
      </c>
      <c r="CW570" s="2">
        <f t="shared" si="450"/>
        <v>0</v>
      </c>
      <c r="CX570" s="2">
        <f t="shared" si="450"/>
        <v>0</v>
      </c>
      <c r="CY570" s="2">
        <f t="shared" si="450"/>
        <v>0</v>
      </c>
      <c r="CZ570" s="2">
        <f t="shared" si="450"/>
        <v>0</v>
      </c>
      <c r="DA570" s="2">
        <f t="shared" si="450"/>
        <v>0</v>
      </c>
      <c r="DB570" s="2">
        <f t="shared" si="450"/>
        <v>0</v>
      </c>
      <c r="DC570" s="2">
        <f t="shared" si="450"/>
        <v>0</v>
      </c>
      <c r="DD570" s="2">
        <f t="shared" si="450"/>
        <v>0</v>
      </c>
      <c r="DE570" s="2">
        <f t="shared" si="450"/>
        <v>0</v>
      </c>
      <c r="DF570" s="2">
        <f t="shared" si="450"/>
        <v>0</v>
      </c>
      <c r="DG570" s="3">
        <f t="shared" ref="DG570:EL570" si="451">DG583</f>
        <v>0</v>
      </c>
      <c r="DH570" s="3">
        <f t="shared" si="451"/>
        <v>0</v>
      </c>
      <c r="DI570" s="3">
        <f t="shared" si="451"/>
        <v>0</v>
      </c>
      <c r="DJ570" s="3">
        <f t="shared" si="451"/>
        <v>0</v>
      </c>
      <c r="DK570" s="3">
        <f t="shared" si="451"/>
        <v>0</v>
      </c>
      <c r="DL570" s="3">
        <f t="shared" si="451"/>
        <v>0</v>
      </c>
      <c r="DM570" s="3">
        <f t="shared" si="451"/>
        <v>0</v>
      </c>
      <c r="DN570" s="3">
        <f t="shared" si="451"/>
        <v>0</v>
      </c>
      <c r="DO570" s="3">
        <f t="shared" si="451"/>
        <v>0</v>
      </c>
      <c r="DP570" s="3">
        <f t="shared" si="451"/>
        <v>0</v>
      </c>
      <c r="DQ570" s="3">
        <f t="shared" si="451"/>
        <v>0</v>
      </c>
      <c r="DR570" s="3">
        <f t="shared" si="451"/>
        <v>0</v>
      </c>
      <c r="DS570" s="3">
        <f t="shared" si="451"/>
        <v>0</v>
      </c>
      <c r="DT570" s="3">
        <f t="shared" si="451"/>
        <v>0</v>
      </c>
      <c r="DU570" s="3">
        <f t="shared" si="451"/>
        <v>0</v>
      </c>
      <c r="DV570" s="3">
        <f t="shared" si="451"/>
        <v>0</v>
      </c>
      <c r="DW570" s="3">
        <f t="shared" si="451"/>
        <v>0</v>
      </c>
      <c r="DX570" s="3">
        <f t="shared" si="451"/>
        <v>0</v>
      </c>
      <c r="DY570" s="3">
        <f t="shared" si="451"/>
        <v>0</v>
      </c>
      <c r="DZ570" s="3">
        <f t="shared" si="451"/>
        <v>0</v>
      </c>
      <c r="EA570" s="3">
        <f t="shared" si="451"/>
        <v>0</v>
      </c>
      <c r="EB570" s="3">
        <f t="shared" si="451"/>
        <v>0</v>
      </c>
      <c r="EC570" s="3">
        <f t="shared" si="451"/>
        <v>0</v>
      </c>
      <c r="ED570" s="3">
        <f t="shared" si="451"/>
        <v>0</v>
      </c>
      <c r="EE570" s="3">
        <f t="shared" si="451"/>
        <v>0</v>
      </c>
      <c r="EF570" s="3">
        <f t="shared" si="451"/>
        <v>0</v>
      </c>
      <c r="EG570" s="3">
        <f t="shared" si="451"/>
        <v>0</v>
      </c>
      <c r="EH570" s="3">
        <f t="shared" si="451"/>
        <v>0</v>
      </c>
      <c r="EI570" s="3">
        <f t="shared" si="451"/>
        <v>0</v>
      </c>
      <c r="EJ570" s="3">
        <f t="shared" si="451"/>
        <v>0</v>
      </c>
      <c r="EK570" s="3">
        <f t="shared" si="451"/>
        <v>0</v>
      </c>
      <c r="EL570" s="3">
        <f t="shared" si="451"/>
        <v>0</v>
      </c>
      <c r="EM570" s="3">
        <f t="shared" ref="EM570:FR570" si="452">EM583</f>
        <v>0</v>
      </c>
      <c r="EN570" s="3">
        <f t="shared" si="452"/>
        <v>0</v>
      </c>
      <c r="EO570" s="3">
        <f t="shared" si="452"/>
        <v>0</v>
      </c>
      <c r="EP570" s="3">
        <f t="shared" si="452"/>
        <v>0</v>
      </c>
      <c r="EQ570" s="3">
        <f t="shared" si="452"/>
        <v>0</v>
      </c>
      <c r="ER570" s="3">
        <f t="shared" si="452"/>
        <v>0</v>
      </c>
      <c r="ES570" s="3">
        <f t="shared" si="452"/>
        <v>0</v>
      </c>
      <c r="ET570" s="3">
        <f t="shared" si="452"/>
        <v>0</v>
      </c>
      <c r="EU570" s="3">
        <f t="shared" si="452"/>
        <v>0</v>
      </c>
      <c r="EV570" s="3">
        <f t="shared" si="452"/>
        <v>0</v>
      </c>
      <c r="EW570" s="3">
        <f t="shared" si="452"/>
        <v>0</v>
      </c>
      <c r="EX570" s="3">
        <f t="shared" si="452"/>
        <v>0</v>
      </c>
      <c r="EY570" s="3">
        <f t="shared" si="452"/>
        <v>0</v>
      </c>
      <c r="EZ570" s="3">
        <f t="shared" si="452"/>
        <v>0</v>
      </c>
      <c r="FA570" s="3">
        <f t="shared" si="452"/>
        <v>0</v>
      </c>
      <c r="FB570" s="3">
        <f t="shared" si="452"/>
        <v>0</v>
      </c>
      <c r="FC570" s="3">
        <f t="shared" si="452"/>
        <v>0</v>
      </c>
      <c r="FD570" s="3">
        <f t="shared" si="452"/>
        <v>0</v>
      </c>
      <c r="FE570" s="3">
        <f t="shared" si="452"/>
        <v>0</v>
      </c>
      <c r="FF570" s="3">
        <f t="shared" si="452"/>
        <v>0</v>
      </c>
      <c r="FG570" s="3">
        <f t="shared" si="452"/>
        <v>0</v>
      </c>
      <c r="FH570" s="3">
        <f t="shared" si="452"/>
        <v>0</v>
      </c>
      <c r="FI570" s="3">
        <f t="shared" si="452"/>
        <v>0</v>
      </c>
      <c r="FJ570" s="3">
        <f t="shared" si="452"/>
        <v>0</v>
      </c>
      <c r="FK570" s="3">
        <f t="shared" si="452"/>
        <v>0</v>
      </c>
      <c r="FL570" s="3">
        <f t="shared" si="452"/>
        <v>0</v>
      </c>
      <c r="FM570" s="3">
        <f t="shared" si="452"/>
        <v>0</v>
      </c>
      <c r="FN570" s="3">
        <f t="shared" si="452"/>
        <v>0</v>
      </c>
      <c r="FO570" s="3">
        <f t="shared" si="452"/>
        <v>0</v>
      </c>
      <c r="FP570" s="3">
        <f t="shared" si="452"/>
        <v>0</v>
      </c>
      <c r="FQ570" s="3">
        <f t="shared" si="452"/>
        <v>0</v>
      </c>
      <c r="FR570" s="3">
        <f t="shared" si="452"/>
        <v>0</v>
      </c>
      <c r="FS570" s="3">
        <f t="shared" ref="FS570:GX570" si="453">FS583</f>
        <v>0</v>
      </c>
      <c r="FT570" s="3">
        <f t="shared" si="453"/>
        <v>0</v>
      </c>
      <c r="FU570" s="3">
        <f t="shared" si="453"/>
        <v>0</v>
      </c>
      <c r="FV570" s="3">
        <f t="shared" si="453"/>
        <v>0</v>
      </c>
      <c r="FW570" s="3">
        <f t="shared" si="453"/>
        <v>0</v>
      </c>
      <c r="FX570" s="3">
        <f t="shared" si="453"/>
        <v>0</v>
      </c>
      <c r="FY570" s="3">
        <f t="shared" si="453"/>
        <v>0</v>
      </c>
      <c r="FZ570" s="3">
        <f t="shared" si="453"/>
        <v>0</v>
      </c>
      <c r="GA570" s="3">
        <f t="shared" si="453"/>
        <v>0</v>
      </c>
      <c r="GB570" s="3">
        <f t="shared" si="453"/>
        <v>0</v>
      </c>
      <c r="GC570" s="3">
        <f t="shared" si="453"/>
        <v>0</v>
      </c>
      <c r="GD570" s="3">
        <f t="shared" si="453"/>
        <v>0</v>
      </c>
      <c r="GE570" s="3">
        <f t="shared" si="453"/>
        <v>0</v>
      </c>
      <c r="GF570" s="3">
        <f t="shared" si="453"/>
        <v>0</v>
      </c>
      <c r="GG570" s="3">
        <f t="shared" si="453"/>
        <v>0</v>
      </c>
      <c r="GH570" s="3">
        <f t="shared" si="453"/>
        <v>0</v>
      </c>
      <c r="GI570" s="3">
        <f t="shared" si="453"/>
        <v>0</v>
      </c>
      <c r="GJ570" s="3">
        <f t="shared" si="453"/>
        <v>0</v>
      </c>
      <c r="GK570" s="3">
        <f t="shared" si="453"/>
        <v>0</v>
      </c>
      <c r="GL570" s="3">
        <f t="shared" si="453"/>
        <v>0</v>
      </c>
      <c r="GM570" s="3">
        <f t="shared" si="453"/>
        <v>0</v>
      </c>
      <c r="GN570" s="3">
        <f t="shared" si="453"/>
        <v>0</v>
      </c>
      <c r="GO570" s="3">
        <f t="shared" si="453"/>
        <v>0</v>
      </c>
      <c r="GP570" s="3">
        <f t="shared" si="453"/>
        <v>0</v>
      </c>
      <c r="GQ570" s="3">
        <f t="shared" si="453"/>
        <v>0</v>
      </c>
      <c r="GR570" s="3">
        <f t="shared" si="453"/>
        <v>0</v>
      </c>
      <c r="GS570" s="3">
        <f t="shared" si="453"/>
        <v>0</v>
      </c>
      <c r="GT570" s="3">
        <f t="shared" si="453"/>
        <v>0</v>
      </c>
      <c r="GU570" s="3">
        <f t="shared" si="453"/>
        <v>0</v>
      </c>
      <c r="GV570" s="3">
        <f t="shared" si="453"/>
        <v>0</v>
      </c>
      <c r="GW570" s="3">
        <f t="shared" si="453"/>
        <v>0</v>
      </c>
      <c r="GX570" s="3">
        <f t="shared" si="453"/>
        <v>0</v>
      </c>
    </row>
    <row r="572" spans="1:245" x14ac:dyDescent="0.2">
      <c r="A572">
        <v>17</v>
      </c>
      <c r="B572">
        <v>1</v>
      </c>
      <c r="C572">
        <f>ROW(SmtRes!A202)</f>
        <v>202</v>
      </c>
      <c r="D572">
        <f>ROW(EtalonRes!A203)</f>
        <v>203</v>
      </c>
      <c r="E572" t="s">
        <v>357</v>
      </c>
      <c r="F572" t="s">
        <v>358</v>
      </c>
      <c r="G572" t="s">
        <v>359</v>
      </c>
      <c r="H572" t="s">
        <v>360</v>
      </c>
      <c r="I572">
        <f>ROUND(282/100,5)</f>
        <v>2.82</v>
      </c>
      <c r="J572">
        <v>0</v>
      </c>
      <c r="O572">
        <f t="shared" ref="O572:O581" si="454">ROUND(CP572,2)</f>
        <v>33629.160000000003</v>
      </c>
      <c r="P572">
        <f t="shared" ref="P572:P581" si="455">ROUND((ROUND((AC572*AW572*I572),2)*BC572),2)</f>
        <v>0</v>
      </c>
      <c r="Q572">
        <f>(ROUND((ROUND(((ET572)*AV572*I572),2)*BB572),2)+ROUND((ROUND(((AE572-(EU572))*AV572*I572),2)*BS572),2))</f>
        <v>0</v>
      </c>
      <c r="R572">
        <f t="shared" ref="R572:R581" si="456">ROUND((ROUND((AE572*AV572*I572),2)*BS572),2)</f>
        <v>0</v>
      </c>
      <c r="S572">
        <f t="shared" ref="S572:S581" si="457">ROUND((ROUND((AF572*AV572*I572),2)*BA572),2)</f>
        <v>33629.160000000003</v>
      </c>
      <c r="T572">
        <f t="shared" ref="T572:T581" si="458">ROUND(CU572*I572,2)</f>
        <v>0</v>
      </c>
      <c r="U572">
        <f t="shared" ref="U572:U581" si="459">CV572*I572</f>
        <v>131.69399999999999</v>
      </c>
      <c r="V572">
        <f t="shared" ref="V572:V581" si="460">CW572*I572</f>
        <v>0</v>
      </c>
      <c r="W572">
        <f t="shared" ref="W572:W581" si="461">ROUND(CX572*I572,2)</f>
        <v>0</v>
      </c>
      <c r="X572">
        <f t="shared" ref="X572:X581" si="462">ROUND(CY572,2)</f>
        <v>34301.74</v>
      </c>
      <c r="Y572">
        <f t="shared" ref="Y572:Y581" si="463">ROUND(CZ572,2)</f>
        <v>15805.71</v>
      </c>
      <c r="AA572">
        <v>33989672</v>
      </c>
      <c r="AB572">
        <f t="shared" ref="AB572:AB581" si="464">ROUND((AC572+AD572+AF572),6)</f>
        <v>486.15</v>
      </c>
      <c r="AC572">
        <f t="shared" ref="AC572:AC581" si="465">ROUND((ES572),6)</f>
        <v>0</v>
      </c>
      <c r="AD572">
        <f>ROUND((((ET572)-(EU572))+AE572),6)</f>
        <v>0</v>
      </c>
      <c r="AE572">
        <f>ROUND((EU572),6)</f>
        <v>0</v>
      </c>
      <c r="AF572">
        <f>ROUND((EV572),6)</f>
        <v>486.15</v>
      </c>
      <c r="AG572">
        <f t="shared" ref="AG572:AG581" si="466">ROUND((AP572),6)</f>
        <v>0</v>
      </c>
      <c r="AH572">
        <f>(EW572)</f>
        <v>46.7</v>
      </c>
      <c r="AI572">
        <f>(EX572)</f>
        <v>0</v>
      </c>
      <c r="AJ572">
        <f t="shared" ref="AJ572:AJ581" si="467">(AS572)</f>
        <v>0</v>
      </c>
      <c r="AK572">
        <v>486.15</v>
      </c>
      <c r="AL572">
        <v>0</v>
      </c>
      <c r="AM572">
        <v>0</v>
      </c>
      <c r="AN572">
        <v>0</v>
      </c>
      <c r="AO572">
        <v>486.15</v>
      </c>
      <c r="AP572">
        <v>0</v>
      </c>
      <c r="AQ572">
        <v>46.7</v>
      </c>
      <c r="AR572">
        <v>0</v>
      </c>
      <c r="AS572">
        <v>0</v>
      </c>
      <c r="AT572">
        <v>102</v>
      </c>
      <c r="AU572">
        <v>47</v>
      </c>
      <c r="AV572">
        <v>1</v>
      </c>
      <c r="AW572">
        <v>1</v>
      </c>
      <c r="AZ572">
        <v>1</v>
      </c>
      <c r="BA572">
        <v>24.53</v>
      </c>
      <c r="BB572">
        <v>1</v>
      </c>
      <c r="BC572">
        <v>1</v>
      </c>
      <c r="BD572" t="s">
        <v>3</v>
      </c>
      <c r="BE572" t="s">
        <v>3</v>
      </c>
      <c r="BF572" t="s">
        <v>3</v>
      </c>
      <c r="BG572" t="s">
        <v>3</v>
      </c>
      <c r="BH572">
        <v>0</v>
      </c>
      <c r="BI572">
        <v>1</v>
      </c>
      <c r="BJ572" t="s">
        <v>361</v>
      </c>
      <c r="BM572">
        <v>295</v>
      </c>
      <c r="BN572">
        <v>0</v>
      </c>
      <c r="BO572" t="s">
        <v>358</v>
      </c>
      <c r="BP572">
        <v>1</v>
      </c>
      <c r="BQ572">
        <v>30</v>
      </c>
      <c r="BR572">
        <v>0</v>
      </c>
      <c r="BS572">
        <v>24.53</v>
      </c>
      <c r="BT572">
        <v>1</v>
      </c>
      <c r="BU572">
        <v>1</v>
      </c>
      <c r="BV572">
        <v>1</v>
      </c>
      <c r="BW572">
        <v>1</v>
      </c>
      <c r="BX572">
        <v>1</v>
      </c>
      <c r="BY572" t="s">
        <v>3</v>
      </c>
      <c r="BZ572">
        <v>102</v>
      </c>
      <c r="CA572">
        <v>47</v>
      </c>
      <c r="CE572">
        <v>30</v>
      </c>
      <c r="CF572">
        <v>0</v>
      </c>
      <c r="CG572">
        <v>0</v>
      </c>
      <c r="CM572">
        <v>0</v>
      </c>
      <c r="CN572" t="s">
        <v>3</v>
      </c>
      <c r="CO572">
        <v>0</v>
      </c>
      <c r="CP572">
        <f t="shared" ref="CP572:CP581" si="468">(P572+Q572+S572)</f>
        <v>33629.160000000003</v>
      </c>
      <c r="CQ572">
        <f t="shared" ref="CQ572:CQ581" si="469">ROUND((ROUND((AC572*AW572*1),2)*BC572),2)</f>
        <v>0</v>
      </c>
      <c r="CR572">
        <f>(ROUND((ROUND(((ET572)*AV572*1),2)*BB572),2)+ROUND((ROUND(((AE572-(EU572))*AV572*1),2)*BS572),2))</f>
        <v>0</v>
      </c>
      <c r="CS572">
        <f t="shared" ref="CS572:CS581" si="470">ROUND((ROUND((AE572*AV572*1),2)*BS572),2)</f>
        <v>0</v>
      </c>
      <c r="CT572">
        <f t="shared" ref="CT572:CT581" si="471">ROUND((ROUND((AF572*AV572*1),2)*BA572),2)</f>
        <v>11925.26</v>
      </c>
      <c r="CU572">
        <f t="shared" ref="CU572:CU581" si="472">AG572</f>
        <v>0</v>
      </c>
      <c r="CV572">
        <f t="shared" ref="CV572:CV581" si="473">(AH572*AV572)</f>
        <v>46.7</v>
      </c>
      <c r="CW572">
        <f t="shared" ref="CW572:CW581" si="474">AI572</f>
        <v>0</v>
      </c>
      <c r="CX572">
        <f t="shared" ref="CX572:CX581" si="475">AJ572</f>
        <v>0</v>
      </c>
      <c r="CY572">
        <f t="shared" ref="CY572:CY581" si="476">S572*(BZ572/100)</f>
        <v>34301.743200000004</v>
      </c>
      <c r="CZ572">
        <f t="shared" ref="CZ572:CZ581" si="477">S572*(CA572/100)</f>
        <v>15805.7052</v>
      </c>
      <c r="DC572" t="s">
        <v>3</v>
      </c>
      <c r="DD572" t="s">
        <v>3</v>
      </c>
      <c r="DE572" t="s">
        <v>3</v>
      </c>
      <c r="DF572" t="s">
        <v>3</v>
      </c>
      <c r="DG572" t="s">
        <v>3</v>
      </c>
      <c r="DH572" t="s">
        <v>3</v>
      </c>
      <c r="DI572" t="s">
        <v>3</v>
      </c>
      <c r="DJ572" t="s">
        <v>3</v>
      </c>
      <c r="DK572" t="s">
        <v>3</v>
      </c>
      <c r="DL572" t="s">
        <v>3</v>
      </c>
      <c r="DM572" t="s">
        <v>3</v>
      </c>
      <c r="DN572">
        <v>187</v>
      </c>
      <c r="DO572">
        <v>101</v>
      </c>
      <c r="DP572">
        <v>1</v>
      </c>
      <c r="DQ572">
        <v>1</v>
      </c>
      <c r="DU572">
        <v>1013</v>
      </c>
      <c r="DV572" t="s">
        <v>360</v>
      </c>
      <c r="DW572" t="s">
        <v>360</v>
      </c>
      <c r="DX572">
        <v>1</v>
      </c>
      <c r="EE572">
        <v>33797934</v>
      </c>
      <c r="EF572">
        <v>30</v>
      </c>
      <c r="EG572" t="s">
        <v>77</v>
      </c>
      <c r="EH572">
        <v>0</v>
      </c>
      <c r="EI572" t="s">
        <v>3</v>
      </c>
      <c r="EJ572">
        <v>1</v>
      </c>
      <c r="EK572">
        <v>295</v>
      </c>
      <c r="EL572" t="s">
        <v>266</v>
      </c>
      <c r="EM572" t="s">
        <v>267</v>
      </c>
      <c r="EO572" t="s">
        <v>3</v>
      </c>
      <c r="EQ572">
        <v>131072</v>
      </c>
      <c r="ER572">
        <v>486.15</v>
      </c>
      <c r="ES572">
        <v>0</v>
      </c>
      <c r="ET572">
        <v>0</v>
      </c>
      <c r="EU572">
        <v>0</v>
      </c>
      <c r="EV572">
        <v>486.15</v>
      </c>
      <c r="EW572">
        <v>46.7</v>
      </c>
      <c r="EX572">
        <v>0</v>
      </c>
      <c r="EY572">
        <v>0</v>
      </c>
      <c r="FQ572">
        <v>0</v>
      </c>
      <c r="FR572">
        <f t="shared" ref="FR572:FR581" si="478">ROUND(IF(AND(BH572=3,BI572=3),P572,0),2)</f>
        <v>0</v>
      </c>
      <c r="FS572">
        <v>0</v>
      </c>
      <c r="FX572">
        <v>187</v>
      </c>
      <c r="FY572">
        <v>101</v>
      </c>
      <c r="GA572" t="s">
        <v>3</v>
      </c>
      <c r="GD572">
        <v>0</v>
      </c>
      <c r="GF572">
        <v>1461919467</v>
      </c>
      <c r="GG572">
        <v>2</v>
      </c>
      <c r="GH572">
        <v>1</v>
      </c>
      <c r="GI572">
        <v>2</v>
      </c>
      <c r="GJ572">
        <v>0</v>
      </c>
      <c r="GK572">
        <f>ROUND(R572*(R12)/100,2)</f>
        <v>0</v>
      </c>
      <c r="GL572">
        <f t="shared" ref="GL572:GL581" si="479">ROUND(IF(AND(BH572=3,BI572=3,FS572&lt;&gt;0),P572,0),2)</f>
        <v>0</v>
      </c>
      <c r="GM572">
        <f t="shared" ref="GM572:GM581" si="480">ROUND(O572+X572+Y572+GK572,2)+GX572</f>
        <v>83736.61</v>
      </c>
      <c r="GN572">
        <f t="shared" ref="GN572:GN581" si="481">IF(OR(BI572=0,BI572=1),ROUND(O572+X572+Y572+GK572,2),0)</f>
        <v>83736.61</v>
      </c>
      <c r="GO572">
        <f t="shared" ref="GO572:GO581" si="482">IF(BI572=2,ROUND(O572+X572+Y572+GK572,2),0)</f>
        <v>0</v>
      </c>
      <c r="GP572">
        <f t="shared" ref="GP572:GP581" si="483">IF(BI572=4,ROUND(O572+X572+Y572+GK572,2)+GX572,0)</f>
        <v>0</v>
      </c>
      <c r="GR572">
        <v>0</v>
      </c>
      <c r="GS572">
        <v>3</v>
      </c>
      <c r="GT572">
        <v>0</v>
      </c>
      <c r="GU572" t="s">
        <v>3</v>
      </c>
      <c r="GV572">
        <f t="shared" ref="GV572:GV581" si="484">ROUND((GT572),6)</f>
        <v>0</v>
      </c>
      <c r="GW572">
        <v>1</v>
      </c>
      <c r="GX572">
        <f t="shared" ref="GX572:GX581" si="485">ROUND(HC572*I572,2)</f>
        <v>0</v>
      </c>
      <c r="HA572">
        <v>0</v>
      </c>
      <c r="HB572">
        <v>0</v>
      </c>
      <c r="HC572">
        <f t="shared" ref="HC572:HC581" si="486">GV572*GW572</f>
        <v>0</v>
      </c>
      <c r="IK572">
        <v>0</v>
      </c>
    </row>
    <row r="573" spans="1:245" x14ac:dyDescent="0.2">
      <c r="A573">
        <v>18</v>
      </c>
      <c r="B573">
        <v>1</v>
      </c>
      <c r="C573">
        <v>202</v>
      </c>
      <c r="E573" t="s">
        <v>362</v>
      </c>
      <c r="F573" t="s">
        <v>280</v>
      </c>
      <c r="G573" t="s">
        <v>281</v>
      </c>
      <c r="H573" t="s">
        <v>66</v>
      </c>
      <c r="I573">
        <f>I572*J573</f>
        <v>56.4</v>
      </c>
      <c r="J573">
        <v>20</v>
      </c>
      <c r="O573">
        <f t="shared" si="454"/>
        <v>55156.65</v>
      </c>
      <c r="P573">
        <f t="shared" si="455"/>
        <v>55156.65</v>
      </c>
      <c r="Q573">
        <f>(ROUND((ROUND(((ET573)*AV573*I573),2)*BB573),2)+ROUND((ROUND(((AE573-(EU573))*AV573*I573),2)*BS573),2))</f>
        <v>0</v>
      </c>
      <c r="R573">
        <f t="shared" si="456"/>
        <v>0</v>
      </c>
      <c r="S573">
        <f t="shared" si="457"/>
        <v>0</v>
      </c>
      <c r="T573">
        <f t="shared" si="458"/>
        <v>0</v>
      </c>
      <c r="U573">
        <f t="shared" si="459"/>
        <v>0</v>
      </c>
      <c r="V573">
        <f t="shared" si="460"/>
        <v>0</v>
      </c>
      <c r="W573">
        <f t="shared" si="461"/>
        <v>0</v>
      </c>
      <c r="X573">
        <f t="shared" si="462"/>
        <v>0</v>
      </c>
      <c r="Y573">
        <f t="shared" si="463"/>
        <v>0</v>
      </c>
      <c r="AA573">
        <v>33989672</v>
      </c>
      <c r="AB573">
        <f t="shared" si="464"/>
        <v>146.84</v>
      </c>
      <c r="AC573">
        <f t="shared" si="465"/>
        <v>146.84</v>
      </c>
      <c r="AD573">
        <f>ROUND((((ET573)-(EU573))+AE573),6)</f>
        <v>0</v>
      </c>
      <c r="AE573">
        <f>ROUND((EU573),6)</f>
        <v>0</v>
      </c>
      <c r="AF573">
        <f>ROUND((EV573),6)</f>
        <v>0</v>
      </c>
      <c r="AG573">
        <f t="shared" si="466"/>
        <v>0</v>
      </c>
      <c r="AH573">
        <f>(EW573)</f>
        <v>0</v>
      </c>
      <c r="AI573">
        <f>(EX573)</f>
        <v>0</v>
      </c>
      <c r="AJ573">
        <f t="shared" si="467"/>
        <v>0</v>
      </c>
      <c r="AK573">
        <v>146.84</v>
      </c>
      <c r="AL573">
        <v>146.84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1</v>
      </c>
      <c r="AW573">
        <v>1</v>
      </c>
      <c r="AZ573">
        <v>1</v>
      </c>
      <c r="BA573">
        <v>1</v>
      </c>
      <c r="BB573">
        <v>1</v>
      </c>
      <c r="BC573">
        <v>6.66</v>
      </c>
      <c r="BD573" t="s">
        <v>3</v>
      </c>
      <c r="BE573" t="s">
        <v>3</v>
      </c>
      <c r="BF573" t="s">
        <v>3</v>
      </c>
      <c r="BG573" t="s">
        <v>3</v>
      </c>
      <c r="BH573">
        <v>3</v>
      </c>
      <c r="BI573">
        <v>1</v>
      </c>
      <c r="BJ573" t="s">
        <v>282</v>
      </c>
      <c r="BM573">
        <v>295</v>
      </c>
      <c r="BN573">
        <v>0</v>
      </c>
      <c r="BO573" t="s">
        <v>280</v>
      </c>
      <c r="BP573">
        <v>1</v>
      </c>
      <c r="BQ573">
        <v>30</v>
      </c>
      <c r="BR573">
        <v>0</v>
      </c>
      <c r="BS573">
        <v>1</v>
      </c>
      <c r="BT573">
        <v>1</v>
      </c>
      <c r="BU573">
        <v>1</v>
      </c>
      <c r="BV573">
        <v>1</v>
      </c>
      <c r="BW573">
        <v>1</v>
      </c>
      <c r="BX573">
        <v>1</v>
      </c>
      <c r="BY573" t="s">
        <v>3</v>
      </c>
      <c r="BZ573">
        <v>0</v>
      </c>
      <c r="CA573">
        <v>0</v>
      </c>
      <c r="CE573">
        <v>30</v>
      </c>
      <c r="CF573">
        <v>0</v>
      </c>
      <c r="CG573">
        <v>0</v>
      </c>
      <c r="CM573">
        <v>0</v>
      </c>
      <c r="CN573" t="s">
        <v>3</v>
      </c>
      <c r="CO573">
        <v>0</v>
      </c>
      <c r="CP573">
        <f t="shared" si="468"/>
        <v>55156.65</v>
      </c>
      <c r="CQ573">
        <f t="shared" si="469"/>
        <v>977.95</v>
      </c>
      <c r="CR573">
        <f>(ROUND((ROUND(((ET573)*AV573*1),2)*BB573),2)+ROUND((ROUND(((AE573-(EU573))*AV573*1),2)*BS573),2))</f>
        <v>0</v>
      </c>
      <c r="CS573">
        <f t="shared" si="470"/>
        <v>0</v>
      </c>
      <c r="CT573">
        <f t="shared" si="471"/>
        <v>0</v>
      </c>
      <c r="CU573">
        <f t="shared" si="472"/>
        <v>0</v>
      </c>
      <c r="CV573">
        <f t="shared" si="473"/>
        <v>0</v>
      </c>
      <c r="CW573">
        <f t="shared" si="474"/>
        <v>0</v>
      </c>
      <c r="CX573">
        <f t="shared" si="475"/>
        <v>0</v>
      </c>
      <c r="CY573">
        <f t="shared" si="476"/>
        <v>0</v>
      </c>
      <c r="CZ573">
        <f t="shared" si="477"/>
        <v>0</v>
      </c>
      <c r="DC573" t="s">
        <v>3</v>
      </c>
      <c r="DD573" t="s">
        <v>3</v>
      </c>
      <c r="DE573" t="s">
        <v>3</v>
      </c>
      <c r="DF573" t="s">
        <v>3</v>
      </c>
      <c r="DG573" t="s">
        <v>3</v>
      </c>
      <c r="DH573" t="s">
        <v>3</v>
      </c>
      <c r="DI573" t="s">
        <v>3</v>
      </c>
      <c r="DJ573" t="s">
        <v>3</v>
      </c>
      <c r="DK573" t="s">
        <v>3</v>
      </c>
      <c r="DL573" t="s">
        <v>3</v>
      </c>
      <c r="DM573" t="s">
        <v>3</v>
      </c>
      <c r="DN573">
        <v>187</v>
      </c>
      <c r="DO573">
        <v>101</v>
      </c>
      <c r="DP573">
        <v>1</v>
      </c>
      <c r="DQ573">
        <v>1</v>
      </c>
      <c r="DU573">
        <v>1007</v>
      </c>
      <c r="DV573" t="s">
        <v>66</v>
      </c>
      <c r="DW573" t="s">
        <v>66</v>
      </c>
      <c r="DX573">
        <v>1</v>
      </c>
      <c r="EE573">
        <v>33797934</v>
      </c>
      <c r="EF573">
        <v>30</v>
      </c>
      <c r="EG573" t="s">
        <v>77</v>
      </c>
      <c r="EH573">
        <v>0</v>
      </c>
      <c r="EI573" t="s">
        <v>3</v>
      </c>
      <c r="EJ573">
        <v>1</v>
      </c>
      <c r="EK573">
        <v>295</v>
      </c>
      <c r="EL573" t="s">
        <v>266</v>
      </c>
      <c r="EM573" t="s">
        <v>267</v>
      </c>
      <c r="EO573" t="s">
        <v>3</v>
      </c>
      <c r="EQ573">
        <v>0</v>
      </c>
      <c r="ER573">
        <v>146.84</v>
      </c>
      <c r="ES573">
        <v>146.84</v>
      </c>
      <c r="ET573">
        <v>0</v>
      </c>
      <c r="EU573">
        <v>0</v>
      </c>
      <c r="EV573">
        <v>0</v>
      </c>
      <c r="EW573">
        <v>0</v>
      </c>
      <c r="EX573">
        <v>0</v>
      </c>
      <c r="FQ573">
        <v>0</v>
      </c>
      <c r="FR573">
        <f t="shared" si="478"/>
        <v>0</v>
      </c>
      <c r="FS573">
        <v>0</v>
      </c>
      <c r="FX573">
        <v>187</v>
      </c>
      <c r="FY573">
        <v>101</v>
      </c>
      <c r="GA573" t="s">
        <v>3</v>
      </c>
      <c r="GD573">
        <v>0</v>
      </c>
      <c r="GF573">
        <v>92320855</v>
      </c>
      <c r="GG573">
        <v>2</v>
      </c>
      <c r="GH573">
        <v>1</v>
      </c>
      <c r="GI573">
        <v>2</v>
      </c>
      <c r="GJ573">
        <v>0</v>
      </c>
      <c r="GK573">
        <f>ROUND(R573*(R12)/100,2)</f>
        <v>0</v>
      </c>
      <c r="GL573">
        <f t="shared" si="479"/>
        <v>0</v>
      </c>
      <c r="GM573">
        <f t="shared" si="480"/>
        <v>55156.65</v>
      </c>
      <c r="GN573">
        <f t="shared" si="481"/>
        <v>55156.65</v>
      </c>
      <c r="GO573">
        <f t="shared" si="482"/>
        <v>0</v>
      </c>
      <c r="GP573">
        <f t="shared" si="483"/>
        <v>0</v>
      </c>
      <c r="GR573">
        <v>0</v>
      </c>
      <c r="GS573">
        <v>3</v>
      </c>
      <c r="GT573">
        <v>0</v>
      </c>
      <c r="GU573" t="s">
        <v>3</v>
      </c>
      <c r="GV573">
        <f t="shared" si="484"/>
        <v>0</v>
      </c>
      <c r="GW573">
        <v>1</v>
      </c>
      <c r="GX573">
        <f t="shared" si="485"/>
        <v>0</v>
      </c>
      <c r="HA573">
        <v>0</v>
      </c>
      <c r="HB573">
        <v>0</v>
      </c>
      <c r="HC573">
        <f t="shared" si="486"/>
        <v>0</v>
      </c>
      <c r="IK573">
        <v>0</v>
      </c>
    </row>
    <row r="574" spans="1:245" x14ac:dyDescent="0.2">
      <c r="A574">
        <v>17</v>
      </c>
      <c r="B574">
        <v>1</v>
      </c>
      <c r="C574">
        <f>ROW(SmtRes!A204)</f>
        <v>204</v>
      </c>
      <c r="D574">
        <f>ROW(EtalonRes!A205)</f>
        <v>205</v>
      </c>
      <c r="E574" t="s">
        <v>363</v>
      </c>
      <c r="F574" t="s">
        <v>364</v>
      </c>
      <c r="G574" t="s">
        <v>365</v>
      </c>
      <c r="H574" t="s">
        <v>360</v>
      </c>
      <c r="I574">
        <f>ROUND(282/100,5)</f>
        <v>2.82</v>
      </c>
      <c r="J574">
        <v>0</v>
      </c>
      <c r="O574">
        <f t="shared" si="454"/>
        <v>15611.38</v>
      </c>
      <c r="P574">
        <f t="shared" si="455"/>
        <v>0</v>
      </c>
      <c r="Q574">
        <f>(ROUND((ROUND((((ET574*4))*AV574*I574),2)*BB574),2)+ROUND((ROUND(((AE574-((EU574*4)))*AV574*I574),2)*BS574),2))</f>
        <v>0</v>
      </c>
      <c r="R574">
        <f t="shared" si="456"/>
        <v>0</v>
      </c>
      <c r="S574">
        <f t="shared" si="457"/>
        <v>15611.38</v>
      </c>
      <c r="T574">
        <f t="shared" si="458"/>
        <v>0</v>
      </c>
      <c r="U574">
        <f t="shared" si="459"/>
        <v>61.137599999999999</v>
      </c>
      <c r="V574">
        <f t="shared" si="460"/>
        <v>0</v>
      </c>
      <c r="W574">
        <f t="shared" si="461"/>
        <v>0</v>
      </c>
      <c r="X574">
        <f t="shared" si="462"/>
        <v>15923.61</v>
      </c>
      <c r="Y574">
        <f t="shared" si="463"/>
        <v>7337.35</v>
      </c>
      <c r="AA574">
        <v>33989672</v>
      </c>
      <c r="AB574">
        <f t="shared" si="464"/>
        <v>225.68</v>
      </c>
      <c r="AC574">
        <f t="shared" si="465"/>
        <v>0</v>
      </c>
      <c r="AD574">
        <f>ROUND(((((ET574*4))-((EU574*4)))+AE574),6)</f>
        <v>0</v>
      </c>
      <c r="AE574">
        <f>ROUND(((EU574*4)),6)</f>
        <v>0</v>
      </c>
      <c r="AF574">
        <f>ROUND(((EV574*4)),6)</f>
        <v>225.68</v>
      </c>
      <c r="AG574">
        <f t="shared" si="466"/>
        <v>0</v>
      </c>
      <c r="AH574">
        <f>((EW574*4))</f>
        <v>21.68</v>
      </c>
      <c r="AI574">
        <f>((EX574*4))</f>
        <v>0</v>
      </c>
      <c r="AJ574">
        <f t="shared" si="467"/>
        <v>0</v>
      </c>
      <c r="AK574">
        <v>56.42</v>
      </c>
      <c r="AL574">
        <v>0</v>
      </c>
      <c r="AM574">
        <v>0</v>
      </c>
      <c r="AN574">
        <v>0</v>
      </c>
      <c r="AO574">
        <v>56.42</v>
      </c>
      <c r="AP574">
        <v>0</v>
      </c>
      <c r="AQ574">
        <v>5.42</v>
      </c>
      <c r="AR574">
        <v>0</v>
      </c>
      <c r="AS574">
        <v>0</v>
      </c>
      <c r="AT574">
        <v>102</v>
      </c>
      <c r="AU574">
        <v>47</v>
      </c>
      <c r="AV574">
        <v>1</v>
      </c>
      <c r="AW574">
        <v>1</v>
      </c>
      <c r="AZ574">
        <v>1</v>
      </c>
      <c r="BA574">
        <v>24.53</v>
      </c>
      <c r="BB574">
        <v>1</v>
      </c>
      <c r="BC574">
        <v>1</v>
      </c>
      <c r="BD574" t="s">
        <v>3</v>
      </c>
      <c r="BE574" t="s">
        <v>3</v>
      </c>
      <c r="BF574" t="s">
        <v>3</v>
      </c>
      <c r="BG574" t="s">
        <v>3</v>
      </c>
      <c r="BH574">
        <v>0</v>
      </c>
      <c r="BI574">
        <v>1</v>
      </c>
      <c r="BJ574" t="s">
        <v>366</v>
      </c>
      <c r="BM574">
        <v>295</v>
      </c>
      <c r="BN574">
        <v>0</v>
      </c>
      <c r="BO574" t="s">
        <v>364</v>
      </c>
      <c r="BP574">
        <v>1</v>
      </c>
      <c r="BQ574">
        <v>30</v>
      </c>
      <c r="BR574">
        <v>0</v>
      </c>
      <c r="BS574">
        <v>24.53</v>
      </c>
      <c r="BT574">
        <v>1</v>
      </c>
      <c r="BU574">
        <v>1</v>
      </c>
      <c r="BV574">
        <v>1</v>
      </c>
      <c r="BW574">
        <v>1</v>
      </c>
      <c r="BX574">
        <v>1</v>
      </c>
      <c r="BY574" t="s">
        <v>3</v>
      </c>
      <c r="BZ574">
        <v>102</v>
      </c>
      <c r="CA574">
        <v>47</v>
      </c>
      <c r="CE574">
        <v>30</v>
      </c>
      <c r="CF574">
        <v>0</v>
      </c>
      <c r="CG574">
        <v>0</v>
      </c>
      <c r="CM574">
        <v>0</v>
      </c>
      <c r="CN574" t="s">
        <v>3</v>
      </c>
      <c r="CO574">
        <v>0</v>
      </c>
      <c r="CP574">
        <f t="shared" si="468"/>
        <v>15611.38</v>
      </c>
      <c r="CQ574">
        <f t="shared" si="469"/>
        <v>0</v>
      </c>
      <c r="CR574">
        <f>(ROUND((ROUND((((ET574*4))*AV574*1),2)*BB574),2)+ROUND((ROUND(((AE574-((EU574*4)))*AV574*1),2)*BS574),2))</f>
        <v>0</v>
      </c>
      <c r="CS574">
        <f t="shared" si="470"/>
        <v>0</v>
      </c>
      <c r="CT574">
        <f t="shared" si="471"/>
        <v>5535.93</v>
      </c>
      <c r="CU574">
        <f t="shared" si="472"/>
        <v>0</v>
      </c>
      <c r="CV574">
        <f t="shared" si="473"/>
        <v>21.68</v>
      </c>
      <c r="CW574">
        <f t="shared" si="474"/>
        <v>0</v>
      </c>
      <c r="CX574">
        <f t="shared" si="475"/>
        <v>0</v>
      </c>
      <c r="CY574">
        <f t="shared" si="476"/>
        <v>15923.607599999999</v>
      </c>
      <c r="CZ574">
        <f t="shared" si="477"/>
        <v>7337.3485999999994</v>
      </c>
      <c r="DC574" t="s">
        <v>3</v>
      </c>
      <c r="DD574" t="s">
        <v>3</v>
      </c>
      <c r="DE574" t="s">
        <v>367</v>
      </c>
      <c r="DF574" t="s">
        <v>367</v>
      </c>
      <c r="DG574" t="s">
        <v>367</v>
      </c>
      <c r="DH574" t="s">
        <v>3</v>
      </c>
      <c r="DI574" t="s">
        <v>367</v>
      </c>
      <c r="DJ574" t="s">
        <v>367</v>
      </c>
      <c r="DK574" t="s">
        <v>3</v>
      </c>
      <c r="DL574" t="s">
        <v>3</v>
      </c>
      <c r="DM574" t="s">
        <v>3</v>
      </c>
      <c r="DN574">
        <v>187</v>
      </c>
      <c r="DO574">
        <v>101</v>
      </c>
      <c r="DP574">
        <v>1</v>
      </c>
      <c r="DQ574">
        <v>1</v>
      </c>
      <c r="DU574">
        <v>1013</v>
      </c>
      <c r="DV574" t="s">
        <v>360</v>
      </c>
      <c r="DW574" t="s">
        <v>360</v>
      </c>
      <c r="DX574">
        <v>1</v>
      </c>
      <c r="EE574">
        <v>33797934</v>
      </c>
      <c r="EF574">
        <v>30</v>
      </c>
      <c r="EG574" t="s">
        <v>77</v>
      </c>
      <c r="EH574">
        <v>0</v>
      </c>
      <c r="EI574" t="s">
        <v>3</v>
      </c>
      <c r="EJ574">
        <v>1</v>
      </c>
      <c r="EK574">
        <v>295</v>
      </c>
      <c r="EL574" t="s">
        <v>266</v>
      </c>
      <c r="EM574" t="s">
        <v>267</v>
      </c>
      <c r="EO574" t="s">
        <v>3</v>
      </c>
      <c r="EQ574">
        <v>131072</v>
      </c>
      <c r="ER574">
        <v>56.42</v>
      </c>
      <c r="ES574">
        <v>0</v>
      </c>
      <c r="ET574">
        <v>0</v>
      </c>
      <c r="EU574">
        <v>0</v>
      </c>
      <c r="EV574">
        <v>56.42</v>
      </c>
      <c r="EW574">
        <v>5.42</v>
      </c>
      <c r="EX574">
        <v>0</v>
      </c>
      <c r="EY574">
        <v>0</v>
      </c>
      <c r="FQ574">
        <v>0</v>
      </c>
      <c r="FR574">
        <f t="shared" si="478"/>
        <v>0</v>
      </c>
      <c r="FS574">
        <v>0</v>
      </c>
      <c r="FX574">
        <v>187</v>
      </c>
      <c r="FY574">
        <v>101</v>
      </c>
      <c r="GA574" t="s">
        <v>3</v>
      </c>
      <c r="GD574">
        <v>0</v>
      </c>
      <c r="GF574">
        <v>2027648972</v>
      </c>
      <c r="GG574">
        <v>2</v>
      </c>
      <c r="GH574">
        <v>1</v>
      </c>
      <c r="GI574">
        <v>2</v>
      </c>
      <c r="GJ574">
        <v>0</v>
      </c>
      <c r="GK574">
        <f>ROUND(R574*(R12)/100,2)</f>
        <v>0</v>
      </c>
      <c r="GL574">
        <f t="shared" si="479"/>
        <v>0</v>
      </c>
      <c r="GM574">
        <f t="shared" si="480"/>
        <v>38872.339999999997</v>
      </c>
      <c r="GN574">
        <f t="shared" si="481"/>
        <v>38872.339999999997</v>
      </c>
      <c r="GO574">
        <f t="shared" si="482"/>
        <v>0</v>
      </c>
      <c r="GP574">
        <f t="shared" si="483"/>
        <v>0</v>
      </c>
      <c r="GR574">
        <v>0</v>
      </c>
      <c r="GS574">
        <v>3</v>
      </c>
      <c r="GT574">
        <v>0</v>
      </c>
      <c r="GU574" t="s">
        <v>3</v>
      </c>
      <c r="GV574">
        <f t="shared" si="484"/>
        <v>0</v>
      </c>
      <c r="GW574">
        <v>1</v>
      </c>
      <c r="GX574">
        <f t="shared" si="485"/>
        <v>0</v>
      </c>
      <c r="HA574">
        <v>0</v>
      </c>
      <c r="HB574">
        <v>0</v>
      </c>
      <c r="HC574">
        <f t="shared" si="486"/>
        <v>0</v>
      </c>
      <c r="IK574">
        <v>0</v>
      </c>
    </row>
    <row r="575" spans="1:245" x14ac:dyDescent="0.2">
      <c r="A575">
        <v>18</v>
      </c>
      <c r="B575">
        <v>1</v>
      </c>
      <c r="C575">
        <v>204</v>
      </c>
      <c r="E575" t="s">
        <v>368</v>
      </c>
      <c r="F575" t="s">
        <v>280</v>
      </c>
      <c r="G575" t="s">
        <v>281</v>
      </c>
      <c r="H575" t="s">
        <v>66</v>
      </c>
      <c r="I575">
        <f>I574*J575</f>
        <v>56.4</v>
      </c>
      <c r="J575">
        <v>20</v>
      </c>
      <c r="O575">
        <f t="shared" si="454"/>
        <v>55156.65</v>
      </c>
      <c r="P575">
        <f t="shared" si="455"/>
        <v>55156.65</v>
      </c>
      <c r="Q575">
        <f t="shared" ref="Q575:Q581" si="487">(ROUND((ROUND(((ET575)*AV575*I575),2)*BB575),2)+ROUND((ROUND(((AE575-(EU575))*AV575*I575),2)*BS575),2))</f>
        <v>0</v>
      </c>
      <c r="R575">
        <f t="shared" si="456"/>
        <v>0</v>
      </c>
      <c r="S575">
        <f t="shared" si="457"/>
        <v>0</v>
      </c>
      <c r="T575">
        <f t="shared" si="458"/>
        <v>0</v>
      </c>
      <c r="U575">
        <f t="shared" si="459"/>
        <v>0</v>
      </c>
      <c r="V575">
        <f t="shared" si="460"/>
        <v>0</v>
      </c>
      <c r="W575">
        <f t="shared" si="461"/>
        <v>0</v>
      </c>
      <c r="X575">
        <f t="shared" si="462"/>
        <v>0</v>
      </c>
      <c r="Y575">
        <f t="shared" si="463"/>
        <v>0</v>
      </c>
      <c r="AA575">
        <v>33989672</v>
      </c>
      <c r="AB575">
        <f t="shared" si="464"/>
        <v>146.84</v>
      </c>
      <c r="AC575">
        <f t="shared" si="465"/>
        <v>146.84</v>
      </c>
      <c r="AD575">
        <f t="shared" ref="AD575:AD581" si="488">ROUND((((ET575)-(EU575))+AE575),6)</f>
        <v>0</v>
      </c>
      <c r="AE575">
        <f t="shared" ref="AE575:AF581" si="489">ROUND((EU575),6)</f>
        <v>0</v>
      </c>
      <c r="AF575">
        <f t="shared" si="489"/>
        <v>0</v>
      </c>
      <c r="AG575">
        <f t="shared" si="466"/>
        <v>0</v>
      </c>
      <c r="AH575">
        <f t="shared" ref="AH575:AI581" si="490">(EW575)</f>
        <v>0</v>
      </c>
      <c r="AI575">
        <f t="shared" si="490"/>
        <v>0</v>
      </c>
      <c r="AJ575">
        <f t="shared" si="467"/>
        <v>0</v>
      </c>
      <c r="AK575">
        <v>146.84</v>
      </c>
      <c r="AL575">
        <v>146.84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1</v>
      </c>
      <c r="AW575">
        <v>1</v>
      </c>
      <c r="AZ575">
        <v>1</v>
      </c>
      <c r="BA575">
        <v>1</v>
      </c>
      <c r="BB575">
        <v>1</v>
      </c>
      <c r="BC575">
        <v>6.66</v>
      </c>
      <c r="BD575" t="s">
        <v>3</v>
      </c>
      <c r="BE575" t="s">
        <v>3</v>
      </c>
      <c r="BF575" t="s">
        <v>3</v>
      </c>
      <c r="BG575" t="s">
        <v>3</v>
      </c>
      <c r="BH575">
        <v>3</v>
      </c>
      <c r="BI575">
        <v>1</v>
      </c>
      <c r="BJ575" t="s">
        <v>282</v>
      </c>
      <c r="BM575">
        <v>295</v>
      </c>
      <c r="BN575">
        <v>0</v>
      </c>
      <c r="BO575" t="s">
        <v>280</v>
      </c>
      <c r="BP575">
        <v>1</v>
      </c>
      <c r="BQ575">
        <v>30</v>
      </c>
      <c r="BR575">
        <v>0</v>
      </c>
      <c r="BS575">
        <v>1</v>
      </c>
      <c r="BT575">
        <v>1</v>
      </c>
      <c r="BU575">
        <v>1</v>
      </c>
      <c r="BV575">
        <v>1</v>
      </c>
      <c r="BW575">
        <v>1</v>
      </c>
      <c r="BX575">
        <v>1</v>
      </c>
      <c r="BY575" t="s">
        <v>3</v>
      </c>
      <c r="BZ575">
        <v>0</v>
      </c>
      <c r="CA575">
        <v>0</v>
      </c>
      <c r="CE575">
        <v>30</v>
      </c>
      <c r="CF575">
        <v>0</v>
      </c>
      <c r="CG575">
        <v>0</v>
      </c>
      <c r="CM575">
        <v>0</v>
      </c>
      <c r="CN575" t="s">
        <v>3</v>
      </c>
      <c r="CO575">
        <v>0</v>
      </c>
      <c r="CP575">
        <f t="shared" si="468"/>
        <v>55156.65</v>
      </c>
      <c r="CQ575">
        <f t="shared" si="469"/>
        <v>977.95</v>
      </c>
      <c r="CR575">
        <f t="shared" ref="CR575:CR581" si="491">(ROUND((ROUND(((ET575)*AV575*1),2)*BB575),2)+ROUND((ROUND(((AE575-(EU575))*AV575*1),2)*BS575),2))</f>
        <v>0</v>
      </c>
      <c r="CS575">
        <f t="shared" si="470"/>
        <v>0</v>
      </c>
      <c r="CT575">
        <f t="shared" si="471"/>
        <v>0</v>
      </c>
      <c r="CU575">
        <f t="shared" si="472"/>
        <v>0</v>
      </c>
      <c r="CV575">
        <f t="shared" si="473"/>
        <v>0</v>
      </c>
      <c r="CW575">
        <f t="shared" si="474"/>
        <v>0</v>
      </c>
      <c r="CX575">
        <f t="shared" si="475"/>
        <v>0</v>
      </c>
      <c r="CY575">
        <f t="shared" si="476"/>
        <v>0</v>
      </c>
      <c r="CZ575">
        <f t="shared" si="477"/>
        <v>0</v>
      </c>
      <c r="DC575" t="s">
        <v>3</v>
      </c>
      <c r="DD575" t="s">
        <v>3</v>
      </c>
      <c r="DE575" t="s">
        <v>3</v>
      </c>
      <c r="DF575" t="s">
        <v>3</v>
      </c>
      <c r="DG575" t="s">
        <v>3</v>
      </c>
      <c r="DH575" t="s">
        <v>3</v>
      </c>
      <c r="DI575" t="s">
        <v>3</v>
      </c>
      <c r="DJ575" t="s">
        <v>3</v>
      </c>
      <c r="DK575" t="s">
        <v>3</v>
      </c>
      <c r="DL575" t="s">
        <v>3</v>
      </c>
      <c r="DM575" t="s">
        <v>3</v>
      </c>
      <c r="DN575">
        <v>187</v>
      </c>
      <c r="DO575">
        <v>101</v>
      </c>
      <c r="DP575">
        <v>1</v>
      </c>
      <c r="DQ575">
        <v>1</v>
      </c>
      <c r="DU575">
        <v>1007</v>
      </c>
      <c r="DV575" t="s">
        <v>66</v>
      </c>
      <c r="DW575" t="s">
        <v>66</v>
      </c>
      <c r="DX575">
        <v>1</v>
      </c>
      <c r="EE575">
        <v>33797934</v>
      </c>
      <c r="EF575">
        <v>30</v>
      </c>
      <c r="EG575" t="s">
        <v>77</v>
      </c>
      <c r="EH575">
        <v>0</v>
      </c>
      <c r="EI575" t="s">
        <v>3</v>
      </c>
      <c r="EJ575">
        <v>1</v>
      </c>
      <c r="EK575">
        <v>295</v>
      </c>
      <c r="EL575" t="s">
        <v>266</v>
      </c>
      <c r="EM575" t="s">
        <v>267</v>
      </c>
      <c r="EO575" t="s">
        <v>3</v>
      </c>
      <c r="EQ575">
        <v>0</v>
      </c>
      <c r="ER575">
        <v>146.84</v>
      </c>
      <c r="ES575">
        <v>146.84</v>
      </c>
      <c r="ET575">
        <v>0</v>
      </c>
      <c r="EU575">
        <v>0</v>
      </c>
      <c r="EV575">
        <v>0</v>
      </c>
      <c r="EW575">
        <v>0</v>
      </c>
      <c r="EX575">
        <v>0</v>
      </c>
      <c r="FQ575">
        <v>0</v>
      </c>
      <c r="FR575">
        <f t="shared" si="478"/>
        <v>0</v>
      </c>
      <c r="FS575">
        <v>0</v>
      </c>
      <c r="FX575">
        <v>187</v>
      </c>
      <c r="FY575">
        <v>101</v>
      </c>
      <c r="GA575" t="s">
        <v>3</v>
      </c>
      <c r="GD575">
        <v>0</v>
      </c>
      <c r="GF575">
        <v>92320855</v>
      </c>
      <c r="GG575">
        <v>2</v>
      </c>
      <c r="GH575">
        <v>1</v>
      </c>
      <c r="GI575">
        <v>2</v>
      </c>
      <c r="GJ575">
        <v>0</v>
      </c>
      <c r="GK575">
        <f>ROUND(R575*(R12)/100,2)</f>
        <v>0</v>
      </c>
      <c r="GL575">
        <f t="shared" si="479"/>
        <v>0</v>
      </c>
      <c r="GM575">
        <f t="shared" si="480"/>
        <v>55156.65</v>
      </c>
      <c r="GN575">
        <f t="shared" si="481"/>
        <v>55156.65</v>
      </c>
      <c r="GO575">
        <f t="shared" si="482"/>
        <v>0</v>
      </c>
      <c r="GP575">
        <f t="shared" si="483"/>
        <v>0</v>
      </c>
      <c r="GR575">
        <v>0</v>
      </c>
      <c r="GS575">
        <v>3</v>
      </c>
      <c r="GT575">
        <v>0</v>
      </c>
      <c r="GU575" t="s">
        <v>3</v>
      </c>
      <c r="GV575">
        <f t="shared" si="484"/>
        <v>0</v>
      </c>
      <c r="GW575">
        <v>1</v>
      </c>
      <c r="GX575">
        <f t="shared" si="485"/>
        <v>0</v>
      </c>
      <c r="HA575">
        <v>0</v>
      </c>
      <c r="HB575">
        <v>0</v>
      </c>
      <c r="HC575">
        <f t="shared" si="486"/>
        <v>0</v>
      </c>
      <c r="IK575">
        <v>0</v>
      </c>
    </row>
    <row r="576" spans="1:245" x14ac:dyDescent="0.2">
      <c r="A576">
        <v>17</v>
      </c>
      <c r="B576">
        <v>1</v>
      </c>
      <c r="C576">
        <f>ROW(SmtRes!A210)</f>
        <v>210</v>
      </c>
      <c r="D576">
        <f>ROW(EtalonRes!A211)</f>
        <v>211</v>
      </c>
      <c r="E576" t="s">
        <v>369</v>
      </c>
      <c r="F576" t="s">
        <v>370</v>
      </c>
      <c r="G576" t="s">
        <v>371</v>
      </c>
      <c r="H576" t="s">
        <v>360</v>
      </c>
      <c r="I576">
        <f>ROUND(141/100,5)</f>
        <v>1.41</v>
      </c>
      <c r="J576">
        <v>0</v>
      </c>
      <c r="O576">
        <f t="shared" si="454"/>
        <v>55562.1</v>
      </c>
      <c r="P576">
        <f t="shared" si="455"/>
        <v>4242.8900000000003</v>
      </c>
      <c r="Q576">
        <f t="shared" si="487"/>
        <v>0</v>
      </c>
      <c r="R576">
        <f t="shared" si="456"/>
        <v>0</v>
      </c>
      <c r="S576">
        <f t="shared" si="457"/>
        <v>51319.21</v>
      </c>
      <c r="T576">
        <f t="shared" si="458"/>
        <v>0</v>
      </c>
      <c r="U576">
        <f t="shared" si="459"/>
        <v>190.36409999999998</v>
      </c>
      <c r="V576">
        <f t="shared" si="460"/>
        <v>0</v>
      </c>
      <c r="W576">
        <f t="shared" si="461"/>
        <v>0</v>
      </c>
      <c r="X576">
        <f t="shared" si="462"/>
        <v>52345.59</v>
      </c>
      <c r="Y576">
        <f t="shared" si="463"/>
        <v>24120.03</v>
      </c>
      <c r="AA576">
        <v>33989672</v>
      </c>
      <c r="AB576">
        <f t="shared" si="464"/>
        <v>2532.2399999999998</v>
      </c>
      <c r="AC576">
        <f t="shared" si="465"/>
        <v>1048.48</v>
      </c>
      <c r="AD576">
        <f t="shared" si="488"/>
        <v>0</v>
      </c>
      <c r="AE576">
        <f t="shared" si="489"/>
        <v>0</v>
      </c>
      <c r="AF576">
        <f t="shared" si="489"/>
        <v>1483.76</v>
      </c>
      <c r="AG576">
        <f t="shared" si="466"/>
        <v>0</v>
      </c>
      <c r="AH576">
        <f t="shared" si="490"/>
        <v>135.01</v>
      </c>
      <c r="AI576">
        <f t="shared" si="490"/>
        <v>0</v>
      </c>
      <c r="AJ576">
        <f t="shared" si="467"/>
        <v>0</v>
      </c>
      <c r="AK576">
        <v>2532.2399999999998</v>
      </c>
      <c r="AL576">
        <v>1048.48</v>
      </c>
      <c r="AM576">
        <v>0</v>
      </c>
      <c r="AN576">
        <v>0</v>
      </c>
      <c r="AO576">
        <v>1483.76</v>
      </c>
      <c r="AP576">
        <v>0</v>
      </c>
      <c r="AQ576">
        <v>135.01</v>
      </c>
      <c r="AR576">
        <v>0</v>
      </c>
      <c r="AS576">
        <v>0</v>
      </c>
      <c r="AT576">
        <v>102</v>
      </c>
      <c r="AU576">
        <v>47</v>
      </c>
      <c r="AV576">
        <v>1</v>
      </c>
      <c r="AW576">
        <v>1</v>
      </c>
      <c r="AZ576">
        <v>1</v>
      </c>
      <c r="BA576">
        <v>24.53</v>
      </c>
      <c r="BB576">
        <v>1</v>
      </c>
      <c r="BC576">
        <v>2.87</v>
      </c>
      <c r="BD576" t="s">
        <v>3</v>
      </c>
      <c r="BE576" t="s">
        <v>3</v>
      </c>
      <c r="BF576" t="s">
        <v>3</v>
      </c>
      <c r="BG576" t="s">
        <v>3</v>
      </c>
      <c r="BH576">
        <v>0</v>
      </c>
      <c r="BI576">
        <v>1</v>
      </c>
      <c r="BJ576" t="s">
        <v>372</v>
      </c>
      <c r="BM576">
        <v>295</v>
      </c>
      <c r="BN576">
        <v>0</v>
      </c>
      <c r="BO576" t="s">
        <v>370</v>
      </c>
      <c r="BP576">
        <v>1</v>
      </c>
      <c r="BQ576">
        <v>30</v>
      </c>
      <c r="BR576">
        <v>0</v>
      </c>
      <c r="BS576">
        <v>24.53</v>
      </c>
      <c r="BT576">
        <v>1</v>
      </c>
      <c r="BU576">
        <v>1</v>
      </c>
      <c r="BV576">
        <v>1</v>
      </c>
      <c r="BW576">
        <v>1</v>
      </c>
      <c r="BX576">
        <v>1</v>
      </c>
      <c r="BY576" t="s">
        <v>3</v>
      </c>
      <c r="BZ576">
        <v>102</v>
      </c>
      <c r="CA576">
        <v>47</v>
      </c>
      <c r="CE576">
        <v>30</v>
      </c>
      <c r="CF576">
        <v>0</v>
      </c>
      <c r="CG576">
        <v>0</v>
      </c>
      <c r="CM576">
        <v>0</v>
      </c>
      <c r="CN576" t="s">
        <v>3</v>
      </c>
      <c r="CO576">
        <v>0</v>
      </c>
      <c r="CP576">
        <f t="shared" si="468"/>
        <v>55562.1</v>
      </c>
      <c r="CQ576">
        <f t="shared" si="469"/>
        <v>3009.14</v>
      </c>
      <c r="CR576">
        <f t="shared" si="491"/>
        <v>0</v>
      </c>
      <c r="CS576">
        <f t="shared" si="470"/>
        <v>0</v>
      </c>
      <c r="CT576">
        <f t="shared" si="471"/>
        <v>36396.629999999997</v>
      </c>
      <c r="CU576">
        <f t="shared" si="472"/>
        <v>0</v>
      </c>
      <c r="CV576">
        <f t="shared" si="473"/>
        <v>135.01</v>
      </c>
      <c r="CW576">
        <f t="shared" si="474"/>
        <v>0</v>
      </c>
      <c r="CX576">
        <f t="shared" si="475"/>
        <v>0</v>
      </c>
      <c r="CY576">
        <f t="shared" si="476"/>
        <v>52345.5942</v>
      </c>
      <c r="CZ576">
        <f t="shared" si="477"/>
        <v>24120.028699999999</v>
      </c>
      <c r="DC576" t="s">
        <v>3</v>
      </c>
      <c r="DD576" t="s">
        <v>3</v>
      </c>
      <c r="DE576" t="s">
        <v>3</v>
      </c>
      <c r="DF576" t="s">
        <v>3</v>
      </c>
      <c r="DG576" t="s">
        <v>3</v>
      </c>
      <c r="DH576" t="s">
        <v>3</v>
      </c>
      <c r="DI576" t="s">
        <v>3</v>
      </c>
      <c r="DJ576" t="s">
        <v>3</v>
      </c>
      <c r="DK576" t="s">
        <v>3</v>
      </c>
      <c r="DL576" t="s">
        <v>3</v>
      </c>
      <c r="DM576" t="s">
        <v>3</v>
      </c>
      <c r="DN576">
        <v>187</v>
      </c>
      <c r="DO576">
        <v>101</v>
      </c>
      <c r="DP576">
        <v>1</v>
      </c>
      <c r="DQ576">
        <v>1</v>
      </c>
      <c r="DU576">
        <v>1013</v>
      </c>
      <c r="DV576" t="s">
        <v>360</v>
      </c>
      <c r="DW576" t="s">
        <v>360</v>
      </c>
      <c r="DX576">
        <v>1</v>
      </c>
      <c r="EE576">
        <v>33797934</v>
      </c>
      <c r="EF576">
        <v>30</v>
      </c>
      <c r="EG576" t="s">
        <v>77</v>
      </c>
      <c r="EH576">
        <v>0</v>
      </c>
      <c r="EI576" t="s">
        <v>3</v>
      </c>
      <c r="EJ576">
        <v>1</v>
      </c>
      <c r="EK576">
        <v>295</v>
      </c>
      <c r="EL576" t="s">
        <v>266</v>
      </c>
      <c r="EM576" t="s">
        <v>267</v>
      </c>
      <c r="EO576" t="s">
        <v>3</v>
      </c>
      <c r="EQ576">
        <v>131072</v>
      </c>
      <c r="ER576">
        <v>2532.2399999999998</v>
      </c>
      <c r="ES576">
        <v>1048.48</v>
      </c>
      <c r="ET576">
        <v>0</v>
      </c>
      <c r="EU576">
        <v>0</v>
      </c>
      <c r="EV576">
        <v>1483.76</v>
      </c>
      <c r="EW576">
        <v>135.01</v>
      </c>
      <c r="EX576">
        <v>0</v>
      </c>
      <c r="EY576">
        <v>0</v>
      </c>
      <c r="FQ576">
        <v>0</v>
      </c>
      <c r="FR576">
        <f t="shared" si="478"/>
        <v>0</v>
      </c>
      <c r="FS576">
        <v>0</v>
      </c>
      <c r="FX576">
        <v>187</v>
      </c>
      <c r="FY576">
        <v>101</v>
      </c>
      <c r="GA576" t="s">
        <v>3</v>
      </c>
      <c r="GD576">
        <v>0</v>
      </c>
      <c r="GF576">
        <v>-1051744672</v>
      </c>
      <c r="GG576">
        <v>2</v>
      </c>
      <c r="GH576">
        <v>1</v>
      </c>
      <c r="GI576">
        <v>2</v>
      </c>
      <c r="GJ576">
        <v>0</v>
      </c>
      <c r="GK576">
        <f>ROUND(R576*(R12)/100,2)</f>
        <v>0</v>
      </c>
      <c r="GL576">
        <f t="shared" si="479"/>
        <v>0</v>
      </c>
      <c r="GM576">
        <f t="shared" si="480"/>
        <v>132027.72</v>
      </c>
      <c r="GN576">
        <f t="shared" si="481"/>
        <v>132027.72</v>
      </c>
      <c r="GO576">
        <f t="shared" si="482"/>
        <v>0</v>
      </c>
      <c r="GP576">
        <f t="shared" si="483"/>
        <v>0</v>
      </c>
      <c r="GR576">
        <v>0</v>
      </c>
      <c r="GS576">
        <v>3</v>
      </c>
      <c r="GT576">
        <v>0</v>
      </c>
      <c r="GU576" t="s">
        <v>3</v>
      </c>
      <c r="GV576">
        <f t="shared" si="484"/>
        <v>0</v>
      </c>
      <c r="GW576">
        <v>1</v>
      </c>
      <c r="GX576">
        <f t="shared" si="485"/>
        <v>0</v>
      </c>
      <c r="HA576">
        <v>0</v>
      </c>
      <c r="HB576">
        <v>0</v>
      </c>
      <c r="HC576">
        <f t="shared" si="486"/>
        <v>0</v>
      </c>
      <c r="IK576">
        <v>0</v>
      </c>
    </row>
    <row r="577" spans="1:245" x14ac:dyDescent="0.2">
      <c r="A577">
        <v>18</v>
      </c>
      <c r="B577">
        <v>1</v>
      </c>
      <c r="C577">
        <v>208</v>
      </c>
      <c r="E577" t="s">
        <v>373</v>
      </c>
      <c r="F577" t="s">
        <v>374</v>
      </c>
      <c r="G577" t="s">
        <v>375</v>
      </c>
      <c r="H577" t="s">
        <v>328</v>
      </c>
      <c r="I577">
        <f>I576*J577</f>
        <v>2256</v>
      </c>
      <c r="J577">
        <v>1600</v>
      </c>
      <c r="O577">
        <f t="shared" si="454"/>
        <v>126891.88</v>
      </c>
      <c r="P577">
        <f t="shared" si="455"/>
        <v>126891.88</v>
      </c>
      <c r="Q577">
        <f t="shared" si="487"/>
        <v>0</v>
      </c>
      <c r="R577">
        <f t="shared" si="456"/>
        <v>0</v>
      </c>
      <c r="S577">
        <f t="shared" si="457"/>
        <v>0</v>
      </c>
      <c r="T577">
        <f t="shared" si="458"/>
        <v>0</v>
      </c>
      <c r="U577">
        <f t="shared" si="459"/>
        <v>0</v>
      </c>
      <c r="V577">
        <f t="shared" si="460"/>
        <v>0</v>
      </c>
      <c r="W577">
        <f t="shared" si="461"/>
        <v>0</v>
      </c>
      <c r="X577">
        <f t="shared" si="462"/>
        <v>0</v>
      </c>
      <c r="Y577">
        <f t="shared" si="463"/>
        <v>0</v>
      </c>
      <c r="AA577">
        <v>33989672</v>
      </c>
      <c r="AB577">
        <f t="shared" si="464"/>
        <v>45.36</v>
      </c>
      <c r="AC577">
        <f t="shared" si="465"/>
        <v>45.36</v>
      </c>
      <c r="AD577">
        <f t="shared" si="488"/>
        <v>0</v>
      </c>
      <c r="AE577">
        <f t="shared" si="489"/>
        <v>0</v>
      </c>
      <c r="AF577">
        <f t="shared" si="489"/>
        <v>0</v>
      </c>
      <c r="AG577">
        <f t="shared" si="466"/>
        <v>0</v>
      </c>
      <c r="AH577">
        <f t="shared" si="490"/>
        <v>0</v>
      </c>
      <c r="AI577">
        <f t="shared" si="490"/>
        <v>0</v>
      </c>
      <c r="AJ577">
        <f t="shared" si="467"/>
        <v>0</v>
      </c>
      <c r="AK577">
        <v>45.36</v>
      </c>
      <c r="AL577">
        <v>45.36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1</v>
      </c>
      <c r="AW577">
        <v>1</v>
      </c>
      <c r="AZ577">
        <v>1</v>
      </c>
      <c r="BA577">
        <v>1</v>
      </c>
      <c r="BB577">
        <v>1</v>
      </c>
      <c r="BC577">
        <v>1.24</v>
      </c>
      <c r="BD577" t="s">
        <v>3</v>
      </c>
      <c r="BE577" t="s">
        <v>3</v>
      </c>
      <c r="BF577" t="s">
        <v>3</v>
      </c>
      <c r="BG577" t="s">
        <v>3</v>
      </c>
      <c r="BH577">
        <v>3</v>
      </c>
      <c r="BI577">
        <v>1</v>
      </c>
      <c r="BJ577" t="s">
        <v>376</v>
      </c>
      <c r="BM577">
        <v>295</v>
      </c>
      <c r="BN577">
        <v>0</v>
      </c>
      <c r="BO577" t="s">
        <v>374</v>
      </c>
      <c r="BP577">
        <v>1</v>
      </c>
      <c r="BQ577">
        <v>30</v>
      </c>
      <c r="BR577">
        <v>0</v>
      </c>
      <c r="BS577">
        <v>1</v>
      </c>
      <c r="BT577">
        <v>1</v>
      </c>
      <c r="BU577">
        <v>1</v>
      </c>
      <c r="BV577">
        <v>1</v>
      </c>
      <c r="BW577">
        <v>1</v>
      </c>
      <c r="BX577">
        <v>1</v>
      </c>
      <c r="BY577" t="s">
        <v>3</v>
      </c>
      <c r="BZ577">
        <v>0</v>
      </c>
      <c r="CA577">
        <v>0</v>
      </c>
      <c r="CE577">
        <v>30</v>
      </c>
      <c r="CF577">
        <v>0</v>
      </c>
      <c r="CG577">
        <v>0</v>
      </c>
      <c r="CM577">
        <v>0</v>
      </c>
      <c r="CN577" t="s">
        <v>3</v>
      </c>
      <c r="CO577">
        <v>0</v>
      </c>
      <c r="CP577">
        <f t="shared" si="468"/>
        <v>126891.88</v>
      </c>
      <c r="CQ577">
        <f t="shared" si="469"/>
        <v>56.25</v>
      </c>
      <c r="CR577">
        <f t="shared" si="491"/>
        <v>0</v>
      </c>
      <c r="CS577">
        <f t="shared" si="470"/>
        <v>0</v>
      </c>
      <c r="CT577">
        <f t="shared" si="471"/>
        <v>0</v>
      </c>
      <c r="CU577">
        <f t="shared" si="472"/>
        <v>0</v>
      </c>
      <c r="CV577">
        <f t="shared" si="473"/>
        <v>0</v>
      </c>
      <c r="CW577">
        <f t="shared" si="474"/>
        <v>0</v>
      </c>
      <c r="CX577">
        <f t="shared" si="475"/>
        <v>0</v>
      </c>
      <c r="CY577">
        <f t="shared" si="476"/>
        <v>0</v>
      </c>
      <c r="CZ577">
        <f t="shared" si="477"/>
        <v>0</v>
      </c>
      <c r="DC577" t="s">
        <v>3</v>
      </c>
      <c r="DD577" t="s">
        <v>3</v>
      </c>
      <c r="DE577" t="s">
        <v>3</v>
      </c>
      <c r="DF577" t="s">
        <v>3</v>
      </c>
      <c r="DG577" t="s">
        <v>3</v>
      </c>
      <c r="DH577" t="s">
        <v>3</v>
      </c>
      <c r="DI577" t="s">
        <v>3</v>
      </c>
      <c r="DJ577" t="s">
        <v>3</v>
      </c>
      <c r="DK577" t="s">
        <v>3</v>
      </c>
      <c r="DL577" t="s">
        <v>3</v>
      </c>
      <c r="DM577" t="s">
        <v>3</v>
      </c>
      <c r="DN577">
        <v>187</v>
      </c>
      <c r="DO577">
        <v>101</v>
      </c>
      <c r="DP577">
        <v>1</v>
      </c>
      <c r="DQ577">
        <v>1</v>
      </c>
      <c r="DU577">
        <v>1010</v>
      </c>
      <c r="DV577" t="s">
        <v>328</v>
      </c>
      <c r="DW577" t="s">
        <v>328</v>
      </c>
      <c r="DX577">
        <v>1</v>
      </c>
      <c r="EE577">
        <v>33797934</v>
      </c>
      <c r="EF577">
        <v>30</v>
      </c>
      <c r="EG577" t="s">
        <v>77</v>
      </c>
      <c r="EH577">
        <v>0</v>
      </c>
      <c r="EI577" t="s">
        <v>3</v>
      </c>
      <c r="EJ577">
        <v>1</v>
      </c>
      <c r="EK577">
        <v>295</v>
      </c>
      <c r="EL577" t="s">
        <v>266</v>
      </c>
      <c r="EM577" t="s">
        <v>267</v>
      </c>
      <c r="EO577" t="s">
        <v>3</v>
      </c>
      <c r="EQ577">
        <v>0</v>
      </c>
      <c r="ER577">
        <v>45.36</v>
      </c>
      <c r="ES577">
        <v>45.36</v>
      </c>
      <c r="ET577">
        <v>0</v>
      </c>
      <c r="EU577">
        <v>0</v>
      </c>
      <c r="EV577">
        <v>0</v>
      </c>
      <c r="EW577">
        <v>0</v>
      </c>
      <c r="EX577">
        <v>0</v>
      </c>
      <c r="FQ577">
        <v>0</v>
      </c>
      <c r="FR577">
        <f t="shared" si="478"/>
        <v>0</v>
      </c>
      <c r="FS577">
        <v>0</v>
      </c>
      <c r="FX577">
        <v>187</v>
      </c>
      <c r="FY577">
        <v>101</v>
      </c>
      <c r="GA577" t="s">
        <v>3</v>
      </c>
      <c r="GD577">
        <v>0</v>
      </c>
      <c r="GF577">
        <v>-1755298893</v>
      </c>
      <c r="GG577">
        <v>2</v>
      </c>
      <c r="GH577">
        <v>1</v>
      </c>
      <c r="GI577">
        <v>2</v>
      </c>
      <c r="GJ577">
        <v>0</v>
      </c>
      <c r="GK577">
        <f>ROUND(R577*(R12)/100,2)</f>
        <v>0</v>
      </c>
      <c r="GL577">
        <f t="shared" si="479"/>
        <v>0</v>
      </c>
      <c r="GM577">
        <f t="shared" si="480"/>
        <v>126891.88</v>
      </c>
      <c r="GN577">
        <f t="shared" si="481"/>
        <v>126891.88</v>
      </c>
      <c r="GO577">
        <f t="shared" si="482"/>
        <v>0</v>
      </c>
      <c r="GP577">
        <f t="shared" si="483"/>
        <v>0</v>
      </c>
      <c r="GR577">
        <v>0</v>
      </c>
      <c r="GS577">
        <v>3</v>
      </c>
      <c r="GT577">
        <v>0</v>
      </c>
      <c r="GU577" t="s">
        <v>3</v>
      </c>
      <c r="GV577">
        <f t="shared" si="484"/>
        <v>0</v>
      </c>
      <c r="GW577">
        <v>1</v>
      </c>
      <c r="GX577">
        <f t="shared" si="485"/>
        <v>0</v>
      </c>
      <c r="HA577">
        <v>0</v>
      </c>
      <c r="HB577">
        <v>0</v>
      </c>
      <c r="HC577">
        <f t="shared" si="486"/>
        <v>0</v>
      </c>
      <c r="IK577">
        <v>0</v>
      </c>
    </row>
    <row r="578" spans="1:245" x14ac:dyDescent="0.2">
      <c r="A578">
        <v>17</v>
      </c>
      <c r="B578">
        <v>1</v>
      </c>
      <c r="C578">
        <f>ROW(SmtRes!A216)</f>
        <v>216</v>
      </c>
      <c r="D578">
        <f>ROW(EtalonRes!A217)</f>
        <v>217</v>
      </c>
      <c r="E578" t="s">
        <v>377</v>
      </c>
      <c r="F578" t="s">
        <v>370</v>
      </c>
      <c r="G578" t="s">
        <v>371</v>
      </c>
      <c r="H578" t="s">
        <v>360</v>
      </c>
      <c r="I578">
        <f>ROUND(141/100,5)</f>
        <v>1.41</v>
      </c>
      <c r="J578">
        <v>0</v>
      </c>
      <c r="O578">
        <f t="shared" si="454"/>
        <v>55562.1</v>
      </c>
      <c r="P578">
        <f t="shared" si="455"/>
        <v>4242.8900000000003</v>
      </c>
      <c r="Q578">
        <f t="shared" si="487"/>
        <v>0</v>
      </c>
      <c r="R578">
        <f t="shared" si="456"/>
        <v>0</v>
      </c>
      <c r="S578">
        <f t="shared" si="457"/>
        <v>51319.21</v>
      </c>
      <c r="T578">
        <f t="shared" si="458"/>
        <v>0</v>
      </c>
      <c r="U578">
        <f t="shared" si="459"/>
        <v>190.36409999999998</v>
      </c>
      <c r="V578">
        <f t="shared" si="460"/>
        <v>0</v>
      </c>
      <c r="W578">
        <f t="shared" si="461"/>
        <v>0</v>
      </c>
      <c r="X578">
        <f t="shared" si="462"/>
        <v>52345.59</v>
      </c>
      <c r="Y578">
        <f t="shared" si="463"/>
        <v>24120.03</v>
      </c>
      <c r="AA578">
        <v>33989672</v>
      </c>
      <c r="AB578">
        <f t="shared" si="464"/>
        <v>2532.2399999999998</v>
      </c>
      <c r="AC578">
        <f t="shared" si="465"/>
        <v>1048.48</v>
      </c>
      <c r="AD578">
        <f t="shared" si="488"/>
        <v>0</v>
      </c>
      <c r="AE578">
        <f t="shared" si="489"/>
        <v>0</v>
      </c>
      <c r="AF578">
        <f t="shared" si="489"/>
        <v>1483.76</v>
      </c>
      <c r="AG578">
        <f t="shared" si="466"/>
        <v>0</v>
      </c>
      <c r="AH578">
        <f t="shared" si="490"/>
        <v>135.01</v>
      </c>
      <c r="AI578">
        <f t="shared" si="490"/>
        <v>0</v>
      </c>
      <c r="AJ578">
        <f t="shared" si="467"/>
        <v>0</v>
      </c>
      <c r="AK578">
        <v>2532.2399999999998</v>
      </c>
      <c r="AL578">
        <v>1048.48</v>
      </c>
      <c r="AM578">
        <v>0</v>
      </c>
      <c r="AN578">
        <v>0</v>
      </c>
      <c r="AO578">
        <v>1483.76</v>
      </c>
      <c r="AP578">
        <v>0</v>
      </c>
      <c r="AQ578">
        <v>135.01</v>
      </c>
      <c r="AR578">
        <v>0</v>
      </c>
      <c r="AS578">
        <v>0</v>
      </c>
      <c r="AT578">
        <v>102</v>
      </c>
      <c r="AU578">
        <v>47</v>
      </c>
      <c r="AV578">
        <v>1</v>
      </c>
      <c r="AW578">
        <v>1</v>
      </c>
      <c r="AZ578">
        <v>1</v>
      </c>
      <c r="BA578">
        <v>24.53</v>
      </c>
      <c r="BB578">
        <v>1</v>
      </c>
      <c r="BC578">
        <v>2.87</v>
      </c>
      <c r="BD578" t="s">
        <v>3</v>
      </c>
      <c r="BE578" t="s">
        <v>3</v>
      </c>
      <c r="BF578" t="s">
        <v>3</v>
      </c>
      <c r="BG578" t="s">
        <v>3</v>
      </c>
      <c r="BH578">
        <v>0</v>
      </c>
      <c r="BI578">
        <v>1</v>
      </c>
      <c r="BJ578" t="s">
        <v>372</v>
      </c>
      <c r="BM578">
        <v>295</v>
      </c>
      <c r="BN578">
        <v>0</v>
      </c>
      <c r="BO578" t="s">
        <v>370</v>
      </c>
      <c r="BP578">
        <v>1</v>
      </c>
      <c r="BQ578">
        <v>30</v>
      </c>
      <c r="BR578">
        <v>0</v>
      </c>
      <c r="BS578">
        <v>24.53</v>
      </c>
      <c r="BT578">
        <v>1</v>
      </c>
      <c r="BU578">
        <v>1</v>
      </c>
      <c r="BV578">
        <v>1</v>
      </c>
      <c r="BW578">
        <v>1</v>
      </c>
      <c r="BX578">
        <v>1</v>
      </c>
      <c r="BY578" t="s">
        <v>3</v>
      </c>
      <c r="BZ578">
        <v>102</v>
      </c>
      <c r="CA578">
        <v>47</v>
      </c>
      <c r="CE578">
        <v>30</v>
      </c>
      <c r="CF578">
        <v>0</v>
      </c>
      <c r="CG578">
        <v>0</v>
      </c>
      <c r="CM578">
        <v>0</v>
      </c>
      <c r="CN578" t="s">
        <v>3</v>
      </c>
      <c r="CO578">
        <v>0</v>
      </c>
      <c r="CP578">
        <f t="shared" si="468"/>
        <v>55562.1</v>
      </c>
      <c r="CQ578">
        <f t="shared" si="469"/>
        <v>3009.14</v>
      </c>
      <c r="CR578">
        <f t="shared" si="491"/>
        <v>0</v>
      </c>
      <c r="CS578">
        <f t="shared" si="470"/>
        <v>0</v>
      </c>
      <c r="CT578">
        <f t="shared" si="471"/>
        <v>36396.629999999997</v>
      </c>
      <c r="CU578">
        <f t="shared" si="472"/>
        <v>0</v>
      </c>
      <c r="CV578">
        <f t="shared" si="473"/>
        <v>135.01</v>
      </c>
      <c r="CW578">
        <f t="shared" si="474"/>
        <v>0</v>
      </c>
      <c r="CX578">
        <f t="shared" si="475"/>
        <v>0</v>
      </c>
      <c r="CY578">
        <f t="shared" si="476"/>
        <v>52345.5942</v>
      </c>
      <c r="CZ578">
        <f t="shared" si="477"/>
        <v>24120.028699999999</v>
      </c>
      <c r="DC578" t="s">
        <v>3</v>
      </c>
      <c r="DD578" t="s">
        <v>3</v>
      </c>
      <c r="DE578" t="s">
        <v>3</v>
      </c>
      <c r="DF578" t="s">
        <v>3</v>
      </c>
      <c r="DG578" t="s">
        <v>3</v>
      </c>
      <c r="DH578" t="s">
        <v>3</v>
      </c>
      <c r="DI578" t="s">
        <v>3</v>
      </c>
      <c r="DJ578" t="s">
        <v>3</v>
      </c>
      <c r="DK578" t="s">
        <v>3</v>
      </c>
      <c r="DL578" t="s">
        <v>3</v>
      </c>
      <c r="DM578" t="s">
        <v>3</v>
      </c>
      <c r="DN578">
        <v>187</v>
      </c>
      <c r="DO578">
        <v>101</v>
      </c>
      <c r="DP578">
        <v>1</v>
      </c>
      <c r="DQ578">
        <v>1</v>
      </c>
      <c r="DU578">
        <v>1013</v>
      </c>
      <c r="DV578" t="s">
        <v>360</v>
      </c>
      <c r="DW578" t="s">
        <v>360</v>
      </c>
      <c r="DX578">
        <v>1</v>
      </c>
      <c r="EE578">
        <v>33797934</v>
      </c>
      <c r="EF578">
        <v>30</v>
      </c>
      <c r="EG578" t="s">
        <v>77</v>
      </c>
      <c r="EH578">
        <v>0</v>
      </c>
      <c r="EI578" t="s">
        <v>3</v>
      </c>
      <c r="EJ578">
        <v>1</v>
      </c>
      <c r="EK578">
        <v>295</v>
      </c>
      <c r="EL578" t="s">
        <v>266</v>
      </c>
      <c r="EM578" t="s">
        <v>267</v>
      </c>
      <c r="EO578" t="s">
        <v>3</v>
      </c>
      <c r="EQ578">
        <v>131072</v>
      </c>
      <c r="ER578">
        <v>2532.2399999999998</v>
      </c>
      <c r="ES578">
        <v>1048.48</v>
      </c>
      <c r="ET578">
        <v>0</v>
      </c>
      <c r="EU578">
        <v>0</v>
      </c>
      <c r="EV578">
        <v>1483.76</v>
      </c>
      <c r="EW578">
        <v>135.01</v>
      </c>
      <c r="EX578">
        <v>0</v>
      </c>
      <c r="EY578">
        <v>0</v>
      </c>
      <c r="FQ578">
        <v>0</v>
      </c>
      <c r="FR578">
        <f t="shared" si="478"/>
        <v>0</v>
      </c>
      <c r="FS578">
        <v>0</v>
      </c>
      <c r="FX578">
        <v>187</v>
      </c>
      <c r="FY578">
        <v>101</v>
      </c>
      <c r="GA578" t="s">
        <v>3</v>
      </c>
      <c r="GD578">
        <v>0</v>
      </c>
      <c r="GF578">
        <v>-1051744672</v>
      </c>
      <c r="GG578">
        <v>2</v>
      </c>
      <c r="GH578">
        <v>1</v>
      </c>
      <c r="GI578">
        <v>2</v>
      </c>
      <c r="GJ578">
        <v>0</v>
      </c>
      <c r="GK578">
        <f>ROUND(R578*(R12)/100,2)</f>
        <v>0</v>
      </c>
      <c r="GL578">
        <f t="shared" si="479"/>
        <v>0</v>
      </c>
      <c r="GM578">
        <f t="shared" si="480"/>
        <v>132027.72</v>
      </c>
      <c r="GN578">
        <f t="shared" si="481"/>
        <v>132027.72</v>
      </c>
      <c r="GO578">
        <f t="shared" si="482"/>
        <v>0</v>
      </c>
      <c r="GP578">
        <f t="shared" si="483"/>
        <v>0</v>
      </c>
      <c r="GR578">
        <v>0</v>
      </c>
      <c r="GS578">
        <v>3</v>
      </c>
      <c r="GT578">
        <v>0</v>
      </c>
      <c r="GU578" t="s">
        <v>3</v>
      </c>
      <c r="GV578">
        <f t="shared" si="484"/>
        <v>0</v>
      </c>
      <c r="GW578">
        <v>1</v>
      </c>
      <c r="GX578">
        <f t="shared" si="485"/>
        <v>0</v>
      </c>
      <c r="HA578">
        <v>0</v>
      </c>
      <c r="HB578">
        <v>0</v>
      </c>
      <c r="HC578">
        <f t="shared" si="486"/>
        <v>0</v>
      </c>
      <c r="IK578">
        <v>0</v>
      </c>
    </row>
    <row r="579" spans="1:245" x14ac:dyDescent="0.2">
      <c r="A579">
        <v>18</v>
      </c>
      <c r="B579">
        <v>1</v>
      </c>
      <c r="C579">
        <v>214</v>
      </c>
      <c r="E579" t="s">
        <v>378</v>
      </c>
      <c r="F579" t="s">
        <v>379</v>
      </c>
      <c r="G579" t="s">
        <v>380</v>
      </c>
      <c r="H579" t="s">
        <v>328</v>
      </c>
      <c r="I579">
        <f>I578*J579</f>
        <v>2256</v>
      </c>
      <c r="J579">
        <v>1600</v>
      </c>
      <c r="O579">
        <f t="shared" si="454"/>
        <v>98603.44</v>
      </c>
      <c r="P579">
        <f t="shared" si="455"/>
        <v>98603.44</v>
      </c>
      <c r="Q579">
        <f t="shared" si="487"/>
        <v>0</v>
      </c>
      <c r="R579">
        <f t="shared" si="456"/>
        <v>0</v>
      </c>
      <c r="S579">
        <f t="shared" si="457"/>
        <v>0</v>
      </c>
      <c r="T579">
        <f t="shared" si="458"/>
        <v>0</v>
      </c>
      <c r="U579">
        <f t="shared" si="459"/>
        <v>0</v>
      </c>
      <c r="V579">
        <f t="shared" si="460"/>
        <v>0</v>
      </c>
      <c r="W579">
        <f t="shared" si="461"/>
        <v>0</v>
      </c>
      <c r="X579">
        <f t="shared" si="462"/>
        <v>0</v>
      </c>
      <c r="Y579">
        <f t="shared" si="463"/>
        <v>0</v>
      </c>
      <c r="AA579">
        <v>33989672</v>
      </c>
      <c r="AB579">
        <f t="shared" si="464"/>
        <v>37.04</v>
      </c>
      <c r="AC579">
        <f t="shared" si="465"/>
        <v>37.04</v>
      </c>
      <c r="AD579">
        <f t="shared" si="488"/>
        <v>0</v>
      </c>
      <c r="AE579">
        <f t="shared" si="489"/>
        <v>0</v>
      </c>
      <c r="AF579">
        <f t="shared" si="489"/>
        <v>0</v>
      </c>
      <c r="AG579">
        <f t="shared" si="466"/>
        <v>0</v>
      </c>
      <c r="AH579">
        <f t="shared" si="490"/>
        <v>0</v>
      </c>
      <c r="AI579">
        <f t="shared" si="490"/>
        <v>0</v>
      </c>
      <c r="AJ579">
        <f t="shared" si="467"/>
        <v>0</v>
      </c>
      <c r="AK579">
        <v>37.04</v>
      </c>
      <c r="AL579">
        <v>37.04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1</v>
      </c>
      <c r="AW579">
        <v>1</v>
      </c>
      <c r="AZ579">
        <v>1</v>
      </c>
      <c r="BA579">
        <v>1</v>
      </c>
      <c r="BB579">
        <v>1</v>
      </c>
      <c r="BC579">
        <v>1.18</v>
      </c>
      <c r="BD579" t="s">
        <v>3</v>
      </c>
      <c r="BE579" t="s">
        <v>3</v>
      </c>
      <c r="BF579" t="s">
        <v>3</v>
      </c>
      <c r="BG579" t="s">
        <v>3</v>
      </c>
      <c r="BH579">
        <v>3</v>
      </c>
      <c r="BI579">
        <v>1</v>
      </c>
      <c r="BJ579" t="s">
        <v>381</v>
      </c>
      <c r="BM579">
        <v>295</v>
      </c>
      <c r="BN579">
        <v>0</v>
      </c>
      <c r="BO579" t="s">
        <v>379</v>
      </c>
      <c r="BP579">
        <v>1</v>
      </c>
      <c r="BQ579">
        <v>30</v>
      </c>
      <c r="BR579">
        <v>0</v>
      </c>
      <c r="BS579">
        <v>1</v>
      </c>
      <c r="BT579">
        <v>1</v>
      </c>
      <c r="BU579">
        <v>1</v>
      </c>
      <c r="BV579">
        <v>1</v>
      </c>
      <c r="BW579">
        <v>1</v>
      </c>
      <c r="BX579">
        <v>1</v>
      </c>
      <c r="BY579" t="s">
        <v>3</v>
      </c>
      <c r="BZ579">
        <v>0</v>
      </c>
      <c r="CA579">
        <v>0</v>
      </c>
      <c r="CE579">
        <v>30</v>
      </c>
      <c r="CF579">
        <v>0</v>
      </c>
      <c r="CG579">
        <v>0</v>
      </c>
      <c r="CM579">
        <v>0</v>
      </c>
      <c r="CN579" t="s">
        <v>3</v>
      </c>
      <c r="CO579">
        <v>0</v>
      </c>
      <c r="CP579">
        <f t="shared" si="468"/>
        <v>98603.44</v>
      </c>
      <c r="CQ579">
        <f t="shared" si="469"/>
        <v>43.71</v>
      </c>
      <c r="CR579">
        <f t="shared" si="491"/>
        <v>0</v>
      </c>
      <c r="CS579">
        <f t="shared" si="470"/>
        <v>0</v>
      </c>
      <c r="CT579">
        <f t="shared" si="471"/>
        <v>0</v>
      </c>
      <c r="CU579">
        <f t="shared" si="472"/>
        <v>0</v>
      </c>
      <c r="CV579">
        <f t="shared" si="473"/>
        <v>0</v>
      </c>
      <c r="CW579">
        <f t="shared" si="474"/>
        <v>0</v>
      </c>
      <c r="CX579">
        <f t="shared" si="475"/>
        <v>0</v>
      </c>
      <c r="CY579">
        <f t="shared" si="476"/>
        <v>0</v>
      </c>
      <c r="CZ579">
        <f t="shared" si="477"/>
        <v>0</v>
      </c>
      <c r="DC579" t="s">
        <v>3</v>
      </c>
      <c r="DD579" t="s">
        <v>3</v>
      </c>
      <c r="DE579" t="s">
        <v>3</v>
      </c>
      <c r="DF579" t="s">
        <v>3</v>
      </c>
      <c r="DG579" t="s">
        <v>3</v>
      </c>
      <c r="DH579" t="s">
        <v>3</v>
      </c>
      <c r="DI579" t="s">
        <v>3</v>
      </c>
      <c r="DJ579" t="s">
        <v>3</v>
      </c>
      <c r="DK579" t="s">
        <v>3</v>
      </c>
      <c r="DL579" t="s">
        <v>3</v>
      </c>
      <c r="DM579" t="s">
        <v>3</v>
      </c>
      <c r="DN579">
        <v>187</v>
      </c>
      <c r="DO579">
        <v>101</v>
      </c>
      <c r="DP579">
        <v>1</v>
      </c>
      <c r="DQ579">
        <v>1</v>
      </c>
      <c r="DU579">
        <v>1010</v>
      </c>
      <c r="DV579" t="s">
        <v>328</v>
      </c>
      <c r="DW579" t="s">
        <v>328</v>
      </c>
      <c r="DX579">
        <v>1</v>
      </c>
      <c r="EE579">
        <v>33797934</v>
      </c>
      <c r="EF579">
        <v>30</v>
      </c>
      <c r="EG579" t="s">
        <v>77</v>
      </c>
      <c r="EH579">
        <v>0</v>
      </c>
      <c r="EI579" t="s">
        <v>3</v>
      </c>
      <c r="EJ579">
        <v>1</v>
      </c>
      <c r="EK579">
        <v>295</v>
      </c>
      <c r="EL579" t="s">
        <v>266</v>
      </c>
      <c r="EM579" t="s">
        <v>267</v>
      </c>
      <c r="EO579" t="s">
        <v>3</v>
      </c>
      <c r="EQ579">
        <v>0</v>
      </c>
      <c r="ER579">
        <v>37.04</v>
      </c>
      <c r="ES579">
        <v>37.04</v>
      </c>
      <c r="ET579">
        <v>0</v>
      </c>
      <c r="EU579">
        <v>0</v>
      </c>
      <c r="EV579">
        <v>0</v>
      </c>
      <c r="EW579">
        <v>0</v>
      </c>
      <c r="EX579">
        <v>0</v>
      </c>
      <c r="FQ579">
        <v>0</v>
      </c>
      <c r="FR579">
        <f t="shared" si="478"/>
        <v>0</v>
      </c>
      <c r="FS579">
        <v>0</v>
      </c>
      <c r="FX579">
        <v>187</v>
      </c>
      <c r="FY579">
        <v>101</v>
      </c>
      <c r="GA579" t="s">
        <v>3</v>
      </c>
      <c r="GD579">
        <v>0</v>
      </c>
      <c r="GF579">
        <v>-85359034</v>
      </c>
      <c r="GG579">
        <v>2</v>
      </c>
      <c r="GH579">
        <v>1</v>
      </c>
      <c r="GI579">
        <v>2</v>
      </c>
      <c r="GJ579">
        <v>0</v>
      </c>
      <c r="GK579">
        <f>ROUND(R579*(R12)/100,2)</f>
        <v>0</v>
      </c>
      <c r="GL579">
        <f t="shared" si="479"/>
        <v>0</v>
      </c>
      <c r="GM579">
        <f t="shared" si="480"/>
        <v>98603.44</v>
      </c>
      <c r="GN579">
        <f t="shared" si="481"/>
        <v>98603.44</v>
      </c>
      <c r="GO579">
        <f t="shared" si="482"/>
        <v>0</v>
      </c>
      <c r="GP579">
        <f t="shared" si="483"/>
        <v>0</v>
      </c>
      <c r="GR579">
        <v>0</v>
      </c>
      <c r="GS579">
        <v>3</v>
      </c>
      <c r="GT579">
        <v>0</v>
      </c>
      <c r="GU579" t="s">
        <v>3</v>
      </c>
      <c r="GV579">
        <f t="shared" si="484"/>
        <v>0</v>
      </c>
      <c r="GW579">
        <v>1</v>
      </c>
      <c r="GX579">
        <f t="shared" si="485"/>
        <v>0</v>
      </c>
      <c r="HA579">
        <v>0</v>
      </c>
      <c r="HB579">
        <v>0</v>
      </c>
      <c r="HC579">
        <f t="shared" si="486"/>
        <v>0</v>
      </c>
      <c r="IK579">
        <v>0</v>
      </c>
    </row>
    <row r="580" spans="1:245" x14ac:dyDescent="0.2">
      <c r="A580">
        <v>17</v>
      </c>
      <c r="B580">
        <v>1</v>
      </c>
      <c r="C580">
        <f>ROW(SmtRes!A220)</f>
        <v>220</v>
      </c>
      <c r="D580">
        <f>ROW(EtalonRes!A221)</f>
        <v>221</v>
      </c>
      <c r="E580" t="s">
        <v>382</v>
      </c>
      <c r="F580" t="s">
        <v>383</v>
      </c>
      <c r="G580" t="s">
        <v>384</v>
      </c>
      <c r="H580" t="s">
        <v>360</v>
      </c>
      <c r="I580">
        <f>ROUND(141/100,5)</f>
        <v>1.41</v>
      </c>
      <c r="J580">
        <v>0</v>
      </c>
      <c r="O580">
        <f t="shared" si="454"/>
        <v>2393.4299999999998</v>
      </c>
      <c r="P580">
        <f t="shared" si="455"/>
        <v>73.38</v>
      </c>
      <c r="Q580">
        <f t="shared" si="487"/>
        <v>0</v>
      </c>
      <c r="R580">
        <f t="shared" si="456"/>
        <v>0</v>
      </c>
      <c r="S580">
        <f t="shared" si="457"/>
        <v>2320.0500000000002</v>
      </c>
      <c r="T580">
        <f t="shared" si="458"/>
        <v>0</v>
      </c>
      <c r="U580">
        <f t="shared" si="459"/>
        <v>9.7007999999999992</v>
      </c>
      <c r="V580">
        <f t="shared" si="460"/>
        <v>0</v>
      </c>
      <c r="W580">
        <f t="shared" si="461"/>
        <v>0</v>
      </c>
      <c r="X580">
        <f t="shared" si="462"/>
        <v>2366.4499999999998</v>
      </c>
      <c r="Y580">
        <f t="shared" si="463"/>
        <v>1090.42</v>
      </c>
      <c r="AA580">
        <v>33989672</v>
      </c>
      <c r="AB580">
        <f t="shared" si="464"/>
        <v>80.56</v>
      </c>
      <c r="AC580">
        <f t="shared" si="465"/>
        <v>13.48</v>
      </c>
      <c r="AD580">
        <f t="shared" si="488"/>
        <v>0</v>
      </c>
      <c r="AE580">
        <f t="shared" si="489"/>
        <v>0</v>
      </c>
      <c r="AF580">
        <f t="shared" si="489"/>
        <v>67.08</v>
      </c>
      <c r="AG580">
        <f t="shared" si="466"/>
        <v>0</v>
      </c>
      <c r="AH580">
        <f t="shared" si="490"/>
        <v>6.88</v>
      </c>
      <c r="AI580">
        <f t="shared" si="490"/>
        <v>0</v>
      </c>
      <c r="AJ580">
        <f t="shared" si="467"/>
        <v>0</v>
      </c>
      <c r="AK580">
        <v>80.56</v>
      </c>
      <c r="AL580">
        <v>13.48</v>
      </c>
      <c r="AM580">
        <v>0</v>
      </c>
      <c r="AN580">
        <v>0</v>
      </c>
      <c r="AO580">
        <v>67.08</v>
      </c>
      <c r="AP580">
        <v>0</v>
      </c>
      <c r="AQ580">
        <v>6.88</v>
      </c>
      <c r="AR580">
        <v>0</v>
      </c>
      <c r="AS580">
        <v>0</v>
      </c>
      <c r="AT580">
        <v>102</v>
      </c>
      <c r="AU580">
        <v>47</v>
      </c>
      <c r="AV580">
        <v>1</v>
      </c>
      <c r="AW580">
        <v>1</v>
      </c>
      <c r="AZ580">
        <v>1</v>
      </c>
      <c r="BA580">
        <v>24.53</v>
      </c>
      <c r="BB580">
        <v>1</v>
      </c>
      <c r="BC580">
        <v>3.86</v>
      </c>
      <c r="BD580" t="s">
        <v>3</v>
      </c>
      <c r="BE580" t="s">
        <v>3</v>
      </c>
      <c r="BF580" t="s">
        <v>3</v>
      </c>
      <c r="BG580" t="s">
        <v>3</v>
      </c>
      <c r="BH580">
        <v>0</v>
      </c>
      <c r="BI580">
        <v>1</v>
      </c>
      <c r="BJ580" t="s">
        <v>385</v>
      </c>
      <c r="BM580">
        <v>295</v>
      </c>
      <c r="BN580">
        <v>0</v>
      </c>
      <c r="BO580" t="s">
        <v>383</v>
      </c>
      <c r="BP580">
        <v>1</v>
      </c>
      <c r="BQ580">
        <v>30</v>
      </c>
      <c r="BR580">
        <v>0</v>
      </c>
      <c r="BS580">
        <v>24.53</v>
      </c>
      <c r="BT580">
        <v>1</v>
      </c>
      <c r="BU580">
        <v>1</v>
      </c>
      <c r="BV580">
        <v>1</v>
      </c>
      <c r="BW580">
        <v>1</v>
      </c>
      <c r="BX580">
        <v>1</v>
      </c>
      <c r="BY580" t="s">
        <v>3</v>
      </c>
      <c r="BZ580">
        <v>102</v>
      </c>
      <c r="CA580">
        <v>47</v>
      </c>
      <c r="CE580">
        <v>30</v>
      </c>
      <c r="CF580">
        <v>0</v>
      </c>
      <c r="CG580">
        <v>0</v>
      </c>
      <c r="CM580">
        <v>0</v>
      </c>
      <c r="CN580" t="s">
        <v>3</v>
      </c>
      <c r="CO580">
        <v>0</v>
      </c>
      <c r="CP580">
        <f t="shared" si="468"/>
        <v>2393.4300000000003</v>
      </c>
      <c r="CQ580">
        <f t="shared" si="469"/>
        <v>52.03</v>
      </c>
      <c r="CR580">
        <f t="shared" si="491"/>
        <v>0</v>
      </c>
      <c r="CS580">
        <f t="shared" si="470"/>
        <v>0</v>
      </c>
      <c r="CT580">
        <f t="shared" si="471"/>
        <v>1645.47</v>
      </c>
      <c r="CU580">
        <f t="shared" si="472"/>
        <v>0</v>
      </c>
      <c r="CV580">
        <f t="shared" si="473"/>
        <v>6.88</v>
      </c>
      <c r="CW580">
        <f t="shared" si="474"/>
        <v>0</v>
      </c>
      <c r="CX580">
        <f t="shared" si="475"/>
        <v>0</v>
      </c>
      <c r="CY580">
        <f t="shared" si="476"/>
        <v>2366.451</v>
      </c>
      <c r="CZ580">
        <f t="shared" si="477"/>
        <v>1090.4235000000001</v>
      </c>
      <c r="DC580" t="s">
        <v>3</v>
      </c>
      <c r="DD580" t="s">
        <v>3</v>
      </c>
      <c r="DE580" t="s">
        <v>3</v>
      </c>
      <c r="DF580" t="s">
        <v>3</v>
      </c>
      <c r="DG580" t="s">
        <v>3</v>
      </c>
      <c r="DH580" t="s">
        <v>3</v>
      </c>
      <c r="DI580" t="s">
        <v>3</v>
      </c>
      <c r="DJ580" t="s">
        <v>3</v>
      </c>
      <c r="DK580" t="s">
        <v>3</v>
      </c>
      <c r="DL580" t="s">
        <v>3</v>
      </c>
      <c r="DM580" t="s">
        <v>3</v>
      </c>
      <c r="DN580">
        <v>187</v>
      </c>
      <c r="DO580">
        <v>101</v>
      </c>
      <c r="DP580">
        <v>1</v>
      </c>
      <c r="DQ580">
        <v>1</v>
      </c>
      <c r="DU580">
        <v>1013</v>
      </c>
      <c r="DV580" t="s">
        <v>360</v>
      </c>
      <c r="DW580" t="s">
        <v>360</v>
      </c>
      <c r="DX580">
        <v>1</v>
      </c>
      <c r="EE580">
        <v>33797934</v>
      </c>
      <c r="EF580">
        <v>30</v>
      </c>
      <c r="EG580" t="s">
        <v>77</v>
      </c>
      <c r="EH580">
        <v>0</v>
      </c>
      <c r="EI580" t="s">
        <v>3</v>
      </c>
      <c r="EJ580">
        <v>1</v>
      </c>
      <c r="EK580">
        <v>295</v>
      </c>
      <c r="EL580" t="s">
        <v>266</v>
      </c>
      <c r="EM580" t="s">
        <v>267</v>
      </c>
      <c r="EO580" t="s">
        <v>3</v>
      </c>
      <c r="EQ580">
        <v>131072</v>
      </c>
      <c r="ER580">
        <v>80.56</v>
      </c>
      <c r="ES580">
        <v>13.48</v>
      </c>
      <c r="ET580">
        <v>0</v>
      </c>
      <c r="EU580">
        <v>0</v>
      </c>
      <c r="EV580">
        <v>67.08</v>
      </c>
      <c r="EW580">
        <v>6.88</v>
      </c>
      <c r="EX580">
        <v>0</v>
      </c>
      <c r="EY580">
        <v>0</v>
      </c>
      <c r="FQ580">
        <v>0</v>
      </c>
      <c r="FR580">
        <f t="shared" si="478"/>
        <v>0</v>
      </c>
      <c r="FS580">
        <v>0</v>
      </c>
      <c r="FX580">
        <v>187</v>
      </c>
      <c r="FY580">
        <v>101</v>
      </c>
      <c r="GA580" t="s">
        <v>3</v>
      </c>
      <c r="GD580">
        <v>0</v>
      </c>
      <c r="GF580">
        <v>-47913996</v>
      </c>
      <c r="GG580">
        <v>2</v>
      </c>
      <c r="GH580">
        <v>1</v>
      </c>
      <c r="GI580">
        <v>2</v>
      </c>
      <c r="GJ580">
        <v>0</v>
      </c>
      <c r="GK580">
        <f>ROUND(R580*(R12)/100,2)</f>
        <v>0</v>
      </c>
      <c r="GL580">
        <f t="shared" si="479"/>
        <v>0</v>
      </c>
      <c r="GM580">
        <f t="shared" si="480"/>
        <v>5850.3</v>
      </c>
      <c r="GN580">
        <f t="shared" si="481"/>
        <v>5850.3</v>
      </c>
      <c r="GO580">
        <f t="shared" si="482"/>
        <v>0</v>
      </c>
      <c r="GP580">
        <f t="shared" si="483"/>
        <v>0</v>
      </c>
      <c r="GR580">
        <v>0</v>
      </c>
      <c r="GS580">
        <v>3</v>
      </c>
      <c r="GT580">
        <v>0</v>
      </c>
      <c r="GU580" t="s">
        <v>3</v>
      </c>
      <c r="GV580">
        <f t="shared" si="484"/>
        <v>0</v>
      </c>
      <c r="GW580">
        <v>1</v>
      </c>
      <c r="GX580">
        <f t="shared" si="485"/>
        <v>0</v>
      </c>
      <c r="HA580">
        <v>0</v>
      </c>
      <c r="HB580">
        <v>0</v>
      </c>
      <c r="HC580">
        <f t="shared" si="486"/>
        <v>0</v>
      </c>
      <c r="IK580">
        <v>0</v>
      </c>
    </row>
    <row r="581" spans="1:245" x14ac:dyDescent="0.2">
      <c r="A581">
        <v>18</v>
      </c>
      <c r="B581">
        <v>1</v>
      </c>
      <c r="C581">
        <v>219</v>
      </c>
      <c r="E581" t="s">
        <v>386</v>
      </c>
      <c r="F581" t="s">
        <v>379</v>
      </c>
      <c r="G581" t="s">
        <v>380</v>
      </c>
      <c r="H581" t="s">
        <v>328</v>
      </c>
      <c r="I581">
        <f>I580*J581</f>
        <v>1720.1999999999998</v>
      </c>
      <c r="J581">
        <v>1220</v>
      </c>
      <c r="O581">
        <f t="shared" si="454"/>
        <v>75185.13</v>
      </c>
      <c r="P581">
        <f t="shared" si="455"/>
        <v>75185.13</v>
      </c>
      <c r="Q581">
        <f t="shared" si="487"/>
        <v>0</v>
      </c>
      <c r="R581">
        <f t="shared" si="456"/>
        <v>0</v>
      </c>
      <c r="S581">
        <f t="shared" si="457"/>
        <v>0</v>
      </c>
      <c r="T581">
        <f t="shared" si="458"/>
        <v>0</v>
      </c>
      <c r="U581">
        <f t="shared" si="459"/>
        <v>0</v>
      </c>
      <c r="V581">
        <f t="shared" si="460"/>
        <v>0</v>
      </c>
      <c r="W581">
        <f t="shared" si="461"/>
        <v>0</v>
      </c>
      <c r="X581">
        <f t="shared" si="462"/>
        <v>0</v>
      </c>
      <c r="Y581">
        <f t="shared" si="463"/>
        <v>0</v>
      </c>
      <c r="AA581">
        <v>33989672</v>
      </c>
      <c r="AB581">
        <f t="shared" si="464"/>
        <v>37.04</v>
      </c>
      <c r="AC581">
        <f t="shared" si="465"/>
        <v>37.04</v>
      </c>
      <c r="AD581">
        <f t="shared" si="488"/>
        <v>0</v>
      </c>
      <c r="AE581">
        <f t="shared" si="489"/>
        <v>0</v>
      </c>
      <c r="AF581">
        <f t="shared" si="489"/>
        <v>0</v>
      </c>
      <c r="AG581">
        <f t="shared" si="466"/>
        <v>0</v>
      </c>
      <c r="AH581">
        <f t="shared" si="490"/>
        <v>0</v>
      </c>
      <c r="AI581">
        <f t="shared" si="490"/>
        <v>0</v>
      </c>
      <c r="AJ581">
        <f t="shared" si="467"/>
        <v>0</v>
      </c>
      <c r="AK581">
        <v>37.04</v>
      </c>
      <c r="AL581">
        <v>37.04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1</v>
      </c>
      <c r="AW581">
        <v>1</v>
      </c>
      <c r="AZ581">
        <v>1</v>
      </c>
      <c r="BA581">
        <v>1</v>
      </c>
      <c r="BB581">
        <v>1</v>
      </c>
      <c r="BC581">
        <v>1.18</v>
      </c>
      <c r="BD581" t="s">
        <v>3</v>
      </c>
      <c r="BE581" t="s">
        <v>3</v>
      </c>
      <c r="BF581" t="s">
        <v>3</v>
      </c>
      <c r="BG581" t="s">
        <v>3</v>
      </c>
      <c r="BH581">
        <v>3</v>
      </c>
      <c r="BI581">
        <v>1</v>
      </c>
      <c r="BJ581" t="s">
        <v>381</v>
      </c>
      <c r="BM581">
        <v>295</v>
      </c>
      <c r="BN581">
        <v>0</v>
      </c>
      <c r="BO581" t="s">
        <v>379</v>
      </c>
      <c r="BP581">
        <v>1</v>
      </c>
      <c r="BQ581">
        <v>30</v>
      </c>
      <c r="BR581">
        <v>0</v>
      </c>
      <c r="BS581">
        <v>1</v>
      </c>
      <c r="BT581">
        <v>1</v>
      </c>
      <c r="BU581">
        <v>1</v>
      </c>
      <c r="BV581">
        <v>1</v>
      </c>
      <c r="BW581">
        <v>1</v>
      </c>
      <c r="BX581">
        <v>1</v>
      </c>
      <c r="BY581" t="s">
        <v>3</v>
      </c>
      <c r="BZ581">
        <v>0</v>
      </c>
      <c r="CA581">
        <v>0</v>
      </c>
      <c r="CE581">
        <v>30</v>
      </c>
      <c r="CF581">
        <v>0</v>
      </c>
      <c r="CG581">
        <v>0</v>
      </c>
      <c r="CM581">
        <v>0</v>
      </c>
      <c r="CN581" t="s">
        <v>3</v>
      </c>
      <c r="CO581">
        <v>0</v>
      </c>
      <c r="CP581">
        <f t="shared" si="468"/>
        <v>75185.13</v>
      </c>
      <c r="CQ581">
        <f t="shared" si="469"/>
        <v>43.71</v>
      </c>
      <c r="CR581">
        <f t="shared" si="491"/>
        <v>0</v>
      </c>
      <c r="CS581">
        <f t="shared" si="470"/>
        <v>0</v>
      </c>
      <c r="CT581">
        <f t="shared" si="471"/>
        <v>0</v>
      </c>
      <c r="CU581">
        <f t="shared" si="472"/>
        <v>0</v>
      </c>
      <c r="CV581">
        <f t="shared" si="473"/>
        <v>0</v>
      </c>
      <c r="CW581">
        <f t="shared" si="474"/>
        <v>0</v>
      </c>
      <c r="CX581">
        <f t="shared" si="475"/>
        <v>0</v>
      </c>
      <c r="CY581">
        <f t="shared" si="476"/>
        <v>0</v>
      </c>
      <c r="CZ581">
        <f t="shared" si="477"/>
        <v>0</v>
      </c>
      <c r="DC581" t="s">
        <v>3</v>
      </c>
      <c r="DD581" t="s">
        <v>3</v>
      </c>
      <c r="DE581" t="s">
        <v>3</v>
      </c>
      <c r="DF581" t="s">
        <v>3</v>
      </c>
      <c r="DG581" t="s">
        <v>3</v>
      </c>
      <c r="DH581" t="s">
        <v>3</v>
      </c>
      <c r="DI581" t="s">
        <v>3</v>
      </c>
      <c r="DJ581" t="s">
        <v>3</v>
      </c>
      <c r="DK581" t="s">
        <v>3</v>
      </c>
      <c r="DL581" t="s">
        <v>3</v>
      </c>
      <c r="DM581" t="s">
        <v>3</v>
      </c>
      <c r="DN581">
        <v>187</v>
      </c>
      <c r="DO581">
        <v>101</v>
      </c>
      <c r="DP581">
        <v>1</v>
      </c>
      <c r="DQ581">
        <v>1</v>
      </c>
      <c r="DU581">
        <v>1010</v>
      </c>
      <c r="DV581" t="s">
        <v>328</v>
      </c>
      <c r="DW581" t="s">
        <v>328</v>
      </c>
      <c r="DX581">
        <v>1</v>
      </c>
      <c r="EE581">
        <v>33797934</v>
      </c>
      <c r="EF581">
        <v>30</v>
      </c>
      <c r="EG581" t="s">
        <v>77</v>
      </c>
      <c r="EH581">
        <v>0</v>
      </c>
      <c r="EI581" t="s">
        <v>3</v>
      </c>
      <c r="EJ581">
        <v>1</v>
      </c>
      <c r="EK581">
        <v>295</v>
      </c>
      <c r="EL581" t="s">
        <v>266</v>
      </c>
      <c r="EM581" t="s">
        <v>267</v>
      </c>
      <c r="EO581" t="s">
        <v>3</v>
      </c>
      <c r="EQ581">
        <v>0</v>
      </c>
      <c r="ER581">
        <v>37.04</v>
      </c>
      <c r="ES581">
        <v>37.04</v>
      </c>
      <c r="ET581">
        <v>0</v>
      </c>
      <c r="EU581">
        <v>0</v>
      </c>
      <c r="EV581">
        <v>0</v>
      </c>
      <c r="EW581">
        <v>0</v>
      </c>
      <c r="EX581">
        <v>0</v>
      </c>
      <c r="FQ581">
        <v>0</v>
      </c>
      <c r="FR581">
        <f t="shared" si="478"/>
        <v>0</v>
      </c>
      <c r="FS581">
        <v>0</v>
      </c>
      <c r="FX581">
        <v>187</v>
      </c>
      <c r="FY581">
        <v>101</v>
      </c>
      <c r="GA581" t="s">
        <v>3</v>
      </c>
      <c r="GD581">
        <v>0</v>
      </c>
      <c r="GF581">
        <v>-85359034</v>
      </c>
      <c r="GG581">
        <v>2</v>
      </c>
      <c r="GH581">
        <v>1</v>
      </c>
      <c r="GI581">
        <v>2</v>
      </c>
      <c r="GJ581">
        <v>0</v>
      </c>
      <c r="GK581">
        <f>ROUND(R581*(R12)/100,2)</f>
        <v>0</v>
      </c>
      <c r="GL581">
        <f t="shared" si="479"/>
        <v>0</v>
      </c>
      <c r="GM581">
        <f t="shared" si="480"/>
        <v>75185.13</v>
      </c>
      <c r="GN581">
        <f t="shared" si="481"/>
        <v>75185.13</v>
      </c>
      <c r="GO581">
        <f t="shared" si="482"/>
        <v>0</v>
      </c>
      <c r="GP581">
        <f t="shared" si="483"/>
        <v>0</v>
      </c>
      <c r="GR581">
        <v>0</v>
      </c>
      <c r="GS581">
        <v>3</v>
      </c>
      <c r="GT581">
        <v>0</v>
      </c>
      <c r="GU581" t="s">
        <v>3</v>
      </c>
      <c r="GV581">
        <f t="shared" si="484"/>
        <v>0</v>
      </c>
      <c r="GW581">
        <v>1</v>
      </c>
      <c r="GX581">
        <f t="shared" si="485"/>
        <v>0</v>
      </c>
      <c r="HA581">
        <v>0</v>
      </c>
      <c r="HB581">
        <v>0</v>
      </c>
      <c r="HC581">
        <f t="shared" si="486"/>
        <v>0</v>
      </c>
      <c r="IK581">
        <v>0</v>
      </c>
    </row>
    <row r="583" spans="1:245" x14ac:dyDescent="0.2">
      <c r="A583" s="2">
        <v>51</v>
      </c>
      <c r="B583" s="2">
        <f>B568</f>
        <v>1</v>
      </c>
      <c r="C583" s="2">
        <f>A568</f>
        <v>4</v>
      </c>
      <c r="D583" s="2">
        <f>ROW(A568)</f>
        <v>568</v>
      </c>
      <c r="E583" s="2"/>
      <c r="F583" s="2" t="str">
        <f>IF(F568&lt;&gt;"",F568,"")</f>
        <v>Новый раздел</v>
      </c>
      <c r="G583" s="2" t="str">
        <f>IF(G568&lt;&gt;"",G568,"")</f>
        <v>23.1. Устройство цветников (многолетники)</v>
      </c>
      <c r="H583" s="2">
        <v>0</v>
      </c>
      <c r="I583" s="2"/>
      <c r="J583" s="2"/>
      <c r="K583" s="2"/>
      <c r="L583" s="2"/>
      <c r="M583" s="2"/>
      <c r="N583" s="2"/>
      <c r="O583" s="2">
        <f t="shared" ref="O583:T583" si="492">ROUND(AB583,2)</f>
        <v>573751.92000000004</v>
      </c>
      <c r="P583" s="2">
        <f t="shared" si="492"/>
        <v>419552.91</v>
      </c>
      <c r="Q583" s="2">
        <f t="shared" si="492"/>
        <v>0</v>
      </c>
      <c r="R583" s="2">
        <f t="shared" si="492"/>
        <v>0</v>
      </c>
      <c r="S583" s="2">
        <f t="shared" si="492"/>
        <v>154199.01</v>
      </c>
      <c r="T583" s="2">
        <f t="shared" si="492"/>
        <v>0</v>
      </c>
      <c r="U583" s="2">
        <f>AH583</f>
        <v>583.26059999999995</v>
      </c>
      <c r="V583" s="2">
        <f>AI583</f>
        <v>0</v>
      </c>
      <c r="W583" s="2">
        <f>ROUND(AJ583,2)</f>
        <v>0</v>
      </c>
      <c r="X583" s="2">
        <f>ROUND(AK583,2)</f>
        <v>157282.98000000001</v>
      </c>
      <c r="Y583" s="2">
        <f>ROUND(AL583,2)</f>
        <v>72473.539999999994</v>
      </c>
      <c r="Z583" s="2"/>
      <c r="AA583" s="2"/>
      <c r="AB583" s="2">
        <f>ROUND(SUMIF(AA572:AA581,"=33989672",O572:O581),2)</f>
        <v>573751.92000000004</v>
      </c>
      <c r="AC583" s="2">
        <f>ROUND(SUMIF(AA572:AA581,"=33989672",P572:P581),2)</f>
        <v>419552.91</v>
      </c>
      <c r="AD583" s="2">
        <f>ROUND(SUMIF(AA572:AA581,"=33989672",Q572:Q581),2)</f>
        <v>0</v>
      </c>
      <c r="AE583" s="2">
        <f>ROUND(SUMIF(AA572:AA581,"=33989672",R572:R581),2)</f>
        <v>0</v>
      </c>
      <c r="AF583" s="2">
        <f>ROUND(SUMIF(AA572:AA581,"=33989672",S572:S581),2)</f>
        <v>154199.01</v>
      </c>
      <c r="AG583" s="2">
        <f>ROUND(SUMIF(AA572:AA581,"=33989672",T572:T581),2)</f>
        <v>0</v>
      </c>
      <c r="AH583" s="2">
        <f>SUMIF(AA572:AA581,"=33989672",U572:U581)</f>
        <v>583.26059999999995</v>
      </c>
      <c r="AI583" s="2">
        <f>SUMIF(AA572:AA581,"=33989672",V572:V581)</f>
        <v>0</v>
      </c>
      <c r="AJ583" s="2">
        <f>ROUND(SUMIF(AA572:AA581,"=33989672",W572:W581),2)</f>
        <v>0</v>
      </c>
      <c r="AK583" s="2">
        <f>ROUND(SUMIF(AA572:AA581,"=33989672",X572:X581),2)</f>
        <v>157282.98000000001</v>
      </c>
      <c r="AL583" s="2">
        <f>ROUND(SUMIF(AA572:AA581,"=33989672",Y572:Y581),2)</f>
        <v>72473.539999999994</v>
      </c>
      <c r="AM583" s="2"/>
      <c r="AN583" s="2"/>
      <c r="AO583" s="2">
        <f t="shared" ref="AO583:BD583" si="493">ROUND(BX583,2)</f>
        <v>0</v>
      </c>
      <c r="AP583" s="2">
        <f t="shared" si="493"/>
        <v>0</v>
      </c>
      <c r="AQ583" s="2">
        <f t="shared" si="493"/>
        <v>0</v>
      </c>
      <c r="AR583" s="2">
        <f t="shared" si="493"/>
        <v>803508.44</v>
      </c>
      <c r="AS583" s="2">
        <f t="shared" si="493"/>
        <v>803508.44</v>
      </c>
      <c r="AT583" s="2">
        <f t="shared" si="493"/>
        <v>0</v>
      </c>
      <c r="AU583" s="2">
        <f t="shared" si="493"/>
        <v>0</v>
      </c>
      <c r="AV583" s="2">
        <f t="shared" si="493"/>
        <v>419552.91</v>
      </c>
      <c r="AW583" s="2">
        <f t="shared" si="493"/>
        <v>419552.91</v>
      </c>
      <c r="AX583" s="2">
        <f t="shared" si="493"/>
        <v>0</v>
      </c>
      <c r="AY583" s="2">
        <f t="shared" si="493"/>
        <v>419552.91</v>
      </c>
      <c r="AZ583" s="2">
        <f t="shared" si="493"/>
        <v>0</v>
      </c>
      <c r="BA583" s="2">
        <f t="shared" si="493"/>
        <v>0</v>
      </c>
      <c r="BB583" s="2">
        <f t="shared" si="493"/>
        <v>0</v>
      </c>
      <c r="BC583" s="2">
        <f t="shared" si="493"/>
        <v>0</v>
      </c>
      <c r="BD583" s="2">
        <f t="shared" si="493"/>
        <v>0</v>
      </c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>
        <f>ROUND(SUMIF(AA572:AA581,"=33989672",FQ572:FQ581),2)</f>
        <v>0</v>
      </c>
      <c r="BY583" s="2">
        <f>ROUND(SUMIF(AA572:AA581,"=33989672",FR572:FR581),2)</f>
        <v>0</v>
      </c>
      <c r="BZ583" s="2">
        <f>ROUND(SUMIF(AA572:AA581,"=33989672",GL572:GL581),2)</f>
        <v>0</v>
      </c>
      <c r="CA583" s="2">
        <f>ROUND(SUMIF(AA572:AA581,"=33989672",GM572:GM581),2)</f>
        <v>803508.44</v>
      </c>
      <c r="CB583" s="2">
        <f>ROUND(SUMIF(AA572:AA581,"=33989672",GN572:GN581),2)</f>
        <v>803508.44</v>
      </c>
      <c r="CC583" s="2">
        <f>ROUND(SUMIF(AA572:AA581,"=33989672",GO572:GO581),2)</f>
        <v>0</v>
      </c>
      <c r="CD583" s="2">
        <f>ROUND(SUMIF(AA572:AA581,"=33989672",GP572:GP581),2)</f>
        <v>0</v>
      </c>
      <c r="CE583" s="2">
        <f>AC583-BX583</f>
        <v>419552.91</v>
      </c>
      <c r="CF583" s="2">
        <f>AC583-BY583</f>
        <v>419552.91</v>
      </c>
      <c r="CG583" s="2">
        <f>BX583-BZ583</f>
        <v>0</v>
      </c>
      <c r="CH583" s="2">
        <f>AC583-BX583-BY583+BZ583</f>
        <v>419552.91</v>
      </c>
      <c r="CI583" s="2">
        <f>BY583-BZ583</f>
        <v>0</v>
      </c>
      <c r="CJ583" s="2">
        <f>ROUND(SUMIF(AA572:AA581,"=33989672",GX572:GX581),2)</f>
        <v>0</v>
      </c>
      <c r="CK583" s="2">
        <f>ROUND(SUMIF(AA572:AA581,"=33989672",GY572:GY581),2)</f>
        <v>0</v>
      </c>
      <c r="CL583" s="2">
        <f>ROUND(SUMIF(AA572:AA581,"=33989672",GZ572:GZ581),2)</f>
        <v>0</v>
      </c>
      <c r="CM583" s="2">
        <f>ROUND(SUMIF(AA572:AA581,"=33989672",HD572:HD581),2)</f>
        <v>0</v>
      </c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3">
        <v>0</v>
      </c>
    </row>
    <row r="585" spans="1:245" x14ac:dyDescent="0.2">
      <c r="A585" s="4">
        <v>50</v>
      </c>
      <c r="B585" s="4">
        <v>0</v>
      </c>
      <c r="C585" s="4">
        <v>0</v>
      </c>
      <c r="D585" s="4">
        <v>1</v>
      </c>
      <c r="E585" s="4">
        <v>201</v>
      </c>
      <c r="F585" s="4">
        <f>ROUND(Source!O583,O585)</f>
        <v>573751.92000000004</v>
      </c>
      <c r="G585" s="4" t="s">
        <v>89</v>
      </c>
      <c r="H585" s="4" t="s">
        <v>90</v>
      </c>
      <c r="I585" s="4"/>
      <c r="J585" s="4"/>
      <c r="K585" s="4">
        <v>201</v>
      </c>
      <c r="L585" s="4">
        <v>1</v>
      </c>
      <c r="M585" s="4">
        <v>3</v>
      </c>
      <c r="N585" s="4" t="s">
        <v>3</v>
      </c>
      <c r="O585" s="4">
        <v>2</v>
      </c>
      <c r="P585" s="4"/>
      <c r="Q585" s="4"/>
      <c r="R585" s="4"/>
      <c r="S585" s="4"/>
      <c r="T585" s="4"/>
      <c r="U585" s="4"/>
      <c r="V585" s="4"/>
      <c r="W585" s="4"/>
    </row>
    <row r="586" spans="1:245" x14ac:dyDescent="0.2">
      <c r="A586" s="4">
        <v>50</v>
      </c>
      <c r="B586" s="4">
        <v>0</v>
      </c>
      <c r="C586" s="4">
        <v>0</v>
      </c>
      <c r="D586" s="4">
        <v>1</v>
      </c>
      <c r="E586" s="4">
        <v>202</v>
      </c>
      <c r="F586" s="4">
        <f>ROUND(Source!P583,O586)</f>
        <v>419552.91</v>
      </c>
      <c r="G586" s="4" t="s">
        <v>91</v>
      </c>
      <c r="H586" s="4" t="s">
        <v>92</v>
      </c>
      <c r="I586" s="4"/>
      <c r="J586" s="4"/>
      <c r="K586" s="4">
        <v>202</v>
      </c>
      <c r="L586" s="4">
        <v>2</v>
      </c>
      <c r="M586" s="4">
        <v>3</v>
      </c>
      <c r="N586" s="4" t="s">
        <v>3</v>
      </c>
      <c r="O586" s="4">
        <v>2</v>
      </c>
      <c r="P586" s="4"/>
      <c r="Q586" s="4"/>
      <c r="R586" s="4"/>
      <c r="S586" s="4"/>
      <c r="T586" s="4"/>
      <c r="U586" s="4"/>
      <c r="V586" s="4"/>
      <c r="W586" s="4"/>
    </row>
    <row r="587" spans="1:245" x14ac:dyDescent="0.2">
      <c r="A587" s="4">
        <v>50</v>
      </c>
      <c r="B587" s="4">
        <v>0</v>
      </c>
      <c r="C587" s="4">
        <v>0</v>
      </c>
      <c r="D587" s="4">
        <v>1</v>
      </c>
      <c r="E587" s="4">
        <v>222</v>
      </c>
      <c r="F587" s="4">
        <f>ROUND(Source!AO583,O587)</f>
        <v>0</v>
      </c>
      <c r="G587" s="4" t="s">
        <v>93</v>
      </c>
      <c r="H587" s="4" t="s">
        <v>94</v>
      </c>
      <c r="I587" s="4"/>
      <c r="J587" s="4"/>
      <c r="K587" s="4">
        <v>222</v>
      </c>
      <c r="L587" s="4">
        <v>3</v>
      </c>
      <c r="M587" s="4">
        <v>3</v>
      </c>
      <c r="N587" s="4" t="s">
        <v>3</v>
      </c>
      <c r="O587" s="4">
        <v>2</v>
      </c>
      <c r="P587" s="4"/>
      <c r="Q587" s="4"/>
      <c r="R587" s="4"/>
      <c r="S587" s="4"/>
      <c r="T587" s="4"/>
      <c r="U587" s="4"/>
      <c r="V587" s="4"/>
      <c r="W587" s="4"/>
    </row>
    <row r="588" spans="1:245" x14ac:dyDescent="0.2">
      <c r="A588" s="4">
        <v>50</v>
      </c>
      <c r="B588" s="4">
        <v>0</v>
      </c>
      <c r="C588" s="4">
        <v>0</v>
      </c>
      <c r="D588" s="4">
        <v>1</v>
      </c>
      <c r="E588" s="4">
        <v>225</v>
      </c>
      <c r="F588" s="4">
        <f>ROUND(Source!AV583,O588)</f>
        <v>419552.91</v>
      </c>
      <c r="G588" s="4" t="s">
        <v>95</v>
      </c>
      <c r="H588" s="4" t="s">
        <v>96</v>
      </c>
      <c r="I588" s="4"/>
      <c r="J588" s="4"/>
      <c r="K588" s="4">
        <v>225</v>
      </c>
      <c r="L588" s="4">
        <v>4</v>
      </c>
      <c r="M588" s="4">
        <v>3</v>
      </c>
      <c r="N588" s="4" t="s">
        <v>3</v>
      </c>
      <c r="O588" s="4">
        <v>2</v>
      </c>
      <c r="P588" s="4"/>
      <c r="Q588" s="4"/>
      <c r="R588" s="4"/>
      <c r="S588" s="4"/>
      <c r="T588" s="4"/>
      <c r="U588" s="4"/>
      <c r="V588" s="4"/>
      <c r="W588" s="4"/>
    </row>
    <row r="589" spans="1:245" x14ac:dyDescent="0.2">
      <c r="A589" s="4">
        <v>50</v>
      </c>
      <c r="B589" s="4">
        <v>0</v>
      </c>
      <c r="C589" s="4">
        <v>0</v>
      </c>
      <c r="D589" s="4">
        <v>1</v>
      </c>
      <c r="E589" s="4">
        <v>226</v>
      </c>
      <c r="F589" s="4">
        <f>ROUND(Source!AW583,O589)</f>
        <v>419552.91</v>
      </c>
      <c r="G589" s="4" t="s">
        <v>97</v>
      </c>
      <c r="H589" s="4" t="s">
        <v>98</v>
      </c>
      <c r="I589" s="4"/>
      <c r="J589" s="4"/>
      <c r="K589" s="4">
        <v>226</v>
      </c>
      <c r="L589" s="4">
        <v>5</v>
      </c>
      <c r="M589" s="4">
        <v>3</v>
      </c>
      <c r="N589" s="4" t="s">
        <v>3</v>
      </c>
      <c r="O589" s="4">
        <v>2</v>
      </c>
      <c r="P589" s="4"/>
      <c r="Q589" s="4"/>
      <c r="R589" s="4"/>
      <c r="S589" s="4"/>
      <c r="T589" s="4"/>
      <c r="U589" s="4"/>
      <c r="V589" s="4"/>
      <c r="W589" s="4"/>
    </row>
    <row r="590" spans="1:245" x14ac:dyDescent="0.2">
      <c r="A590" s="4">
        <v>50</v>
      </c>
      <c r="B590" s="4">
        <v>0</v>
      </c>
      <c r="C590" s="4">
        <v>0</v>
      </c>
      <c r="D590" s="4">
        <v>1</v>
      </c>
      <c r="E590" s="4">
        <v>227</v>
      </c>
      <c r="F590" s="4">
        <f>ROUND(Source!AX583,O590)</f>
        <v>0</v>
      </c>
      <c r="G590" s="4" t="s">
        <v>99</v>
      </c>
      <c r="H590" s="4" t="s">
        <v>100</v>
      </c>
      <c r="I590" s="4"/>
      <c r="J590" s="4"/>
      <c r="K590" s="4">
        <v>227</v>
      </c>
      <c r="L590" s="4">
        <v>6</v>
      </c>
      <c r="M590" s="4">
        <v>3</v>
      </c>
      <c r="N590" s="4" t="s">
        <v>3</v>
      </c>
      <c r="O590" s="4">
        <v>2</v>
      </c>
      <c r="P590" s="4"/>
      <c r="Q590" s="4"/>
      <c r="R590" s="4"/>
      <c r="S590" s="4"/>
      <c r="T590" s="4"/>
      <c r="U590" s="4"/>
      <c r="V590" s="4"/>
      <c r="W590" s="4"/>
    </row>
    <row r="591" spans="1:245" x14ac:dyDescent="0.2">
      <c r="A591" s="4">
        <v>50</v>
      </c>
      <c r="B591" s="4">
        <v>0</v>
      </c>
      <c r="C591" s="4">
        <v>0</v>
      </c>
      <c r="D591" s="4">
        <v>1</v>
      </c>
      <c r="E591" s="4">
        <v>228</v>
      </c>
      <c r="F591" s="4">
        <f>ROUND(Source!AY583,O591)</f>
        <v>419552.91</v>
      </c>
      <c r="G591" s="4" t="s">
        <v>101</v>
      </c>
      <c r="H591" s="4" t="s">
        <v>102</v>
      </c>
      <c r="I591" s="4"/>
      <c r="J591" s="4"/>
      <c r="K591" s="4">
        <v>228</v>
      </c>
      <c r="L591" s="4">
        <v>7</v>
      </c>
      <c r="M591" s="4">
        <v>3</v>
      </c>
      <c r="N591" s="4" t="s">
        <v>3</v>
      </c>
      <c r="O591" s="4">
        <v>2</v>
      </c>
      <c r="P591" s="4"/>
      <c r="Q591" s="4"/>
      <c r="R591" s="4"/>
      <c r="S591" s="4"/>
      <c r="T591" s="4"/>
      <c r="U591" s="4"/>
      <c r="V591" s="4"/>
      <c r="W591" s="4"/>
    </row>
    <row r="592" spans="1:245" x14ac:dyDescent="0.2">
      <c r="A592" s="4">
        <v>50</v>
      </c>
      <c r="B592" s="4">
        <v>0</v>
      </c>
      <c r="C592" s="4">
        <v>0</v>
      </c>
      <c r="D592" s="4">
        <v>1</v>
      </c>
      <c r="E592" s="4">
        <v>216</v>
      </c>
      <c r="F592" s="4">
        <f>ROUND(Source!AP583,O592)</f>
        <v>0</v>
      </c>
      <c r="G592" s="4" t="s">
        <v>103</v>
      </c>
      <c r="H592" s="4" t="s">
        <v>104</v>
      </c>
      <c r="I592" s="4"/>
      <c r="J592" s="4"/>
      <c r="K592" s="4">
        <v>216</v>
      </c>
      <c r="L592" s="4">
        <v>8</v>
      </c>
      <c r="M592" s="4">
        <v>3</v>
      </c>
      <c r="N592" s="4" t="s">
        <v>3</v>
      </c>
      <c r="O592" s="4">
        <v>2</v>
      </c>
      <c r="P592" s="4"/>
      <c r="Q592" s="4"/>
      <c r="R592" s="4"/>
      <c r="S592" s="4"/>
      <c r="T592" s="4"/>
      <c r="U592" s="4"/>
      <c r="V592" s="4"/>
      <c r="W592" s="4"/>
    </row>
    <row r="593" spans="1:23" x14ac:dyDescent="0.2">
      <c r="A593" s="4">
        <v>50</v>
      </c>
      <c r="B593" s="4">
        <v>0</v>
      </c>
      <c r="C593" s="4">
        <v>0</v>
      </c>
      <c r="D593" s="4">
        <v>1</v>
      </c>
      <c r="E593" s="4">
        <v>223</v>
      </c>
      <c r="F593" s="4">
        <f>ROUND(Source!AQ583,O593)</f>
        <v>0</v>
      </c>
      <c r="G593" s="4" t="s">
        <v>105</v>
      </c>
      <c r="H593" s="4" t="s">
        <v>106</v>
      </c>
      <c r="I593" s="4"/>
      <c r="J593" s="4"/>
      <c r="K593" s="4">
        <v>223</v>
      </c>
      <c r="L593" s="4">
        <v>9</v>
      </c>
      <c r="M593" s="4">
        <v>3</v>
      </c>
      <c r="N593" s="4" t="s">
        <v>3</v>
      </c>
      <c r="O593" s="4">
        <v>2</v>
      </c>
      <c r="P593" s="4"/>
      <c r="Q593" s="4"/>
      <c r="R593" s="4"/>
      <c r="S593" s="4"/>
      <c r="T593" s="4"/>
      <c r="U593" s="4"/>
      <c r="V593" s="4"/>
      <c r="W593" s="4"/>
    </row>
    <row r="594" spans="1:23" x14ac:dyDescent="0.2">
      <c r="A594" s="4">
        <v>50</v>
      </c>
      <c r="B594" s="4">
        <v>0</v>
      </c>
      <c r="C594" s="4">
        <v>0</v>
      </c>
      <c r="D594" s="4">
        <v>1</v>
      </c>
      <c r="E594" s="4">
        <v>229</v>
      </c>
      <c r="F594" s="4">
        <f>ROUND(Source!AZ583,O594)</f>
        <v>0</v>
      </c>
      <c r="G594" s="4" t="s">
        <v>107</v>
      </c>
      <c r="H594" s="4" t="s">
        <v>108</v>
      </c>
      <c r="I594" s="4"/>
      <c r="J594" s="4"/>
      <c r="K594" s="4">
        <v>229</v>
      </c>
      <c r="L594" s="4">
        <v>10</v>
      </c>
      <c r="M594" s="4">
        <v>3</v>
      </c>
      <c r="N594" s="4" t="s">
        <v>3</v>
      </c>
      <c r="O594" s="4">
        <v>2</v>
      </c>
      <c r="P594" s="4"/>
      <c r="Q594" s="4"/>
      <c r="R594" s="4"/>
      <c r="S594" s="4"/>
      <c r="T594" s="4"/>
      <c r="U594" s="4"/>
      <c r="V594" s="4"/>
      <c r="W594" s="4"/>
    </row>
    <row r="595" spans="1:23" x14ac:dyDescent="0.2">
      <c r="A595" s="4">
        <v>50</v>
      </c>
      <c r="B595" s="4">
        <v>0</v>
      </c>
      <c r="C595" s="4">
        <v>0</v>
      </c>
      <c r="D595" s="4">
        <v>1</v>
      </c>
      <c r="E595" s="4">
        <v>203</v>
      </c>
      <c r="F595" s="4">
        <f>ROUND(Source!Q583,O595)</f>
        <v>0</v>
      </c>
      <c r="G595" s="4" t="s">
        <v>109</v>
      </c>
      <c r="H595" s="4" t="s">
        <v>110</v>
      </c>
      <c r="I595" s="4"/>
      <c r="J595" s="4"/>
      <c r="K595" s="4">
        <v>203</v>
      </c>
      <c r="L595" s="4">
        <v>11</v>
      </c>
      <c r="M595" s="4">
        <v>3</v>
      </c>
      <c r="N595" s="4" t="s">
        <v>3</v>
      </c>
      <c r="O595" s="4">
        <v>2</v>
      </c>
      <c r="P595" s="4"/>
      <c r="Q595" s="4"/>
      <c r="R595" s="4"/>
      <c r="S595" s="4"/>
      <c r="T595" s="4"/>
      <c r="U595" s="4"/>
      <c r="V595" s="4"/>
      <c r="W595" s="4"/>
    </row>
    <row r="596" spans="1:23" x14ac:dyDescent="0.2">
      <c r="A596" s="4">
        <v>50</v>
      </c>
      <c r="B596" s="4">
        <v>0</v>
      </c>
      <c r="C596" s="4">
        <v>0</v>
      </c>
      <c r="D596" s="4">
        <v>1</v>
      </c>
      <c r="E596" s="4">
        <v>231</v>
      </c>
      <c r="F596" s="4">
        <f>ROUND(Source!BB583,O596)</f>
        <v>0</v>
      </c>
      <c r="G596" s="4" t="s">
        <v>111</v>
      </c>
      <c r="H596" s="4" t="s">
        <v>112</v>
      </c>
      <c r="I596" s="4"/>
      <c r="J596" s="4"/>
      <c r="K596" s="4">
        <v>231</v>
      </c>
      <c r="L596" s="4">
        <v>12</v>
      </c>
      <c r="M596" s="4">
        <v>3</v>
      </c>
      <c r="N596" s="4" t="s">
        <v>3</v>
      </c>
      <c r="O596" s="4">
        <v>2</v>
      </c>
      <c r="P596" s="4"/>
      <c r="Q596" s="4"/>
      <c r="R596" s="4"/>
      <c r="S596" s="4"/>
      <c r="T596" s="4"/>
      <c r="U596" s="4"/>
      <c r="V596" s="4"/>
      <c r="W596" s="4"/>
    </row>
    <row r="597" spans="1:23" x14ac:dyDescent="0.2">
      <c r="A597" s="4">
        <v>50</v>
      </c>
      <c r="B597" s="4">
        <v>0</v>
      </c>
      <c r="C597" s="4">
        <v>0</v>
      </c>
      <c r="D597" s="4">
        <v>1</v>
      </c>
      <c r="E597" s="4">
        <v>204</v>
      </c>
      <c r="F597" s="4">
        <f>ROUND(Source!R583,O597)</f>
        <v>0</v>
      </c>
      <c r="G597" s="4" t="s">
        <v>113</v>
      </c>
      <c r="H597" s="4" t="s">
        <v>114</v>
      </c>
      <c r="I597" s="4"/>
      <c r="J597" s="4"/>
      <c r="K597" s="4">
        <v>204</v>
      </c>
      <c r="L597" s="4">
        <v>13</v>
      </c>
      <c r="M597" s="4">
        <v>3</v>
      </c>
      <c r="N597" s="4" t="s">
        <v>3</v>
      </c>
      <c r="O597" s="4">
        <v>2</v>
      </c>
      <c r="P597" s="4"/>
      <c r="Q597" s="4"/>
      <c r="R597" s="4"/>
      <c r="S597" s="4"/>
      <c r="T597" s="4"/>
      <c r="U597" s="4"/>
      <c r="V597" s="4"/>
      <c r="W597" s="4"/>
    </row>
    <row r="598" spans="1:23" x14ac:dyDescent="0.2">
      <c r="A598" s="4">
        <v>50</v>
      </c>
      <c r="B598" s="4">
        <v>0</v>
      </c>
      <c r="C598" s="4">
        <v>0</v>
      </c>
      <c r="D598" s="4">
        <v>1</v>
      </c>
      <c r="E598" s="4">
        <v>205</v>
      </c>
      <c r="F598" s="4">
        <f>ROUND(Source!S583,O598)</f>
        <v>154199.01</v>
      </c>
      <c r="G598" s="4" t="s">
        <v>115</v>
      </c>
      <c r="H598" s="4" t="s">
        <v>116</v>
      </c>
      <c r="I598" s="4"/>
      <c r="J598" s="4"/>
      <c r="K598" s="4">
        <v>205</v>
      </c>
      <c r="L598" s="4">
        <v>14</v>
      </c>
      <c r="M598" s="4">
        <v>3</v>
      </c>
      <c r="N598" s="4" t="s">
        <v>3</v>
      </c>
      <c r="O598" s="4">
        <v>2</v>
      </c>
      <c r="P598" s="4"/>
      <c r="Q598" s="4"/>
      <c r="R598" s="4"/>
      <c r="S598" s="4"/>
      <c r="T598" s="4"/>
      <c r="U598" s="4"/>
      <c r="V598" s="4"/>
      <c r="W598" s="4"/>
    </row>
    <row r="599" spans="1:23" x14ac:dyDescent="0.2">
      <c r="A599" s="4">
        <v>50</v>
      </c>
      <c r="B599" s="4">
        <v>0</v>
      </c>
      <c r="C599" s="4">
        <v>0</v>
      </c>
      <c r="D599" s="4">
        <v>1</v>
      </c>
      <c r="E599" s="4">
        <v>232</v>
      </c>
      <c r="F599" s="4">
        <f>ROUND(Source!BC583,O599)</f>
        <v>0</v>
      </c>
      <c r="G599" s="4" t="s">
        <v>117</v>
      </c>
      <c r="H599" s="4" t="s">
        <v>118</v>
      </c>
      <c r="I599" s="4"/>
      <c r="J599" s="4"/>
      <c r="K599" s="4">
        <v>232</v>
      </c>
      <c r="L599" s="4">
        <v>15</v>
      </c>
      <c r="M599" s="4">
        <v>3</v>
      </c>
      <c r="N599" s="4" t="s">
        <v>3</v>
      </c>
      <c r="O599" s="4">
        <v>2</v>
      </c>
      <c r="P599" s="4"/>
      <c r="Q599" s="4"/>
      <c r="R599" s="4"/>
      <c r="S599" s="4"/>
      <c r="T599" s="4"/>
      <c r="U599" s="4"/>
      <c r="V599" s="4"/>
      <c r="W599" s="4"/>
    </row>
    <row r="600" spans="1:23" x14ac:dyDescent="0.2">
      <c r="A600" s="4">
        <v>50</v>
      </c>
      <c r="B600" s="4">
        <v>0</v>
      </c>
      <c r="C600" s="4">
        <v>0</v>
      </c>
      <c r="D600" s="4">
        <v>1</v>
      </c>
      <c r="E600" s="4">
        <v>214</v>
      </c>
      <c r="F600" s="4">
        <f>ROUND(Source!AS583,O600)</f>
        <v>803508.44</v>
      </c>
      <c r="G600" s="4" t="s">
        <v>119</v>
      </c>
      <c r="H600" s="4" t="s">
        <v>120</v>
      </c>
      <c r="I600" s="4"/>
      <c r="J600" s="4"/>
      <c r="K600" s="4">
        <v>214</v>
      </c>
      <c r="L600" s="4">
        <v>16</v>
      </c>
      <c r="M600" s="4">
        <v>3</v>
      </c>
      <c r="N600" s="4" t="s">
        <v>3</v>
      </c>
      <c r="O600" s="4">
        <v>2</v>
      </c>
      <c r="P600" s="4"/>
      <c r="Q600" s="4"/>
      <c r="R600" s="4"/>
      <c r="S600" s="4"/>
      <c r="T600" s="4"/>
      <c r="U600" s="4"/>
      <c r="V600" s="4"/>
      <c r="W600" s="4"/>
    </row>
    <row r="601" spans="1:23" x14ac:dyDescent="0.2">
      <c r="A601" s="4">
        <v>50</v>
      </c>
      <c r="B601" s="4">
        <v>0</v>
      </c>
      <c r="C601" s="4">
        <v>0</v>
      </c>
      <c r="D601" s="4">
        <v>1</v>
      </c>
      <c r="E601" s="4">
        <v>215</v>
      </c>
      <c r="F601" s="4">
        <f>ROUND(Source!AT583,O601)</f>
        <v>0</v>
      </c>
      <c r="G601" s="4" t="s">
        <v>121</v>
      </c>
      <c r="H601" s="4" t="s">
        <v>122</v>
      </c>
      <c r="I601" s="4"/>
      <c r="J601" s="4"/>
      <c r="K601" s="4">
        <v>215</v>
      </c>
      <c r="L601" s="4">
        <v>17</v>
      </c>
      <c r="M601" s="4">
        <v>3</v>
      </c>
      <c r="N601" s="4" t="s">
        <v>3</v>
      </c>
      <c r="O601" s="4">
        <v>2</v>
      </c>
      <c r="P601" s="4"/>
      <c r="Q601" s="4"/>
      <c r="R601" s="4"/>
      <c r="S601" s="4"/>
      <c r="T601" s="4"/>
      <c r="U601" s="4"/>
      <c r="V601" s="4"/>
      <c r="W601" s="4"/>
    </row>
    <row r="602" spans="1:23" x14ac:dyDescent="0.2">
      <c r="A602" s="4">
        <v>50</v>
      </c>
      <c r="B602" s="4">
        <v>0</v>
      </c>
      <c r="C602" s="4">
        <v>0</v>
      </c>
      <c r="D602" s="4">
        <v>1</v>
      </c>
      <c r="E602" s="4">
        <v>217</v>
      </c>
      <c r="F602" s="4">
        <f>ROUND(Source!AU583,O602)</f>
        <v>0</v>
      </c>
      <c r="G602" s="4" t="s">
        <v>123</v>
      </c>
      <c r="H602" s="4" t="s">
        <v>124</v>
      </c>
      <c r="I602" s="4"/>
      <c r="J602" s="4"/>
      <c r="K602" s="4">
        <v>217</v>
      </c>
      <c r="L602" s="4">
        <v>18</v>
      </c>
      <c r="M602" s="4">
        <v>3</v>
      </c>
      <c r="N602" s="4" t="s">
        <v>3</v>
      </c>
      <c r="O602" s="4">
        <v>2</v>
      </c>
      <c r="P602" s="4"/>
      <c r="Q602" s="4"/>
      <c r="R602" s="4"/>
      <c r="S602" s="4"/>
      <c r="T602" s="4"/>
      <c r="U602" s="4"/>
      <c r="V602" s="4"/>
      <c r="W602" s="4"/>
    </row>
    <row r="603" spans="1:23" x14ac:dyDescent="0.2">
      <c r="A603" s="4">
        <v>50</v>
      </c>
      <c r="B603" s="4">
        <v>0</v>
      </c>
      <c r="C603" s="4">
        <v>0</v>
      </c>
      <c r="D603" s="4">
        <v>1</v>
      </c>
      <c r="E603" s="4">
        <v>230</v>
      </c>
      <c r="F603" s="4">
        <f>ROUND(Source!BA583,O603)</f>
        <v>0</v>
      </c>
      <c r="G603" s="4" t="s">
        <v>125</v>
      </c>
      <c r="H603" s="4" t="s">
        <v>126</v>
      </c>
      <c r="I603" s="4"/>
      <c r="J603" s="4"/>
      <c r="K603" s="4">
        <v>230</v>
      </c>
      <c r="L603" s="4">
        <v>19</v>
      </c>
      <c r="M603" s="4">
        <v>3</v>
      </c>
      <c r="N603" s="4" t="s">
        <v>3</v>
      </c>
      <c r="O603" s="4">
        <v>2</v>
      </c>
      <c r="P603" s="4"/>
      <c r="Q603" s="4"/>
      <c r="R603" s="4"/>
      <c r="S603" s="4"/>
      <c r="T603" s="4"/>
      <c r="U603" s="4"/>
      <c r="V603" s="4"/>
      <c r="W603" s="4"/>
    </row>
    <row r="604" spans="1:23" x14ac:dyDescent="0.2">
      <c r="A604" s="4">
        <v>50</v>
      </c>
      <c r="B604" s="4">
        <v>0</v>
      </c>
      <c r="C604" s="4">
        <v>0</v>
      </c>
      <c r="D604" s="4">
        <v>1</v>
      </c>
      <c r="E604" s="4">
        <v>206</v>
      </c>
      <c r="F604" s="4">
        <f>ROUND(Source!T583,O604)</f>
        <v>0</v>
      </c>
      <c r="G604" s="4" t="s">
        <v>127</v>
      </c>
      <c r="H604" s="4" t="s">
        <v>128</v>
      </c>
      <c r="I604" s="4"/>
      <c r="J604" s="4"/>
      <c r="K604" s="4">
        <v>206</v>
      </c>
      <c r="L604" s="4">
        <v>20</v>
      </c>
      <c r="M604" s="4">
        <v>3</v>
      </c>
      <c r="N604" s="4" t="s">
        <v>3</v>
      </c>
      <c r="O604" s="4">
        <v>2</v>
      </c>
      <c r="P604" s="4"/>
      <c r="Q604" s="4"/>
      <c r="R604" s="4"/>
      <c r="S604" s="4"/>
      <c r="T604" s="4"/>
      <c r="U604" s="4"/>
      <c r="V604" s="4"/>
      <c r="W604" s="4"/>
    </row>
    <row r="605" spans="1:23" x14ac:dyDescent="0.2">
      <c r="A605" s="4">
        <v>50</v>
      </c>
      <c r="B605" s="4">
        <v>0</v>
      </c>
      <c r="C605" s="4">
        <v>0</v>
      </c>
      <c r="D605" s="4">
        <v>1</v>
      </c>
      <c r="E605" s="4">
        <v>207</v>
      </c>
      <c r="F605" s="4">
        <f>Source!U583</f>
        <v>583.26059999999995</v>
      </c>
      <c r="G605" s="4" t="s">
        <v>129</v>
      </c>
      <c r="H605" s="4" t="s">
        <v>130</v>
      </c>
      <c r="I605" s="4"/>
      <c r="J605" s="4"/>
      <c r="K605" s="4">
        <v>207</v>
      </c>
      <c r="L605" s="4">
        <v>21</v>
      </c>
      <c r="M605" s="4">
        <v>3</v>
      </c>
      <c r="N605" s="4" t="s">
        <v>3</v>
      </c>
      <c r="O605" s="4">
        <v>-1</v>
      </c>
      <c r="P605" s="4"/>
      <c r="Q605" s="4"/>
      <c r="R605" s="4"/>
      <c r="S605" s="4"/>
      <c r="T605" s="4"/>
      <c r="U605" s="4"/>
      <c r="V605" s="4"/>
      <c r="W605" s="4"/>
    </row>
    <row r="606" spans="1:23" x14ac:dyDescent="0.2">
      <c r="A606" s="4">
        <v>50</v>
      </c>
      <c r="B606" s="4">
        <v>0</v>
      </c>
      <c r="C606" s="4">
        <v>0</v>
      </c>
      <c r="D606" s="4">
        <v>1</v>
      </c>
      <c r="E606" s="4">
        <v>208</v>
      </c>
      <c r="F606" s="4">
        <f>Source!V583</f>
        <v>0</v>
      </c>
      <c r="G606" s="4" t="s">
        <v>131</v>
      </c>
      <c r="H606" s="4" t="s">
        <v>132</v>
      </c>
      <c r="I606" s="4"/>
      <c r="J606" s="4"/>
      <c r="K606" s="4">
        <v>208</v>
      </c>
      <c r="L606" s="4">
        <v>22</v>
      </c>
      <c r="M606" s="4">
        <v>3</v>
      </c>
      <c r="N606" s="4" t="s">
        <v>3</v>
      </c>
      <c r="O606" s="4">
        <v>-1</v>
      </c>
      <c r="P606" s="4"/>
      <c r="Q606" s="4"/>
      <c r="R606" s="4"/>
      <c r="S606" s="4"/>
      <c r="T606" s="4"/>
      <c r="U606" s="4"/>
      <c r="V606" s="4"/>
      <c r="W606" s="4"/>
    </row>
    <row r="607" spans="1:23" x14ac:dyDescent="0.2">
      <c r="A607" s="4">
        <v>50</v>
      </c>
      <c r="B607" s="4">
        <v>0</v>
      </c>
      <c r="C607" s="4">
        <v>0</v>
      </c>
      <c r="D607" s="4">
        <v>1</v>
      </c>
      <c r="E607" s="4">
        <v>209</v>
      </c>
      <c r="F607" s="4">
        <f>ROUND(Source!W583,O607)</f>
        <v>0</v>
      </c>
      <c r="G607" s="4" t="s">
        <v>133</v>
      </c>
      <c r="H607" s="4" t="s">
        <v>134</v>
      </c>
      <c r="I607" s="4"/>
      <c r="J607" s="4"/>
      <c r="K607" s="4">
        <v>209</v>
      </c>
      <c r="L607" s="4">
        <v>23</v>
      </c>
      <c r="M607" s="4">
        <v>3</v>
      </c>
      <c r="N607" s="4" t="s">
        <v>3</v>
      </c>
      <c r="O607" s="4">
        <v>2</v>
      </c>
      <c r="P607" s="4"/>
      <c r="Q607" s="4"/>
      <c r="R607" s="4"/>
      <c r="S607" s="4"/>
      <c r="T607" s="4"/>
      <c r="U607" s="4"/>
      <c r="V607" s="4"/>
      <c r="W607" s="4"/>
    </row>
    <row r="608" spans="1:23" x14ac:dyDescent="0.2">
      <c r="A608" s="4">
        <v>50</v>
      </c>
      <c r="B608" s="4">
        <v>0</v>
      </c>
      <c r="C608" s="4">
        <v>0</v>
      </c>
      <c r="D608" s="4">
        <v>1</v>
      </c>
      <c r="E608" s="4">
        <v>233</v>
      </c>
      <c r="F608" s="4">
        <f>ROUND(Source!BD583,O608)</f>
        <v>0</v>
      </c>
      <c r="G608" s="4" t="s">
        <v>135</v>
      </c>
      <c r="H608" s="4" t="s">
        <v>136</v>
      </c>
      <c r="I608" s="4"/>
      <c r="J608" s="4"/>
      <c r="K608" s="4">
        <v>233</v>
      </c>
      <c r="L608" s="4">
        <v>24</v>
      </c>
      <c r="M608" s="4">
        <v>3</v>
      </c>
      <c r="N608" s="4" t="s">
        <v>3</v>
      </c>
      <c r="O608" s="4">
        <v>2</v>
      </c>
      <c r="P608" s="4"/>
      <c r="Q608" s="4"/>
      <c r="R608" s="4"/>
      <c r="S608" s="4"/>
      <c r="T608" s="4"/>
      <c r="U608" s="4"/>
      <c r="V608" s="4"/>
      <c r="W608" s="4"/>
    </row>
    <row r="609" spans="1:206" x14ac:dyDescent="0.2">
      <c r="A609" s="4">
        <v>50</v>
      </c>
      <c r="B609" s="4">
        <v>0</v>
      </c>
      <c r="C609" s="4">
        <v>0</v>
      </c>
      <c r="D609" s="4">
        <v>1</v>
      </c>
      <c r="E609" s="4">
        <v>210</v>
      </c>
      <c r="F609" s="4">
        <f>ROUND(Source!X583,O609)</f>
        <v>157282.98000000001</v>
      </c>
      <c r="G609" s="4" t="s">
        <v>137</v>
      </c>
      <c r="H609" s="4" t="s">
        <v>138</v>
      </c>
      <c r="I609" s="4"/>
      <c r="J609" s="4"/>
      <c r="K609" s="4">
        <v>210</v>
      </c>
      <c r="L609" s="4">
        <v>25</v>
      </c>
      <c r="M609" s="4">
        <v>3</v>
      </c>
      <c r="N609" s="4" t="s">
        <v>3</v>
      </c>
      <c r="O609" s="4">
        <v>2</v>
      </c>
      <c r="P609" s="4"/>
      <c r="Q609" s="4"/>
      <c r="R609" s="4"/>
      <c r="S609" s="4"/>
      <c r="T609" s="4"/>
      <c r="U609" s="4"/>
      <c r="V609" s="4"/>
      <c r="W609" s="4"/>
    </row>
    <row r="610" spans="1:206" x14ac:dyDescent="0.2">
      <c r="A610" s="4">
        <v>50</v>
      </c>
      <c r="B610" s="4">
        <v>0</v>
      </c>
      <c r="C610" s="4">
        <v>0</v>
      </c>
      <c r="D610" s="4">
        <v>1</v>
      </c>
      <c r="E610" s="4">
        <v>211</v>
      </c>
      <c r="F610" s="4">
        <f>ROUND(Source!Y583,O610)</f>
        <v>72473.539999999994</v>
      </c>
      <c r="G610" s="4" t="s">
        <v>139</v>
      </c>
      <c r="H610" s="4" t="s">
        <v>140</v>
      </c>
      <c r="I610" s="4"/>
      <c r="J610" s="4"/>
      <c r="K610" s="4">
        <v>211</v>
      </c>
      <c r="L610" s="4">
        <v>26</v>
      </c>
      <c r="M610" s="4">
        <v>3</v>
      </c>
      <c r="N610" s="4" t="s">
        <v>3</v>
      </c>
      <c r="O610" s="4">
        <v>2</v>
      </c>
      <c r="P610" s="4"/>
      <c r="Q610" s="4"/>
      <c r="R610" s="4"/>
      <c r="S610" s="4"/>
      <c r="T610" s="4"/>
      <c r="U610" s="4"/>
      <c r="V610" s="4"/>
      <c r="W610" s="4"/>
    </row>
    <row r="611" spans="1:206" x14ac:dyDescent="0.2">
      <c r="A611" s="4">
        <v>50</v>
      </c>
      <c r="B611" s="4">
        <v>0</v>
      </c>
      <c r="C611" s="4">
        <v>0</v>
      </c>
      <c r="D611" s="4">
        <v>1</v>
      </c>
      <c r="E611" s="4">
        <v>224</v>
      </c>
      <c r="F611" s="4">
        <f>ROUND(Source!AR583,O611)</f>
        <v>803508.44</v>
      </c>
      <c r="G611" s="4" t="s">
        <v>141</v>
      </c>
      <c r="H611" s="4" t="s">
        <v>142</v>
      </c>
      <c r="I611" s="4"/>
      <c r="J611" s="4"/>
      <c r="K611" s="4">
        <v>224</v>
      </c>
      <c r="L611" s="4">
        <v>27</v>
      </c>
      <c r="M611" s="4">
        <v>3</v>
      </c>
      <c r="N611" s="4" t="s">
        <v>3</v>
      </c>
      <c r="O611" s="4">
        <v>2</v>
      </c>
      <c r="P611" s="4"/>
      <c r="Q611" s="4"/>
      <c r="R611" s="4"/>
      <c r="S611" s="4"/>
      <c r="T611" s="4"/>
      <c r="U611" s="4"/>
      <c r="V611" s="4"/>
      <c r="W611" s="4"/>
    </row>
    <row r="612" spans="1:206" x14ac:dyDescent="0.2">
      <c r="A612" s="4">
        <v>50</v>
      </c>
      <c r="B612" s="4">
        <v>1</v>
      </c>
      <c r="C612" s="4">
        <v>0</v>
      </c>
      <c r="D612" s="4">
        <v>2</v>
      </c>
      <c r="E612" s="4">
        <v>0</v>
      </c>
      <c r="F612" s="4">
        <f>ROUND(F611*1.2,O612)</f>
        <v>964210.13</v>
      </c>
      <c r="G612" s="4" t="s">
        <v>15</v>
      </c>
      <c r="H612" s="4" t="s">
        <v>170</v>
      </c>
      <c r="I612" s="4"/>
      <c r="J612" s="4"/>
      <c r="K612" s="4">
        <v>212</v>
      </c>
      <c r="L612" s="4">
        <v>28</v>
      </c>
      <c r="M612" s="4">
        <v>0</v>
      </c>
      <c r="N612" s="4" t="s">
        <v>3</v>
      </c>
      <c r="O612" s="4">
        <v>2</v>
      </c>
      <c r="P612" s="4"/>
      <c r="Q612" s="4"/>
      <c r="R612" s="4"/>
      <c r="S612" s="4"/>
      <c r="T612" s="4"/>
      <c r="U612" s="4"/>
      <c r="V612" s="4"/>
      <c r="W612" s="4"/>
    </row>
    <row r="614" spans="1:206" x14ac:dyDescent="0.2">
      <c r="A614" s="1">
        <v>4</v>
      </c>
      <c r="B614" s="1">
        <v>1</v>
      </c>
      <c r="C614" s="1"/>
      <c r="D614" s="1">
        <f>ROW(A618)</f>
        <v>618</v>
      </c>
      <c r="E614" s="1"/>
      <c r="F614" s="1" t="s">
        <v>13</v>
      </c>
      <c r="G614" s="1" t="s">
        <v>387</v>
      </c>
      <c r="H614" s="1" t="s">
        <v>3</v>
      </c>
      <c r="I614" s="1">
        <v>0</v>
      </c>
      <c r="J614" s="1"/>
      <c r="K614" s="1">
        <v>0</v>
      </c>
      <c r="L614" s="1"/>
      <c r="M614" s="1"/>
      <c r="N614" s="1"/>
      <c r="O614" s="1"/>
      <c r="P614" s="1"/>
      <c r="Q614" s="1"/>
      <c r="R614" s="1"/>
      <c r="S614" s="1"/>
      <c r="T614" s="1"/>
      <c r="U614" s="1" t="s">
        <v>3</v>
      </c>
      <c r="V614" s="1">
        <v>0</v>
      </c>
      <c r="W614" s="1"/>
      <c r="X614" s="1"/>
      <c r="Y614" s="1"/>
      <c r="Z614" s="1"/>
      <c r="AA614" s="1"/>
      <c r="AB614" s="1" t="s">
        <v>3</v>
      </c>
      <c r="AC614" s="1" t="s">
        <v>3</v>
      </c>
      <c r="AD614" s="1" t="s">
        <v>3</v>
      </c>
      <c r="AE614" s="1" t="s">
        <v>3</v>
      </c>
      <c r="AF614" s="1" t="s">
        <v>3</v>
      </c>
      <c r="AG614" s="1" t="s">
        <v>3</v>
      </c>
      <c r="AH614" s="1"/>
      <c r="AI614" s="1"/>
      <c r="AJ614" s="1"/>
      <c r="AK614" s="1"/>
      <c r="AL614" s="1"/>
      <c r="AM614" s="1"/>
      <c r="AN614" s="1"/>
      <c r="AO614" s="1"/>
      <c r="AP614" s="1" t="s">
        <v>3</v>
      </c>
      <c r="AQ614" s="1" t="s">
        <v>3</v>
      </c>
      <c r="AR614" s="1" t="s">
        <v>3</v>
      </c>
      <c r="AS614" s="1"/>
      <c r="AT614" s="1"/>
      <c r="AU614" s="1"/>
      <c r="AV614" s="1"/>
      <c r="AW614" s="1"/>
      <c r="AX614" s="1"/>
      <c r="AY614" s="1"/>
      <c r="AZ614" s="1" t="s">
        <v>3</v>
      </c>
      <c r="BA614" s="1"/>
      <c r="BB614" s="1" t="s">
        <v>3</v>
      </c>
      <c r="BC614" s="1" t="s">
        <v>3</v>
      </c>
      <c r="BD614" s="1" t="s">
        <v>3</v>
      </c>
      <c r="BE614" s="1" t="s">
        <v>3</v>
      </c>
      <c r="BF614" s="1" t="s">
        <v>3</v>
      </c>
      <c r="BG614" s="1" t="s">
        <v>3</v>
      </c>
      <c r="BH614" s="1" t="s">
        <v>3</v>
      </c>
      <c r="BI614" s="1" t="s">
        <v>3</v>
      </c>
      <c r="BJ614" s="1" t="s">
        <v>3</v>
      </c>
      <c r="BK614" s="1" t="s">
        <v>3</v>
      </c>
      <c r="BL614" s="1" t="s">
        <v>3</v>
      </c>
      <c r="BM614" s="1" t="s">
        <v>3</v>
      </c>
      <c r="BN614" s="1" t="s">
        <v>3</v>
      </c>
      <c r="BO614" s="1" t="s">
        <v>3</v>
      </c>
      <c r="BP614" s="1" t="s">
        <v>3</v>
      </c>
      <c r="BQ614" s="1"/>
      <c r="BR614" s="1"/>
      <c r="BS614" s="1"/>
      <c r="BT614" s="1"/>
      <c r="BU614" s="1"/>
      <c r="BV614" s="1"/>
      <c r="BW614" s="1"/>
      <c r="BX614" s="1">
        <v>0</v>
      </c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>
        <v>0</v>
      </c>
    </row>
    <row r="616" spans="1:206" x14ac:dyDescent="0.2">
      <c r="A616" s="2">
        <v>52</v>
      </c>
      <c r="B616" s="2">
        <f t="shared" ref="B616:G616" si="494">B618</f>
        <v>1</v>
      </c>
      <c r="C616" s="2">
        <f t="shared" si="494"/>
        <v>4</v>
      </c>
      <c r="D616" s="2">
        <f t="shared" si="494"/>
        <v>614</v>
      </c>
      <c r="E616" s="2">
        <f t="shared" si="494"/>
        <v>0</v>
      </c>
      <c r="F616" s="2" t="str">
        <f t="shared" si="494"/>
        <v>Новый раздел</v>
      </c>
      <c r="G616" s="2" t="str">
        <f t="shared" si="494"/>
        <v>26.1. Текущий ремонт пешеходного покрытия из бетонной плитки</v>
      </c>
      <c r="H616" s="2"/>
      <c r="I616" s="2"/>
      <c r="J616" s="2"/>
      <c r="K616" s="2"/>
      <c r="L616" s="2"/>
      <c r="M616" s="2"/>
      <c r="N616" s="2"/>
      <c r="O616" s="2">
        <f t="shared" ref="O616:AT616" si="495">O618</f>
        <v>0</v>
      </c>
      <c r="P616" s="2">
        <f t="shared" si="495"/>
        <v>0</v>
      </c>
      <c r="Q616" s="2">
        <f t="shared" si="495"/>
        <v>0</v>
      </c>
      <c r="R616" s="2">
        <f t="shared" si="495"/>
        <v>0</v>
      </c>
      <c r="S616" s="2">
        <f t="shared" si="495"/>
        <v>0</v>
      </c>
      <c r="T616" s="2">
        <f t="shared" si="495"/>
        <v>0</v>
      </c>
      <c r="U616" s="2">
        <f t="shared" si="495"/>
        <v>0</v>
      </c>
      <c r="V616" s="2">
        <f t="shared" si="495"/>
        <v>0</v>
      </c>
      <c r="W616" s="2">
        <f t="shared" si="495"/>
        <v>0</v>
      </c>
      <c r="X616" s="2">
        <f t="shared" si="495"/>
        <v>0</v>
      </c>
      <c r="Y616" s="2">
        <f t="shared" si="495"/>
        <v>0</v>
      </c>
      <c r="Z616" s="2">
        <f t="shared" si="495"/>
        <v>0</v>
      </c>
      <c r="AA616" s="2">
        <f t="shared" si="495"/>
        <v>0</v>
      </c>
      <c r="AB616" s="2">
        <f t="shared" si="495"/>
        <v>0</v>
      </c>
      <c r="AC616" s="2">
        <f t="shared" si="495"/>
        <v>0</v>
      </c>
      <c r="AD616" s="2">
        <f t="shared" si="495"/>
        <v>0</v>
      </c>
      <c r="AE616" s="2">
        <f t="shared" si="495"/>
        <v>0</v>
      </c>
      <c r="AF616" s="2">
        <f t="shared" si="495"/>
        <v>0</v>
      </c>
      <c r="AG616" s="2">
        <f t="shared" si="495"/>
        <v>0</v>
      </c>
      <c r="AH616" s="2">
        <f t="shared" si="495"/>
        <v>0</v>
      </c>
      <c r="AI616" s="2">
        <f t="shared" si="495"/>
        <v>0</v>
      </c>
      <c r="AJ616" s="2">
        <f t="shared" si="495"/>
        <v>0</v>
      </c>
      <c r="AK616" s="2">
        <f t="shared" si="495"/>
        <v>0</v>
      </c>
      <c r="AL616" s="2">
        <f t="shared" si="495"/>
        <v>0</v>
      </c>
      <c r="AM616" s="2">
        <f t="shared" si="495"/>
        <v>0</v>
      </c>
      <c r="AN616" s="2">
        <f t="shared" si="495"/>
        <v>0</v>
      </c>
      <c r="AO616" s="2">
        <f t="shared" si="495"/>
        <v>0</v>
      </c>
      <c r="AP616" s="2">
        <f t="shared" si="495"/>
        <v>0</v>
      </c>
      <c r="AQ616" s="2">
        <f t="shared" si="495"/>
        <v>0</v>
      </c>
      <c r="AR616" s="2">
        <f t="shared" si="495"/>
        <v>0</v>
      </c>
      <c r="AS616" s="2">
        <f t="shared" si="495"/>
        <v>0</v>
      </c>
      <c r="AT616" s="2">
        <f t="shared" si="495"/>
        <v>0</v>
      </c>
      <c r="AU616" s="2">
        <f t="shared" ref="AU616:BZ616" si="496">AU618</f>
        <v>0</v>
      </c>
      <c r="AV616" s="2">
        <f t="shared" si="496"/>
        <v>0</v>
      </c>
      <c r="AW616" s="2">
        <f t="shared" si="496"/>
        <v>0</v>
      </c>
      <c r="AX616" s="2">
        <f t="shared" si="496"/>
        <v>0</v>
      </c>
      <c r="AY616" s="2">
        <f t="shared" si="496"/>
        <v>0</v>
      </c>
      <c r="AZ616" s="2">
        <f t="shared" si="496"/>
        <v>0</v>
      </c>
      <c r="BA616" s="2">
        <f t="shared" si="496"/>
        <v>0</v>
      </c>
      <c r="BB616" s="2">
        <f t="shared" si="496"/>
        <v>0</v>
      </c>
      <c r="BC616" s="2">
        <f t="shared" si="496"/>
        <v>0</v>
      </c>
      <c r="BD616" s="2">
        <f t="shared" si="496"/>
        <v>0</v>
      </c>
      <c r="BE616" s="2">
        <f t="shared" si="496"/>
        <v>0</v>
      </c>
      <c r="BF616" s="2">
        <f t="shared" si="496"/>
        <v>0</v>
      </c>
      <c r="BG616" s="2">
        <f t="shared" si="496"/>
        <v>0</v>
      </c>
      <c r="BH616" s="2">
        <f t="shared" si="496"/>
        <v>0</v>
      </c>
      <c r="BI616" s="2">
        <f t="shared" si="496"/>
        <v>0</v>
      </c>
      <c r="BJ616" s="2">
        <f t="shared" si="496"/>
        <v>0</v>
      </c>
      <c r="BK616" s="2">
        <f t="shared" si="496"/>
        <v>0</v>
      </c>
      <c r="BL616" s="2">
        <f t="shared" si="496"/>
        <v>0</v>
      </c>
      <c r="BM616" s="2">
        <f t="shared" si="496"/>
        <v>0</v>
      </c>
      <c r="BN616" s="2">
        <f t="shared" si="496"/>
        <v>0</v>
      </c>
      <c r="BO616" s="2">
        <f t="shared" si="496"/>
        <v>0</v>
      </c>
      <c r="BP616" s="2">
        <f t="shared" si="496"/>
        <v>0</v>
      </c>
      <c r="BQ616" s="2">
        <f t="shared" si="496"/>
        <v>0</v>
      </c>
      <c r="BR616" s="2">
        <f t="shared" si="496"/>
        <v>0</v>
      </c>
      <c r="BS616" s="2">
        <f t="shared" si="496"/>
        <v>0</v>
      </c>
      <c r="BT616" s="2">
        <f t="shared" si="496"/>
        <v>0</v>
      </c>
      <c r="BU616" s="2">
        <f t="shared" si="496"/>
        <v>0</v>
      </c>
      <c r="BV616" s="2">
        <f t="shared" si="496"/>
        <v>0</v>
      </c>
      <c r="BW616" s="2">
        <f t="shared" si="496"/>
        <v>0</v>
      </c>
      <c r="BX616" s="2">
        <f t="shared" si="496"/>
        <v>0</v>
      </c>
      <c r="BY616" s="2">
        <f t="shared" si="496"/>
        <v>0</v>
      </c>
      <c r="BZ616" s="2">
        <f t="shared" si="496"/>
        <v>0</v>
      </c>
      <c r="CA616" s="2">
        <f t="shared" ref="CA616:DF616" si="497">CA618</f>
        <v>0</v>
      </c>
      <c r="CB616" s="2">
        <f t="shared" si="497"/>
        <v>0</v>
      </c>
      <c r="CC616" s="2">
        <f t="shared" si="497"/>
        <v>0</v>
      </c>
      <c r="CD616" s="2">
        <f t="shared" si="497"/>
        <v>0</v>
      </c>
      <c r="CE616" s="2">
        <f t="shared" si="497"/>
        <v>0</v>
      </c>
      <c r="CF616" s="2">
        <f t="shared" si="497"/>
        <v>0</v>
      </c>
      <c r="CG616" s="2">
        <f t="shared" si="497"/>
        <v>0</v>
      </c>
      <c r="CH616" s="2">
        <f t="shared" si="497"/>
        <v>0</v>
      </c>
      <c r="CI616" s="2">
        <f t="shared" si="497"/>
        <v>0</v>
      </c>
      <c r="CJ616" s="2">
        <f t="shared" si="497"/>
        <v>0</v>
      </c>
      <c r="CK616" s="2">
        <f t="shared" si="497"/>
        <v>0</v>
      </c>
      <c r="CL616" s="2">
        <f t="shared" si="497"/>
        <v>0</v>
      </c>
      <c r="CM616" s="2">
        <f t="shared" si="497"/>
        <v>0</v>
      </c>
      <c r="CN616" s="2">
        <f t="shared" si="497"/>
        <v>0</v>
      </c>
      <c r="CO616" s="2">
        <f t="shared" si="497"/>
        <v>0</v>
      </c>
      <c r="CP616" s="2">
        <f t="shared" si="497"/>
        <v>0</v>
      </c>
      <c r="CQ616" s="2">
        <f t="shared" si="497"/>
        <v>0</v>
      </c>
      <c r="CR616" s="2">
        <f t="shared" si="497"/>
        <v>0</v>
      </c>
      <c r="CS616" s="2">
        <f t="shared" si="497"/>
        <v>0</v>
      </c>
      <c r="CT616" s="2">
        <f t="shared" si="497"/>
        <v>0</v>
      </c>
      <c r="CU616" s="2">
        <f t="shared" si="497"/>
        <v>0</v>
      </c>
      <c r="CV616" s="2">
        <f t="shared" si="497"/>
        <v>0</v>
      </c>
      <c r="CW616" s="2">
        <f t="shared" si="497"/>
        <v>0</v>
      </c>
      <c r="CX616" s="2">
        <f t="shared" si="497"/>
        <v>0</v>
      </c>
      <c r="CY616" s="2">
        <f t="shared" si="497"/>
        <v>0</v>
      </c>
      <c r="CZ616" s="2">
        <f t="shared" si="497"/>
        <v>0</v>
      </c>
      <c r="DA616" s="2">
        <f t="shared" si="497"/>
        <v>0</v>
      </c>
      <c r="DB616" s="2">
        <f t="shared" si="497"/>
        <v>0</v>
      </c>
      <c r="DC616" s="2">
        <f t="shared" si="497"/>
        <v>0</v>
      </c>
      <c r="DD616" s="2">
        <f t="shared" si="497"/>
        <v>0</v>
      </c>
      <c r="DE616" s="2">
        <f t="shared" si="497"/>
        <v>0</v>
      </c>
      <c r="DF616" s="2">
        <f t="shared" si="497"/>
        <v>0</v>
      </c>
      <c r="DG616" s="3">
        <f t="shared" ref="DG616:EL616" si="498">DG618</f>
        <v>0</v>
      </c>
      <c r="DH616" s="3">
        <f t="shared" si="498"/>
        <v>0</v>
      </c>
      <c r="DI616" s="3">
        <f t="shared" si="498"/>
        <v>0</v>
      </c>
      <c r="DJ616" s="3">
        <f t="shared" si="498"/>
        <v>0</v>
      </c>
      <c r="DK616" s="3">
        <f t="shared" si="498"/>
        <v>0</v>
      </c>
      <c r="DL616" s="3">
        <f t="shared" si="498"/>
        <v>0</v>
      </c>
      <c r="DM616" s="3">
        <f t="shared" si="498"/>
        <v>0</v>
      </c>
      <c r="DN616" s="3">
        <f t="shared" si="498"/>
        <v>0</v>
      </c>
      <c r="DO616" s="3">
        <f t="shared" si="498"/>
        <v>0</v>
      </c>
      <c r="DP616" s="3">
        <f t="shared" si="498"/>
        <v>0</v>
      </c>
      <c r="DQ616" s="3">
        <f t="shared" si="498"/>
        <v>0</v>
      </c>
      <c r="DR616" s="3">
        <f t="shared" si="498"/>
        <v>0</v>
      </c>
      <c r="DS616" s="3">
        <f t="shared" si="498"/>
        <v>0</v>
      </c>
      <c r="DT616" s="3">
        <f t="shared" si="498"/>
        <v>0</v>
      </c>
      <c r="DU616" s="3">
        <f t="shared" si="498"/>
        <v>0</v>
      </c>
      <c r="DV616" s="3">
        <f t="shared" si="498"/>
        <v>0</v>
      </c>
      <c r="DW616" s="3">
        <f t="shared" si="498"/>
        <v>0</v>
      </c>
      <c r="DX616" s="3">
        <f t="shared" si="498"/>
        <v>0</v>
      </c>
      <c r="DY616" s="3">
        <f t="shared" si="498"/>
        <v>0</v>
      </c>
      <c r="DZ616" s="3">
        <f t="shared" si="498"/>
        <v>0</v>
      </c>
      <c r="EA616" s="3">
        <f t="shared" si="498"/>
        <v>0</v>
      </c>
      <c r="EB616" s="3">
        <f t="shared" si="498"/>
        <v>0</v>
      </c>
      <c r="EC616" s="3">
        <f t="shared" si="498"/>
        <v>0</v>
      </c>
      <c r="ED616" s="3">
        <f t="shared" si="498"/>
        <v>0</v>
      </c>
      <c r="EE616" s="3">
        <f t="shared" si="498"/>
        <v>0</v>
      </c>
      <c r="EF616" s="3">
        <f t="shared" si="498"/>
        <v>0</v>
      </c>
      <c r="EG616" s="3">
        <f t="shared" si="498"/>
        <v>0</v>
      </c>
      <c r="EH616" s="3">
        <f t="shared" si="498"/>
        <v>0</v>
      </c>
      <c r="EI616" s="3">
        <f t="shared" si="498"/>
        <v>0</v>
      </c>
      <c r="EJ616" s="3">
        <f t="shared" si="498"/>
        <v>0</v>
      </c>
      <c r="EK616" s="3">
        <f t="shared" si="498"/>
        <v>0</v>
      </c>
      <c r="EL616" s="3">
        <f t="shared" si="498"/>
        <v>0</v>
      </c>
      <c r="EM616" s="3">
        <f t="shared" ref="EM616:FR616" si="499">EM618</f>
        <v>0</v>
      </c>
      <c r="EN616" s="3">
        <f t="shared" si="499"/>
        <v>0</v>
      </c>
      <c r="EO616" s="3">
        <f t="shared" si="499"/>
        <v>0</v>
      </c>
      <c r="EP616" s="3">
        <f t="shared" si="499"/>
        <v>0</v>
      </c>
      <c r="EQ616" s="3">
        <f t="shared" si="499"/>
        <v>0</v>
      </c>
      <c r="ER616" s="3">
        <f t="shared" si="499"/>
        <v>0</v>
      </c>
      <c r="ES616" s="3">
        <f t="shared" si="499"/>
        <v>0</v>
      </c>
      <c r="ET616" s="3">
        <f t="shared" si="499"/>
        <v>0</v>
      </c>
      <c r="EU616" s="3">
        <f t="shared" si="499"/>
        <v>0</v>
      </c>
      <c r="EV616" s="3">
        <f t="shared" si="499"/>
        <v>0</v>
      </c>
      <c r="EW616" s="3">
        <f t="shared" si="499"/>
        <v>0</v>
      </c>
      <c r="EX616" s="3">
        <f t="shared" si="499"/>
        <v>0</v>
      </c>
      <c r="EY616" s="3">
        <f t="shared" si="499"/>
        <v>0</v>
      </c>
      <c r="EZ616" s="3">
        <f t="shared" si="499"/>
        <v>0</v>
      </c>
      <c r="FA616" s="3">
        <f t="shared" si="499"/>
        <v>0</v>
      </c>
      <c r="FB616" s="3">
        <f t="shared" si="499"/>
        <v>0</v>
      </c>
      <c r="FC616" s="3">
        <f t="shared" si="499"/>
        <v>0</v>
      </c>
      <c r="FD616" s="3">
        <f t="shared" si="499"/>
        <v>0</v>
      </c>
      <c r="FE616" s="3">
        <f t="shared" si="499"/>
        <v>0</v>
      </c>
      <c r="FF616" s="3">
        <f t="shared" si="499"/>
        <v>0</v>
      </c>
      <c r="FG616" s="3">
        <f t="shared" si="499"/>
        <v>0</v>
      </c>
      <c r="FH616" s="3">
        <f t="shared" si="499"/>
        <v>0</v>
      </c>
      <c r="FI616" s="3">
        <f t="shared" si="499"/>
        <v>0</v>
      </c>
      <c r="FJ616" s="3">
        <f t="shared" si="499"/>
        <v>0</v>
      </c>
      <c r="FK616" s="3">
        <f t="shared" si="499"/>
        <v>0</v>
      </c>
      <c r="FL616" s="3">
        <f t="shared" si="499"/>
        <v>0</v>
      </c>
      <c r="FM616" s="3">
        <f t="shared" si="499"/>
        <v>0</v>
      </c>
      <c r="FN616" s="3">
        <f t="shared" si="499"/>
        <v>0</v>
      </c>
      <c r="FO616" s="3">
        <f t="shared" si="499"/>
        <v>0</v>
      </c>
      <c r="FP616" s="3">
        <f t="shared" si="499"/>
        <v>0</v>
      </c>
      <c r="FQ616" s="3">
        <f t="shared" si="499"/>
        <v>0</v>
      </c>
      <c r="FR616" s="3">
        <f t="shared" si="499"/>
        <v>0</v>
      </c>
      <c r="FS616" s="3">
        <f t="shared" ref="FS616:GX616" si="500">FS618</f>
        <v>0</v>
      </c>
      <c r="FT616" s="3">
        <f t="shared" si="500"/>
        <v>0</v>
      </c>
      <c r="FU616" s="3">
        <f t="shared" si="500"/>
        <v>0</v>
      </c>
      <c r="FV616" s="3">
        <f t="shared" si="500"/>
        <v>0</v>
      </c>
      <c r="FW616" s="3">
        <f t="shared" si="500"/>
        <v>0</v>
      </c>
      <c r="FX616" s="3">
        <f t="shared" si="500"/>
        <v>0</v>
      </c>
      <c r="FY616" s="3">
        <f t="shared" si="500"/>
        <v>0</v>
      </c>
      <c r="FZ616" s="3">
        <f t="shared" si="500"/>
        <v>0</v>
      </c>
      <c r="GA616" s="3">
        <f t="shared" si="500"/>
        <v>0</v>
      </c>
      <c r="GB616" s="3">
        <f t="shared" si="500"/>
        <v>0</v>
      </c>
      <c r="GC616" s="3">
        <f t="shared" si="500"/>
        <v>0</v>
      </c>
      <c r="GD616" s="3">
        <f t="shared" si="500"/>
        <v>0</v>
      </c>
      <c r="GE616" s="3">
        <f t="shared" si="500"/>
        <v>0</v>
      </c>
      <c r="GF616" s="3">
        <f t="shared" si="500"/>
        <v>0</v>
      </c>
      <c r="GG616" s="3">
        <f t="shared" si="500"/>
        <v>0</v>
      </c>
      <c r="GH616" s="3">
        <f t="shared" si="500"/>
        <v>0</v>
      </c>
      <c r="GI616" s="3">
        <f t="shared" si="500"/>
        <v>0</v>
      </c>
      <c r="GJ616" s="3">
        <f t="shared" si="500"/>
        <v>0</v>
      </c>
      <c r="GK616" s="3">
        <f t="shared" si="500"/>
        <v>0</v>
      </c>
      <c r="GL616" s="3">
        <f t="shared" si="500"/>
        <v>0</v>
      </c>
      <c r="GM616" s="3">
        <f t="shared" si="500"/>
        <v>0</v>
      </c>
      <c r="GN616" s="3">
        <f t="shared" si="500"/>
        <v>0</v>
      </c>
      <c r="GO616" s="3">
        <f t="shared" si="500"/>
        <v>0</v>
      </c>
      <c r="GP616" s="3">
        <f t="shared" si="500"/>
        <v>0</v>
      </c>
      <c r="GQ616" s="3">
        <f t="shared" si="500"/>
        <v>0</v>
      </c>
      <c r="GR616" s="3">
        <f t="shared" si="500"/>
        <v>0</v>
      </c>
      <c r="GS616" s="3">
        <f t="shared" si="500"/>
        <v>0</v>
      </c>
      <c r="GT616" s="3">
        <f t="shared" si="500"/>
        <v>0</v>
      </c>
      <c r="GU616" s="3">
        <f t="shared" si="500"/>
        <v>0</v>
      </c>
      <c r="GV616" s="3">
        <f t="shared" si="500"/>
        <v>0</v>
      </c>
      <c r="GW616" s="3">
        <f t="shared" si="500"/>
        <v>0</v>
      </c>
      <c r="GX616" s="3">
        <f t="shared" si="500"/>
        <v>0</v>
      </c>
    </row>
    <row r="618" spans="1:206" x14ac:dyDescent="0.2">
      <c r="A618" s="2">
        <v>51</v>
      </c>
      <c r="B618" s="2">
        <f>B614</f>
        <v>1</v>
      </c>
      <c r="C618" s="2">
        <f>A614</f>
        <v>4</v>
      </c>
      <c r="D618" s="2">
        <f>ROW(A614)</f>
        <v>614</v>
      </c>
      <c r="E618" s="2"/>
      <c r="F618" s="2" t="str">
        <f>IF(F614&lt;&gt;"",F614,"")</f>
        <v>Новый раздел</v>
      </c>
      <c r="G618" s="2" t="str">
        <f>IF(G614&lt;&gt;"",G614,"")</f>
        <v>26.1. Текущий ремонт пешеходного покрытия из бетонной плитки</v>
      </c>
      <c r="H618" s="2">
        <v>0</v>
      </c>
      <c r="I618" s="2"/>
      <c r="J618" s="2"/>
      <c r="K618" s="2"/>
      <c r="L618" s="2"/>
      <c r="M618" s="2"/>
      <c r="N618" s="2"/>
      <c r="O618" s="2">
        <f t="shared" ref="O618:T618" si="501">ROUND(AB618,2)</f>
        <v>0</v>
      </c>
      <c r="P618" s="2">
        <f t="shared" si="501"/>
        <v>0</v>
      </c>
      <c r="Q618" s="2">
        <f t="shared" si="501"/>
        <v>0</v>
      </c>
      <c r="R618" s="2">
        <f t="shared" si="501"/>
        <v>0</v>
      </c>
      <c r="S618" s="2">
        <f t="shared" si="501"/>
        <v>0</v>
      </c>
      <c r="T618" s="2">
        <f t="shared" si="501"/>
        <v>0</v>
      </c>
      <c r="U618" s="2">
        <f>AH618</f>
        <v>0</v>
      </c>
      <c r="V618" s="2">
        <f>AI618</f>
        <v>0</v>
      </c>
      <c r="W618" s="2">
        <f>ROUND(AJ618,2)</f>
        <v>0</v>
      </c>
      <c r="X618" s="2">
        <f>ROUND(AK618,2)</f>
        <v>0</v>
      </c>
      <c r="Y618" s="2">
        <f>ROUND(AL618,2)</f>
        <v>0</v>
      </c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>
        <f t="shared" ref="AO618:BD618" si="502">ROUND(BX618,2)</f>
        <v>0</v>
      </c>
      <c r="AP618" s="2">
        <f t="shared" si="502"/>
        <v>0</v>
      </c>
      <c r="AQ618" s="2">
        <f t="shared" si="502"/>
        <v>0</v>
      </c>
      <c r="AR618" s="2">
        <f t="shared" si="502"/>
        <v>0</v>
      </c>
      <c r="AS618" s="2">
        <f t="shared" si="502"/>
        <v>0</v>
      </c>
      <c r="AT618" s="2">
        <f t="shared" si="502"/>
        <v>0</v>
      </c>
      <c r="AU618" s="2">
        <f t="shared" si="502"/>
        <v>0</v>
      </c>
      <c r="AV618" s="2">
        <f t="shared" si="502"/>
        <v>0</v>
      </c>
      <c r="AW618" s="2">
        <f t="shared" si="502"/>
        <v>0</v>
      </c>
      <c r="AX618" s="2">
        <f t="shared" si="502"/>
        <v>0</v>
      </c>
      <c r="AY618" s="2">
        <f t="shared" si="502"/>
        <v>0</v>
      </c>
      <c r="AZ618" s="2">
        <f t="shared" si="502"/>
        <v>0</v>
      </c>
      <c r="BA618" s="2">
        <f t="shared" si="502"/>
        <v>0</v>
      </c>
      <c r="BB618" s="2">
        <f t="shared" si="502"/>
        <v>0</v>
      </c>
      <c r="BC618" s="2">
        <f t="shared" si="502"/>
        <v>0</v>
      </c>
      <c r="BD618" s="2">
        <f t="shared" si="502"/>
        <v>0</v>
      </c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  <c r="GU618" s="3"/>
      <c r="GV618" s="3"/>
      <c r="GW618" s="3"/>
      <c r="GX618" s="3">
        <v>0</v>
      </c>
    </row>
    <row r="620" spans="1:206" x14ac:dyDescent="0.2">
      <c r="A620" s="4">
        <v>50</v>
      </c>
      <c r="B620" s="4">
        <v>0</v>
      </c>
      <c r="C620" s="4">
        <v>0</v>
      </c>
      <c r="D620" s="4">
        <v>1</v>
      </c>
      <c r="E620" s="4">
        <v>201</v>
      </c>
      <c r="F620" s="4">
        <f>ROUND(Source!O618,O620)</f>
        <v>0</v>
      </c>
      <c r="G620" s="4" t="s">
        <v>89</v>
      </c>
      <c r="H620" s="4" t="s">
        <v>90</v>
      </c>
      <c r="I620" s="4"/>
      <c r="J620" s="4"/>
      <c r="K620" s="4">
        <v>201</v>
      </c>
      <c r="L620" s="4">
        <v>1</v>
      </c>
      <c r="M620" s="4">
        <v>3</v>
      </c>
      <c r="N620" s="4" t="s">
        <v>3</v>
      </c>
      <c r="O620" s="4">
        <v>2</v>
      </c>
      <c r="P620" s="4"/>
      <c r="Q620" s="4"/>
      <c r="R620" s="4"/>
      <c r="S620" s="4"/>
      <c r="T620" s="4"/>
      <c r="U620" s="4"/>
      <c r="V620" s="4"/>
      <c r="W620" s="4"/>
    </row>
    <row r="621" spans="1:206" x14ac:dyDescent="0.2">
      <c r="A621" s="4">
        <v>50</v>
      </c>
      <c r="B621" s="4">
        <v>0</v>
      </c>
      <c r="C621" s="4">
        <v>0</v>
      </c>
      <c r="D621" s="4">
        <v>1</v>
      </c>
      <c r="E621" s="4">
        <v>202</v>
      </c>
      <c r="F621" s="4">
        <f>ROUND(Source!P618,O621)</f>
        <v>0</v>
      </c>
      <c r="G621" s="4" t="s">
        <v>91</v>
      </c>
      <c r="H621" s="4" t="s">
        <v>92</v>
      </c>
      <c r="I621" s="4"/>
      <c r="J621" s="4"/>
      <c r="K621" s="4">
        <v>202</v>
      </c>
      <c r="L621" s="4">
        <v>2</v>
      </c>
      <c r="M621" s="4">
        <v>3</v>
      </c>
      <c r="N621" s="4" t="s">
        <v>3</v>
      </c>
      <c r="O621" s="4">
        <v>2</v>
      </c>
      <c r="P621" s="4"/>
      <c r="Q621" s="4"/>
      <c r="R621" s="4"/>
      <c r="S621" s="4"/>
      <c r="T621" s="4"/>
      <c r="U621" s="4"/>
      <c r="V621" s="4"/>
      <c r="W621" s="4"/>
    </row>
    <row r="622" spans="1:206" x14ac:dyDescent="0.2">
      <c r="A622" s="4">
        <v>50</v>
      </c>
      <c r="B622" s="4">
        <v>0</v>
      </c>
      <c r="C622" s="4">
        <v>0</v>
      </c>
      <c r="D622" s="4">
        <v>1</v>
      </c>
      <c r="E622" s="4">
        <v>222</v>
      </c>
      <c r="F622" s="4">
        <f>ROUND(Source!AO618,O622)</f>
        <v>0</v>
      </c>
      <c r="G622" s="4" t="s">
        <v>93</v>
      </c>
      <c r="H622" s="4" t="s">
        <v>94</v>
      </c>
      <c r="I622" s="4"/>
      <c r="J622" s="4"/>
      <c r="K622" s="4">
        <v>222</v>
      </c>
      <c r="L622" s="4">
        <v>3</v>
      </c>
      <c r="M622" s="4">
        <v>3</v>
      </c>
      <c r="N622" s="4" t="s">
        <v>3</v>
      </c>
      <c r="O622" s="4">
        <v>2</v>
      </c>
      <c r="P622" s="4"/>
      <c r="Q622" s="4"/>
      <c r="R622" s="4"/>
      <c r="S622" s="4"/>
      <c r="T622" s="4"/>
      <c r="U622" s="4"/>
      <c r="V622" s="4"/>
      <c r="W622" s="4"/>
    </row>
    <row r="623" spans="1:206" x14ac:dyDescent="0.2">
      <c r="A623" s="4">
        <v>50</v>
      </c>
      <c r="B623" s="4">
        <v>0</v>
      </c>
      <c r="C623" s="4">
        <v>0</v>
      </c>
      <c r="D623" s="4">
        <v>1</v>
      </c>
      <c r="E623" s="4">
        <v>225</v>
      </c>
      <c r="F623" s="4">
        <f>ROUND(Source!AV618,O623)</f>
        <v>0</v>
      </c>
      <c r="G623" s="4" t="s">
        <v>95</v>
      </c>
      <c r="H623" s="4" t="s">
        <v>96</v>
      </c>
      <c r="I623" s="4"/>
      <c r="J623" s="4"/>
      <c r="K623" s="4">
        <v>225</v>
      </c>
      <c r="L623" s="4">
        <v>4</v>
      </c>
      <c r="M623" s="4">
        <v>3</v>
      </c>
      <c r="N623" s="4" t="s">
        <v>3</v>
      </c>
      <c r="O623" s="4">
        <v>2</v>
      </c>
      <c r="P623" s="4"/>
      <c r="Q623" s="4"/>
      <c r="R623" s="4"/>
      <c r="S623" s="4"/>
      <c r="T623" s="4"/>
      <c r="U623" s="4"/>
      <c r="V623" s="4"/>
      <c r="W623" s="4"/>
    </row>
    <row r="624" spans="1:206" x14ac:dyDescent="0.2">
      <c r="A624" s="4">
        <v>50</v>
      </c>
      <c r="B624" s="4">
        <v>0</v>
      </c>
      <c r="C624" s="4">
        <v>0</v>
      </c>
      <c r="D624" s="4">
        <v>1</v>
      </c>
      <c r="E624" s="4">
        <v>226</v>
      </c>
      <c r="F624" s="4">
        <f>ROUND(Source!AW618,O624)</f>
        <v>0</v>
      </c>
      <c r="G624" s="4" t="s">
        <v>97</v>
      </c>
      <c r="H624" s="4" t="s">
        <v>98</v>
      </c>
      <c r="I624" s="4"/>
      <c r="J624" s="4"/>
      <c r="K624" s="4">
        <v>226</v>
      </c>
      <c r="L624" s="4">
        <v>5</v>
      </c>
      <c r="M624" s="4">
        <v>3</v>
      </c>
      <c r="N624" s="4" t="s">
        <v>3</v>
      </c>
      <c r="O624" s="4">
        <v>2</v>
      </c>
      <c r="P624" s="4"/>
      <c r="Q624" s="4"/>
      <c r="R624" s="4"/>
      <c r="S624" s="4"/>
      <c r="T624" s="4"/>
      <c r="U624" s="4"/>
      <c r="V624" s="4"/>
      <c r="W624" s="4"/>
    </row>
    <row r="625" spans="1:23" x14ac:dyDescent="0.2">
      <c r="A625" s="4">
        <v>50</v>
      </c>
      <c r="B625" s="4">
        <v>0</v>
      </c>
      <c r="C625" s="4">
        <v>0</v>
      </c>
      <c r="D625" s="4">
        <v>1</v>
      </c>
      <c r="E625" s="4">
        <v>227</v>
      </c>
      <c r="F625" s="4">
        <f>ROUND(Source!AX618,O625)</f>
        <v>0</v>
      </c>
      <c r="G625" s="4" t="s">
        <v>99</v>
      </c>
      <c r="H625" s="4" t="s">
        <v>100</v>
      </c>
      <c r="I625" s="4"/>
      <c r="J625" s="4"/>
      <c r="K625" s="4">
        <v>227</v>
      </c>
      <c r="L625" s="4">
        <v>6</v>
      </c>
      <c r="M625" s="4">
        <v>3</v>
      </c>
      <c r="N625" s="4" t="s">
        <v>3</v>
      </c>
      <c r="O625" s="4">
        <v>2</v>
      </c>
      <c r="P625" s="4"/>
      <c r="Q625" s="4"/>
      <c r="R625" s="4"/>
      <c r="S625" s="4"/>
      <c r="T625" s="4"/>
      <c r="U625" s="4"/>
      <c r="V625" s="4"/>
      <c r="W625" s="4"/>
    </row>
    <row r="626" spans="1:23" x14ac:dyDescent="0.2">
      <c r="A626" s="4">
        <v>50</v>
      </c>
      <c r="B626" s="4">
        <v>0</v>
      </c>
      <c r="C626" s="4">
        <v>0</v>
      </c>
      <c r="D626" s="4">
        <v>1</v>
      </c>
      <c r="E626" s="4">
        <v>228</v>
      </c>
      <c r="F626" s="4">
        <f>ROUND(Source!AY618,O626)</f>
        <v>0</v>
      </c>
      <c r="G626" s="4" t="s">
        <v>101</v>
      </c>
      <c r="H626" s="4" t="s">
        <v>102</v>
      </c>
      <c r="I626" s="4"/>
      <c r="J626" s="4"/>
      <c r="K626" s="4">
        <v>228</v>
      </c>
      <c r="L626" s="4">
        <v>7</v>
      </c>
      <c r="M626" s="4">
        <v>3</v>
      </c>
      <c r="N626" s="4" t="s">
        <v>3</v>
      </c>
      <c r="O626" s="4">
        <v>2</v>
      </c>
      <c r="P626" s="4"/>
      <c r="Q626" s="4"/>
      <c r="R626" s="4"/>
      <c r="S626" s="4"/>
      <c r="T626" s="4"/>
      <c r="U626" s="4"/>
      <c r="V626" s="4"/>
      <c r="W626" s="4"/>
    </row>
    <row r="627" spans="1:23" x14ac:dyDescent="0.2">
      <c r="A627" s="4">
        <v>50</v>
      </c>
      <c r="B627" s="4">
        <v>0</v>
      </c>
      <c r="C627" s="4">
        <v>0</v>
      </c>
      <c r="D627" s="4">
        <v>1</v>
      </c>
      <c r="E627" s="4">
        <v>216</v>
      </c>
      <c r="F627" s="4">
        <f>ROUND(Source!AP618,O627)</f>
        <v>0</v>
      </c>
      <c r="G627" s="4" t="s">
        <v>103</v>
      </c>
      <c r="H627" s="4" t="s">
        <v>104</v>
      </c>
      <c r="I627" s="4"/>
      <c r="J627" s="4"/>
      <c r="K627" s="4">
        <v>216</v>
      </c>
      <c r="L627" s="4">
        <v>8</v>
      </c>
      <c r="M627" s="4">
        <v>3</v>
      </c>
      <c r="N627" s="4" t="s">
        <v>3</v>
      </c>
      <c r="O627" s="4">
        <v>2</v>
      </c>
      <c r="P627" s="4"/>
      <c r="Q627" s="4"/>
      <c r="R627" s="4"/>
      <c r="S627" s="4"/>
      <c r="T627" s="4"/>
      <c r="U627" s="4"/>
      <c r="V627" s="4"/>
      <c r="W627" s="4"/>
    </row>
    <row r="628" spans="1:23" x14ac:dyDescent="0.2">
      <c r="A628" s="4">
        <v>50</v>
      </c>
      <c r="B628" s="4">
        <v>0</v>
      </c>
      <c r="C628" s="4">
        <v>0</v>
      </c>
      <c r="D628" s="4">
        <v>1</v>
      </c>
      <c r="E628" s="4">
        <v>223</v>
      </c>
      <c r="F628" s="4">
        <f>ROUND(Source!AQ618,O628)</f>
        <v>0</v>
      </c>
      <c r="G628" s="4" t="s">
        <v>105</v>
      </c>
      <c r="H628" s="4" t="s">
        <v>106</v>
      </c>
      <c r="I628" s="4"/>
      <c r="J628" s="4"/>
      <c r="K628" s="4">
        <v>223</v>
      </c>
      <c r="L628" s="4">
        <v>9</v>
      </c>
      <c r="M628" s="4">
        <v>3</v>
      </c>
      <c r="N628" s="4" t="s">
        <v>3</v>
      </c>
      <c r="O628" s="4">
        <v>2</v>
      </c>
      <c r="P628" s="4"/>
      <c r="Q628" s="4"/>
      <c r="R628" s="4"/>
      <c r="S628" s="4"/>
      <c r="T628" s="4"/>
      <c r="U628" s="4"/>
      <c r="V628" s="4"/>
      <c r="W628" s="4"/>
    </row>
    <row r="629" spans="1:23" x14ac:dyDescent="0.2">
      <c r="A629" s="4">
        <v>50</v>
      </c>
      <c r="B629" s="4">
        <v>0</v>
      </c>
      <c r="C629" s="4">
        <v>0</v>
      </c>
      <c r="D629" s="4">
        <v>1</v>
      </c>
      <c r="E629" s="4">
        <v>229</v>
      </c>
      <c r="F629" s="4">
        <f>ROUND(Source!AZ618,O629)</f>
        <v>0</v>
      </c>
      <c r="G629" s="4" t="s">
        <v>107</v>
      </c>
      <c r="H629" s="4" t="s">
        <v>108</v>
      </c>
      <c r="I629" s="4"/>
      <c r="J629" s="4"/>
      <c r="K629" s="4">
        <v>229</v>
      </c>
      <c r="L629" s="4">
        <v>10</v>
      </c>
      <c r="M629" s="4">
        <v>3</v>
      </c>
      <c r="N629" s="4" t="s">
        <v>3</v>
      </c>
      <c r="O629" s="4">
        <v>2</v>
      </c>
      <c r="P629" s="4"/>
      <c r="Q629" s="4"/>
      <c r="R629" s="4"/>
      <c r="S629" s="4"/>
      <c r="T629" s="4"/>
      <c r="U629" s="4"/>
      <c r="V629" s="4"/>
      <c r="W629" s="4"/>
    </row>
    <row r="630" spans="1:23" x14ac:dyDescent="0.2">
      <c r="A630" s="4">
        <v>50</v>
      </c>
      <c r="B630" s="4">
        <v>0</v>
      </c>
      <c r="C630" s="4">
        <v>0</v>
      </c>
      <c r="D630" s="4">
        <v>1</v>
      </c>
      <c r="E630" s="4">
        <v>203</v>
      </c>
      <c r="F630" s="4">
        <f>ROUND(Source!Q618,O630)</f>
        <v>0</v>
      </c>
      <c r="G630" s="4" t="s">
        <v>109</v>
      </c>
      <c r="H630" s="4" t="s">
        <v>110</v>
      </c>
      <c r="I630" s="4"/>
      <c r="J630" s="4"/>
      <c r="K630" s="4">
        <v>203</v>
      </c>
      <c r="L630" s="4">
        <v>11</v>
      </c>
      <c r="M630" s="4">
        <v>3</v>
      </c>
      <c r="N630" s="4" t="s">
        <v>3</v>
      </c>
      <c r="O630" s="4">
        <v>2</v>
      </c>
      <c r="P630" s="4"/>
      <c r="Q630" s="4"/>
      <c r="R630" s="4"/>
      <c r="S630" s="4"/>
      <c r="T630" s="4"/>
      <c r="U630" s="4"/>
      <c r="V630" s="4"/>
      <c r="W630" s="4"/>
    </row>
    <row r="631" spans="1:23" x14ac:dyDescent="0.2">
      <c r="A631" s="4">
        <v>50</v>
      </c>
      <c r="B631" s="4">
        <v>0</v>
      </c>
      <c r="C631" s="4">
        <v>0</v>
      </c>
      <c r="D631" s="4">
        <v>1</v>
      </c>
      <c r="E631" s="4">
        <v>231</v>
      </c>
      <c r="F631" s="4">
        <f>ROUND(Source!BB618,O631)</f>
        <v>0</v>
      </c>
      <c r="G631" s="4" t="s">
        <v>111</v>
      </c>
      <c r="H631" s="4" t="s">
        <v>112</v>
      </c>
      <c r="I631" s="4"/>
      <c r="J631" s="4"/>
      <c r="K631" s="4">
        <v>231</v>
      </c>
      <c r="L631" s="4">
        <v>12</v>
      </c>
      <c r="M631" s="4">
        <v>3</v>
      </c>
      <c r="N631" s="4" t="s">
        <v>3</v>
      </c>
      <c r="O631" s="4">
        <v>2</v>
      </c>
      <c r="P631" s="4"/>
      <c r="Q631" s="4"/>
      <c r="R631" s="4"/>
      <c r="S631" s="4"/>
      <c r="T631" s="4"/>
      <c r="U631" s="4"/>
      <c r="V631" s="4"/>
      <c r="W631" s="4"/>
    </row>
    <row r="632" spans="1:23" x14ac:dyDescent="0.2">
      <c r="A632" s="4">
        <v>50</v>
      </c>
      <c r="B632" s="4">
        <v>0</v>
      </c>
      <c r="C632" s="4">
        <v>0</v>
      </c>
      <c r="D632" s="4">
        <v>1</v>
      </c>
      <c r="E632" s="4">
        <v>204</v>
      </c>
      <c r="F632" s="4">
        <f>ROUND(Source!R618,O632)</f>
        <v>0</v>
      </c>
      <c r="G632" s="4" t="s">
        <v>113</v>
      </c>
      <c r="H632" s="4" t="s">
        <v>114</v>
      </c>
      <c r="I632" s="4"/>
      <c r="J632" s="4"/>
      <c r="K632" s="4">
        <v>204</v>
      </c>
      <c r="L632" s="4">
        <v>13</v>
      </c>
      <c r="M632" s="4">
        <v>3</v>
      </c>
      <c r="N632" s="4" t="s">
        <v>3</v>
      </c>
      <c r="O632" s="4">
        <v>2</v>
      </c>
      <c r="P632" s="4"/>
      <c r="Q632" s="4"/>
      <c r="R632" s="4"/>
      <c r="S632" s="4"/>
      <c r="T632" s="4"/>
      <c r="U632" s="4"/>
      <c r="V632" s="4"/>
      <c r="W632" s="4"/>
    </row>
    <row r="633" spans="1:23" x14ac:dyDescent="0.2">
      <c r="A633" s="4">
        <v>50</v>
      </c>
      <c r="B633" s="4">
        <v>0</v>
      </c>
      <c r="C633" s="4">
        <v>0</v>
      </c>
      <c r="D633" s="4">
        <v>1</v>
      </c>
      <c r="E633" s="4">
        <v>205</v>
      </c>
      <c r="F633" s="4">
        <f>ROUND(Source!S618,O633)</f>
        <v>0</v>
      </c>
      <c r="G633" s="4" t="s">
        <v>115</v>
      </c>
      <c r="H633" s="4" t="s">
        <v>116</v>
      </c>
      <c r="I633" s="4"/>
      <c r="J633" s="4"/>
      <c r="K633" s="4">
        <v>205</v>
      </c>
      <c r="L633" s="4">
        <v>14</v>
      </c>
      <c r="M633" s="4">
        <v>3</v>
      </c>
      <c r="N633" s="4" t="s">
        <v>3</v>
      </c>
      <c r="O633" s="4">
        <v>2</v>
      </c>
      <c r="P633" s="4"/>
      <c r="Q633" s="4"/>
      <c r="R633" s="4"/>
      <c r="S633" s="4"/>
      <c r="T633" s="4"/>
      <c r="U633" s="4"/>
      <c r="V633" s="4"/>
      <c r="W633" s="4"/>
    </row>
    <row r="634" spans="1:23" x14ac:dyDescent="0.2">
      <c r="A634" s="4">
        <v>50</v>
      </c>
      <c r="B634" s="4">
        <v>0</v>
      </c>
      <c r="C634" s="4">
        <v>0</v>
      </c>
      <c r="D634" s="4">
        <v>1</v>
      </c>
      <c r="E634" s="4">
        <v>232</v>
      </c>
      <c r="F634" s="4">
        <f>ROUND(Source!BC618,O634)</f>
        <v>0</v>
      </c>
      <c r="G634" s="4" t="s">
        <v>117</v>
      </c>
      <c r="H634" s="4" t="s">
        <v>118</v>
      </c>
      <c r="I634" s="4"/>
      <c r="J634" s="4"/>
      <c r="K634" s="4">
        <v>232</v>
      </c>
      <c r="L634" s="4">
        <v>15</v>
      </c>
      <c r="M634" s="4">
        <v>3</v>
      </c>
      <c r="N634" s="4" t="s">
        <v>3</v>
      </c>
      <c r="O634" s="4">
        <v>2</v>
      </c>
      <c r="P634" s="4"/>
      <c r="Q634" s="4"/>
      <c r="R634" s="4"/>
      <c r="S634" s="4"/>
      <c r="T634" s="4"/>
      <c r="U634" s="4"/>
      <c r="V634" s="4"/>
      <c r="W634" s="4"/>
    </row>
    <row r="635" spans="1:23" x14ac:dyDescent="0.2">
      <c r="A635" s="4">
        <v>50</v>
      </c>
      <c r="B635" s="4">
        <v>0</v>
      </c>
      <c r="C635" s="4">
        <v>0</v>
      </c>
      <c r="D635" s="4">
        <v>1</v>
      </c>
      <c r="E635" s="4">
        <v>214</v>
      </c>
      <c r="F635" s="4">
        <f>ROUND(Source!AS618,O635)</f>
        <v>0</v>
      </c>
      <c r="G635" s="4" t="s">
        <v>119</v>
      </c>
      <c r="H635" s="4" t="s">
        <v>120</v>
      </c>
      <c r="I635" s="4"/>
      <c r="J635" s="4"/>
      <c r="K635" s="4">
        <v>214</v>
      </c>
      <c r="L635" s="4">
        <v>16</v>
      </c>
      <c r="M635" s="4">
        <v>3</v>
      </c>
      <c r="N635" s="4" t="s">
        <v>3</v>
      </c>
      <c r="O635" s="4">
        <v>2</v>
      </c>
      <c r="P635" s="4"/>
      <c r="Q635" s="4"/>
      <c r="R635" s="4"/>
      <c r="S635" s="4"/>
      <c r="T635" s="4"/>
      <c r="U635" s="4"/>
      <c r="V635" s="4"/>
      <c r="W635" s="4"/>
    </row>
    <row r="636" spans="1:23" x14ac:dyDescent="0.2">
      <c r="A636" s="4">
        <v>50</v>
      </c>
      <c r="B636" s="4">
        <v>0</v>
      </c>
      <c r="C636" s="4">
        <v>0</v>
      </c>
      <c r="D636" s="4">
        <v>1</v>
      </c>
      <c r="E636" s="4">
        <v>215</v>
      </c>
      <c r="F636" s="4">
        <f>ROUND(Source!AT618,O636)</f>
        <v>0</v>
      </c>
      <c r="G636" s="4" t="s">
        <v>121</v>
      </c>
      <c r="H636" s="4" t="s">
        <v>122</v>
      </c>
      <c r="I636" s="4"/>
      <c r="J636" s="4"/>
      <c r="K636" s="4">
        <v>215</v>
      </c>
      <c r="L636" s="4">
        <v>17</v>
      </c>
      <c r="M636" s="4">
        <v>3</v>
      </c>
      <c r="N636" s="4" t="s">
        <v>3</v>
      </c>
      <c r="O636" s="4">
        <v>2</v>
      </c>
      <c r="P636" s="4"/>
      <c r="Q636" s="4"/>
      <c r="R636" s="4"/>
      <c r="S636" s="4"/>
      <c r="T636" s="4"/>
      <c r="U636" s="4"/>
      <c r="V636" s="4"/>
      <c r="W636" s="4"/>
    </row>
    <row r="637" spans="1:23" x14ac:dyDescent="0.2">
      <c r="A637" s="4">
        <v>50</v>
      </c>
      <c r="B637" s="4">
        <v>0</v>
      </c>
      <c r="C637" s="4">
        <v>0</v>
      </c>
      <c r="D637" s="4">
        <v>1</v>
      </c>
      <c r="E637" s="4">
        <v>217</v>
      </c>
      <c r="F637" s="4">
        <f>ROUND(Source!AU618,O637)</f>
        <v>0</v>
      </c>
      <c r="G637" s="4" t="s">
        <v>123</v>
      </c>
      <c r="H637" s="4" t="s">
        <v>124</v>
      </c>
      <c r="I637" s="4"/>
      <c r="J637" s="4"/>
      <c r="K637" s="4">
        <v>217</v>
      </c>
      <c r="L637" s="4">
        <v>18</v>
      </c>
      <c r="M637" s="4">
        <v>3</v>
      </c>
      <c r="N637" s="4" t="s">
        <v>3</v>
      </c>
      <c r="O637" s="4">
        <v>2</v>
      </c>
      <c r="P637" s="4"/>
      <c r="Q637" s="4"/>
      <c r="R637" s="4"/>
      <c r="S637" s="4"/>
      <c r="T637" s="4"/>
      <c r="U637" s="4"/>
      <c r="V637" s="4"/>
      <c r="W637" s="4"/>
    </row>
    <row r="638" spans="1:23" x14ac:dyDescent="0.2">
      <c r="A638" s="4">
        <v>50</v>
      </c>
      <c r="B638" s="4">
        <v>0</v>
      </c>
      <c r="C638" s="4">
        <v>0</v>
      </c>
      <c r="D638" s="4">
        <v>1</v>
      </c>
      <c r="E638" s="4">
        <v>230</v>
      </c>
      <c r="F638" s="4">
        <f>ROUND(Source!BA618,O638)</f>
        <v>0</v>
      </c>
      <c r="G638" s="4" t="s">
        <v>125</v>
      </c>
      <c r="H638" s="4" t="s">
        <v>126</v>
      </c>
      <c r="I638" s="4"/>
      <c r="J638" s="4"/>
      <c r="K638" s="4">
        <v>230</v>
      </c>
      <c r="L638" s="4">
        <v>19</v>
      </c>
      <c r="M638" s="4">
        <v>3</v>
      </c>
      <c r="N638" s="4" t="s">
        <v>3</v>
      </c>
      <c r="O638" s="4">
        <v>2</v>
      </c>
      <c r="P638" s="4"/>
      <c r="Q638" s="4"/>
      <c r="R638" s="4"/>
      <c r="S638" s="4"/>
      <c r="T638" s="4"/>
      <c r="U638" s="4"/>
      <c r="V638" s="4"/>
      <c r="W638" s="4"/>
    </row>
    <row r="639" spans="1:23" x14ac:dyDescent="0.2">
      <c r="A639" s="4">
        <v>50</v>
      </c>
      <c r="B639" s="4">
        <v>0</v>
      </c>
      <c r="C639" s="4">
        <v>0</v>
      </c>
      <c r="D639" s="4">
        <v>1</v>
      </c>
      <c r="E639" s="4">
        <v>206</v>
      </c>
      <c r="F639" s="4">
        <f>ROUND(Source!T618,O639)</f>
        <v>0</v>
      </c>
      <c r="G639" s="4" t="s">
        <v>127</v>
      </c>
      <c r="H639" s="4" t="s">
        <v>128</v>
      </c>
      <c r="I639" s="4"/>
      <c r="J639" s="4"/>
      <c r="K639" s="4">
        <v>206</v>
      </c>
      <c r="L639" s="4">
        <v>20</v>
      </c>
      <c r="M639" s="4">
        <v>3</v>
      </c>
      <c r="N639" s="4" t="s">
        <v>3</v>
      </c>
      <c r="O639" s="4">
        <v>2</v>
      </c>
      <c r="P639" s="4"/>
      <c r="Q639" s="4"/>
      <c r="R639" s="4"/>
      <c r="S639" s="4"/>
      <c r="T639" s="4"/>
      <c r="U639" s="4"/>
      <c r="V639" s="4"/>
      <c r="W639" s="4"/>
    </row>
    <row r="640" spans="1:23" x14ac:dyDescent="0.2">
      <c r="A640" s="4">
        <v>50</v>
      </c>
      <c r="B640" s="4">
        <v>0</v>
      </c>
      <c r="C640" s="4">
        <v>0</v>
      </c>
      <c r="D640" s="4">
        <v>1</v>
      </c>
      <c r="E640" s="4">
        <v>207</v>
      </c>
      <c r="F640" s="4">
        <f>Source!U618</f>
        <v>0</v>
      </c>
      <c r="G640" s="4" t="s">
        <v>129</v>
      </c>
      <c r="H640" s="4" t="s">
        <v>130</v>
      </c>
      <c r="I640" s="4"/>
      <c r="J640" s="4"/>
      <c r="K640" s="4">
        <v>207</v>
      </c>
      <c r="L640" s="4">
        <v>21</v>
      </c>
      <c r="M640" s="4">
        <v>3</v>
      </c>
      <c r="N640" s="4" t="s">
        <v>3</v>
      </c>
      <c r="O640" s="4">
        <v>-1</v>
      </c>
      <c r="P640" s="4"/>
      <c r="Q640" s="4"/>
      <c r="R640" s="4"/>
      <c r="S640" s="4"/>
      <c r="T640" s="4"/>
      <c r="U640" s="4"/>
      <c r="V640" s="4"/>
      <c r="W640" s="4"/>
    </row>
    <row r="641" spans="1:245" x14ac:dyDescent="0.2">
      <c r="A641" s="4">
        <v>50</v>
      </c>
      <c r="B641" s="4">
        <v>0</v>
      </c>
      <c r="C641" s="4">
        <v>0</v>
      </c>
      <c r="D641" s="4">
        <v>1</v>
      </c>
      <c r="E641" s="4">
        <v>208</v>
      </c>
      <c r="F641" s="4">
        <f>Source!V618</f>
        <v>0</v>
      </c>
      <c r="G641" s="4" t="s">
        <v>131</v>
      </c>
      <c r="H641" s="4" t="s">
        <v>132</v>
      </c>
      <c r="I641" s="4"/>
      <c r="J641" s="4"/>
      <c r="K641" s="4">
        <v>208</v>
      </c>
      <c r="L641" s="4">
        <v>22</v>
      </c>
      <c r="M641" s="4">
        <v>3</v>
      </c>
      <c r="N641" s="4" t="s">
        <v>3</v>
      </c>
      <c r="O641" s="4">
        <v>-1</v>
      </c>
      <c r="P641" s="4"/>
      <c r="Q641" s="4"/>
      <c r="R641" s="4"/>
      <c r="S641" s="4"/>
      <c r="T641" s="4"/>
      <c r="U641" s="4"/>
      <c r="V641" s="4"/>
      <c r="W641" s="4"/>
    </row>
    <row r="642" spans="1:245" x14ac:dyDescent="0.2">
      <c r="A642" s="4">
        <v>50</v>
      </c>
      <c r="B642" s="4">
        <v>0</v>
      </c>
      <c r="C642" s="4">
        <v>0</v>
      </c>
      <c r="D642" s="4">
        <v>1</v>
      </c>
      <c r="E642" s="4">
        <v>209</v>
      </c>
      <c r="F642" s="4">
        <f>ROUND(Source!W618,O642)</f>
        <v>0</v>
      </c>
      <c r="G642" s="4" t="s">
        <v>133</v>
      </c>
      <c r="H642" s="4" t="s">
        <v>134</v>
      </c>
      <c r="I642" s="4"/>
      <c r="J642" s="4"/>
      <c r="K642" s="4">
        <v>209</v>
      </c>
      <c r="L642" s="4">
        <v>23</v>
      </c>
      <c r="M642" s="4">
        <v>3</v>
      </c>
      <c r="N642" s="4" t="s">
        <v>3</v>
      </c>
      <c r="O642" s="4">
        <v>2</v>
      </c>
      <c r="P642" s="4"/>
      <c r="Q642" s="4"/>
      <c r="R642" s="4"/>
      <c r="S642" s="4"/>
      <c r="T642" s="4"/>
      <c r="U642" s="4"/>
      <c r="V642" s="4"/>
      <c r="W642" s="4"/>
    </row>
    <row r="643" spans="1:245" x14ac:dyDescent="0.2">
      <c r="A643" s="4">
        <v>50</v>
      </c>
      <c r="B643" s="4">
        <v>0</v>
      </c>
      <c r="C643" s="4">
        <v>0</v>
      </c>
      <c r="D643" s="4">
        <v>1</v>
      </c>
      <c r="E643" s="4">
        <v>233</v>
      </c>
      <c r="F643" s="4">
        <f>ROUND(Source!BD618,O643)</f>
        <v>0</v>
      </c>
      <c r="G643" s="4" t="s">
        <v>135</v>
      </c>
      <c r="H643" s="4" t="s">
        <v>136</v>
      </c>
      <c r="I643" s="4"/>
      <c r="J643" s="4"/>
      <c r="K643" s="4">
        <v>233</v>
      </c>
      <c r="L643" s="4">
        <v>24</v>
      </c>
      <c r="M643" s="4">
        <v>3</v>
      </c>
      <c r="N643" s="4" t="s">
        <v>3</v>
      </c>
      <c r="O643" s="4">
        <v>2</v>
      </c>
      <c r="P643" s="4"/>
      <c r="Q643" s="4"/>
      <c r="R643" s="4"/>
      <c r="S643" s="4"/>
      <c r="T643" s="4"/>
      <c r="U643" s="4"/>
      <c r="V643" s="4"/>
      <c r="W643" s="4"/>
    </row>
    <row r="644" spans="1:245" x14ac:dyDescent="0.2">
      <c r="A644" s="4">
        <v>50</v>
      </c>
      <c r="B644" s="4">
        <v>0</v>
      </c>
      <c r="C644" s="4">
        <v>0</v>
      </c>
      <c r="D644" s="4">
        <v>1</v>
      </c>
      <c r="E644" s="4">
        <v>210</v>
      </c>
      <c r="F644" s="4">
        <f>ROUND(Source!X618,O644)</f>
        <v>0</v>
      </c>
      <c r="G644" s="4" t="s">
        <v>137</v>
      </c>
      <c r="H644" s="4" t="s">
        <v>138</v>
      </c>
      <c r="I644" s="4"/>
      <c r="J644" s="4"/>
      <c r="K644" s="4">
        <v>210</v>
      </c>
      <c r="L644" s="4">
        <v>25</v>
      </c>
      <c r="M644" s="4">
        <v>3</v>
      </c>
      <c r="N644" s="4" t="s">
        <v>3</v>
      </c>
      <c r="O644" s="4">
        <v>2</v>
      </c>
      <c r="P644" s="4"/>
      <c r="Q644" s="4"/>
      <c r="R644" s="4"/>
      <c r="S644" s="4"/>
      <c r="T644" s="4"/>
      <c r="U644" s="4"/>
      <c r="V644" s="4"/>
      <c r="W644" s="4"/>
    </row>
    <row r="645" spans="1:245" x14ac:dyDescent="0.2">
      <c r="A645" s="4">
        <v>50</v>
      </c>
      <c r="B645" s="4">
        <v>0</v>
      </c>
      <c r="C645" s="4">
        <v>0</v>
      </c>
      <c r="D645" s="4">
        <v>1</v>
      </c>
      <c r="E645" s="4">
        <v>211</v>
      </c>
      <c r="F645" s="4">
        <f>ROUND(Source!Y618,O645)</f>
        <v>0</v>
      </c>
      <c r="G645" s="4" t="s">
        <v>139</v>
      </c>
      <c r="H645" s="4" t="s">
        <v>140</v>
      </c>
      <c r="I645" s="4"/>
      <c r="J645" s="4"/>
      <c r="K645" s="4">
        <v>211</v>
      </c>
      <c r="L645" s="4">
        <v>26</v>
      </c>
      <c r="M645" s="4">
        <v>3</v>
      </c>
      <c r="N645" s="4" t="s">
        <v>3</v>
      </c>
      <c r="O645" s="4">
        <v>2</v>
      </c>
      <c r="P645" s="4"/>
      <c r="Q645" s="4"/>
      <c r="R645" s="4"/>
      <c r="S645" s="4"/>
      <c r="T645" s="4"/>
      <c r="U645" s="4"/>
      <c r="V645" s="4"/>
      <c r="W645" s="4"/>
    </row>
    <row r="646" spans="1:245" x14ac:dyDescent="0.2">
      <c r="A646" s="4">
        <v>50</v>
      </c>
      <c r="B646" s="4">
        <v>0</v>
      </c>
      <c r="C646" s="4">
        <v>0</v>
      </c>
      <c r="D646" s="4">
        <v>1</v>
      </c>
      <c r="E646" s="4">
        <v>224</v>
      </c>
      <c r="F646" s="4">
        <f>ROUND(Source!AR618,O646)</f>
        <v>0</v>
      </c>
      <c r="G646" s="4" t="s">
        <v>141</v>
      </c>
      <c r="H646" s="4" t="s">
        <v>142</v>
      </c>
      <c r="I646" s="4"/>
      <c r="J646" s="4"/>
      <c r="K646" s="4">
        <v>224</v>
      </c>
      <c r="L646" s="4">
        <v>27</v>
      </c>
      <c r="M646" s="4">
        <v>3</v>
      </c>
      <c r="N646" s="4" t="s">
        <v>3</v>
      </c>
      <c r="O646" s="4">
        <v>2</v>
      </c>
      <c r="P646" s="4"/>
      <c r="Q646" s="4"/>
      <c r="R646" s="4"/>
      <c r="S646" s="4"/>
      <c r="T646" s="4"/>
      <c r="U646" s="4"/>
      <c r="V646" s="4"/>
      <c r="W646" s="4"/>
    </row>
    <row r="648" spans="1:245" x14ac:dyDescent="0.2">
      <c r="A648" s="1">
        <v>4</v>
      </c>
      <c r="B648" s="1">
        <v>1</v>
      </c>
      <c r="C648" s="1"/>
      <c r="D648" s="1">
        <f>ROW(A666)</f>
        <v>666</v>
      </c>
      <c r="E648" s="1"/>
      <c r="F648" s="1" t="s">
        <v>13</v>
      </c>
      <c r="G648" s="1" t="s">
        <v>388</v>
      </c>
      <c r="H648" s="1" t="s">
        <v>3</v>
      </c>
      <c r="I648" s="1">
        <v>0</v>
      </c>
      <c r="J648" s="1"/>
      <c r="K648" s="1">
        <v>-1</v>
      </c>
      <c r="L648" s="1"/>
      <c r="M648" s="1"/>
      <c r="N648" s="1"/>
      <c r="O648" s="1"/>
      <c r="P648" s="1"/>
      <c r="Q648" s="1"/>
      <c r="R648" s="1"/>
      <c r="S648" s="1"/>
      <c r="T648" s="1"/>
      <c r="U648" s="1" t="s">
        <v>3</v>
      </c>
      <c r="V648" s="1">
        <v>0</v>
      </c>
      <c r="W648" s="1"/>
      <c r="X648" s="1"/>
      <c r="Y648" s="1"/>
      <c r="Z648" s="1"/>
      <c r="AA648" s="1"/>
      <c r="AB648" s="1" t="s">
        <v>3</v>
      </c>
      <c r="AC648" s="1" t="s">
        <v>3</v>
      </c>
      <c r="AD648" s="1" t="s">
        <v>3</v>
      </c>
      <c r="AE648" s="1" t="s">
        <v>3</v>
      </c>
      <c r="AF648" s="1" t="s">
        <v>3</v>
      </c>
      <c r="AG648" s="1" t="s">
        <v>3</v>
      </c>
      <c r="AH648" s="1"/>
      <c r="AI648" s="1"/>
      <c r="AJ648" s="1"/>
      <c r="AK648" s="1"/>
      <c r="AL648" s="1"/>
      <c r="AM648" s="1"/>
      <c r="AN648" s="1"/>
      <c r="AO648" s="1"/>
      <c r="AP648" s="1" t="s">
        <v>3</v>
      </c>
      <c r="AQ648" s="1" t="s">
        <v>3</v>
      </c>
      <c r="AR648" s="1" t="s">
        <v>3</v>
      </c>
      <c r="AS648" s="1"/>
      <c r="AT648" s="1"/>
      <c r="AU648" s="1"/>
      <c r="AV648" s="1"/>
      <c r="AW648" s="1"/>
      <c r="AX648" s="1"/>
      <c r="AY648" s="1"/>
      <c r="AZ648" s="1" t="s">
        <v>3</v>
      </c>
      <c r="BA648" s="1"/>
      <c r="BB648" s="1" t="s">
        <v>3</v>
      </c>
      <c r="BC648" s="1" t="s">
        <v>3</v>
      </c>
      <c r="BD648" s="1" t="s">
        <v>3</v>
      </c>
      <c r="BE648" s="1" t="s">
        <v>3</v>
      </c>
      <c r="BF648" s="1" t="s">
        <v>3</v>
      </c>
      <c r="BG648" s="1" t="s">
        <v>3</v>
      </c>
      <c r="BH648" s="1" t="s">
        <v>3</v>
      </c>
      <c r="BI648" s="1" t="s">
        <v>3</v>
      </c>
      <c r="BJ648" s="1" t="s">
        <v>3</v>
      </c>
      <c r="BK648" s="1" t="s">
        <v>3</v>
      </c>
      <c r="BL648" s="1" t="s">
        <v>3</v>
      </c>
      <c r="BM648" s="1" t="s">
        <v>3</v>
      </c>
      <c r="BN648" s="1" t="s">
        <v>3</v>
      </c>
      <c r="BO648" s="1" t="s">
        <v>3</v>
      </c>
      <c r="BP648" s="1" t="s">
        <v>3</v>
      </c>
      <c r="BQ648" s="1"/>
      <c r="BR648" s="1"/>
      <c r="BS648" s="1"/>
      <c r="BT648" s="1"/>
      <c r="BU648" s="1"/>
      <c r="BV648" s="1"/>
      <c r="BW648" s="1"/>
      <c r="BX648" s="1">
        <v>0</v>
      </c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>
        <v>0</v>
      </c>
    </row>
    <row r="650" spans="1:245" x14ac:dyDescent="0.2">
      <c r="A650" s="2">
        <v>52</v>
      </c>
      <c r="B650" s="2">
        <f t="shared" ref="B650:G650" si="503">B666</f>
        <v>1</v>
      </c>
      <c r="C650" s="2">
        <f t="shared" si="503"/>
        <v>4</v>
      </c>
      <c r="D650" s="2">
        <f t="shared" si="503"/>
        <v>648</v>
      </c>
      <c r="E650" s="2">
        <f t="shared" si="503"/>
        <v>0</v>
      </c>
      <c r="F650" s="2" t="str">
        <f t="shared" si="503"/>
        <v>Новый раздел</v>
      </c>
      <c r="G650" s="2" t="str">
        <f t="shared" si="503"/>
        <v>27.1. Капитальный ремонт пешеходного покрытия из бетонной плитки 1503 м2</v>
      </c>
      <c r="H650" s="2"/>
      <c r="I650" s="2"/>
      <c r="J650" s="2"/>
      <c r="K650" s="2"/>
      <c r="L650" s="2"/>
      <c r="M650" s="2"/>
      <c r="N650" s="2"/>
      <c r="O650" s="2">
        <f t="shared" ref="O650:AT650" si="504">O666</f>
        <v>2818144.16</v>
      </c>
      <c r="P650" s="2">
        <f t="shared" si="504"/>
        <v>2131596.44</v>
      </c>
      <c r="Q650" s="2">
        <f t="shared" si="504"/>
        <v>141521.04999999999</v>
      </c>
      <c r="R650" s="2">
        <f t="shared" si="504"/>
        <v>66702.720000000001</v>
      </c>
      <c r="S650" s="2">
        <f t="shared" si="504"/>
        <v>545026.67000000004</v>
      </c>
      <c r="T650" s="2">
        <f t="shared" si="504"/>
        <v>0</v>
      </c>
      <c r="U650" s="2">
        <f t="shared" si="504"/>
        <v>2020.8009348000001</v>
      </c>
      <c r="V650" s="2">
        <f t="shared" si="504"/>
        <v>0</v>
      </c>
      <c r="W650" s="2">
        <f t="shared" si="504"/>
        <v>0</v>
      </c>
      <c r="X650" s="2">
        <f t="shared" si="504"/>
        <v>571792.31999999995</v>
      </c>
      <c r="Y650" s="2">
        <f t="shared" si="504"/>
        <v>226401.06</v>
      </c>
      <c r="Z650" s="2">
        <f t="shared" si="504"/>
        <v>0</v>
      </c>
      <c r="AA650" s="2">
        <f t="shared" si="504"/>
        <v>0</v>
      </c>
      <c r="AB650" s="2">
        <f t="shared" si="504"/>
        <v>2818144.16</v>
      </c>
      <c r="AC650" s="2">
        <f t="shared" si="504"/>
        <v>2131596.44</v>
      </c>
      <c r="AD650" s="2">
        <f t="shared" si="504"/>
        <v>141521.04999999999</v>
      </c>
      <c r="AE650" s="2">
        <f t="shared" si="504"/>
        <v>66702.720000000001</v>
      </c>
      <c r="AF650" s="2">
        <f t="shared" si="504"/>
        <v>545026.67000000004</v>
      </c>
      <c r="AG650" s="2">
        <f t="shared" si="504"/>
        <v>0</v>
      </c>
      <c r="AH650" s="2">
        <f t="shared" si="504"/>
        <v>2020.8009348000001</v>
      </c>
      <c r="AI650" s="2">
        <f t="shared" si="504"/>
        <v>0</v>
      </c>
      <c r="AJ650" s="2">
        <f t="shared" si="504"/>
        <v>0</v>
      </c>
      <c r="AK650" s="2">
        <f t="shared" si="504"/>
        <v>571792.31999999995</v>
      </c>
      <c r="AL650" s="2">
        <f t="shared" si="504"/>
        <v>226401.06</v>
      </c>
      <c r="AM650" s="2">
        <f t="shared" si="504"/>
        <v>0</v>
      </c>
      <c r="AN650" s="2">
        <f t="shared" si="504"/>
        <v>0</v>
      </c>
      <c r="AO650" s="2">
        <f t="shared" si="504"/>
        <v>0</v>
      </c>
      <c r="AP650" s="2">
        <f t="shared" si="504"/>
        <v>0</v>
      </c>
      <c r="AQ650" s="2">
        <f t="shared" si="504"/>
        <v>0</v>
      </c>
      <c r="AR650" s="2">
        <f t="shared" si="504"/>
        <v>3721060.81</v>
      </c>
      <c r="AS650" s="2">
        <f t="shared" si="504"/>
        <v>3721060.81</v>
      </c>
      <c r="AT650" s="2">
        <f t="shared" si="504"/>
        <v>0</v>
      </c>
      <c r="AU650" s="2">
        <f t="shared" ref="AU650:BZ650" si="505">AU666</f>
        <v>0</v>
      </c>
      <c r="AV650" s="2">
        <f t="shared" si="505"/>
        <v>2131596.44</v>
      </c>
      <c r="AW650" s="2">
        <f t="shared" si="505"/>
        <v>2131596.44</v>
      </c>
      <c r="AX650" s="2">
        <f t="shared" si="505"/>
        <v>0</v>
      </c>
      <c r="AY650" s="2">
        <f t="shared" si="505"/>
        <v>2131596.44</v>
      </c>
      <c r="AZ650" s="2">
        <f t="shared" si="505"/>
        <v>0</v>
      </c>
      <c r="BA650" s="2">
        <f t="shared" si="505"/>
        <v>0</v>
      </c>
      <c r="BB650" s="2">
        <f t="shared" si="505"/>
        <v>0</v>
      </c>
      <c r="BC650" s="2">
        <f t="shared" si="505"/>
        <v>0</v>
      </c>
      <c r="BD650" s="2">
        <f t="shared" si="505"/>
        <v>0</v>
      </c>
      <c r="BE650" s="2">
        <f t="shared" si="505"/>
        <v>0</v>
      </c>
      <c r="BF650" s="2">
        <f t="shared" si="505"/>
        <v>0</v>
      </c>
      <c r="BG650" s="2">
        <f t="shared" si="505"/>
        <v>0</v>
      </c>
      <c r="BH650" s="2">
        <f t="shared" si="505"/>
        <v>0</v>
      </c>
      <c r="BI650" s="2">
        <f t="shared" si="505"/>
        <v>0</v>
      </c>
      <c r="BJ650" s="2">
        <f t="shared" si="505"/>
        <v>0</v>
      </c>
      <c r="BK650" s="2">
        <f t="shared" si="505"/>
        <v>0</v>
      </c>
      <c r="BL650" s="2">
        <f t="shared" si="505"/>
        <v>0</v>
      </c>
      <c r="BM650" s="2">
        <f t="shared" si="505"/>
        <v>0</v>
      </c>
      <c r="BN650" s="2">
        <f t="shared" si="505"/>
        <v>0</v>
      </c>
      <c r="BO650" s="2">
        <f t="shared" si="505"/>
        <v>0</v>
      </c>
      <c r="BP650" s="2">
        <f t="shared" si="505"/>
        <v>0</v>
      </c>
      <c r="BQ650" s="2">
        <f t="shared" si="505"/>
        <v>0</v>
      </c>
      <c r="BR650" s="2">
        <f t="shared" si="505"/>
        <v>0</v>
      </c>
      <c r="BS650" s="2">
        <f t="shared" si="505"/>
        <v>0</v>
      </c>
      <c r="BT650" s="2">
        <f t="shared" si="505"/>
        <v>0</v>
      </c>
      <c r="BU650" s="2">
        <f t="shared" si="505"/>
        <v>0</v>
      </c>
      <c r="BV650" s="2">
        <f t="shared" si="505"/>
        <v>0</v>
      </c>
      <c r="BW650" s="2">
        <f t="shared" si="505"/>
        <v>0</v>
      </c>
      <c r="BX650" s="2">
        <f t="shared" si="505"/>
        <v>0</v>
      </c>
      <c r="BY650" s="2">
        <f t="shared" si="505"/>
        <v>0</v>
      </c>
      <c r="BZ650" s="2">
        <f t="shared" si="505"/>
        <v>0</v>
      </c>
      <c r="CA650" s="2">
        <f t="shared" ref="CA650:DF650" si="506">CA666</f>
        <v>3721060.81</v>
      </c>
      <c r="CB650" s="2">
        <f t="shared" si="506"/>
        <v>3721060.81</v>
      </c>
      <c r="CC650" s="2">
        <f t="shared" si="506"/>
        <v>0</v>
      </c>
      <c r="CD650" s="2">
        <f t="shared" si="506"/>
        <v>0</v>
      </c>
      <c r="CE650" s="2">
        <f t="shared" si="506"/>
        <v>2131596.44</v>
      </c>
      <c r="CF650" s="2">
        <f t="shared" si="506"/>
        <v>2131596.44</v>
      </c>
      <c r="CG650" s="2">
        <f t="shared" si="506"/>
        <v>0</v>
      </c>
      <c r="CH650" s="2">
        <f t="shared" si="506"/>
        <v>2131596.44</v>
      </c>
      <c r="CI650" s="2">
        <f t="shared" si="506"/>
        <v>0</v>
      </c>
      <c r="CJ650" s="2">
        <f t="shared" si="506"/>
        <v>0</v>
      </c>
      <c r="CK650" s="2">
        <f t="shared" si="506"/>
        <v>0</v>
      </c>
      <c r="CL650" s="2">
        <f t="shared" si="506"/>
        <v>0</v>
      </c>
      <c r="CM650" s="2">
        <f t="shared" si="506"/>
        <v>0</v>
      </c>
      <c r="CN650" s="2">
        <f t="shared" si="506"/>
        <v>0</v>
      </c>
      <c r="CO650" s="2">
        <f t="shared" si="506"/>
        <v>0</v>
      </c>
      <c r="CP650" s="2">
        <f t="shared" si="506"/>
        <v>0</v>
      </c>
      <c r="CQ650" s="2">
        <f t="shared" si="506"/>
        <v>0</v>
      </c>
      <c r="CR650" s="2">
        <f t="shared" si="506"/>
        <v>0</v>
      </c>
      <c r="CS650" s="2">
        <f t="shared" si="506"/>
        <v>0</v>
      </c>
      <c r="CT650" s="2">
        <f t="shared" si="506"/>
        <v>0</v>
      </c>
      <c r="CU650" s="2">
        <f t="shared" si="506"/>
        <v>0</v>
      </c>
      <c r="CV650" s="2">
        <f t="shared" si="506"/>
        <v>0</v>
      </c>
      <c r="CW650" s="2">
        <f t="shared" si="506"/>
        <v>0</v>
      </c>
      <c r="CX650" s="2">
        <f t="shared" si="506"/>
        <v>0</v>
      </c>
      <c r="CY650" s="2">
        <f t="shared" si="506"/>
        <v>0</v>
      </c>
      <c r="CZ650" s="2">
        <f t="shared" si="506"/>
        <v>0</v>
      </c>
      <c r="DA650" s="2">
        <f t="shared" si="506"/>
        <v>0</v>
      </c>
      <c r="DB650" s="2">
        <f t="shared" si="506"/>
        <v>0</v>
      </c>
      <c r="DC650" s="2">
        <f t="shared" si="506"/>
        <v>0</v>
      </c>
      <c r="DD650" s="2">
        <f t="shared" si="506"/>
        <v>0</v>
      </c>
      <c r="DE650" s="2">
        <f t="shared" si="506"/>
        <v>0</v>
      </c>
      <c r="DF650" s="2">
        <f t="shared" si="506"/>
        <v>0</v>
      </c>
      <c r="DG650" s="3">
        <f t="shared" ref="DG650:EL650" si="507">DG666</f>
        <v>0</v>
      </c>
      <c r="DH650" s="3">
        <f t="shared" si="507"/>
        <v>0</v>
      </c>
      <c r="DI650" s="3">
        <f t="shared" si="507"/>
        <v>0</v>
      </c>
      <c r="DJ650" s="3">
        <f t="shared" si="507"/>
        <v>0</v>
      </c>
      <c r="DK650" s="3">
        <f t="shared" si="507"/>
        <v>0</v>
      </c>
      <c r="DL650" s="3">
        <f t="shared" si="507"/>
        <v>0</v>
      </c>
      <c r="DM650" s="3">
        <f t="shared" si="507"/>
        <v>0</v>
      </c>
      <c r="DN650" s="3">
        <f t="shared" si="507"/>
        <v>0</v>
      </c>
      <c r="DO650" s="3">
        <f t="shared" si="507"/>
        <v>0</v>
      </c>
      <c r="DP650" s="3">
        <f t="shared" si="507"/>
        <v>0</v>
      </c>
      <c r="DQ650" s="3">
        <f t="shared" si="507"/>
        <v>0</v>
      </c>
      <c r="DR650" s="3">
        <f t="shared" si="507"/>
        <v>0</v>
      </c>
      <c r="DS650" s="3">
        <f t="shared" si="507"/>
        <v>0</v>
      </c>
      <c r="DT650" s="3">
        <f t="shared" si="507"/>
        <v>0</v>
      </c>
      <c r="DU650" s="3">
        <f t="shared" si="507"/>
        <v>0</v>
      </c>
      <c r="DV650" s="3">
        <f t="shared" si="507"/>
        <v>0</v>
      </c>
      <c r="DW650" s="3">
        <f t="shared" si="507"/>
        <v>0</v>
      </c>
      <c r="DX650" s="3">
        <f t="shared" si="507"/>
        <v>0</v>
      </c>
      <c r="DY650" s="3">
        <f t="shared" si="507"/>
        <v>0</v>
      </c>
      <c r="DZ650" s="3">
        <f t="shared" si="507"/>
        <v>0</v>
      </c>
      <c r="EA650" s="3">
        <f t="shared" si="507"/>
        <v>0</v>
      </c>
      <c r="EB650" s="3">
        <f t="shared" si="507"/>
        <v>0</v>
      </c>
      <c r="EC650" s="3">
        <f t="shared" si="507"/>
        <v>0</v>
      </c>
      <c r="ED650" s="3">
        <f t="shared" si="507"/>
        <v>0</v>
      </c>
      <c r="EE650" s="3">
        <f t="shared" si="507"/>
        <v>0</v>
      </c>
      <c r="EF650" s="3">
        <f t="shared" si="507"/>
        <v>0</v>
      </c>
      <c r="EG650" s="3">
        <f t="shared" si="507"/>
        <v>0</v>
      </c>
      <c r="EH650" s="3">
        <f t="shared" si="507"/>
        <v>0</v>
      </c>
      <c r="EI650" s="3">
        <f t="shared" si="507"/>
        <v>0</v>
      </c>
      <c r="EJ650" s="3">
        <f t="shared" si="507"/>
        <v>0</v>
      </c>
      <c r="EK650" s="3">
        <f t="shared" si="507"/>
        <v>0</v>
      </c>
      <c r="EL650" s="3">
        <f t="shared" si="507"/>
        <v>0</v>
      </c>
      <c r="EM650" s="3">
        <f t="shared" ref="EM650:FR650" si="508">EM666</f>
        <v>0</v>
      </c>
      <c r="EN650" s="3">
        <f t="shared" si="508"/>
        <v>0</v>
      </c>
      <c r="EO650" s="3">
        <f t="shared" si="508"/>
        <v>0</v>
      </c>
      <c r="EP650" s="3">
        <f t="shared" si="508"/>
        <v>0</v>
      </c>
      <c r="EQ650" s="3">
        <f t="shared" si="508"/>
        <v>0</v>
      </c>
      <c r="ER650" s="3">
        <f t="shared" si="508"/>
        <v>0</v>
      </c>
      <c r="ES650" s="3">
        <f t="shared" si="508"/>
        <v>0</v>
      </c>
      <c r="ET650" s="3">
        <f t="shared" si="508"/>
        <v>0</v>
      </c>
      <c r="EU650" s="3">
        <f t="shared" si="508"/>
        <v>0</v>
      </c>
      <c r="EV650" s="3">
        <f t="shared" si="508"/>
        <v>0</v>
      </c>
      <c r="EW650" s="3">
        <f t="shared" si="508"/>
        <v>0</v>
      </c>
      <c r="EX650" s="3">
        <f t="shared" si="508"/>
        <v>0</v>
      </c>
      <c r="EY650" s="3">
        <f t="shared" si="508"/>
        <v>0</v>
      </c>
      <c r="EZ650" s="3">
        <f t="shared" si="508"/>
        <v>0</v>
      </c>
      <c r="FA650" s="3">
        <f t="shared" si="508"/>
        <v>0</v>
      </c>
      <c r="FB650" s="3">
        <f t="shared" si="508"/>
        <v>0</v>
      </c>
      <c r="FC650" s="3">
        <f t="shared" si="508"/>
        <v>0</v>
      </c>
      <c r="FD650" s="3">
        <f t="shared" si="508"/>
        <v>0</v>
      </c>
      <c r="FE650" s="3">
        <f t="shared" si="508"/>
        <v>0</v>
      </c>
      <c r="FF650" s="3">
        <f t="shared" si="508"/>
        <v>0</v>
      </c>
      <c r="FG650" s="3">
        <f t="shared" si="508"/>
        <v>0</v>
      </c>
      <c r="FH650" s="3">
        <f t="shared" si="508"/>
        <v>0</v>
      </c>
      <c r="FI650" s="3">
        <f t="shared" si="508"/>
        <v>0</v>
      </c>
      <c r="FJ650" s="3">
        <f t="shared" si="508"/>
        <v>0</v>
      </c>
      <c r="FK650" s="3">
        <f t="shared" si="508"/>
        <v>0</v>
      </c>
      <c r="FL650" s="3">
        <f t="shared" si="508"/>
        <v>0</v>
      </c>
      <c r="FM650" s="3">
        <f t="shared" si="508"/>
        <v>0</v>
      </c>
      <c r="FN650" s="3">
        <f t="shared" si="508"/>
        <v>0</v>
      </c>
      <c r="FO650" s="3">
        <f t="shared" si="508"/>
        <v>0</v>
      </c>
      <c r="FP650" s="3">
        <f t="shared" si="508"/>
        <v>0</v>
      </c>
      <c r="FQ650" s="3">
        <f t="shared" si="508"/>
        <v>0</v>
      </c>
      <c r="FR650" s="3">
        <f t="shared" si="508"/>
        <v>0</v>
      </c>
      <c r="FS650" s="3">
        <f t="shared" ref="FS650:GX650" si="509">FS666</f>
        <v>0</v>
      </c>
      <c r="FT650" s="3">
        <f t="shared" si="509"/>
        <v>0</v>
      </c>
      <c r="FU650" s="3">
        <f t="shared" si="509"/>
        <v>0</v>
      </c>
      <c r="FV650" s="3">
        <f t="shared" si="509"/>
        <v>0</v>
      </c>
      <c r="FW650" s="3">
        <f t="shared" si="509"/>
        <v>0</v>
      </c>
      <c r="FX650" s="3">
        <f t="shared" si="509"/>
        <v>0</v>
      </c>
      <c r="FY650" s="3">
        <f t="shared" si="509"/>
        <v>0</v>
      </c>
      <c r="FZ650" s="3">
        <f t="shared" si="509"/>
        <v>0</v>
      </c>
      <c r="GA650" s="3">
        <f t="shared" si="509"/>
        <v>0</v>
      </c>
      <c r="GB650" s="3">
        <f t="shared" si="509"/>
        <v>0</v>
      </c>
      <c r="GC650" s="3">
        <f t="shared" si="509"/>
        <v>0</v>
      </c>
      <c r="GD650" s="3">
        <f t="shared" si="509"/>
        <v>0</v>
      </c>
      <c r="GE650" s="3">
        <f t="shared" si="509"/>
        <v>0</v>
      </c>
      <c r="GF650" s="3">
        <f t="shared" si="509"/>
        <v>0</v>
      </c>
      <c r="GG650" s="3">
        <f t="shared" si="509"/>
        <v>0</v>
      </c>
      <c r="GH650" s="3">
        <f t="shared" si="509"/>
        <v>0</v>
      </c>
      <c r="GI650" s="3">
        <f t="shared" si="509"/>
        <v>0</v>
      </c>
      <c r="GJ650" s="3">
        <f t="shared" si="509"/>
        <v>0</v>
      </c>
      <c r="GK650" s="3">
        <f t="shared" si="509"/>
        <v>0</v>
      </c>
      <c r="GL650" s="3">
        <f t="shared" si="509"/>
        <v>0</v>
      </c>
      <c r="GM650" s="3">
        <f t="shared" si="509"/>
        <v>0</v>
      </c>
      <c r="GN650" s="3">
        <f t="shared" si="509"/>
        <v>0</v>
      </c>
      <c r="GO650" s="3">
        <f t="shared" si="509"/>
        <v>0</v>
      </c>
      <c r="GP650" s="3">
        <f t="shared" si="509"/>
        <v>0</v>
      </c>
      <c r="GQ650" s="3">
        <f t="shared" si="509"/>
        <v>0</v>
      </c>
      <c r="GR650" s="3">
        <f t="shared" si="509"/>
        <v>0</v>
      </c>
      <c r="GS650" s="3">
        <f t="shared" si="509"/>
        <v>0</v>
      </c>
      <c r="GT650" s="3">
        <f t="shared" si="509"/>
        <v>0</v>
      </c>
      <c r="GU650" s="3">
        <f t="shared" si="509"/>
        <v>0</v>
      </c>
      <c r="GV650" s="3">
        <f t="shared" si="509"/>
        <v>0</v>
      </c>
      <c r="GW650" s="3">
        <f t="shared" si="509"/>
        <v>0</v>
      </c>
      <c r="GX650" s="3">
        <f t="shared" si="509"/>
        <v>0</v>
      </c>
    </row>
    <row r="652" spans="1:245" x14ac:dyDescent="0.2">
      <c r="A652">
        <v>17</v>
      </c>
      <c r="B652">
        <v>1</v>
      </c>
      <c r="C652">
        <f>ROW(SmtRes!A223)</f>
        <v>223</v>
      </c>
      <c r="D652">
        <f>ROW(EtalonRes!A224)</f>
        <v>224</v>
      </c>
      <c r="E652" t="s">
        <v>389</v>
      </c>
      <c r="F652" t="s">
        <v>202</v>
      </c>
      <c r="G652" t="s">
        <v>203</v>
      </c>
      <c r="H652" t="s">
        <v>204</v>
      </c>
      <c r="I652">
        <f>ROUND(1503*0.43*0.9/100,9)</f>
        <v>5.8166099999999998</v>
      </c>
      <c r="J652">
        <v>0</v>
      </c>
      <c r="O652">
        <f t="shared" ref="O652:O664" si="510">ROUND(CP652,2)</f>
        <v>45282.26</v>
      </c>
      <c r="P652">
        <f t="shared" ref="P652:P664" si="511">ROUND((ROUND((AC652*AW652*I652),2)*BC652),2)</f>
        <v>0</v>
      </c>
      <c r="Q652">
        <f t="shared" ref="Q652:Q664" si="512">(ROUND((ROUND(((ET652)*AV652*I652),2)*BB652),2)+ROUND((ROUND(((AE652-(EU652))*AV652*I652),2)*BS652),2))</f>
        <v>43270.55</v>
      </c>
      <c r="R652">
        <f t="shared" ref="R652:R664" si="513">ROUND((ROUND((AE652*AV652*I652),2)*BS652),2)</f>
        <v>20043.95</v>
      </c>
      <c r="S652">
        <f t="shared" ref="S652:S664" si="514">ROUND((ROUND((AF652*AV652*I652),2)*BA652),2)</f>
        <v>2011.71</v>
      </c>
      <c r="T652">
        <f t="shared" ref="T652:T664" si="515">ROUND(CU652*I652,2)</f>
        <v>0</v>
      </c>
      <c r="U652">
        <f t="shared" ref="U652:U664" si="516">CV652*I652</f>
        <v>8.0269217999999984</v>
      </c>
      <c r="V652">
        <f t="shared" ref="V652:V664" si="517">CW652*I652</f>
        <v>0</v>
      </c>
      <c r="W652">
        <f t="shared" ref="W652:W664" si="518">ROUND(CX652*I652,2)</f>
        <v>0</v>
      </c>
      <c r="X652">
        <f t="shared" ref="X652:X664" si="519">ROUND(CY652,2)</f>
        <v>1850.77</v>
      </c>
      <c r="Y652">
        <f t="shared" ref="Y652:Y664" si="520">ROUND(CZ652,2)</f>
        <v>1005.86</v>
      </c>
      <c r="AA652">
        <v>33989672</v>
      </c>
      <c r="AB652">
        <f t="shared" ref="AB652:AB664" si="521">ROUND((AC652+AD652+AF652),6)</f>
        <v>771.65</v>
      </c>
      <c r="AC652">
        <f t="shared" ref="AC652:AC664" si="522">ROUND((ES652),6)</f>
        <v>0</v>
      </c>
      <c r="AD652">
        <f t="shared" ref="AD652:AD664" si="523">ROUND((((ET652)-(EU652))+AE652),6)</f>
        <v>757.55</v>
      </c>
      <c r="AE652">
        <f t="shared" ref="AE652:AE664" si="524">ROUND((EU652),6)</f>
        <v>140.47999999999999</v>
      </c>
      <c r="AF652">
        <f t="shared" ref="AF652:AF664" si="525">ROUND((EV652),6)</f>
        <v>14.1</v>
      </c>
      <c r="AG652">
        <f t="shared" ref="AG652:AG664" si="526">ROUND((AP652),6)</f>
        <v>0</v>
      </c>
      <c r="AH652">
        <f t="shared" ref="AH652:AH664" si="527">(EW652)</f>
        <v>1.38</v>
      </c>
      <c r="AI652">
        <f t="shared" ref="AI652:AI664" si="528">(EX652)</f>
        <v>0</v>
      </c>
      <c r="AJ652">
        <f t="shared" ref="AJ652:AJ664" si="529">(AS652)</f>
        <v>0</v>
      </c>
      <c r="AK652">
        <v>771.65</v>
      </c>
      <c r="AL652">
        <v>0</v>
      </c>
      <c r="AM652">
        <v>757.55</v>
      </c>
      <c r="AN652">
        <v>140.47999999999999</v>
      </c>
      <c r="AO652">
        <v>14.1</v>
      </c>
      <c r="AP652">
        <v>0</v>
      </c>
      <c r="AQ652">
        <v>1.38</v>
      </c>
      <c r="AR652">
        <v>0</v>
      </c>
      <c r="AS652">
        <v>0</v>
      </c>
      <c r="AT652">
        <v>92</v>
      </c>
      <c r="AU652">
        <v>50</v>
      </c>
      <c r="AV652">
        <v>1</v>
      </c>
      <c r="AW652">
        <v>1</v>
      </c>
      <c r="AZ652">
        <v>1</v>
      </c>
      <c r="BA652">
        <v>24.53</v>
      </c>
      <c r="BB652">
        <v>9.82</v>
      </c>
      <c r="BC652">
        <v>1</v>
      </c>
      <c r="BD652" t="s">
        <v>3</v>
      </c>
      <c r="BE652" t="s">
        <v>3</v>
      </c>
      <c r="BF652" t="s">
        <v>3</v>
      </c>
      <c r="BG652" t="s">
        <v>3</v>
      </c>
      <c r="BH652">
        <v>0</v>
      </c>
      <c r="BI652">
        <v>1</v>
      </c>
      <c r="BJ652" t="s">
        <v>205</v>
      </c>
      <c r="BM652">
        <v>2</v>
      </c>
      <c r="BN652">
        <v>0</v>
      </c>
      <c r="BO652" t="s">
        <v>202</v>
      </c>
      <c r="BP652">
        <v>1</v>
      </c>
      <c r="BQ652">
        <v>30</v>
      </c>
      <c r="BR652">
        <v>0</v>
      </c>
      <c r="BS652">
        <v>24.53</v>
      </c>
      <c r="BT652">
        <v>1</v>
      </c>
      <c r="BU652">
        <v>1</v>
      </c>
      <c r="BV652">
        <v>1</v>
      </c>
      <c r="BW652">
        <v>1</v>
      </c>
      <c r="BX652">
        <v>1</v>
      </c>
      <c r="BY652" t="s">
        <v>3</v>
      </c>
      <c r="BZ652">
        <v>92</v>
      </c>
      <c r="CA652">
        <v>50</v>
      </c>
      <c r="CE652">
        <v>30</v>
      </c>
      <c r="CF652">
        <v>0</v>
      </c>
      <c r="CG652">
        <v>0</v>
      </c>
      <c r="CM652">
        <v>0</v>
      </c>
      <c r="CN652" t="s">
        <v>3</v>
      </c>
      <c r="CO652">
        <v>0</v>
      </c>
      <c r="CP652">
        <f t="shared" ref="CP652:CP664" si="530">(P652+Q652+S652)</f>
        <v>45282.26</v>
      </c>
      <c r="CQ652">
        <f t="shared" ref="CQ652:CQ664" si="531">ROUND((ROUND((AC652*AW652*1),2)*BC652),2)</f>
        <v>0</v>
      </c>
      <c r="CR652">
        <f t="shared" ref="CR652:CR664" si="532">(ROUND((ROUND(((ET652)*AV652*1),2)*BB652),2)+ROUND((ROUND(((AE652-(EU652))*AV652*1),2)*BS652),2))</f>
        <v>7439.14</v>
      </c>
      <c r="CS652">
        <f t="shared" ref="CS652:CS664" si="533">ROUND((ROUND((AE652*AV652*1),2)*BS652),2)</f>
        <v>3445.97</v>
      </c>
      <c r="CT652">
        <f t="shared" ref="CT652:CT664" si="534">ROUND((ROUND((AF652*AV652*1),2)*BA652),2)</f>
        <v>345.87</v>
      </c>
      <c r="CU652">
        <f t="shared" ref="CU652:CU664" si="535">AG652</f>
        <v>0</v>
      </c>
      <c r="CV652">
        <f t="shared" ref="CV652:CV664" si="536">(AH652*AV652)</f>
        <v>1.38</v>
      </c>
      <c r="CW652">
        <f t="shared" ref="CW652:CW664" si="537">AI652</f>
        <v>0</v>
      </c>
      <c r="CX652">
        <f t="shared" ref="CX652:CX664" si="538">AJ652</f>
        <v>0</v>
      </c>
      <c r="CY652">
        <f t="shared" ref="CY652:CY664" si="539">S652*(BZ652/100)</f>
        <v>1850.7732000000001</v>
      </c>
      <c r="CZ652">
        <f t="shared" ref="CZ652:CZ664" si="540">S652*(CA652/100)</f>
        <v>1005.855</v>
      </c>
      <c r="DC652" t="s">
        <v>3</v>
      </c>
      <c r="DD652" t="s">
        <v>3</v>
      </c>
      <c r="DE652" t="s">
        <v>3</v>
      </c>
      <c r="DF652" t="s">
        <v>3</v>
      </c>
      <c r="DG652" t="s">
        <v>3</v>
      </c>
      <c r="DH652" t="s">
        <v>3</v>
      </c>
      <c r="DI652" t="s">
        <v>3</v>
      </c>
      <c r="DJ652" t="s">
        <v>3</v>
      </c>
      <c r="DK652" t="s">
        <v>3</v>
      </c>
      <c r="DL652" t="s">
        <v>3</v>
      </c>
      <c r="DM652" t="s">
        <v>3</v>
      </c>
      <c r="DN652">
        <v>98</v>
      </c>
      <c r="DO652">
        <v>77</v>
      </c>
      <c r="DP652">
        <v>1</v>
      </c>
      <c r="DQ652">
        <v>1</v>
      </c>
      <c r="DU652">
        <v>1013</v>
      </c>
      <c r="DV652" t="s">
        <v>204</v>
      </c>
      <c r="DW652" t="s">
        <v>204</v>
      </c>
      <c r="DX652">
        <v>1</v>
      </c>
      <c r="EE652">
        <v>33797685</v>
      </c>
      <c r="EF652">
        <v>30</v>
      </c>
      <c r="EG652" t="s">
        <v>77</v>
      </c>
      <c r="EH652">
        <v>0</v>
      </c>
      <c r="EI652" t="s">
        <v>3</v>
      </c>
      <c r="EJ652">
        <v>1</v>
      </c>
      <c r="EK652">
        <v>2</v>
      </c>
      <c r="EL652" t="s">
        <v>206</v>
      </c>
      <c r="EM652" t="s">
        <v>207</v>
      </c>
      <c r="EO652" t="s">
        <v>3</v>
      </c>
      <c r="EQ652">
        <v>131072</v>
      </c>
      <c r="ER652">
        <v>771.65</v>
      </c>
      <c r="ES652">
        <v>0</v>
      </c>
      <c r="ET652">
        <v>757.55</v>
      </c>
      <c r="EU652">
        <v>140.47999999999999</v>
      </c>
      <c r="EV652">
        <v>14.1</v>
      </c>
      <c r="EW652">
        <v>1.38</v>
      </c>
      <c r="EX652">
        <v>0</v>
      </c>
      <c r="EY652">
        <v>0</v>
      </c>
      <c r="FQ652">
        <v>0</v>
      </c>
      <c r="FR652">
        <f t="shared" ref="FR652:FR664" si="541">ROUND(IF(AND(BH652=3,BI652=3),P652,0),2)</f>
        <v>0</v>
      </c>
      <c r="FS652">
        <v>0</v>
      </c>
      <c r="FX652">
        <v>98</v>
      </c>
      <c r="FY652">
        <v>77</v>
      </c>
      <c r="GA652" t="s">
        <v>3</v>
      </c>
      <c r="GD652">
        <v>0</v>
      </c>
      <c r="GF652">
        <v>445216503</v>
      </c>
      <c r="GG652">
        <v>2</v>
      </c>
      <c r="GH652">
        <v>1</v>
      </c>
      <c r="GI652">
        <v>2</v>
      </c>
      <c r="GJ652">
        <v>0</v>
      </c>
      <c r="GK652">
        <f>ROUND(R652*(R12)/100,2)</f>
        <v>31469</v>
      </c>
      <c r="GL652">
        <f t="shared" ref="GL652:GL664" si="542">ROUND(IF(AND(BH652=3,BI652=3,FS652&lt;&gt;0),P652,0),2)</f>
        <v>0</v>
      </c>
      <c r="GM652">
        <f t="shared" ref="GM652:GM664" si="543">ROUND(O652+X652+Y652+GK652,2)+GX652</f>
        <v>79607.89</v>
      </c>
      <c r="GN652">
        <f t="shared" ref="GN652:GN664" si="544">IF(OR(BI652=0,BI652=1),ROUND(O652+X652+Y652+GK652,2),0)</f>
        <v>79607.89</v>
      </c>
      <c r="GO652">
        <f t="shared" ref="GO652:GO664" si="545">IF(BI652=2,ROUND(O652+X652+Y652+GK652,2),0)</f>
        <v>0</v>
      </c>
      <c r="GP652">
        <f t="shared" ref="GP652:GP664" si="546">IF(BI652=4,ROUND(O652+X652+Y652+GK652,2)+GX652,0)</f>
        <v>0</v>
      </c>
      <c r="GR652">
        <v>0</v>
      </c>
      <c r="GS652">
        <v>3</v>
      </c>
      <c r="GT652">
        <v>0</v>
      </c>
      <c r="GU652" t="s">
        <v>3</v>
      </c>
      <c r="GV652">
        <f t="shared" ref="GV652:GV664" si="547">ROUND((GT652),6)</f>
        <v>0</v>
      </c>
      <c r="GW652">
        <v>1</v>
      </c>
      <c r="GX652">
        <f t="shared" ref="GX652:GX664" si="548">ROUND(HC652*I652,2)</f>
        <v>0</v>
      </c>
      <c r="HA652">
        <v>0</v>
      </c>
      <c r="HB652">
        <v>0</v>
      </c>
      <c r="HC652">
        <f t="shared" ref="HC652:HC664" si="549">GV652*GW652</f>
        <v>0</v>
      </c>
      <c r="IK652">
        <v>0</v>
      </c>
    </row>
    <row r="653" spans="1:245" x14ac:dyDescent="0.2">
      <c r="A653">
        <v>17</v>
      </c>
      <c r="B653">
        <v>1</v>
      </c>
      <c r="C653">
        <f>ROW(SmtRes!A224)</f>
        <v>224</v>
      </c>
      <c r="D653">
        <f>ROW(EtalonRes!A225)</f>
        <v>225</v>
      </c>
      <c r="E653" t="s">
        <v>390</v>
      </c>
      <c r="F653" t="s">
        <v>209</v>
      </c>
      <c r="G653" t="s">
        <v>210</v>
      </c>
      <c r="H653" t="s">
        <v>204</v>
      </c>
      <c r="I653">
        <f>ROUND(1503*0.43*0.1/100,9)</f>
        <v>0.64629000000000003</v>
      </c>
      <c r="J653">
        <v>0</v>
      </c>
      <c r="O653">
        <f t="shared" si="510"/>
        <v>32382.54</v>
      </c>
      <c r="P653">
        <f t="shared" si="511"/>
        <v>0</v>
      </c>
      <c r="Q653">
        <f t="shared" si="512"/>
        <v>0</v>
      </c>
      <c r="R653">
        <f t="shared" si="513"/>
        <v>0</v>
      </c>
      <c r="S653">
        <f t="shared" si="514"/>
        <v>32382.54</v>
      </c>
      <c r="T653">
        <f t="shared" si="515"/>
        <v>0</v>
      </c>
      <c r="U653">
        <f t="shared" si="516"/>
        <v>124.540083</v>
      </c>
      <c r="V653">
        <f t="shared" si="517"/>
        <v>0</v>
      </c>
      <c r="W653">
        <f t="shared" si="518"/>
        <v>0</v>
      </c>
      <c r="X653">
        <f t="shared" si="519"/>
        <v>27525.16</v>
      </c>
      <c r="Y653">
        <f t="shared" si="520"/>
        <v>13276.84</v>
      </c>
      <c r="AA653">
        <v>33989672</v>
      </c>
      <c r="AB653">
        <f t="shared" si="521"/>
        <v>2042.62</v>
      </c>
      <c r="AC653">
        <f t="shared" si="522"/>
        <v>0</v>
      </c>
      <c r="AD653">
        <f t="shared" si="523"/>
        <v>0</v>
      </c>
      <c r="AE653">
        <f t="shared" si="524"/>
        <v>0</v>
      </c>
      <c r="AF653">
        <f t="shared" si="525"/>
        <v>2042.62</v>
      </c>
      <c r="AG653">
        <f t="shared" si="526"/>
        <v>0</v>
      </c>
      <c r="AH653">
        <f t="shared" si="527"/>
        <v>192.7</v>
      </c>
      <c r="AI653">
        <f t="shared" si="528"/>
        <v>0</v>
      </c>
      <c r="AJ653">
        <f t="shared" si="529"/>
        <v>0</v>
      </c>
      <c r="AK653">
        <v>2042.62</v>
      </c>
      <c r="AL653">
        <v>0</v>
      </c>
      <c r="AM653">
        <v>0</v>
      </c>
      <c r="AN653">
        <v>0</v>
      </c>
      <c r="AO653">
        <v>2042.62</v>
      </c>
      <c r="AP653">
        <v>0</v>
      </c>
      <c r="AQ653">
        <v>192.7</v>
      </c>
      <c r="AR653">
        <v>0</v>
      </c>
      <c r="AS653">
        <v>0</v>
      </c>
      <c r="AT653">
        <v>85</v>
      </c>
      <c r="AU653">
        <v>41</v>
      </c>
      <c r="AV653">
        <v>1</v>
      </c>
      <c r="AW653">
        <v>1</v>
      </c>
      <c r="AZ653">
        <v>1</v>
      </c>
      <c r="BA653">
        <v>24.53</v>
      </c>
      <c r="BB653">
        <v>1</v>
      </c>
      <c r="BC653">
        <v>1</v>
      </c>
      <c r="BD653" t="s">
        <v>3</v>
      </c>
      <c r="BE653" t="s">
        <v>3</v>
      </c>
      <c r="BF653" t="s">
        <v>3</v>
      </c>
      <c r="BG653" t="s">
        <v>3</v>
      </c>
      <c r="BH653">
        <v>0</v>
      </c>
      <c r="BI653">
        <v>1</v>
      </c>
      <c r="BJ653" t="s">
        <v>211</v>
      </c>
      <c r="BM653">
        <v>16</v>
      </c>
      <c r="BN653">
        <v>0</v>
      </c>
      <c r="BO653" t="s">
        <v>209</v>
      </c>
      <c r="BP653">
        <v>1</v>
      </c>
      <c r="BQ653">
        <v>30</v>
      </c>
      <c r="BR653">
        <v>0</v>
      </c>
      <c r="BS653">
        <v>24.53</v>
      </c>
      <c r="BT653">
        <v>1</v>
      </c>
      <c r="BU653">
        <v>1</v>
      </c>
      <c r="BV653">
        <v>1</v>
      </c>
      <c r="BW653">
        <v>1</v>
      </c>
      <c r="BX653">
        <v>1</v>
      </c>
      <c r="BY653" t="s">
        <v>3</v>
      </c>
      <c r="BZ653">
        <v>85</v>
      </c>
      <c r="CA653">
        <v>41</v>
      </c>
      <c r="CE653">
        <v>30</v>
      </c>
      <c r="CF653">
        <v>0</v>
      </c>
      <c r="CG653">
        <v>0</v>
      </c>
      <c r="CM653">
        <v>0</v>
      </c>
      <c r="CN653" t="s">
        <v>3</v>
      </c>
      <c r="CO653">
        <v>0</v>
      </c>
      <c r="CP653">
        <f t="shared" si="530"/>
        <v>32382.54</v>
      </c>
      <c r="CQ653">
        <f t="shared" si="531"/>
        <v>0</v>
      </c>
      <c r="CR653">
        <f t="shared" si="532"/>
        <v>0</v>
      </c>
      <c r="CS653">
        <f t="shared" si="533"/>
        <v>0</v>
      </c>
      <c r="CT653">
        <f t="shared" si="534"/>
        <v>50105.47</v>
      </c>
      <c r="CU653">
        <f t="shared" si="535"/>
        <v>0</v>
      </c>
      <c r="CV653">
        <f t="shared" si="536"/>
        <v>192.7</v>
      </c>
      <c r="CW653">
        <f t="shared" si="537"/>
        <v>0</v>
      </c>
      <c r="CX653">
        <f t="shared" si="538"/>
        <v>0</v>
      </c>
      <c r="CY653">
        <f t="shared" si="539"/>
        <v>27525.159</v>
      </c>
      <c r="CZ653">
        <f t="shared" si="540"/>
        <v>13276.841399999999</v>
      </c>
      <c r="DC653" t="s">
        <v>3</v>
      </c>
      <c r="DD653" t="s">
        <v>3</v>
      </c>
      <c r="DE653" t="s">
        <v>3</v>
      </c>
      <c r="DF653" t="s">
        <v>3</v>
      </c>
      <c r="DG653" t="s">
        <v>3</v>
      </c>
      <c r="DH653" t="s">
        <v>3</v>
      </c>
      <c r="DI653" t="s">
        <v>3</v>
      </c>
      <c r="DJ653" t="s">
        <v>3</v>
      </c>
      <c r="DK653" t="s">
        <v>3</v>
      </c>
      <c r="DL653" t="s">
        <v>3</v>
      </c>
      <c r="DM653" t="s">
        <v>3</v>
      </c>
      <c r="DN653">
        <v>105</v>
      </c>
      <c r="DO653">
        <v>77</v>
      </c>
      <c r="DP653">
        <v>1</v>
      </c>
      <c r="DQ653">
        <v>1</v>
      </c>
      <c r="DU653">
        <v>1013</v>
      </c>
      <c r="DV653" t="s">
        <v>204</v>
      </c>
      <c r="DW653" t="s">
        <v>204</v>
      </c>
      <c r="DX653">
        <v>1</v>
      </c>
      <c r="EE653">
        <v>33797699</v>
      </c>
      <c r="EF653">
        <v>30</v>
      </c>
      <c r="EG653" t="s">
        <v>77</v>
      </c>
      <c r="EH653">
        <v>0</v>
      </c>
      <c r="EI653" t="s">
        <v>3</v>
      </c>
      <c r="EJ653">
        <v>1</v>
      </c>
      <c r="EK653">
        <v>16</v>
      </c>
      <c r="EL653" t="s">
        <v>212</v>
      </c>
      <c r="EM653" t="s">
        <v>213</v>
      </c>
      <c r="EO653" t="s">
        <v>3</v>
      </c>
      <c r="EQ653">
        <v>131072</v>
      </c>
      <c r="ER653">
        <v>2042.62</v>
      </c>
      <c r="ES653">
        <v>0</v>
      </c>
      <c r="ET653">
        <v>0</v>
      </c>
      <c r="EU653">
        <v>0</v>
      </c>
      <c r="EV653">
        <v>2042.62</v>
      </c>
      <c r="EW653">
        <v>192.7</v>
      </c>
      <c r="EX653">
        <v>0</v>
      </c>
      <c r="EY653">
        <v>0</v>
      </c>
      <c r="FQ653">
        <v>0</v>
      </c>
      <c r="FR653">
        <f t="shared" si="541"/>
        <v>0</v>
      </c>
      <c r="FS653">
        <v>0</v>
      </c>
      <c r="FX653">
        <v>105</v>
      </c>
      <c r="FY653">
        <v>77</v>
      </c>
      <c r="GA653" t="s">
        <v>3</v>
      </c>
      <c r="GD653">
        <v>0</v>
      </c>
      <c r="GF653">
        <v>-1632341149</v>
      </c>
      <c r="GG653">
        <v>2</v>
      </c>
      <c r="GH653">
        <v>1</v>
      </c>
      <c r="GI653">
        <v>2</v>
      </c>
      <c r="GJ653">
        <v>0</v>
      </c>
      <c r="GK653">
        <f>ROUND(R653*(R12)/100,2)</f>
        <v>0</v>
      </c>
      <c r="GL653">
        <f t="shared" si="542"/>
        <v>0</v>
      </c>
      <c r="GM653">
        <f t="shared" si="543"/>
        <v>73184.539999999994</v>
      </c>
      <c r="GN653">
        <f t="shared" si="544"/>
        <v>73184.539999999994</v>
      </c>
      <c r="GO653">
        <f t="shared" si="545"/>
        <v>0</v>
      </c>
      <c r="GP653">
        <f t="shared" si="546"/>
        <v>0</v>
      </c>
      <c r="GR653">
        <v>0</v>
      </c>
      <c r="GS653">
        <v>3</v>
      </c>
      <c r="GT653">
        <v>0</v>
      </c>
      <c r="GU653" t="s">
        <v>3</v>
      </c>
      <c r="GV653">
        <f t="shared" si="547"/>
        <v>0</v>
      </c>
      <c r="GW653">
        <v>1</v>
      </c>
      <c r="GX653">
        <f t="shared" si="548"/>
        <v>0</v>
      </c>
      <c r="HA653">
        <v>0</v>
      </c>
      <c r="HB653">
        <v>0</v>
      </c>
      <c r="HC653">
        <f t="shared" si="549"/>
        <v>0</v>
      </c>
      <c r="IK653">
        <v>0</v>
      </c>
    </row>
    <row r="654" spans="1:245" x14ac:dyDescent="0.2">
      <c r="A654">
        <v>17</v>
      </c>
      <c r="B654">
        <v>1</v>
      </c>
      <c r="C654">
        <f>ROW(SmtRes!A225)</f>
        <v>225</v>
      </c>
      <c r="D654">
        <f>ROW(EtalonRes!A226)</f>
        <v>226</v>
      </c>
      <c r="E654" t="s">
        <v>391</v>
      </c>
      <c r="F654" t="s">
        <v>215</v>
      </c>
      <c r="G654" t="s">
        <v>216</v>
      </c>
      <c r="H654" t="s">
        <v>204</v>
      </c>
      <c r="I654">
        <f>ROUND(I653*100/100,9)</f>
        <v>0.64629000000000003</v>
      </c>
      <c r="J654">
        <v>0</v>
      </c>
      <c r="O654">
        <f t="shared" si="510"/>
        <v>12605.72</v>
      </c>
      <c r="P654">
        <f t="shared" si="511"/>
        <v>0</v>
      </c>
      <c r="Q654">
        <f t="shared" si="512"/>
        <v>0</v>
      </c>
      <c r="R654">
        <f t="shared" si="513"/>
        <v>0</v>
      </c>
      <c r="S654">
        <f t="shared" si="514"/>
        <v>12605.72</v>
      </c>
      <c r="T654">
        <f t="shared" si="515"/>
        <v>0</v>
      </c>
      <c r="U654">
        <f t="shared" si="516"/>
        <v>53.642070000000004</v>
      </c>
      <c r="V654">
        <f t="shared" si="517"/>
        <v>0</v>
      </c>
      <c r="W654">
        <f t="shared" si="518"/>
        <v>0</v>
      </c>
      <c r="X654">
        <f t="shared" si="519"/>
        <v>9202.18</v>
      </c>
      <c r="Y654">
        <f t="shared" si="520"/>
        <v>5168.3500000000004</v>
      </c>
      <c r="AA654">
        <v>33989672</v>
      </c>
      <c r="AB654">
        <f t="shared" si="521"/>
        <v>795.14</v>
      </c>
      <c r="AC654">
        <f t="shared" si="522"/>
        <v>0</v>
      </c>
      <c r="AD654">
        <f t="shared" si="523"/>
        <v>0</v>
      </c>
      <c r="AE654">
        <f t="shared" si="524"/>
        <v>0</v>
      </c>
      <c r="AF654">
        <f t="shared" si="525"/>
        <v>795.14</v>
      </c>
      <c r="AG654">
        <f t="shared" si="526"/>
        <v>0</v>
      </c>
      <c r="AH654">
        <f t="shared" si="527"/>
        <v>83</v>
      </c>
      <c r="AI654">
        <f t="shared" si="528"/>
        <v>0</v>
      </c>
      <c r="AJ654">
        <f t="shared" si="529"/>
        <v>0</v>
      </c>
      <c r="AK654">
        <v>795.14</v>
      </c>
      <c r="AL654">
        <v>0</v>
      </c>
      <c r="AM654">
        <v>0</v>
      </c>
      <c r="AN654">
        <v>0</v>
      </c>
      <c r="AO654">
        <v>795.14</v>
      </c>
      <c r="AP654">
        <v>0</v>
      </c>
      <c r="AQ654">
        <v>83</v>
      </c>
      <c r="AR654">
        <v>0</v>
      </c>
      <c r="AS654">
        <v>0</v>
      </c>
      <c r="AT654">
        <v>73</v>
      </c>
      <c r="AU654">
        <v>41</v>
      </c>
      <c r="AV654">
        <v>1</v>
      </c>
      <c r="AW654">
        <v>1</v>
      </c>
      <c r="AZ654">
        <v>1</v>
      </c>
      <c r="BA654">
        <v>24.53</v>
      </c>
      <c r="BB654">
        <v>1</v>
      </c>
      <c r="BC654">
        <v>1</v>
      </c>
      <c r="BD654" t="s">
        <v>3</v>
      </c>
      <c r="BE654" t="s">
        <v>3</v>
      </c>
      <c r="BF654" t="s">
        <v>3</v>
      </c>
      <c r="BG654" t="s">
        <v>3</v>
      </c>
      <c r="BH654">
        <v>0</v>
      </c>
      <c r="BI654">
        <v>1</v>
      </c>
      <c r="BJ654" t="s">
        <v>217</v>
      </c>
      <c r="BM654">
        <v>393</v>
      </c>
      <c r="BN654">
        <v>0</v>
      </c>
      <c r="BO654" t="s">
        <v>215</v>
      </c>
      <c r="BP654">
        <v>1</v>
      </c>
      <c r="BQ654">
        <v>60</v>
      </c>
      <c r="BR654">
        <v>0</v>
      </c>
      <c r="BS654">
        <v>24.53</v>
      </c>
      <c r="BT654">
        <v>1</v>
      </c>
      <c r="BU654">
        <v>1</v>
      </c>
      <c r="BV654">
        <v>1</v>
      </c>
      <c r="BW654">
        <v>1</v>
      </c>
      <c r="BX654">
        <v>1</v>
      </c>
      <c r="BY654" t="s">
        <v>3</v>
      </c>
      <c r="BZ654">
        <v>73</v>
      </c>
      <c r="CA654">
        <v>41</v>
      </c>
      <c r="CE654">
        <v>30</v>
      </c>
      <c r="CF654">
        <v>0</v>
      </c>
      <c r="CG654">
        <v>0</v>
      </c>
      <c r="CM654">
        <v>0</v>
      </c>
      <c r="CN654" t="s">
        <v>3</v>
      </c>
      <c r="CO654">
        <v>0</v>
      </c>
      <c r="CP654">
        <f t="shared" si="530"/>
        <v>12605.72</v>
      </c>
      <c r="CQ654">
        <f t="shared" si="531"/>
        <v>0</v>
      </c>
      <c r="CR654">
        <f t="shared" si="532"/>
        <v>0</v>
      </c>
      <c r="CS654">
        <f t="shared" si="533"/>
        <v>0</v>
      </c>
      <c r="CT654">
        <f t="shared" si="534"/>
        <v>19504.78</v>
      </c>
      <c r="CU654">
        <f t="shared" si="535"/>
        <v>0</v>
      </c>
      <c r="CV654">
        <f t="shared" si="536"/>
        <v>83</v>
      </c>
      <c r="CW654">
        <f t="shared" si="537"/>
        <v>0</v>
      </c>
      <c r="CX654">
        <f t="shared" si="538"/>
        <v>0</v>
      </c>
      <c r="CY654">
        <f t="shared" si="539"/>
        <v>9202.1755999999987</v>
      </c>
      <c r="CZ654">
        <f t="shared" si="540"/>
        <v>5168.3451999999997</v>
      </c>
      <c r="DC654" t="s">
        <v>3</v>
      </c>
      <c r="DD654" t="s">
        <v>3</v>
      </c>
      <c r="DE654" t="s">
        <v>3</v>
      </c>
      <c r="DF654" t="s">
        <v>3</v>
      </c>
      <c r="DG654" t="s">
        <v>3</v>
      </c>
      <c r="DH654" t="s">
        <v>3</v>
      </c>
      <c r="DI654" t="s">
        <v>3</v>
      </c>
      <c r="DJ654" t="s">
        <v>3</v>
      </c>
      <c r="DK654" t="s">
        <v>3</v>
      </c>
      <c r="DL654" t="s">
        <v>3</v>
      </c>
      <c r="DM654" t="s">
        <v>3</v>
      </c>
      <c r="DN654">
        <v>91</v>
      </c>
      <c r="DO654">
        <v>67</v>
      </c>
      <c r="DP654">
        <v>1</v>
      </c>
      <c r="DQ654">
        <v>1</v>
      </c>
      <c r="DU654">
        <v>1013</v>
      </c>
      <c r="DV654" t="s">
        <v>204</v>
      </c>
      <c r="DW654" t="s">
        <v>204</v>
      </c>
      <c r="DX654">
        <v>1</v>
      </c>
      <c r="EE654">
        <v>33798032</v>
      </c>
      <c r="EF654">
        <v>60</v>
      </c>
      <c r="EG654" t="s">
        <v>20</v>
      </c>
      <c r="EH654">
        <v>0</v>
      </c>
      <c r="EI654" t="s">
        <v>3</v>
      </c>
      <c r="EJ654">
        <v>1</v>
      </c>
      <c r="EK654">
        <v>393</v>
      </c>
      <c r="EL654" t="s">
        <v>218</v>
      </c>
      <c r="EM654" t="s">
        <v>219</v>
      </c>
      <c r="EO654" t="s">
        <v>3</v>
      </c>
      <c r="EQ654">
        <v>131072</v>
      </c>
      <c r="ER654">
        <v>795.14</v>
      </c>
      <c r="ES654">
        <v>0</v>
      </c>
      <c r="ET654">
        <v>0</v>
      </c>
      <c r="EU654">
        <v>0</v>
      </c>
      <c r="EV654">
        <v>795.14</v>
      </c>
      <c r="EW654">
        <v>83</v>
      </c>
      <c r="EX654">
        <v>0</v>
      </c>
      <c r="EY654">
        <v>0</v>
      </c>
      <c r="FQ654">
        <v>0</v>
      </c>
      <c r="FR654">
        <f t="shared" si="541"/>
        <v>0</v>
      </c>
      <c r="FS654">
        <v>0</v>
      </c>
      <c r="FX654">
        <v>91</v>
      </c>
      <c r="FY654">
        <v>67</v>
      </c>
      <c r="GA654" t="s">
        <v>3</v>
      </c>
      <c r="GD654">
        <v>0</v>
      </c>
      <c r="GF654">
        <v>2144161260</v>
      </c>
      <c r="GG654">
        <v>2</v>
      </c>
      <c r="GH654">
        <v>1</v>
      </c>
      <c r="GI654">
        <v>2</v>
      </c>
      <c r="GJ654">
        <v>0</v>
      </c>
      <c r="GK654">
        <f>ROUND(R654*(R12)/100,2)</f>
        <v>0</v>
      </c>
      <c r="GL654">
        <f t="shared" si="542"/>
        <v>0</v>
      </c>
      <c r="GM654">
        <f t="shared" si="543"/>
        <v>26976.25</v>
      </c>
      <c r="GN654">
        <f t="shared" si="544"/>
        <v>26976.25</v>
      </c>
      <c r="GO654">
        <f t="shared" si="545"/>
        <v>0</v>
      </c>
      <c r="GP654">
        <f t="shared" si="546"/>
        <v>0</v>
      </c>
      <c r="GR654">
        <v>0</v>
      </c>
      <c r="GS654">
        <v>3</v>
      </c>
      <c r="GT654">
        <v>0</v>
      </c>
      <c r="GU654" t="s">
        <v>3</v>
      </c>
      <c r="GV654">
        <f t="shared" si="547"/>
        <v>0</v>
      </c>
      <c r="GW654">
        <v>1</v>
      </c>
      <c r="GX654">
        <f t="shared" si="548"/>
        <v>0</v>
      </c>
      <c r="HA654">
        <v>0</v>
      </c>
      <c r="HB654">
        <v>0</v>
      </c>
      <c r="HC654">
        <f t="shared" si="549"/>
        <v>0</v>
      </c>
      <c r="IK654">
        <v>0</v>
      </c>
    </row>
    <row r="655" spans="1:245" x14ac:dyDescent="0.2">
      <c r="A655">
        <v>17</v>
      </c>
      <c r="B655">
        <v>1</v>
      </c>
      <c r="C655">
        <f>ROW(SmtRes!A226)</f>
        <v>226</v>
      </c>
      <c r="D655">
        <f>ROW(EtalonRes!A227)</f>
        <v>227</v>
      </c>
      <c r="E655" t="s">
        <v>392</v>
      </c>
      <c r="F655" t="s">
        <v>271</v>
      </c>
      <c r="G655" t="s">
        <v>272</v>
      </c>
      <c r="H655" t="s">
        <v>51</v>
      </c>
      <c r="I655">
        <v>0</v>
      </c>
      <c r="J655">
        <v>0</v>
      </c>
      <c r="O655">
        <f t="shared" si="510"/>
        <v>0</v>
      </c>
      <c r="P655">
        <f t="shared" si="511"/>
        <v>0</v>
      </c>
      <c r="Q655">
        <f t="shared" si="512"/>
        <v>0</v>
      </c>
      <c r="R655">
        <f t="shared" si="513"/>
        <v>0</v>
      </c>
      <c r="S655">
        <f t="shared" si="514"/>
        <v>0</v>
      </c>
      <c r="T655">
        <f t="shared" si="515"/>
        <v>0</v>
      </c>
      <c r="U655">
        <f t="shared" si="516"/>
        <v>0</v>
      </c>
      <c r="V655">
        <f t="shared" si="517"/>
        <v>0</v>
      </c>
      <c r="W655">
        <f t="shared" si="518"/>
        <v>0</v>
      </c>
      <c r="X655">
        <f t="shared" si="519"/>
        <v>0</v>
      </c>
      <c r="Y655">
        <f t="shared" si="520"/>
        <v>0</v>
      </c>
      <c r="AA655">
        <v>33989672</v>
      </c>
      <c r="AB655">
        <f t="shared" si="521"/>
        <v>50.8</v>
      </c>
      <c r="AC655">
        <f t="shared" si="522"/>
        <v>0</v>
      </c>
      <c r="AD655">
        <f t="shared" si="523"/>
        <v>50.8</v>
      </c>
      <c r="AE655">
        <f t="shared" si="524"/>
        <v>0</v>
      </c>
      <c r="AF655">
        <f t="shared" si="525"/>
        <v>0</v>
      </c>
      <c r="AG655">
        <f t="shared" si="526"/>
        <v>0</v>
      </c>
      <c r="AH655">
        <f t="shared" si="527"/>
        <v>0</v>
      </c>
      <c r="AI655">
        <f t="shared" si="528"/>
        <v>0</v>
      </c>
      <c r="AJ655">
        <f t="shared" si="529"/>
        <v>0</v>
      </c>
      <c r="AK655">
        <v>50.8</v>
      </c>
      <c r="AL655">
        <v>0</v>
      </c>
      <c r="AM655">
        <v>50.8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93</v>
      </c>
      <c r="AU655">
        <v>64</v>
      </c>
      <c r="AV655">
        <v>1</v>
      </c>
      <c r="AW655">
        <v>1</v>
      </c>
      <c r="AZ655">
        <v>1</v>
      </c>
      <c r="BA655">
        <v>1</v>
      </c>
      <c r="BB655">
        <v>10.61</v>
      </c>
      <c r="BC655">
        <v>1</v>
      </c>
      <c r="BD655" t="s">
        <v>3</v>
      </c>
      <c r="BE655" t="s">
        <v>3</v>
      </c>
      <c r="BF655" t="s">
        <v>3</v>
      </c>
      <c r="BG655" t="s">
        <v>3</v>
      </c>
      <c r="BH655">
        <v>0</v>
      </c>
      <c r="BI655">
        <v>4</v>
      </c>
      <c r="BJ655" t="s">
        <v>273</v>
      </c>
      <c r="BM655">
        <v>1111</v>
      </c>
      <c r="BN655">
        <v>0</v>
      </c>
      <c r="BO655" t="s">
        <v>271</v>
      </c>
      <c r="BP655">
        <v>1</v>
      </c>
      <c r="BQ655">
        <v>150</v>
      </c>
      <c r="BR655">
        <v>0</v>
      </c>
      <c r="BS655">
        <v>1</v>
      </c>
      <c r="BT655">
        <v>1</v>
      </c>
      <c r="BU655">
        <v>1</v>
      </c>
      <c r="BV655">
        <v>1</v>
      </c>
      <c r="BW655">
        <v>1</v>
      </c>
      <c r="BX655">
        <v>1</v>
      </c>
      <c r="BY655" t="s">
        <v>3</v>
      </c>
      <c r="BZ655">
        <v>93</v>
      </c>
      <c r="CA655">
        <v>64</v>
      </c>
      <c r="CE655">
        <v>30</v>
      </c>
      <c r="CF655">
        <v>0</v>
      </c>
      <c r="CG655">
        <v>0</v>
      </c>
      <c r="CM655">
        <v>0</v>
      </c>
      <c r="CN655" t="s">
        <v>3</v>
      </c>
      <c r="CO655">
        <v>0</v>
      </c>
      <c r="CP655">
        <f t="shared" si="530"/>
        <v>0</v>
      </c>
      <c r="CQ655">
        <f t="shared" si="531"/>
        <v>0</v>
      </c>
      <c r="CR655">
        <f t="shared" si="532"/>
        <v>538.99</v>
      </c>
      <c r="CS655">
        <f t="shared" si="533"/>
        <v>0</v>
      </c>
      <c r="CT655">
        <f t="shared" si="534"/>
        <v>0</v>
      </c>
      <c r="CU655">
        <f t="shared" si="535"/>
        <v>0</v>
      </c>
      <c r="CV655">
        <f t="shared" si="536"/>
        <v>0</v>
      </c>
      <c r="CW655">
        <f t="shared" si="537"/>
        <v>0</v>
      </c>
      <c r="CX655">
        <f t="shared" si="538"/>
        <v>0</v>
      </c>
      <c r="CY655">
        <f t="shared" si="539"/>
        <v>0</v>
      </c>
      <c r="CZ655">
        <f t="shared" si="540"/>
        <v>0</v>
      </c>
      <c r="DC655" t="s">
        <v>3</v>
      </c>
      <c r="DD655" t="s">
        <v>3</v>
      </c>
      <c r="DE655" t="s">
        <v>3</v>
      </c>
      <c r="DF655" t="s">
        <v>3</v>
      </c>
      <c r="DG655" t="s">
        <v>3</v>
      </c>
      <c r="DH655" t="s">
        <v>3</v>
      </c>
      <c r="DI655" t="s">
        <v>3</v>
      </c>
      <c r="DJ655" t="s">
        <v>3</v>
      </c>
      <c r="DK655" t="s">
        <v>3</v>
      </c>
      <c r="DL655" t="s">
        <v>3</v>
      </c>
      <c r="DM655" t="s">
        <v>3</v>
      </c>
      <c r="DN655">
        <v>0</v>
      </c>
      <c r="DO655">
        <v>0</v>
      </c>
      <c r="DP655">
        <v>1</v>
      </c>
      <c r="DQ655">
        <v>1</v>
      </c>
      <c r="DU655">
        <v>1009</v>
      </c>
      <c r="DV655" t="s">
        <v>51</v>
      </c>
      <c r="DW655" t="s">
        <v>51</v>
      </c>
      <c r="DX655">
        <v>1000</v>
      </c>
      <c r="EE655">
        <v>33798750</v>
      </c>
      <c r="EF655">
        <v>150</v>
      </c>
      <c r="EG655" t="s">
        <v>53</v>
      </c>
      <c r="EH655">
        <v>0</v>
      </c>
      <c r="EI655" t="s">
        <v>3</v>
      </c>
      <c r="EJ655">
        <v>4</v>
      </c>
      <c r="EK655">
        <v>1111</v>
      </c>
      <c r="EL655" t="s">
        <v>224</v>
      </c>
      <c r="EM655" t="s">
        <v>225</v>
      </c>
      <c r="EO655" t="s">
        <v>3</v>
      </c>
      <c r="EQ655">
        <v>131072</v>
      </c>
      <c r="ER655">
        <v>50.8</v>
      </c>
      <c r="ES655">
        <v>0</v>
      </c>
      <c r="ET655">
        <v>50.8</v>
      </c>
      <c r="EU655">
        <v>0</v>
      </c>
      <c r="EV655">
        <v>0</v>
      </c>
      <c r="EW655">
        <v>0</v>
      </c>
      <c r="EX655">
        <v>0</v>
      </c>
      <c r="EY655">
        <v>0</v>
      </c>
      <c r="FQ655">
        <v>0</v>
      </c>
      <c r="FR655">
        <f t="shared" si="541"/>
        <v>0</v>
      </c>
      <c r="FS655">
        <v>0</v>
      </c>
      <c r="FX655">
        <v>0</v>
      </c>
      <c r="FY655">
        <v>0</v>
      </c>
      <c r="GA655" t="s">
        <v>3</v>
      </c>
      <c r="GD655">
        <v>0</v>
      </c>
      <c r="GF655">
        <v>-1019048002</v>
      </c>
      <c r="GG655">
        <v>2</v>
      </c>
      <c r="GH655">
        <v>1</v>
      </c>
      <c r="GI655">
        <v>2</v>
      </c>
      <c r="GJ655">
        <v>0</v>
      </c>
      <c r="GK655">
        <f>ROUND(R655*(R12)/100,2)</f>
        <v>0</v>
      </c>
      <c r="GL655">
        <f t="shared" si="542"/>
        <v>0</v>
      </c>
      <c r="GM655">
        <f t="shared" si="543"/>
        <v>0</v>
      </c>
      <c r="GN655">
        <f t="shared" si="544"/>
        <v>0</v>
      </c>
      <c r="GO655">
        <f t="shared" si="545"/>
        <v>0</v>
      </c>
      <c r="GP655">
        <f t="shared" si="546"/>
        <v>0</v>
      </c>
      <c r="GR655">
        <v>0</v>
      </c>
      <c r="GS655">
        <v>3</v>
      </c>
      <c r="GT655">
        <v>0</v>
      </c>
      <c r="GU655" t="s">
        <v>3</v>
      </c>
      <c r="GV655">
        <f t="shared" si="547"/>
        <v>0</v>
      </c>
      <c r="GW655">
        <v>1</v>
      </c>
      <c r="GX655">
        <f t="shared" si="548"/>
        <v>0</v>
      </c>
      <c r="HA655">
        <v>0</v>
      </c>
      <c r="HB655">
        <v>0</v>
      </c>
      <c r="HC655">
        <f t="shared" si="549"/>
        <v>0</v>
      </c>
      <c r="IK655">
        <v>0</v>
      </c>
    </row>
    <row r="656" spans="1:245" x14ac:dyDescent="0.2">
      <c r="A656">
        <v>17</v>
      </c>
      <c r="B656">
        <v>1</v>
      </c>
      <c r="C656">
        <f>ROW(SmtRes!A227)</f>
        <v>227</v>
      </c>
      <c r="D656">
        <f>ROW(EtalonRes!A228)</f>
        <v>228</v>
      </c>
      <c r="E656" t="s">
        <v>393</v>
      </c>
      <c r="F656" t="s">
        <v>227</v>
      </c>
      <c r="G656" t="s">
        <v>228</v>
      </c>
      <c r="H656" t="s">
        <v>38</v>
      </c>
      <c r="I656">
        <f>ROUND(I655,9)</f>
        <v>0</v>
      </c>
      <c r="J656">
        <v>0</v>
      </c>
      <c r="O656">
        <f t="shared" si="510"/>
        <v>0</v>
      </c>
      <c r="P656">
        <f t="shared" si="511"/>
        <v>0</v>
      </c>
      <c r="Q656">
        <f t="shared" si="512"/>
        <v>0</v>
      </c>
      <c r="R656">
        <f t="shared" si="513"/>
        <v>0</v>
      </c>
      <c r="S656">
        <f t="shared" si="514"/>
        <v>0</v>
      </c>
      <c r="T656">
        <f t="shared" si="515"/>
        <v>0</v>
      </c>
      <c r="U656">
        <f t="shared" si="516"/>
        <v>0</v>
      </c>
      <c r="V656">
        <f t="shared" si="517"/>
        <v>0</v>
      </c>
      <c r="W656">
        <f t="shared" si="518"/>
        <v>0</v>
      </c>
      <c r="X656">
        <f t="shared" si="519"/>
        <v>0</v>
      </c>
      <c r="Y656">
        <f t="shared" si="520"/>
        <v>0</v>
      </c>
      <c r="AA656">
        <v>33989672</v>
      </c>
      <c r="AB656">
        <f t="shared" si="521"/>
        <v>12.61</v>
      </c>
      <c r="AC656">
        <f t="shared" si="522"/>
        <v>0</v>
      </c>
      <c r="AD656">
        <f t="shared" si="523"/>
        <v>12.61</v>
      </c>
      <c r="AE656">
        <f t="shared" si="524"/>
        <v>0</v>
      </c>
      <c r="AF656">
        <f t="shared" si="525"/>
        <v>0</v>
      </c>
      <c r="AG656">
        <f t="shared" si="526"/>
        <v>0</v>
      </c>
      <c r="AH656">
        <f t="shared" si="527"/>
        <v>0</v>
      </c>
      <c r="AI656">
        <f t="shared" si="528"/>
        <v>0</v>
      </c>
      <c r="AJ656">
        <f t="shared" si="529"/>
        <v>0</v>
      </c>
      <c r="AK656">
        <v>12.61</v>
      </c>
      <c r="AL656">
        <v>0</v>
      </c>
      <c r="AM656">
        <v>12.61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93</v>
      </c>
      <c r="AU656">
        <v>64</v>
      </c>
      <c r="AV656">
        <v>1</v>
      </c>
      <c r="AW656">
        <v>1</v>
      </c>
      <c r="AZ656">
        <v>1</v>
      </c>
      <c r="BA656">
        <v>1</v>
      </c>
      <c r="BB656">
        <v>7.63</v>
      </c>
      <c r="BC656">
        <v>1</v>
      </c>
      <c r="BD656" t="s">
        <v>3</v>
      </c>
      <c r="BE656" t="s">
        <v>3</v>
      </c>
      <c r="BF656" t="s">
        <v>3</v>
      </c>
      <c r="BG656" t="s">
        <v>3</v>
      </c>
      <c r="BH656">
        <v>0</v>
      </c>
      <c r="BI656">
        <v>4</v>
      </c>
      <c r="BJ656" t="s">
        <v>229</v>
      </c>
      <c r="BM656">
        <v>1113</v>
      </c>
      <c r="BN656">
        <v>0</v>
      </c>
      <c r="BO656" t="s">
        <v>227</v>
      </c>
      <c r="BP656">
        <v>1</v>
      </c>
      <c r="BQ656">
        <v>150</v>
      </c>
      <c r="BR656">
        <v>0</v>
      </c>
      <c r="BS656">
        <v>1</v>
      </c>
      <c r="BT656">
        <v>1</v>
      </c>
      <c r="BU656">
        <v>1</v>
      </c>
      <c r="BV656">
        <v>1</v>
      </c>
      <c r="BW656">
        <v>1</v>
      </c>
      <c r="BX656">
        <v>1</v>
      </c>
      <c r="BY656" t="s">
        <v>3</v>
      </c>
      <c r="BZ656">
        <v>93</v>
      </c>
      <c r="CA656">
        <v>64</v>
      </c>
      <c r="CE656">
        <v>30</v>
      </c>
      <c r="CF656">
        <v>0</v>
      </c>
      <c r="CG656">
        <v>0</v>
      </c>
      <c r="CM656">
        <v>0</v>
      </c>
      <c r="CN656" t="s">
        <v>3</v>
      </c>
      <c r="CO656">
        <v>0</v>
      </c>
      <c r="CP656">
        <f t="shared" si="530"/>
        <v>0</v>
      </c>
      <c r="CQ656">
        <f t="shared" si="531"/>
        <v>0</v>
      </c>
      <c r="CR656">
        <f t="shared" si="532"/>
        <v>96.21</v>
      </c>
      <c r="CS656">
        <f t="shared" si="533"/>
        <v>0</v>
      </c>
      <c r="CT656">
        <f t="shared" si="534"/>
        <v>0</v>
      </c>
      <c r="CU656">
        <f t="shared" si="535"/>
        <v>0</v>
      </c>
      <c r="CV656">
        <f t="shared" si="536"/>
        <v>0</v>
      </c>
      <c r="CW656">
        <f t="shared" si="537"/>
        <v>0</v>
      </c>
      <c r="CX656">
        <f t="shared" si="538"/>
        <v>0</v>
      </c>
      <c r="CY656">
        <f t="shared" si="539"/>
        <v>0</v>
      </c>
      <c r="CZ656">
        <f t="shared" si="540"/>
        <v>0</v>
      </c>
      <c r="DC656" t="s">
        <v>3</v>
      </c>
      <c r="DD656" t="s">
        <v>3</v>
      </c>
      <c r="DE656" t="s">
        <v>3</v>
      </c>
      <c r="DF656" t="s">
        <v>3</v>
      </c>
      <c r="DG656" t="s">
        <v>3</v>
      </c>
      <c r="DH656" t="s">
        <v>3</v>
      </c>
      <c r="DI656" t="s">
        <v>3</v>
      </c>
      <c r="DJ656" t="s">
        <v>3</v>
      </c>
      <c r="DK656" t="s">
        <v>3</v>
      </c>
      <c r="DL656" t="s">
        <v>3</v>
      </c>
      <c r="DM656" t="s">
        <v>3</v>
      </c>
      <c r="DN656">
        <v>0</v>
      </c>
      <c r="DO656">
        <v>0</v>
      </c>
      <c r="DP656">
        <v>1</v>
      </c>
      <c r="DQ656">
        <v>1</v>
      </c>
      <c r="DU656">
        <v>1013</v>
      </c>
      <c r="DV656" t="s">
        <v>38</v>
      </c>
      <c r="DW656" t="s">
        <v>38</v>
      </c>
      <c r="DX656">
        <v>1</v>
      </c>
      <c r="EE656">
        <v>33798752</v>
      </c>
      <c r="EF656">
        <v>150</v>
      </c>
      <c r="EG656" t="s">
        <v>53</v>
      </c>
      <c r="EH656">
        <v>0</v>
      </c>
      <c r="EI656" t="s">
        <v>3</v>
      </c>
      <c r="EJ656">
        <v>4</v>
      </c>
      <c r="EK656">
        <v>1113</v>
      </c>
      <c r="EL656" t="s">
        <v>54</v>
      </c>
      <c r="EM656" t="s">
        <v>55</v>
      </c>
      <c r="EO656" t="s">
        <v>3</v>
      </c>
      <c r="EQ656">
        <v>131072</v>
      </c>
      <c r="ER656">
        <v>12.61</v>
      </c>
      <c r="ES656">
        <v>0</v>
      </c>
      <c r="ET656">
        <v>12.61</v>
      </c>
      <c r="EU656">
        <v>0</v>
      </c>
      <c r="EV656">
        <v>0</v>
      </c>
      <c r="EW656">
        <v>0</v>
      </c>
      <c r="EX656">
        <v>0</v>
      </c>
      <c r="EY656">
        <v>0</v>
      </c>
      <c r="FQ656">
        <v>0</v>
      </c>
      <c r="FR656">
        <f t="shared" si="541"/>
        <v>0</v>
      </c>
      <c r="FS656">
        <v>0</v>
      </c>
      <c r="FX656">
        <v>0</v>
      </c>
      <c r="FY656">
        <v>0</v>
      </c>
      <c r="GA656" t="s">
        <v>3</v>
      </c>
      <c r="GD656">
        <v>0</v>
      </c>
      <c r="GF656">
        <v>-1630031867</v>
      </c>
      <c r="GG656">
        <v>2</v>
      </c>
      <c r="GH656">
        <v>1</v>
      </c>
      <c r="GI656">
        <v>2</v>
      </c>
      <c r="GJ656">
        <v>0</v>
      </c>
      <c r="GK656">
        <f>ROUND(R656*(R12)/100,2)</f>
        <v>0</v>
      </c>
      <c r="GL656">
        <f t="shared" si="542"/>
        <v>0</v>
      </c>
      <c r="GM656">
        <f t="shared" si="543"/>
        <v>0</v>
      </c>
      <c r="GN656">
        <f t="shared" si="544"/>
        <v>0</v>
      </c>
      <c r="GO656">
        <f t="shared" si="545"/>
        <v>0</v>
      </c>
      <c r="GP656">
        <f t="shared" si="546"/>
        <v>0</v>
      </c>
      <c r="GR656">
        <v>0</v>
      </c>
      <c r="GS656">
        <v>3</v>
      </c>
      <c r="GT656">
        <v>0</v>
      </c>
      <c r="GU656" t="s">
        <v>3</v>
      </c>
      <c r="GV656">
        <f t="shared" si="547"/>
        <v>0</v>
      </c>
      <c r="GW656">
        <v>1</v>
      </c>
      <c r="GX656">
        <f t="shared" si="548"/>
        <v>0</v>
      </c>
      <c r="HA656">
        <v>0</v>
      </c>
      <c r="HB656">
        <v>0</v>
      </c>
      <c r="HC656">
        <f t="shared" si="549"/>
        <v>0</v>
      </c>
      <c r="IK656">
        <v>0</v>
      </c>
    </row>
    <row r="657" spans="1:245" x14ac:dyDescent="0.2">
      <c r="A657">
        <v>17</v>
      </c>
      <c r="B657">
        <v>1</v>
      </c>
      <c r="C657">
        <f>ROW(SmtRes!A235)</f>
        <v>235</v>
      </c>
      <c r="D657">
        <f>ROW(EtalonRes!A236)</f>
        <v>236</v>
      </c>
      <c r="E657" t="s">
        <v>394</v>
      </c>
      <c r="F657" t="s">
        <v>183</v>
      </c>
      <c r="G657" t="s">
        <v>184</v>
      </c>
      <c r="H657" t="s">
        <v>185</v>
      </c>
      <c r="I657">
        <f>ROUND(1503*0.2/100,9)</f>
        <v>3.0059999999999998</v>
      </c>
      <c r="J657">
        <v>0</v>
      </c>
      <c r="O657">
        <f t="shared" si="510"/>
        <v>30917</v>
      </c>
      <c r="P657">
        <f t="shared" si="511"/>
        <v>530.24</v>
      </c>
      <c r="Q657">
        <f t="shared" si="512"/>
        <v>19216.29</v>
      </c>
      <c r="R657">
        <f t="shared" si="513"/>
        <v>8778.31</v>
      </c>
      <c r="S657">
        <f t="shared" si="514"/>
        <v>11170.47</v>
      </c>
      <c r="T657">
        <f t="shared" si="515"/>
        <v>0</v>
      </c>
      <c r="U657">
        <f t="shared" si="516"/>
        <v>43.2864</v>
      </c>
      <c r="V657">
        <f t="shared" si="517"/>
        <v>0</v>
      </c>
      <c r="W657">
        <f t="shared" si="518"/>
        <v>0</v>
      </c>
      <c r="X657">
        <f t="shared" si="519"/>
        <v>14633.32</v>
      </c>
      <c r="Y657">
        <f t="shared" si="520"/>
        <v>6032.05</v>
      </c>
      <c r="AA657">
        <v>33989672</v>
      </c>
      <c r="AB657">
        <f t="shared" si="521"/>
        <v>863.31</v>
      </c>
      <c r="AC657">
        <f t="shared" si="522"/>
        <v>35.35</v>
      </c>
      <c r="AD657">
        <f t="shared" si="523"/>
        <v>676.47</v>
      </c>
      <c r="AE657">
        <f t="shared" si="524"/>
        <v>119.05</v>
      </c>
      <c r="AF657">
        <f t="shared" si="525"/>
        <v>151.49</v>
      </c>
      <c r="AG657">
        <f t="shared" si="526"/>
        <v>0</v>
      </c>
      <c r="AH657">
        <f t="shared" si="527"/>
        <v>14.4</v>
      </c>
      <c r="AI657">
        <f t="shared" si="528"/>
        <v>0</v>
      </c>
      <c r="AJ657">
        <f t="shared" si="529"/>
        <v>0</v>
      </c>
      <c r="AK657">
        <v>863.31</v>
      </c>
      <c r="AL657">
        <v>35.35</v>
      </c>
      <c r="AM657">
        <v>676.47</v>
      </c>
      <c r="AN657">
        <v>119.05</v>
      </c>
      <c r="AO657">
        <v>151.49</v>
      </c>
      <c r="AP657">
        <v>0</v>
      </c>
      <c r="AQ657">
        <v>14.4</v>
      </c>
      <c r="AR657">
        <v>0</v>
      </c>
      <c r="AS657">
        <v>0</v>
      </c>
      <c r="AT657">
        <v>131</v>
      </c>
      <c r="AU657">
        <v>54</v>
      </c>
      <c r="AV657">
        <v>1</v>
      </c>
      <c r="AW657">
        <v>1</v>
      </c>
      <c r="AZ657">
        <v>1</v>
      </c>
      <c r="BA657">
        <v>24.53</v>
      </c>
      <c r="BB657">
        <v>9.4499999999999993</v>
      </c>
      <c r="BC657">
        <v>4.99</v>
      </c>
      <c r="BD657" t="s">
        <v>3</v>
      </c>
      <c r="BE657" t="s">
        <v>3</v>
      </c>
      <c r="BF657" t="s">
        <v>3</v>
      </c>
      <c r="BG657" t="s">
        <v>3</v>
      </c>
      <c r="BH657">
        <v>0</v>
      </c>
      <c r="BI657">
        <v>1</v>
      </c>
      <c r="BJ657" t="s">
        <v>186</v>
      </c>
      <c r="BM657">
        <v>146</v>
      </c>
      <c r="BN657">
        <v>0</v>
      </c>
      <c r="BO657" t="s">
        <v>183</v>
      </c>
      <c r="BP657">
        <v>1</v>
      </c>
      <c r="BQ657">
        <v>30</v>
      </c>
      <c r="BR657">
        <v>0</v>
      </c>
      <c r="BS657">
        <v>24.53</v>
      </c>
      <c r="BT657">
        <v>1</v>
      </c>
      <c r="BU657">
        <v>1</v>
      </c>
      <c r="BV657">
        <v>1</v>
      </c>
      <c r="BW657">
        <v>1</v>
      </c>
      <c r="BX657">
        <v>1</v>
      </c>
      <c r="BY657" t="s">
        <v>3</v>
      </c>
      <c r="BZ657">
        <v>131</v>
      </c>
      <c r="CA657">
        <v>54</v>
      </c>
      <c r="CE657">
        <v>30</v>
      </c>
      <c r="CF657">
        <v>0</v>
      </c>
      <c r="CG657">
        <v>0</v>
      </c>
      <c r="CM657">
        <v>0</v>
      </c>
      <c r="CN657" t="s">
        <v>3</v>
      </c>
      <c r="CO657">
        <v>0</v>
      </c>
      <c r="CP657">
        <f t="shared" si="530"/>
        <v>30917</v>
      </c>
      <c r="CQ657">
        <f t="shared" si="531"/>
        <v>176.4</v>
      </c>
      <c r="CR657">
        <f t="shared" si="532"/>
        <v>6392.64</v>
      </c>
      <c r="CS657">
        <f t="shared" si="533"/>
        <v>2920.3</v>
      </c>
      <c r="CT657">
        <f t="shared" si="534"/>
        <v>3716.05</v>
      </c>
      <c r="CU657">
        <f t="shared" si="535"/>
        <v>0</v>
      </c>
      <c r="CV657">
        <f t="shared" si="536"/>
        <v>14.4</v>
      </c>
      <c r="CW657">
        <f t="shared" si="537"/>
        <v>0</v>
      </c>
      <c r="CX657">
        <f t="shared" si="538"/>
        <v>0</v>
      </c>
      <c r="CY657">
        <f t="shared" si="539"/>
        <v>14633.315699999999</v>
      </c>
      <c r="CZ657">
        <f t="shared" si="540"/>
        <v>6032.0537999999997</v>
      </c>
      <c r="DC657" t="s">
        <v>3</v>
      </c>
      <c r="DD657" t="s">
        <v>3</v>
      </c>
      <c r="DE657" t="s">
        <v>3</v>
      </c>
      <c r="DF657" t="s">
        <v>3</v>
      </c>
      <c r="DG657" t="s">
        <v>3</v>
      </c>
      <c r="DH657" t="s">
        <v>3</v>
      </c>
      <c r="DI657" t="s">
        <v>3</v>
      </c>
      <c r="DJ657" t="s">
        <v>3</v>
      </c>
      <c r="DK657" t="s">
        <v>3</v>
      </c>
      <c r="DL657" t="s">
        <v>3</v>
      </c>
      <c r="DM657" t="s">
        <v>3</v>
      </c>
      <c r="DN657">
        <v>161</v>
      </c>
      <c r="DO657">
        <v>107</v>
      </c>
      <c r="DP657">
        <v>1</v>
      </c>
      <c r="DQ657">
        <v>1</v>
      </c>
      <c r="DU657">
        <v>1013</v>
      </c>
      <c r="DV657" t="s">
        <v>185</v>
      </c>
      <c r="DW657" t="s">
        <v>185</v>
      </c>
      <c r="DX657">
        <v>1</v>
      </c>
      <c r="EE657">
        <v>33797785</v>
      </c>
      <c r="EF657">
        <v>30</v>
      </c>
      <c r="EG657" t="s">
        <v>77</v>
      </c>
      <c r="EH657">
        <v>0</v>
      </c>
      <c r="EI657" t="s">
        <v>3</v>
      </c>
      <c r="EJ657">
        <v>1</v>
      </c>
      <c r="EK657">
        <v>146</v>
      </c>
      <c r="EL657" t="s">
        <v>187</v>
      </c>
      <c r="EM657" t="s">
        <v>188</v>
      </c>
      <c r="EO657" t="s">
        <v>3</v>
      </c>
      <c r="EQ657">
        <v>131072</v>
      </c>
      <c r="ER657">
        <v>863.31</v>
      </c>
      <c r="ES657">
        <v>35.35</v>
      </c>
      <c r="ET657">
        <v>676.47</v>
      </c>
      <c r="EU657">
        <v>119.05</v>
      </c>
      <c r="EV657">
        <v>151.49</v>
      </c>
      <c r="EW657">
        <v>14.4</v>
      </c>
      <c r="EX657">
        <v>0</v>
      </c>
      <c r="EY657">
        <v>0</v>
      </c>
      <c r="FQ657">
        <v>0</v>
      </c>
      <c r="FR657">
        <f t="shared" si="541"/>
        <v>0</v>
      </c>
      <c r="FS657">
        <v>0</v>
      </c>
      <c r="FX657">
        <v>161</v>
      </c>
      <c r="FY657">
        <v>107</v>
      </c>
      <c r="GA657" t="s">
        <v>3</v>
      </c>
      <c r="GD657">
        <v>0</v>
      </c>
      <c r="GF657">
        <v>-1939963274</v>
      </c>
      <c r="GG657">
        <v>2</v>
      </c>
      <c r="GH657">
        <v>1</v>
      </c>
      <c r="GI657">
        <v>2</v>
      </c>
      <c r="GJ657">
        <v>0</v>
      </c>
      <c r="GK657">
        <f>ROUND(R657*(R12)/100,2)</f>
        <v>13781.95</v>
      </c>
      <c r="GL657">
        <f t="shared" si="542"/>
        <v>0</v>
      </c>
      <c r="GM657">
        <f t="shared" si="543"/>
        <v>65364.32</v>
      </c>
      <c r="GN657">
        <f t="shared" si="544"/>
        <v>65364.32</v>
      </c>
      <c r="GO657">
        <f t="shared" si="545"/>
        <v>0</v>
      </c>
      <c r="GP657">
        <f t="shared" si="546"/>
        <v>0</v>
      </c>
      <c r="GR657">
        <v>0</v>
      </c>
      <c r="GS657">
        <v>3</v>
      </c>
      <c r="GT657">
        <v>0</v>
      </c>
      <c r="GU657" t="s">
        <v>3</v>
      </c>
      <c r="GV657">
        <f t="shared" si="547"/>
        <v>0</v>
      </c>
      <c r="GW657">
        <v>1</v>
      </c>
      <c r="GX657">
        <f t="shared" si="548"/>
        <v>0</v>
      </c>
      <c r="HA657">
        <v>0</v>
      </c>
      <c r="HB657">
        <v>0</v>
      </c>
      <c r="HC657">
        <f t="shared" si="549"/>
        <v>0</v>
      </c>
      <c r="IK657">
        <v>0</v>
      </c>
    </row>
    <row r="658" spans="1:245" x14ac:dyDescent="0.2">
      <c r="A658">
        <v>18</v>
      </c>
      <c r="B658">
        <v>1</v>
      </c>
      <c r="C658">
        <v>235</v>
      </c>
      <c r="E658" t="s">
        <v>395</v>
      </c>
      <c r="F658" t="s">
        <v>190</v>
      </c>
      <c r="G658" t="s">
        <v>191</v>
      </c>
      <c r="H658" t="s">
        <v>66</v>
      </c>
      <c r="I658">
        <f>I657*J658</f>
        <v>330.66</v>
      </c>
      <c r="J658">
        <v>110.00000000000001</v>
      </c>
      <c r="O658">
        <f t="shared" si="510"/>
        <v>182606.11</v>
      </c>
      <c r="P658">
        <f t="shared" si="511"/>
        <v>182606.11</v>
      </c>
      <c r="Q658">
        <f t="shared" si="512"/>
        <v>0</v>
      </c>
      <c r="R658">
        <f t="shared" si="513"/>
        <v>0</v>
      </c>
      <c r="S658">
        <f t="shared" si="514"/>
        <v>0</v>
      </c>
      <c r="T658">
        <f t="shared" si="515"/>
        <v>0</v>
      </c>
      <c r="U658">
        <f t="shared" si="516"/>
        <v>0</v>
      </c>
      <c r="V658">
        <f t="shared" si="517"/>
        <v>0</v>
      </c>
      <c r="W658">
        <f t="shared" si="518"/>
        <v>0</v>
      </c>
      <c r="X658">
        <f t="shared" si="519"/>
        <v>0</v>
      </c>
      <c r="Y658">
        <f t="shared" si="520"/>
        <v>0</v>
      </c>
      <c r="AA658">
        <v>33989672</v>
      </c>
      <c r="AB658">
        <f t="shared" si="521"/>
        <v>104.99</v>
      </c>
      <c r="AC658">
        <f t="shared" si="522"/>
        <v>104.99</v>
      </c>
      <c r="AD658">
        <f t="shared" si="523"/>
        <v>0</v>
      </c>
      <c r="AE658">
        <f t="shared" si="524"/>
        <v>0</v>
      </c>
      <c r="AF658">
        <f t="shared" si="525"/>
        <v>0</v>
      </c>
      <c r="AG658">
        <f t="shared" si="526"/>
        <v>0</v>
      </c>
      <c r="AH658">
        <f t="shared" si="527"/>
        <v>0</v>
      </c>
      <c r="AI658">
        <f t="shared" si="528"/>
        <v>0</v>
      </c>
      <c r="AJ658">
        <f t="shared" si="529"/>
        <v>0</v>
      </c>
      <c r="AK658">
        <v>104.99</v>
      </c>
      <c r="AL658">
        <v>104.99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1</v>
      </c>
      <c r="AW658">
        <v>1</v>
      </c>
      <c r="AZ658">
        <v>1</v>
      </c>
      <c r="BA658">
        <v>1</v>
      </c>
      <c r="BB658">
        <v>1</v>
      </c>
      <c r="BC658">
        <v>5.26</v>
      </c>
      <c r="BD658" t="s">
        <v>3</v>
      </c>
      <c r="BE658" t="s">
        <v>3</v>
      </c>
      <c r="BF658" t="s">
        <v>3</v>
      </c>
      <c r="BG658" t="s">
        <v>3</v>
      </c>
      <c r="BH658">
        <v>3</v>
      </c>
      <c r="BI658">
        <v>1</v>
      </c>
      <c r="BJ658" t="s">
        <v>192</v>
      </c>
      <c r="BM658">
        <v>146</v>
      </c>
      <c r="BN658">
        <v>0</v>
      </c>
      <c r="BO658" t="s">
        <v>190</v>
      </c>
      <c r="BP658">
        <v>1</v>
      </c>
      <c r="BQ658">
        <v>30</v>
      </c>
      <c r="BR658">
        <v>0</v>
      </c>
      <c r="BS658">
        <v>1</v>
      </c>
      <c r="BT658">
        <v>1</v>
      </c>
      <c r="BU658">
        <v>1</v>
      </c>
      <c r="BV658">
        <v>1</v>
      </c>
      <c r="BW658">
        <v>1</v>
      </c>
      <c r="BX658">
        <v>1</v>
      </c>
      <c r="BY658" t="s">
        <v>3</v>
      </c>
      <c r="BZ658">
        <v>0</v>
      </c>
      <c r="CA658">
        <v>0</v>
      </c>
      <c r="CE658">
        <v>30</v>
      </c>
      <c r="CF658">
        <v>0</v>
      </c>
      <c r="CG658">
        <v>0</v>
      </c>
      <c r="CM658">
        <v>0</v>
      </c>
      <c r="CN658" t="s">
        <v>3</v>
      </c>
      <c r="CO658">
        <v>0</v>
      </c>
      <c r="CP658">
        <f t="shared" si="530"/>
        <v>182606.11</v>
      </c>
      <c r="CQ658">
        <f t="shared" si="531"/>
        <v>552.25</v>
      </c>
      <c r="CR658">
        <f t="shared" si="532"/>
        <v>0</v>
      </c>
      <c r="CS658">
        <f t="shared" si="533"/>
        <v>0</v>
      </c>
      <c r="CT658">
        <f t="shared" si="534"/>
        <v>0</v>
      </c>
      <c r="CU658">
        <f t="shared" si="535"/>
        <v>0</v>
      </c>
      <c r="CV658">
        <f t="shared" si="536"/>
        <v>0</v>
      </c>
      <c r="CW658">
        <f t="shared" si="537"/>
        <v>0</v>
      </c>
      <c r="CX658">
        <f t="shared" si="538"/>
        <v>0</v>
      </c>
      <c r="CY658">
        <f t="shared" si="539"/>
        <v>0</v>
      </c>
      <c r="CZ658">
        <f t="shared" si="540"/>
        <v>0</v>
      </c>
      <c r="DC658" t="s">
        <v>3</v>
      </c>
      <c r="DD658" t="s">
        <v>3</v>
      </c>
      <c r="DE658" t="s">
        <v>3</v>
      </c>
      <c r="DF658" t="s">
        <v>3</v>
      </c>
      <c r="DG658" t="s">
        <v>3</v>
      </c>
      <c r="DH658" t="s">
        <v>3</v>
      </c>
      <c r="DI658" t="s">
        <v>3</v>
      </c>
      <c r="DJ658" t="s">
        <v>3</v>
      </c>
      <c r="DK658" t="s">
        <v>3</v>
      </c>
      <c r="DL658" t="s">
        <v>3</v>
      </c>
      <c r="DM658" t="s">
        <v>3</v>
      </c>
      <c r="DN658">
        <v>161</v>
      </c>
      <c r="DO658">
        <v>107</v>
      </c>
      <c r="DP658">
        <v>1</v>
      </c>
      <c r="DQ658">
        <v>1</v>
      </c>
      <c r="DU658">
        <v>1007</v>
      </c>
      <c r="DV658" t="s">
        <v>66</v>
      </c>
      <c r="DW658" t="s">
        <v>66</v>
      </c>
      <c r="DX658">
        <v>1</v>
      </c>
      <c r="EE658">
        <v>33797785</v>
      </c>
      <c r="EF658">
        <v>30</v>
      </c>
      <c r="EG658" t="s">
        <v>77</v>
      </c>
      <c r="EH658">
        <v>0</v>
      </c>
      <c r="EI658" t="s">
        <v>3</v>
      </c>
      <c r="EJ658">
        <v>1</v>
      </c>
      <c r="EK658">
        <v>146</v>
      </c>
      <c r="EL658" t="s">
        <v>187</v>
      </c>
      <c r="EM658" t="s">
        <v>188</v>
      </c>
      <c r="EO658" t="s">
        <v>3</v>
      </c>
      <c r="EQ658">
        <v>0</v>
      </c>
      <c r="ER658">
        <v>104.99</v>
      </c>
      <c r="ES658">
        <v>104.99</v>
      </c>
      <c r="ET658">
        <v>0</v>
      </c>
      <c r="EU658">
        <v>0</v>
      </c>
      <c r="EV658">
        <v>0</v>
      </c>
      <c r="EW658">
        <v>0</v>
      </c>
      <c r="EX658">
        <v>0</v>
      </c>
      <c r="FQ658">
        <v>0</v>
      </c>
      <c r="FR658">
        <f t="shared" si="541"/>
        <v>0</v>
      </c>
      <c r="FS658">
        <v>0</v>
      </c>
      <c r="FX658">
        <v>161</v>
      </c>
      <c r="FY658">
        <v>107</v>
      </c>
      <c r="GA658" t="s">
        <v>3</v>
      </c>
      <c r="GD658">
        <v>0</v>
      </c>
      <c r="GF658">
        <v>2069056849</v>
      </c>
      <c r="GG658">
        <v>2</v>
      </c>
      <c r="GH658">
        <v>1</v>
      </c>
      <c r="GI658">
        <v>2</v>
      </c>
      <c r="GJ658">
        <v>0</v>
      </c>
      <c r="GK658">
        <f>ROUND(R658*(R12)/100,2)</f>
        <v>0</v>
      </c>
      <c r="GL658">
        <f t="shared" si="542"/>
        <v>0</v>
      </c>
      <c r="GM658">
        <f t="shared" si="543"/>
        <v>182606.11</v>
      </c>
      <c r="GN658">
        <f t="shared" si="544"/>
        <v>182606.11</v>
      </c>
      <c r="GO658">
        <f t="shared" si="545"/>
        <v>0</v>
      </c>
      <c r="GP658">
        <f t="shared" si="546"/>
        <v>0</v>
      </c>
      <c r="GR658">
        <v>0</v>
      </c>
      <c r="GS658">
        <v>3</v>
      </c>
      <c r="GT658">
        <v>0</v>
      </c>
      <c r="GU658" t="s">
        <v>3</v>
      </c>
      <c r="GV658">
        <f t="shared" si="547"/>
        <v>0</v>
      </c>
      <c r="GW658">
        <v>1</v>
      </c>
      <c r="GX658">
        <f t="shared" si="548"/>
        <v>0</v>
      </c>
      <c r="HA658">
        <v>0</v>
      </c>
      <c r="HB658">
        <v>0</v>
      </c>
      <c r="HC658">
        <f t="shared" si="549"/>
        <v>0</v>
      </c>
      <c r="IK658">
        <v>0</v>
      </c>
    </row>
    <row r="659" spans="1:245" x14ac:dyDescent="0.2">
      <c r="A659">
        <v>17</v>
      </c>
      <c r="B659">
        <v>1</v>
      </c>
      <c r="C659">
        <f>ROW(SmtRes!A244)</f>
        <v>244</v>
      </c>
      <c r="D659">
        <f>ROW(EtalonRes!A245)</f>
        <v>245</v>
      </c>
      <c r="E659" t="s">
        <v>396</v>
      </c>
      <c r="F659" t="s">
        <v>233</v>
      </c>
      <c r="G659" t="s">
        <v>234</v>
      </c>
      <c r="H659" t="s">
        <v>185</v>
      </c>
      <c r="I659">
        <f>ROUND(1503*0.12/100,9)</f>
        <v>1.8036000000000001</v>
      </c>
      <c r="J659">
        <v>0</v>
      </c>
      <c r="O659">
        <f t="shared" si="510"/>
        <v>56704.85</v>
      </c>
      <c r="P659">
        <f t="shared" si="511"/>
        <v>445.41</v>
      </c>
      <c r="Q659">
        <f t="shared" si="512"/>
        <v>46206.31</v>
      </c>
      <c r="R659">
        <f t="shared" si="513"/>
        <v>27970.09</v>
      </c>
      <c r="S659">
        <f t="shared" si="514"/>
        <v>10053.129999999999</v>
      </c>
      <c r="T659">
        <f t="shared" si="515"/>
        <v>0</v>
      </c>
      <c r="U659">
        <f t="shared" si="516"/>
        <v>38.957760000000007</v>
      </c>
      <c r="V659">
        <f t="shared" si="517"/>
        <v>0</v>
      </c>
      <c r="W659">
        <f t="shared" si="518"/>
        <v>0</v>
      </c>
      <c r="X659">
        <f t="shared" si="519"/>
        <v>13169.6</v>
      </c>
      <c r="Y659">
        <f t="shared" si="520"/>
        <v>5428.69</v>
      </c>
      <c r="AA659">
        <v>33989672</v>
      </c>
      <c r="AB659">
        <f t="shared" si="521"/>
        <v>3301.39</v>
      </c>
      <c r="AC659">
        <f t="shared" si="522"/>
        <v>49.49</v>
      </c>
      <c r="AD659">
        <f t="shared" si="523"/>
        <v>3024.67</v>
      </c>
      <c r="AE659">
        <f t="shared" si="524"/>
        <v>632.20000000000005</v>
      </c>
      <c r="AF659">
        <f t="shared" si="525"/>
        <v>227.23</v>
      </c>
      <c r="AG659">
        <f t="shared" si="526"/>
        <v>0</v>
      </c>
      <c r="AH659">
        <f t="shared" si="527"/>
        <v>21.6</v>
      </c>
      <c r="AI659">
        <f t="shared" si="528"/>
        <v>0</v>
      </c>
      <c r="AJ659">
        <f t="shared" si="529"/>
        <v>0</v>
      </c>
      <c r="AK659">
        <v>3301.39</v>
      </c>
      <c r="AL659">
        <v>49.49</v>
      </c>
      <c r="AM659">
        <v>3024.67</v>
      </c>
      <c r="AN659">
        <v>632.20000000000005</v>
      </c>
      <c r="AO659">
        <v>227.23</v>
      </c>
      <c r="AP659">
        <v>0</v>
      </c>
      <c r="AQ659">
        <v>21.6</v>
      </c>
      <c r="AR659">
        <v>0</v>
      </c>
      <c r="AS659">
        <v>0</v>
      </c>
      <c r="AT659">
        <v>131</v>
      </c>
      <c r="AU659">
        <v>54</v>
      </c>
      <c r="AV659">
        <v>1</v>
      </c>
      <c r="AW659">
        <v>1</v>
      </c>
      <c r="AZ659">
        <v>1</v>
      </c>
      <c r="BA659">
        <v>24.53</v>
      </c>
      <c r="BB659">
        <v>8.4700000000000006</v>
      </c>
      <c r="BC659">
        <v>4.99</v>
      </c>
      <c r="BD659" t="s">
        <v>3</v>
      </c>
      <c r="BE659" t="s">
        <v>3</v>
      </c>
      <c r="BF659" t="s">
        <v>3</v>
      </c>
      <c r="BG659" t="s">
        <v>3</v>
      </c>
      <c r="BH659">
        <v>0</v>
      </c>
      <c r="BI659">
        <v>1</v>
      </c>
      <c r="BJ659" t="s">
        <v>235</v>
      </c>
      <c r="BM659">
        <v>146</v>
      </c>
      <c r="BN659">
        <v>0</v>
      </c>
      <c r="BO659" t="s">
        <v>233</v>
      </c>
      <c r="BP659">
        <v>1</v>
      </c>
      <c r="BQ659">
        <v>30</v>
      </c>
      <c r="BR659">
        <v>0</v>
      </c>
      <c r="BS659">
        <v>24.53</v>
      </c>
      <c r="BT659">
        <v>1</v>
      </c>
      <c r="BU659">
        <v>1</v>
      </c>
      <c r="BV659">
        <v>1</v>
      </c>
      <c r="BW659">
        <v>1</v>
      </c>
      <c r="BX659">
        <v>1</v>
      </c>
      <c r="BY659" t="s">
        <v>3</v>
      </c>
      <c r="BZ659">
        <v>131</v>
      </c>
      <c r="CA659">
        <v>54</v>
      </c>
      <c r="CE659">
        <v>30</v>
      </c>
      <c r="CF659">
        <v>0</v>
      </c>
      <c r="CG659">
        <v>0</v>
      </c>
      <c r="CM659">
        <v>0</v>
      </c>
      <c r="CN659" t="s">
        <v>3</v>
      </c>
      <c r="CO659">
        <v>0</v>
      </c>
      <c r="CP659">
        <f t="shared" si="530"/>
        <v>56704.85</v>
      </c>
      <c r="CQ659">
        <f t="shared" si="531"/>
        <v>246.96</v>
      </c>
      <c r="CR659">
        <f t="shared" si="532"/>
        <v>25618.95</v>
      </c>
      <c r="CS659">
        <f t="shared" si="533"/>
        <v>15507.87</v>
      </c>
      <c r="CT659">
        <f t="shared" si="534"/>
        <v>5573.95</v>
      </c>
      <c r="CU659">
        <f t="shared" si="535"/>
        <v>0</v>
      </c>
      <c r="CV659">
        <f t="shared" si="536"/>
        <v>21.6</v>
      </c>
      <c r="CW659">
        <f t="shared" si="537"/>
        <v>0</v>
      </c>
      <c r="CX659">
        <f t="shared" si="538"/>
        <v>0</v>
      </c>
      <c r="CY659">
        <f t="shared" si="539"/>
        <v>13169.6003</v>
      </c>
      <c r="CZ659">
        <f t="shared" si="540"/>
        <v>5428.6902</v>
      </c>
      <c r="DC659" t="s">
        <v>3</v>
      </c>
      <c r="DD659" t="s">
        <v>3</v>
      </c>
      <c r="DE659" t="s">
        <v>3</v>
      </c>
      <c r="DF659" t="s">
        <v>3</v>
      </c>
      <c r="DG659" t="s">
        <v>3</v>
      </c>
      <c r="DH659" t="s">
        <v>3</v>
      </c>
      <c r="DI659" t="s">
        <v>3</v>
      </c>
      <c r="DJ659" t="s">
        <v>3</v>
      </c>
      <c r="DK659" t="s">
        <v>3</v>
      </c>
      <c r="DL659" t="s">
        <v>3</v>
      </c>
      <c r="DM659" t="s">
        <v>3</v>
      </c>
      <c r="DN659">
        <v>161</v>
      </c>
      <c r="DO659">
        <v>107</v>
      </c>
      <c r="DP659">
        <v>1</v>
      </c>
      <c r="DQ659">
        <v>1</v>
      </c>
      <c r="DU659">
        <v>1013</v>
      </c>
      <c r="DV659" t="s">
        <v>185</v>
      </c>
      <c r="DW659" t="s">
        <v>185</v>
      </c>
      <c r="DX659">
        <v>1</v>
      </c>
      <c r="EE659">
        <v>33797785</v>
      </c>
      <c r="EF659">
        <v>30</v>
      </c>
      <c r="EG659" t="s">
        <v>77</v>
      </c>
      <c r="EH659">
        <v>0</v>
      </c>
      <c r="EI659" t="s">
        <v>3</v>
      </c>
      <c r="EJ659">
        <v>1</v>
      </c>
      <c r="EK659">
        <v>146</v>
      </c>
      <c r="EL659" t="s">
        <v>187</v>
      </c>
      <c r="EM659" t="s">
        <v>188</v>
      </c>
      <c r="EO659" t="s">
        <v>3</v>
      </c>
      <c r="EQ659">
        <v>131072</v>
      </c>
      <c r="ER659">
        <v>3301.39</v>
      </c>
      <c r="ES659">
        <v>49.49</v>
      </c>
      <c r="ET659">
        <v>3024.67</v>
      </c>
      <c r="EU659">
        <v>632.20000000000005</v>
      </c>
      <c r="EV659">
        <v>227.23</v>
      </c>
      <c r="EW659">
        <v>21.6</v>
      </c>
      <c r="EX659">
        <v>0</v>
      </c>
      <c r="EY659">
        <v>0</v>
      </c>
      <c r="FQ659">
        <v>0</v>
      </c>
      <c r="FR659">
        <f t="shared" si="541"/>
        <v>0</v>
      </c>
      <c r="FS659">
        <v>0</v>
      </c>
      <c r="FX659">
        <v>161</v>
      </c>
      <c r="FY659">
        <v>107</v>
      </c>
      <c r="GA659" t="s">
        <v>3</v>
      </c>
      <c r="GD659">
        <v>0</v>
      </c>
      <c r="GF659">
        <v>-668565501</v>
      </c>
      <c r="GG659">
        <v>2</v>
      </c>
      <c r="GH659">
        <v>1</v>
      </c>
      <c r="GI659">
        <v>2</v>
      </c>
      <c r="GJ659">
        <v>0</v>
      </c>
      <c r="GK659">
        <f>ROUND(R659*(R12)/100,2)</f>
        <v>43913.04</v>
      </c>
      <c r="GL659">
        <f t="shared" si="542"/>
        <v>0</v>
      </c>
      <c r="GM659">
        <f t="shared" si="543"/>
        <v>119216.18</v>
      </c>
      <c r="GN659">
        <f t="shared" si="544"/>
        <v>119216.18</v>
      </c>
      <c r="GO659">
        <f t="shared" si="545"/>
        <v>0</v>
      </c>
      <c r="GP659">
        <f t="shared" si="546"/>
        <v>0</v>
      </c>
      <c r="GR659">
        <v>0</v>
      </c>
      <c r="GS659">
        <v>3</v>
      </c>
      <c r="GT659">
        <v>0</v>
      </c>
      <c r="GU659" t="s">
        <v>3</v>
      </c>
      <c r="GV659">
        <f t="shared" si="547"/>
        <v>0</v>
      </c>
      <c r="GW659">
        <v>1</v>
      </c>
      <c r="GX659">
        <f t="shared" si="548"/>
        <v>0</v>
      </c>
      <c r="HA659">
        <v>0</v>
      </c>
      <c r="HB659">
        <v>0</v>
      </c>
      <c r="HC659">
        <f t="shared" si="549"/>
        <v>0</v>
      </c>
      <c r="IK659">
        <v>0</v>
      </c>
    </row>
    <row r="660" spans="1:245" x14ac:dyDescent="0.2">
      <c r="A660">
        <v>18</v>
      </c>
      <c r="B660">
        <v>1</v>
      </c>
      <c r="C660">
        <v>244</v>
      </c>
      <c r="E660" t="s">
        <v>397</v>
      </c>
      <c r="F660" t="s">
        <v>64</v>
      </c>
      <c r="G660" t="s">
        <v>65</v>
      </c>
      <c r="H660" t="s">
        <v>66</v>
      </c>
      <c r="I660">
        <f>I659*J660</f>
        <v>227.25360000000001</v>
      </c>
      <c r="J660">
        <v>126</v>
      </c>
      <c r="O660">
        <f t="shared" si="510"/>
        <v>424720.79</v>
      </c>
      <c r="P660">
        <f t="shared" si="511"/>
        <v>424720.79</v>
      </c>
      <c r="Q660">
        <f t="shared" si="512"/>
        <v>0</v>
      </c>
      <c r="R660">
        <f t="shared" si="513"/>
        <v>0</v>
      </c>
      <c r="S660">
        <f t="shared" si="514"/>
        <v>0</v>
      </c>
      <c r="T660">
        <f t="shared" si="515"/>
        <v>0</v>
      </c>
      <c r="U660">
        <f t="shared" si="516"/>
        <v>0</v>
      </c>
      <c r="V660">
        <f t="shared" si="517"/>
        <v>0</v>
      </c>
      <c r="W660">
        <f t="shared" si="518"/>
        <v>0</v>
      </c>
      <c r="X660">
        <f t="shared" si="519"/>
        <v>0</v>
      </c>
      <c r="Y660">
        <f t="shared" si="520"/>
        <v>0</v>
      </c>
      <c r="AA660">
        <v>33989672</v>
      </c>
      <c r="AB660">
        <f t="shared" si="521"/>
        <v>173.37</v>
      </c>
      <c r="AC660">
        <f t="shared" si="522"/>
        <v>173.37</v>
      </c>
      <c r="AD660">
        <f t="shared" si="523"/>
        <v>0</v>
      </c>
      <c r="AE660">
        <f t="shared" si="524"/>
        <v>0</v>
      </c>
      <c r="AF660">
        <f t="shared" si="525"/>
        <v>0</v>
      </c>
      <c r="AG660">
        <f t="shared" si="526"/>
        <v>0</v>
      </c>
      <c r="AH660">
        <f t="shared" si="527"/>
        <v>0</v>
      </c>
      <c r="AI660">
        <f t="shared" si="528"/>
        <v>0</v>
      </c>
      <c r="AJ660">
        <f t="shared" si="529"/>
        <v>0</v>
      </c>
      <c r="AK660">
        <v>173.37</v>
      </c>
      <c r="AL660">
        <v>173.37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1</v>
      </c>
      <c r="AW660">
        <v>1</v>
      </c>
      <c r="AZ660">
        <v>1</v>
      </c>
      <c r="BA660">
        <v>1</v>
      </c>
      <c r="BB660">
        <v>1</v>
      </c>
      <c r="BC660">
        <v>10.78</v>
      </c>
      <c r="BD660" t="s">
        <v>3</v>
      </c>
      <c r="BE660" t="s">
        <v>3</v>
      </c>
      <c r="BF660" t="s">
        <v>3</v>
      </c>
      <c r="BG660" t="s">
        <v>3</v>
      </c>
      <c r="BH660">
        <v>3</v>
      </c>
      <c r="BI660">
        <v>1</v>
      </c>
      <c r="BJ660" t="s">
        <v>67</v>
      </c>
      <c r="BM660">
        <v>146</v>
      </c>
      <c r="BN660">
        <v>0</v>
      </c>
      <c r="BO660" t="s">
        <v>64</v>
      </c>
      <c r="BP660">
        <v>1</v>
      </c>
      <c r="BQ660">
        <v>30</v>
      </c>
      <c r="BR660">
        <v>0</v>
      </c>
      <c r="BS660">
        <v>1</v>
      </c>
      <c r="BT660">
        <v>1</v>
      </c>
      <c r="BU660">
        <v>1</v>
      </c>
      <c r="BV660">
        <v>1</v>
      </c>
      <c r="BW660">
        <v>1</v>
      </c>
      <c r="BX660">
        <v>1</v>
      </c>
      <c r="BY660" t="s">
        <v>3</v>
      </c>
      <c r="BZ660">
        <v>0</v>
      </c>
      <c r="CA660">
        <v>0</v>
      </c>
      <c r="CE660">
        <v>30</v>
      </c>
      <c r="CF660">
        <v>0</v>
      </c>
      <c r="CG660">
        <v>0</v>
      </c>
      <c r="CM660">
        <v>0</v>
      </c>
      <c r="CN660" t="s">
        <v>3</v>
      </c>
      <c r="CO660">
        <v>0</v>
      </c>
      <c r="CP660">
        <f t="shared" si="530"/>
        <v>424720.79</v>
      </c>
      <c r="CQ660">
        <f t="shared" si="531"/>
        <v>1868.93</v>
      </c>
      <c r="CR660">
        <f t="shared" si="532"/>
        <v>0</v>
      </c>
      <c r="CS660">
        <f t="shared" si="533"/>
        <v>0</v>
      </c>
      <c r="CT660">
        <f t="shared" si="534"/>
        <v>0</v>
      </c>
      <c r="CU660">
        <f t="shared" si="535"/>
        <v>0</v>
      </c>
      <c r="CV660">
        <f t="shared" si="536"/>
        <v>0</v>
      </c>
      <c r="CW660">
        <f t="shared" si="537"/>
        <v>0</v>
      </c>
      <c r="CX660">
        <f t="shared" si="538"/>
        <v>0</v>
      </c>
      <c r="CY660">
        <f t="shared" si="539"/>
        <v>0</v>
      </c>
      <c r="CZ660">
        <f t="shared" si="540"/>
        <v>0</v>
      </c>
      <c r="DC660" t="s">
        <v>3</v>
      </c>
      <c r="DD660" t="s">
        <v>3</v>
      </c>
      <c r="DE660" t="s">
        <v>3</v>
      </c>
      <c r="DF660" t="s">
        <v>3</v>
      </c>
      <c r="DG660" t="s">
        <v>3</v>
      </c>
      <c r="DH660" t="s">
        <v>3</v>
      </c>
      <c r="DI660" t="s">
        <v>3</v>
      </c>
      <c r="DJ660" t="s">
        <v>3</v>
      </c>
      <c r="DK660" t="s">
        <v>3</v>
      </c>
      <c r="DL660" t="s">
        <v>3</v>
      </c>
      <c r="DM660" t="s">
        <v>3</v>
      </c>
      <c r="DN660">
        <v>161</v>
      </c>
      <c r="DO660">
        <v>107</v>
      </c>
      <c r="DP660">
        <v>1</v>
      </c>
      <c r="DQ660">
        <v>1</v>
      </c>
      <c r="DU660">
        <v>1007</v>
      </c>
      <c r="DV660" t="s">
        <v>66</v>
      </c>
      <c r="DW660" t="s">
        <v>66</v>
      </c>
      <c r="DX660">
        <v>1</v>
      </c>
      <c r="EE660">
        <v>33797785</v>
      </c>
      <c r="EF660">
        <v>30</v>
      </c>
      <c r="EG660" t="s">
        <v>77</v>
      </c>
      <c r="EH660">
        <v>0</v>
      </c>
      <c r="EI660" t="s">
        <v>3</v>
      </c>
      <c r="EJ660">
        <v>1</v>
      </c>
      <c r="EK660">
        <v>146</v>
      </c>
      <c r="EL660" t="s">
        <v>187</v>
      </c>
      <c r="EM660" t="s">
        <v>188</v>
      </c>
      <c r="EO660" t="s">
        <v>3</v>
      </c>
      <c r="EQ660">
        <v>0</v>
      </c>
      <c r="ER660">
        <v>173.37</v>
      </c>
      <c r="ES660">
        <v>173.37</v>
      </c>
      <c r="ET660">
        <v>0</v>
      </c>
      <c r="EU660">
        <v>0</v>
      </c>
      <c r="EV660">
        <v>0</v>
      </c>
      <c r="EW660">
        <v>0</v>
      </c>
      <c r="EX660">
        <v>0</v>
      </c>
      <c r="FQ660">
        <v>0</v>
      </c>
      <c r="FR660">
        <f t="shared" si="541"/>
        <v>0</v>
      </c>
      <c r="FS660">
        <v>0</v>
      </c>
      <c r="FX660">
        <v>161</v>
      </c>
      <c r="FY660">
        <v>107</v>
      </c>
      <c r="GA660" t="s">
        <v>3</v>
      </c>
      <c r="GD660">
        <v>0</v>
      </c>
      <c r="GF660">
        <v>-820942871</v>
      </c>
      <c r="GG660">
        <v>2</v>
      </c>
      <c r="GH660">
        <v>1</v>
      </c>
      <c r="GI660">
        <v>2</v>
      </c>
      <c r="GJ660">
        <v>0</v>
      </c>
      <c r="GK660">
        <f>ROUND(R660*(R12)/100,2)</f>
        <v>0</v>
      </c>
      <c r="GL660">
        <f t="shared" si="542"/>
        <v>0</v>
      </c>
      <c r="GM660">
        <f t="shared" si="543"/>
        <v>424720.79</v>
      </c>
      <c r="GN660">
        <f t="shared" si="544"/>
        <v>424720.79</v>
      </c>
      <c r="GO660">
        <f t="shared" si="545"/>
        <v>0</v>
      </c>
      <c r="GP660">
        <f t="shared" si="546"/>
        <v>0</v>
      </c>
      <c r="GR660">
        <v>0</v>
      </c>
      <c r="GS660">
        <v>3</v>
      </c>
      <c r="GT660">
        <v>0</v>
      </c>
      <c r="GU660" t="s">
        <v>3</v>
      </c>
      <c r="GV660">
        <f t="shared" si="547"/>
        <v>0</v>
      </c>
      <c r="GW660">
        <v>1</v>
      </c>
      <c r="GX660">
        <f t="shared" si="548"/>
        <v>0</v>
      </c>
      <c r="HA660">
        <v>0</v>
      </c>
      <c r="HB660">
        <v>0</v>
      </c>
      <c r="HC660">
        <f t="shared" si="549"/>
        <v>0</v>
      </c>
      <c r="IK660">
        <v>0</v>
      </c>
    </row>
    <row r="661" spans="1:245" x14ac:dyDescent="0.2">
      <c r="A661">
        <v>17</v>
      </c>
      <c r="B661">
        <v>1</v>
      </c>
      <c r="C661">
        <f>ROW(SmtRes!A254)</f>
        <v>254</v>
      </c>
      <c r="D661">
        <f>ROW(EtalonRes!A255)</f>
        <v>255</v>
      </c>
      <c r="E661" t="s">
        <v>398</v>
      </c>
      <c r="F661" t="s">
        <v>399</v>
      </c>
      <c r="G661" t="s">
        <v>400</v>
      </c>
      <c r="H661" t="s">
        <v>18</v>
      </c>
      <c r="I661">
        <f>ROUND(1503/100,5)</f>
        <v>15.03</v>
      </c>
      <c r="J661">
        <v>0</v>
      </c>
      <c r="O661">
        <f t="shared" si="510"/>
        <v>511374.22</v>
      </c>
      <c r="P661">
        <f t="shared" si="511"/>
        <v>1743.22</v>
      </c>
      <c r="Q661">
        <f t="shared" si="512"/>
        <v>32827.9</v>
      </c>
      <c r="R661">
        <f t="shared" si="513"/>
        <v>9910.3700000000008</v>
      </c>
      <c r="S661">
        <f t="shared" si="514"/>
        <v>476803.1</v>
      </c>
      <c r="T661">
        <f t="shared" si="515"/>
        <v>0</v>
      </c>
      <c r="U661">
        <f t="shared" si="516"/>
        <v>1752.3477</v>
      </c>
      <c r="V661">
        <f t="shared" si="517"/>
        <v>0</v>
      </c>
      <c r="W661">
        <f t="shared" si="518"/>
        <v>0</v>
      </c>
      <c r="X661">
        <f t="shared" si="519"/>
        <v>505411.29</v>
      </c>
      <c r="Y661">
        <f t="shared" si="520"/>
        <v>195489.27</v>
      </c>
      <c r="AA661">
        <v>33989672</v>
      </c>
      <c r="AB661">
        <f t="shared" si="521"/>
        <v>1590.73</v>
      </c>
      <c r="AC661">
        <f t="shared" si="522"/>
        <v>22.05</v>
      </c>
      <c r="AD661">
        <f t="shared" si="523"/>
        <v>275.43</v>
      </c>
      <c r="AE661">
        <f t="shared" si="524"/>
        <v>26.88</v>
      </c>
      <c r="AF661">
        <f t="shared" si="525"/>
        <v>1293.25</v>
      </c>
      <c r="AG661">
        <f t="shared" si="526"/>
        <v>0</v>
      </c>
      <c r="AH661">
        <f t="shared" si="527"/>
        <v>116.59</v>
      </c>
      <c r="AI661">
        <f t="shared" si="528"/>
        <v>0</v>
      </c>
      <c r="AJ661">
        <f t="shared" si="529"/>
        <v>0</v>
      </c>
      <c r="AK661">
        <v>1590.73</v>
      </c>
      <c r="AL661">
        <v>22.05</v>
      </c>
      <c r="AM661">
        <v>275.43</v>
      </c>
      <c r="AN661">
        <v>26.88</v>
      </c>
      <c r="AO661">
        <v>1293.25</v>
      </c>
      <c r="AP661">
        <v>0</v>
      </c>
      <c r="AQ661">
        <v>116.59</v>
      </c>
      <c r="AR661">
        <v>0</v>
      </c>
      <c r="AS661">
        <v>0</v>
      </c>
      <c r="AT661">
        <v>106</v>
      </c>
      <c r="AU661">
        <v>41</v>
      </c>
      <c r="AV661">
        <v>1</v>
      </c>
      <c r="AW661">
        <v>1</v>
      </c>
      <c r="AZ661">
        <v>1</v>
      </c>
      <c r="BA661">
        <v>24.53</v>
      </c>
      <c r="BB661">
        <v>7.93</v>
      </c>
      <c r="BC661">
        <v>5.26</v>
      </c>
      <c r="BD661" t="s">
        <v>3</v>
      </c>
      <c r="BE661" t="s">
        <v>3</v>
      </c>
      <c r="BF661" t="s">
        <v>3</v>
      </c>
      <c r="BG661" t="s">
        <v>3</v>
      </c>
      <c r="BH661">
        <v>0</v>
      </c>
      <c r="BI661">
        <v>1</v>
      </c>
      <c r="BJ661" t="s">
        <v>401</v>
      </c>
      <c r="BM661">
        <v>305</v>
      </c>
      <c r="BN661">
        <v>0</v>
      </c>
      <c r="BO661" t="s">
        <v>399</v>
      </c>
      <c r="BP661">
        <v>1</v>
      </c>
      <c r="BQ661">
        <v>30</v>
      </c>
      <c r="BR661">
        <v>0</v>
      </c>
      <c r="BS661">
        <v>24.53</v>
      </c>
      <c r="BT661">
        <v>1</v>
      </c>
      <c r="BU661">
        <v>1</v>
      </c>
      <c r="BV661">
        <v>1</v>
      </c>
      <c r="BW661">
        <v>1</v>
      </c>
      <c r="BX661">
        <v>1</v>
      </c>
      <c r="BY661" t="s">
        <v>3</v>
      </c>
      <c r="BZ661">
        <v>106</v>
      </c>
      <c r="CA661">
        <v>41</v>
      </c>
      <c r="CE661">
        <v>30</v>
      </c>
      <c r="CF661">
        <v>0</v>
      </c>
      <c r="CG661">
        <v>0</v>
      </c>
      <c r="CM661">
        <v>0</v>
      </c>
      <c r="CN661" t="s">
        <v>3</v>
      </c>
      <c r="CO661">
        <v>0</v>
      </c>
      <c r="CP661">
        <f t="shared" si="530"/>
        <v>511374.22</v>
      </c>
      <c r="CQ661">
        <f t="shared" si="531"/>
        <v>115.98</v>
      </c>
      <c r="CR661">
        <f t="shared" si="532"/>
        <v>2184.16</v>
      </c>
      <c r="CS661">
        <f t="shared" si="533"/>
        <v>659.37</v>
      </c>
      <c r="CT661">
        <f t="shared" si="534"/>
        <v>31723.42</v>
      </c>
      <c r="CU661">
        <f t="shared" si="535"/>
        <v>0</v>
      </c>
      <c r="CV661">
        <f t="shared" si="536"/>
        <v>116.59</v>
      </c>
      <c r="CW661">
        <f t="shared" si="537"/>
        <v>0</v>
      </c>
      <c r="CX661">
        <f t="shared" si="538"/>
        <v>0</v>
      </c>
      <c r="CY661">
        <f t="shared" si="539"/>
        <v>505411.28600000002</v>
      </c>
      <c r="CZ661">
        <f t="shared" si="540"/>
        <v>195489.27099999998</v>
      </c>
      <c r="DC661" t="s">
        <v>3</v>
      </c>
      <c r="DD661" t="s">
        <v>3</v>
      </c>
      <c r="DE661" t="s">
        <v>3</v>
      </c>
      <c r="DF661" t="s">
        <v>3</v>
      </c>
      <c r="DG661" t="s">
        <v>3</v>
      </c>
      <c r="DH661" t="s">
        <v>3</v>
      </c>
      <c r="DI661" t="s">
        <v>3</v>
      </c>
      <c r="DJ661" t="s">
        <v>3</v>
      </c>
      <c r="DK661" t="s">
        <v>3</v>
      </c>
      <c r="DL661" t="s">
        <v>3</v>
      </c>
      <c r="DM661" t="s">
        <v>3</v>
      </c>
      <c r="DN661">
        <v>134</v>
      </c>
      <c r="DO661">
        <v>83</v>
      </c>
      <c r="DP661">
        <v>1</v>
      </c>
      <c r="DQ661">
        <v>1</v>
      </c>
      <c r="DU661">
        <v>1005</v>
      </c>
      <c r="DV661" t="s">
        <v>18</v>
      </c>
      <c r="DW661" t="s">
        <v>18</v>
      </c>
      <c r="DX661">
        <v>100</v>
      </c>
      <c r="EE661">
        <v>33797944</v>
      </c>
      <c r="EF661">
        <v>30</v>
      </c>
      <c r="EG661" t="s">
        <v>77</v>
      </c>
      <c r="EH661">
        <v>0</v>
      </c>
      <c r="EI661" t="s">
        <v>3</v>
      </c>
      <c r="EJ661">
        <v>1</v>
      </c>
      <c r="EK661">
        <v>305</v>
      </c>
      <c r="EL661" t="s">
        <v>402</v>
      </c>
      <c r="EM661" t="s">
        <v>403</v>
      </c>
      <c r="EO661" t="s">
        <v>3</v>
      </c>
      <c r="EQ661">
        <v>131072</v>
      </c>
      <c r="ER661">
        <v>1590.73</v>
      </c>
      <c r="ES661">
        <v>22.05</v>
      </c>
      <c r="ET661">
        <v>275.43</v>
      </c>
      <c r="EU661">
        <v>26.88</v>
      </c>
      <c r="EV661">
        <v>1293.25</v>
      </c>
      <c r="EW661">
        <v>116.59</v>
      </c>
      <c r="EX661">
        <v>0</v>
      </c>
      <c r="EY661">
        <v>0</v>
      </c>
      <c r="FQ661">
        <v>0</v>
      </c>
      <c r="FR661">
        <f t="shared" si="541"/>
        <v>0</v>
      </c>
      <c r="FS661">
        <v>0</v>
      </c>
      <c r="FX661">
        <v>134</v>
      </c>
      <c r="FY661">
        <v>83</v>
      </c>
      <c r="GA661" t="s">
        <v>3</v>
      </c>
      <c r="GD661">
        <v>0</v>
      </c>
      <c r="GF661">
        <v>781796329</v>
      </c>
      <c r="GG661">
        <v>2</v>
      </c>
      <c r="GH661">
        <v>1</v>
      </c>
      <c r="GI661">
        <v>2</v>
      </c>
      <c r="GJ661">
        <v>0</v>
      </c>
      <c r="GK661">
        <f>ROUND(R661*(R12)/100,2)</f>
        <v>15559.28</v>
      </c>
      <c r="GL661">
        <f t="shared" si="542"/>
        <v>0</v>
      </c>
      <c r="GM661">
        <f t="shared" si="543"/>
        <v>1227834.06</v>
      </c>
      <c r="GN661">
        <f t="shared" si="544"/>
        <v>1227834.06</v>
      </c>
      <c r="GO661">
        <f t="shared" si="545"/>
        <v>0</v>
      </c>
      <c r="GP661">
        <f t="shared" si="546"/>
        <v>0</v>
      </c>
      <c r="GR661">
        <v>0</v>
      </c>
      <c r="GS661">
        <v>3</v>
      </c>
      <c r="GT661">
        <v>0</v>
      </c>
      <c r="GU661" t="s">
        <v>3</v>
      </c>
      <c r="GV661">
        <f t="shared" si="547"/>
        <v>0</v>
      </c>
      <c r="GW661">
        <v>1</v>
      </c>
      <c r="GX661">
        <f t="shared" si="548"/>
        <v>0</v>
      </c>
      <c r="HA661">
        <v>0</v>
      </c>
      <c r="HB661">
        <v>0</v>
      </c>
      <c r="HC661">
        <f t="shared" si="549"/>
        <v>0</v>
      </c>
      <c r="IK661">
        <v>0</v>
      </c>
    </row>
    <row r="662" spans="1:245" x14ac:dyDescent="0.2">
      <c r="A662">
        <v>18</v>
      </c>
      <c r="B662">
        <v>1</v>
      </c>
      <c r="C662">
        <v>254</v>
      </c>
      <c r="E662" t="s">
        <v>404</v>
      </c>
      <c r="F662" t="s">
        <v>405</v>
      </c>
      <c r="G662" t="s">
        <v>406</v>
      </c>
      <c r="H662" t="s">
        <v>328</v>
      </c>
      <c r="I662">
        <f>I661*J662</f>
        <v>51.101999999999997</v>
      </c>
      <c r="J662">
        <v>3.4</v>
      </c>
      <c r="O662">
        <f t="shared" si="510"/>
        <v>37811.18</v>
      </c>
      <c r="P662">
        <f t="shared" si="511"/>
        <v>37811.18</v>
      </c>
      <c r="Q662">
        <f t="shared" si="512"/>
        <v>0</v>
      </c>
      <c r="R662">
        <f t="shared" si="513"/>
        <v>0</v>
      </c>
      <c r="S662">
        <f t="shared" si="514"/>
        <v>0</v>
      </c>
      <c r="T662">
        <f t="shared" si="515"/>
        <v>0</v>
      </c>
      <c r="U662">
        <f t="shared" si="516"/>
        <v>0</v>
      </c>
      <c r="V662">
        <f t="shared" si="517"/>
        <v>0</v>
      </c>
      <c r="W662">
        <f t="shared" si="518"/>
        <v>0</v>
      </c>
      <c r="X662">
        <f t="shared" si="519"/>
        <v>0</v>
      </c>
      <c r="Y662">
        <f t="shared" si="520"/>
        <v>0</v>
      </c>
      <c r="AA662">
        <v>33989672</v>
      </c>
      <c r="AB662">
        <f t="shared" si="521"/>
        <v>437.82</v>
      </c>
      <c r="AC662">
        <f t="shared" si="522"/>
        <v>437.82</v>
      </c>
      <c r="AD662">
        <f t="shared" si="523"/>
        <v>0</v>
      </c>
      <c r="AE662">
        <f t="shared" si="524"/>
        <v>0</v>
      </c>
      <c r="AF662">
        <f t="shared" si="525"/>
        <v>0</v>
      </c>
      <c r="AG662">
        <f t="shared" si="526"/>
        <v>0</v>
      </c>
      <c r="AH662">
        <f t="shared" si="527"/>
        <v>0</v>
      </c>
      <c r="AI662">
        <f t="shared" si="528"/>
        <v>0</v>
      </c>
      <c r="AJ662">
        <f t="shared" si="529"/>
        <v>0</v>
      </c>
      <c r="AK662">
        <v>437.82</v>
      </c>
      <c r="AL662">
        <v>437.82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1</v>
      </c>
      <c r="AW662">
        <v>1</v>
      </c>
      <c r="AZ662">
        <v>1</v>
      </c>
      <c r="BA662">
        <v>1</v>
      </c>
      <c r="BB662">
        <v>1</v>
      </c>
      <c r="BC662">
        <v>1.69</v>
      </c>
      <c r="BD662" t="s">
        <v>3</v>
      </c>
      <c r="BE662" t="s">
        <v>3</v>
      </c>
      <c r="BF662" t="s">
        <v>3</v>
      </c>
      <c r="BG662" t="s">
        <v>3</v>
      </c>
      <c r="BH662">
        <v>3</v>
      </c>
      <c r="BI662">
        <v>1</v>
      </c>
      <c r="BJ662" t="s">
        <v>407</v>
      </c>
      <c r="BM662">
        <v>305</v>
      </c>
      <c r="BN662">
        <v>0</v>
      </c>
      <c r="BO662" t="s">
        <v>405</v>
      </c>
      <c r="BP662">
        <v>1</v>
      </c>
      <c r="BQ662">
        <v>30</v>
      </c>
      <c r="BR662">
        <v>0</v>
      </c>
      <c r="BS662">
        <v>1</v>
      </c>
      <c r="BT662">
        <v>1</v>
      </c>
      <c r="BU662">
        <v>1</v>
      </c>
      <c r="BV662">
        <v>1</v>
      </c>
      <c r="BW662">
        <v>1</v>
      </c>
      <c r="BX662">
        <v>1</v>
      </c>
      <c r="BY662" t="s">
        <v>3</v>
      </c>
      <c r="BZ662">
        <v>0</v>
      </c>
      <c r="CA662">
        <v>0</v>
      </c>
      <c r="CE662">
        <v>30</v>
      </c>
      <c r="CF662">
        <v>0</v>
      </c>
      <c r="CG662">
        <v>0</v>
      </c>
      <c r="CM662">
        <v>0</v>
      </c>
      <c r="CN662" t="s">
        <v>3</v>
      </c>
      <c r="CO662">
        <v>0</v>
      </c>
      <c r="CP662">
        <f t="shared" si="530"/>
        <v>37811.18</v>
      </c>
      <c r="CQ662">
        <f t="shared" si="531"/>
        <v>739.92</v>
      </c>
      <c r="CR662">
        <f t="shared" si="532"/>
        <v>0</v>
      </c>
      <c r="CS662">
        <f t="shared" si="533"/>
        <v>0</v>
      </c>
      <c r="CT662">
        <f t="shared" si="534"/>
        <v>0</v>
      </c>
      <c r="CU662">
        <f t="shared" si="535"/>
        <v>0</v>
      </c>
      <c r="CV662">
        <f t="shared" si="536"/>
        <v>0</v>
      </c>
      <c r="CW662">
        <f t="shared" si="537"/>
        <v>0</v>
      </c>
      <c r="CX662">
        <f t="shared" si="538"/>
        <v>0</v>
      </c>
      <c r="CY662">
        <f t="shared" si="539"/>
        <v>0</v>
      </c>
      <c r="CZ662">
        <f t="shared" si="540"/>
        <v>0</v>
      </c>
      <c r="DC662" t="s">
        <v>3</v>
      </c>
      <c r="DD662" t="s">
        <v>3</v>
      </c>
      <c r="DE662" t="s">
        <v>3</v>
      </c>
      <c r="DF662" t="s">
        <v>3</v>
      </c>
      <c r="DG662" t="s">
        <v>3</v>
      </c>
      <c r="DH662" t="s">
        <v>3</v>
      </c>
      <c r="DI662" t="s">
        <v>3</v>
      </c>
      <c r="DJ662" t="s">
        <v>3</v>
      </c>
      <c r="DK662" t="s">
        <v>3</v>
      </c>
      <c r="DL662" t="s">
        <v>3</v>
      </c>
      <c r="DM662" t="s">
        <v>3</v>
      </c>
      <c r="DN662">
        <v>134</v>
      </c>
      <c r="DO662">
        <v>83</v>
      </c>
      <c r="DP662">
        <v>1</v>
      </c>
      <c r="DQ662">
        <v>1</v>
      </c>
      <c r="DU662">
        <v>1010</v>
      </c>
      <c r="DV662" t="s">
        <v>328</v>
      </c>
      <c r="DW662" t="s">
        <v>328</v>
      </c>
      <c r="DX662">
        <v>1</v>
      </c>
      <c r="EE662">
        <v>33797944</v>
      </c>
      <c r="EF662">
        <v>30</v>
      </c>
      <c r="EG662" t="s">
        <v>77</v>
      </c>
      <c r="EH662">
        <v>0</v>
      </c>
      <c r="EI662" t="s">
        <v>3</v>
      </c>
      <c r="EJ662">
        <v>1</v>
      </c>
      <c r="EK662">
        <v>305</v>
      </c>
      <c r="EL662" t="s">
        <v>402</v>
      </c>
      <c r="EM662" t="s">
        <v>403</v>
      </c>
      <c r="EO662" t="s">
        <v>3</v>
      </c>
      <c r="EQ662">
        <v>0</v>
      </c>
      <c r="ER662">
        <v>437.82</v>
      </c>
      <c r="ES662">
        <v>437.82</v>
      </c>
      <c r="ET662">
        <v>0</v>
      </c>
      <c r="EU662">
        <v>0</v>
      </c>
      <c r="EV662">
        <v>0</v>
      </c>
      <c r="EW662">
        <v>0</v>
      </c>
      <c r="EX662">
        <v>0</v>
      </c>
      <c r="FQ662">
        <v>0</v>
      </c>
      <c r="FR662">
        <f t="shared" si="541"/>
        <v>0</v>
      </c>
      <c r="FS662">
        <v>0</v>
      </c>
      <c r="FX662">
        <v>134</v>
      </c>
      <c r="FY662">
        <v>83</v>
      </c>
      <c r="GA662" t="s">
        <v>3</v>
      </c>
      <c r="GD662">
        <v>0</v>
      </c>
      <c r="GF662">
        <v>-1816805806</v>
      </c>
      <c r="GG662">
        <v>2</v>
      </c>
      <c r="GH662">
        <v>1</v>
      </c>
      <c r="GI662">
        <v>2</v>
      </c>
      <c r="GJ662">
        <v>0</v>
      </c>
      <c r="GK662">
        <f>ROUND(R662*(R12)/100,2)</f>
        <v>0</v>
      </c>
      <c r="GL662">
        <f t="shared" si="542"/>
        <v>0</v>
      </c>
      <c r="GM662">
        <f t="shared" si="543"/>
        <v>37811.18</v>
      </c>
      <c r="GN662">
        <f t="shared" si="544"/>
        <v>37811.18</v>
      </c>
      <c r="GO662">
        <f t="shared" si="545"/>
        <v>0</v>
      </c>
      <c r="GP662">
        <f t="shared" si="546"/>
        <v>0</v>
      </c>
      <c r="GR662">
        <v>0</v>
      </c>
      <c r="GS662">
        <v>3</v>
      </c>
      <c r="GT662">
        <v>0</v>
      </c>
      <c r="GU662" t="s">
        <v>3</v>
      </c>
      <c r="GV662">
        <f t="shared" si="547"/>
        <v>0</v>
      </c>
      <c r="GW662">
        <v>1</v>
      </c>
      <c r="GX662">
        <f t="shared" si="548"/>
        <v>0</v>
      </c>
      <c r="HA662">
        <v>0</v>
      </c>
      <c r="HB662">
        <v>0</v>
      </c>
      <c r="HC662">
        <f t="shared" si="549"/>
        <v>0</v>
      </c>
      <c r="IK662">
        <v>0</v>
      </c>
    </row>
    <row r="663" spans="1:245" x14ac:dyDescent="0.2">
      <c r="A663">
        <v>18</v>
      </c>
      <c r="B663">
        <v>1</v>
      </c>
      <c r="C663">
        <v>253</v>
      </c>
      <c r="E663" t="s">
        <v>408</v>
      </c>
      <c r="F663" t="s">
        <v>409</v>
      </c>
      <c r="G663" t="s">
        <v>410</v>
      </c>
      <c r="H663" t="s">
        <v>411</v>
      </c>
      <c r="I663">
        <f>I661*J663</f>
        <v>1503</v>
      </c>
      <c r="J663">
        <v>100</v>
      </c>
      <c r="O663">
        <f t="shared" si="510"/>
        <v>1375964.79</v>
      </c>
      <c r="P663">
        <f t="shared" si="511"/>
        <v>1375964.79</v>
      </c>
      <c r="Q663">
        <f t="shared" si="512"/>
        <v>0</v>
      </c>
      <c r="R663">
        <f t="shared" si="513"/>
        <v>0</v>
      </c>
      <c r="S663">
        <f t="shared" si="514"/>
        <v>0</v>
      </c>
      <c r="T663">
        <f t="shared" si="515"/>
        <v>0</v>
      </c>
      <c r="U663">
        <f t="shared" si="516"/>
        <v>0</v>
      </c>
      <c r="V663">
        <f t="shared" si="517"/>
        <v>0</v>
      </c>
      <c r="W663">
        <f t="shared" si="518"/>
        <v>0</v>
      </c>
      <c r="X663">
        <f t="shared" si="519"/>
        <v>0</v>
      </c>
      <c r="Y663">
        <f t="shared" si="520"/>
        <v>0</v>
      </c>
      <c r="AA663">
        <v>33989672</v>
      </c>
      <c r="AB663">
        <f t="shared" si="521"/>
        <v>283.43</v>
      </c>
      <c r="AC663">
        <f t="shared" si="522"/>
        <v>283.43</v>
      </c>
      <c r="AD663">
        <f t="shared" si="523"/>
        <v>0</v>
      </c>
      <c r="AE663">
        <f t="shared" si="524"/>
        <v>0</v>
      </c>
      <c r="AF663">
        <f t="shared" si="525"/>
        <v>0</v>
      </c>
      <c r="AG663">
        <f t="shared" si="526"/>
        <v>0</v>
      </c>
      <c r="AH663">
        <f t="shared" si="527"/>
        <v>0</v>
      </c>
      <c r="AI663">
        <f t="shared" si="528"/>
        <v>0</v>
      </c>
      <c r="AJ663">
        <f t="shared" si="529"/>
        <v>0</v>
      </c>
      <c r="AK663">
        <v>283.43</v>
      </c>
      <c r="AL663">
        <v>283.43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0</v>
      </c>
      <c r="AV663">
        <v>1</v>
      </c>
      <c r="AW663">
        <v>1</v>
      </c>
      <c r="AZ663">
        <v>1</v>
      </c>
      <c r="BA663">
        <v>1</v>
      </c>
      <c r="BB663">
        <v>1</v>
      </c>
      <c r="BC663">
        <v>3.23</v>
      </c>
      <c r="BD663" t="s">
        <v>3</v>
      </c>
      <c r="BE663" t="s">
        <v>3</v>
      </c>
      <c r="BF663" t="s">
        <v>3</v>
      </c>
      <c r="BG663" t="s">
        <v>3</v>
      </c>
      <c r="BH663">
        <v>3</v>
      </c>
      <c r="BI663">
        <v>1</v>
      </c>
      <c r="BJ663" t="s">
        <v>412</v>
      </c>
      <c r="BM663">
        <v>305</v>
      </c>
      <c r="BN663">
        <v>0</v>
      </c>
      <c r="BO663" t="s">
        <v>409</v>
      </c>
      <c r="BP663">
        <v>1</v>
      </c>
      <c r="BQ663">
        <v>30</v>
      </c>
      <c r="BR663">
        <v>0</v>
      </c>
      <c r="BS663">
        <v>1</v>
      </c>
      <c r="BT663">
        <v>1</v>
      </c>
      <c r="BU663">
        <v>1</v>
      </c>
      <c r="BV663">
        <v>1</v>
      </c>
      <c r="BW663">
        <v>1</v>
      </c>
      <c r="BX663">
        <v>1</v>
      </c>
      <c r="BY663" t="s">
        <v>3</v>
      </c>
      <c r="BZ663">
        <v>0</v>
      </c>
      <c r="CA663">
        <v>0</v>
      </c>
      <c r="CE663">
        <v>30</v>
      </c>
      <c r="CF663">
        <v>0</v>
      </c>
      <c r="CG663">
        <v>0</v>
      </c>
      <c r="CM663">
        <v>0</v>
      </c>
      <c r="CN663" t="s">
        <v>3</v>
      </c>
      <c r="CO663">
        <v>0</v>
      </c>
      <c r="CP663">
        <f t="shared" si="530"/>
        <v>1375964.79</v>
      </c>
      <c r="CQ663">
        <f t="shared" si="531"/>
        <v>915.48</v>
      </c>
      <c r="CR663">
        <f t="shared" si="532"/>
        <v>0</v>
      </c>
      <c r="CS663">
        <f t="shared" si="533"/>
        <v>0</v>
      </c>
      <c r="CT663">
        <f t="shared" si="534"/>
        <v>0</v>
      </c>
      <c r="CU663">
        <f t="shared" si="535"/>
        <v>0</v>
      </c>
      <c r="CV663">
        <f t="shared" si="536"/>
        <v>0</v>
      </c>
      <c r="CW663">
        <f t="shared" si="537"/>
        <v>0</v>
      </c>
      <c r="CX663">
        <f t="shared" si="538"/>
        <v>0</v>
      </c>
      <c r="CY663">
        <f t="shared" si="539"/>
        <v>0</v>
      </c>
      <c r="CZ663">
        <f t="shared" si="540"/>
        <v>0</v>
      </c>
      <c r="DC663" t="s">
        <v>3</v>
      </c>
      <c r="DD663" t="s">
        <v>3</v>
      </c>
      <c r="DE663" t="s">
        <v>3</v>
      </c>
      <c r="DF663" t="s">
        <v>3</v>
      </c>
      <c r="DG663" t="s">
        <v>3</v>
      </c>
      <c r="DH663" t="s">
        <v>3</v>
      </c>
      <c r="DI663" t="s">
        <v>3</v>
      </c>
      <c r="DJ663" t="s">
        <v>3</v>
      </c>
      <c r="DK663" t="s">
        <v>3</v>
      </c>
      <c r="DL663" t="s">
        <v>3</v>
      </c>
      <c r="DM663" t="s">
        <v>3</v>
      </c>
      <c r="DN663">
        <v>134</v>
      </c>
      <c r="DO663">
        <v>83</v>
      </c>
      <c r="DP663">
        <v>1</v>
      </c>
      <c r="DQ663">
        <v>1</v>
      </c>
      <c r="DU663">
        <v>1005</v>
      </c>
      <c r="DV663" t="s">
        <v>411</v>
      </c>
      <c r="DW663" t="s">
        <v>411</v>
      </c>
      <c r="DX663">
        <v>1</v>
      </c>
      <c r="EE663">
        <v>33797944</v>
      </c>
      <c r="EF663">
        <v>30</v>
      </c>
      <c r="EG663" t="s">
        <v>77</v>
      </c>
      <c r="EH663">
        <v>0</v>
      </c>
      <c r="EI663" t="s">
        <v>3</v>
      </c>
      <c r="EJ663">
        <v>1</v>
      </c>
      <c r="EK663">
        <v>305</v>
      </c>
      <c r="EL663" t="s">
        <v>402</v>
      </c>
      <c r="EM663" t="s">
        <v>403</v>
      </c>
      <c r="EO663" t="s">
        <v>3</v>
      </c>
      <c r="EQ663">
        <v>0</v>
      </c>
      <c r="ER663">
        <v>283.43</v>
      </c>
      <c r="ES663">
        <v>283.43</v>
      </c>
      <c r="ET663">
        <v>0</v>
      </c>
      <c r="EU663">
        <v>0</v>
      </c>
      <c r="EV663">
        <v>0</v>
      </c>
      <c r="EW663">
        <v>0</v>
      </c>
      <c r="EX663">
        <v>0</v>
      </c>
      <c r="FQ663">
        <v>0</v>
      </c>
      <c r="FR663">
        <f t="shared" si="541"/>
        <v>0</v>
      </c>
      <c r="FS663">
        <v>0</v>
      </c>
      <c r="FX663">
        <v>134</v>
      </c>
      <c r="FY663">
        <v>83</v>
      </c>
      <c r="GA663" t="s">
        <v>3</v>
      </c>
      <c r="GD663">
        <v>0</v>
      </c>
      <c r="GF663">
        <v>-1129273364</v>
      </c>
      <c r="GG663">
        <v>2</v>
      </c>
      <c r="GH663">
        <v>1</v>
      </c>
      <c r="GI663">
        <v>2</v>
      </c>
      <c r="GJ663">
        <v>0</v>
      </c>
      <c r="GK663">
        <f>ROUND(R663*(R12)/100,2)</f>
        <v>0</v>
      </c>
      <c r="GL663">
        <f t="shared" si="542"/>
        <v>0</v>
      </c>
      <c r="GM663">
        <f t="shared" si="543"/>
        <v>1375964.79</v>
      </c>
      <c r="GN663">
        <f t="shared" si="544"/>
        <v>1375964.79</v>
      </c>
      <c r="GO663">
        <f t="shared" si="545"/>
        <v>0</v>
      </c>
      <c r="GP663">
        <f t="shared" si="546"/>
        <v>0</v>
      </c>
      <c r="GR663">
        <v>0</v>
      </c>
      <c r="GS663">
        <v>3</v>
      </c>
      <c r="GT663">
        <v>0</v>
      </c>
      <c r="GU663" t="s">
        <v>3</v>
      </c>
      <c r="GV663">
        <f t="shared" si="547"/>
        <v>0</v>
      </c>
      <c r="GW663">
        <v>1</v>
      </c>
      <c r="GX663">
        <f t="shared" si="548"/>
        <v>0</v>
      </c>
      <c r="HA663">
        <v>0</v>
      </c>
      <c r="HB663">
        <v>0</v>
      </c>
      <c r="HC663">
        <f t="shared" si="549"/>
        <v>0</v>
      </c>
      <c r="IK663">
        <v>0</v>
      </c>
    </row>
    <row r="664" spans="1:245" x14ac:dyDescent="0.2">
      <c r="A664">
        <v>18</v>
      </c>
      <c r="B664">
        <v>1</v>
      </c>
      <c r="C664">
        <v>252</v>
      </c>
      <c r="E664" t="s">
        <v>413</v>
      </c>
      <c r="F664" t="s">
        <v>414</v>
      </c>
      <c r="G664" t="s">
        <v>415</v>
      </c>
      <c r="H664" t="s">
        <v>51</v>
      </c>
      <c r="I664">
        <f>I661*J664</f>
        <v>33.817500000000003</v>
      </c>
      <c r="J664">
        <v>2.2500000000000004</v>
      </c>
      <c r="O664">
        <f t="shared" si="510"/>
        <v>107774.7</v>
      </c>
      <c r="P664">
        <f t="shared" si="511"/>
        <v>107774.7</v>
      </c>
      <c r="Q664">
        <f t="shared" si="512"/>
        <v>0</v>
      </c>
      <c r="R664">
        <f t="shared" si="513"/>
        <v>0</v>
      </c>
      <c r="S664">
        <f t="shared" si="514"/>
        <v>0</v>
      </c>
      <c r="T664">
        <f t="shared" si="515"/>
        <v>0</v>
      </c>
      <c r="U664">
        <f t="shared" si="516"/>
        <v>0</v>
      </c>
      <c r="V664">
        <f t="shared" si="517"/>
        <v>0</v>
      </c>
      <c r="W664">
        <f t="shared" si="518"/>
        <v>0</v>
      </c>
      <c r="X664">
        <f t="shared" si="519"/>
        <v>0</v>
      </c>
      <c r="Y664">
        <f t="shared" si="520"/>
        <v>0</v>
      </c>
      <c r="AA664">
        <v>33989672</v>
      </c>
      <c r="AB664">
        <f t="shared" si="521"/>
        <v>438.37</v>
      </c>
      <c r="AC664">
        <f t="shared" si="522"/>
        <v>438.37</v>
      </c>
      <c r="AD664">
        <f t="shared" si="523"/>
        <v>0</v>
      </c>
      <c r="AE664">
        <f t="shared" si="524"/>
        <v>0</v>
      </c>
      <c r="AF664">
        <f t="shared" si="525"/>
        <v>0</v>
      </c>
      <c r="AG664">
        <f t="shared" si="526"/>
        <v>0</v>
      </c>
      <c r="AH664">
        <f t="shared" si="527"/>
        <v>0</v>
      </c>
      <c r="AI664">
        <f t="shared" si="528"/>
        <v>0</v>
      </c>
      <c r="AJ664">
        <f t="shared" si="529"/>
        <v>0</v>
      </c>
      <c r="AK664">
        <v>438.37</v>
      </c>
      <c r="AL664">
        <v>438.37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1</v>
      </c>
      <c r="AW664">
        <v>1</v>
      </c>
      <c r="AZ664">
        <v>1</v>
      </c>
      <c r="BA664">
        <v>1</v>
      </c>
      <c r="BB664">
        <v>1</v>
      </c>
      <c r="BC664">
        <v>7.27</v>
      </c>
      <c r="BD664" t="s">
        <v>3</v>
      </c>
      <c r="BE664" t="s">
        <v>3</v>
      </c>
      <c r="BF664" t="s">
        <v>3</v>
      </c>
      <c r="BG664" t="s">
        <v>3</v>
      </c>
      <c r="BH664">
        <v>3</v>
      </c>
      <c r="BI664">
        <v>1</v>
      </c>
      <c r="BJ664" t="s">
        <v>416</v>
      </c>
      <c r="BM664">
        <v>305</v>
      </c>
      <c r="BN664">
        <v>0</v>
      </c>
      <c r="BO664" t="s">
        <v>414</v>
      </c>
      <c r="BP664">
        <v>1</v>
      </c>
      <c r="BQ664">
        <v>30</v>
      </c>
      <c r="BR664">
        <v>0</v>
      </c>
      <c r="BS664">
        <v>1</v>
      </c>
      <c r="BT664">
        <v>1</v>
      </c>
      <c r="BU664">
        <v>1</v>
      </c>
      <c r="BV664">
        <v>1</v>
      </c>
      <c r="BW664">
        <v>1</v>
      </c>
      <c r="BX664">
        <v>1</v>
      </c>
      <c r="BY664" t="s">
        <v>3</v>
      </c>
      <c r="BZ664">
        <v>0</v>
      </c>
      <c r="CA664">
        <v>0</v>
      </c>
      <c r="CE664">
        <v>30</v>
      </c>
      <c r="CF664">
        <v>0</v>
      </c>
      <c r="CG664">
        <v>0</v>
      </c>
      <c r="CM664">
        <v>0</v>
      </c>
      <c r="CN664" t="s">
        <v>3</v>
      </c>
      <c r="CO664">
        <v>0</v>
      </c>
      <c r="CP664">
        <f t="shared" si="530"/>
        <v>107774.7</v>
      </c>
      <c r="CQ664">
        <f t="shared" si="531"/>
        <v>3186.95</v>
      </c>
      <c r="CR664">
        <f t="shared" si="532"/>
        <v>0</v>
      </c>
      <c r="CS664">
        <f t="shared" si="533"/>
        <v>0</v>
      </c>
      <c r="CT664">
        <f t="shared" si="534"/>
        <v>0</v>
      </c>
      <c r="CU664">
        <f t="shared" si="535"/>
        <v>0</v>
      </c>
      <c r="CV664">
        <f t="shared" si="536"/>
        <v>0</v>
      </c>
      <c r="CW664">
        <f t="shared" si="537"/>
        <v>0</v>
      </c>
      <c r="CX664">
        <f t="shared" si="538"/>
        <v>0</v>
      </c>
      <c r="CY664">
        <f t="shared" si="539"/>
        <v>0</v>
      </c>
      <c r="CZ664">
        <f t="shared" si="540"/>
        <v>0</v>
      </c>
      <c r="DC664" t="s">
        <v>3</v>
      </c>
      <c r="DD664" t="s">
        <v>3</v>
      </c>
      <c r="DE664" t="s">
        <v>3</v>
      </c>
      <c r="DF664" t="s">
        <v>3</v>
      </c>
      <c r="DG664" t="s">
        <v>3</v>
      </c>
      <c r="DH664" t="s">
        <v>3</v>
      </c>
      <c r="DI664" t="s">
        <v>3</v>
      </c>
      <c r="DJ664" t="s">
        <v>3</v>
      </c>
      <c r="DK664" t="s">
        <v>3</v>
      </c>
      <c r="DL664" t="s">
        <v>3</v>
      </c>
      <c r="DM664" t="s">
        <v>3</v>
      </c>
      <c r="DN664">
        <v>134</v>
      </c>
      <c r="DO664">
        <v>83</v>
      </c>
      <c r="DP664">
        <v>1</v>
      </c>
      <c r="DQ664">
        <v>1</v>
      </c>
      <c r="DU664">
        <v>1009</v>
      </c>
      <c r="DV664" t="s">
        <v>51</v>
      </c>
      <c r="DW664" t="s">
        <v>51</v>
      </c>
      <c r="DX664">
        <v>1000</v>
      </c>
      <c r="EE664">
        <v>33797944</v>
      </c>
      <c r="EF664">
        <v>30</v>
      </c>
      <c r="EG664" t="s">
        <v>77</v>
      </c>
      <c r="EH664">
        <v>0</v>
      </c>
      <c r="EI664" t="s">
        <v>3</v>
      </c>
      <c r="EJ664">
        <v>1</v>
      </c>
      <c r="EK664">
        <v>305</v>
      </c>
      <c r="EL664" t="s">
        <v>402</v>
      </c>
      <c r="EM664" t="s">
        <v>403</v>
      </c>
      <c r="EO664" t="s">
        <v>3</v>
      </c>
      <c r="EQ664">
        <v>0</v>
      </c>
      <c r="ER664">
        <v>438.37</v>
      </c>
      <c r="ES664">
        <v>438.37</v>
      </c>
      <c r="ET664">
        <v>0</v>
      </c>
      <c r="EU664">
        <v>0</v>
      </c>
      <c r="EV664">
        <v>0</v>
      </c>
      <c r="EW664">
        <v>0</v>
      </c>
      <c r="EX664">
        <v>0</v>
      </c>
      <c r="FQ664">
        <v>0</v>
      </c>
      <c r="FR664">
        <f t="shared" si="541"/>
        <v>0</v>
      </c>
      <c r="FS664">
        <v>0</v>
      </c>
      <c r="FX664">
        <v>134</v>
      </c>
      <c r="FY664">
        <v>83</v>
      </c>
      <c r="GA664" t="s">
        <v>3</v>
      </c>
      <c r="GD664">
        <v>0</v>
      </c>
      <c r="GF664">
        <v>2029920186</v>
      </c>
      <c r="GG664">
        <v>2</v>
      </c>
      <c r="GH664">
        <v>1</v>
      </c>
      <c r="GI664">
        <v>2</v>
      </c>
      <c r="GJ664">
        <v>0</v>
      </c>
      <c r="GK664">
        <f>ROUND(R664*(R12)/100,2)</f>
        <v>0</v>
      </c>
      <c r="GL664">
        <f t="shared" si="542"/>
        <v>0</v>
      </c>
      <c r="GM664">
        <f t="shared" si="543"/>
        <v>107774.7</v>
      </c>
      <c r="GN664">
        <f t="shared" si="544"/>
        <v>107774.7</v>
      </c>
      <c r="GO664">
        <f t="shared" si="545"/>
        <v>0</v>
      </c>
      <c r="GP664">
        <f t="shared" si="546"/>
        <v>0</v>
      </c>
      <c r="GR664">
        <v>0</v>
      </c>
      <c r="GS664">
        <v>3</v>
      </c>
      <c r="GT664">
        <v>0</v>
      </c>
      <c r="GU664" t="s">
        <v>3</v>
      </c>
      <c r="GV664">
        <f t="shared" si="547"/>
        <v>0</v>
      </c>
      <c r="GW664">
        <v>1</v>
      </c>
      <c r="GX664">
        <f t="shared" si="548"/>
        <v>0</v>
      </c>
      <c r="HA664">
        <v>0</v>
      </c>
      <c r="HB664">
        <v>0</v>
      </c>
      <c r="HC664">
        <f t="shared" si="549"/>
        <v>0</v>
      </c>
      <c r="IK664">
        <v>0</v>
      </c>
    </row>
    <row r="666" spans="1:245" x14ac:dyDescent="0.2">
      <c r="A666" s="2">
        <v>51</v>
      </c>
      <c r="B666" s="2">
        <f>B648</f>
        <v>1</v>
      </c>
      <c r="C666" s="2">
        <f>A648</f>
        <v>4</v>
      </c>
      <c r="D666" s="2">
        <f>ROW(A648)</f>
        <v>648</v>
      </c>
      <c r="E666" s="2"/>
      <c r="F666" s="2" t="str">
        <f>IF(F648&lt;&gt;"",F648,"")</f>
        <v>Новый раздел</v>
      </c>
      <c r="G666" s="2" t="str">
        <f>IF(G648&lt;&gt;"",G648,"")</f>
        <v>27.1. Капитальный ремонт пешеходного покрытия из бетонной плитки 1503 м2</v>
      </c>
      <c r="H666" s="2">
        <v>0</v>
      </c>
      <c r="I666" s="2"/>
      <c r="J666" s="2"/>
      <c r="K666" s="2"/>
      <c r="L666" s="2"/>
      <c r="M666" s="2"/>
      <c r="N666" s="2"/>
      <c r="O666" s="2">
        <f t="shared" ref="O666:T666" si="550">ROUND(AB666,2)</f>
        <v>2818144.16</v>
      </c>
      <c r="P666" s="2">
        <f t="shared" si="550"/>
        <v>2131596.44</v>
      </c>
      <c r="Q666" s="2">
        <f t="shared" si="550"/>
        <v>141521.04999999999</v>
      </c>
      <c r="R666" s="2">
        <f t="shared" si="550"/>
        <v>66702.720000000001</v>
      </c>
      <c r="S666" s="2">
        <f t="shared" si="550"/>
        <v>545026.67000000004</v>
      </c>
      <c r="T666" s="2">
        <f t="shared" si="550"/>
        <v>0</v>
      </c>
      <c r="U666" s="2">
        <f>AH666</f>
        <v>2020.8009348000001</v>
      </c>
      <c r="V666" s="2">
        <f>AI666</f>
        <v>0</v>
      </c>
      <c r="W666" s="2">
        <f>ROUND(AJ666,2)</f>
        <v>0</v>
      </c>
      <c r="X666" s="2">
        <f>ROUND(AK666,2)</f>
        <v>571792.31999999995</v>
      </c>
      <c r="Y666" s="2">
        <f>ROUND(AL666,2)</f>
        <v>226401.06</v>
      </c>
      <c r="Z666" s="2"/>
      <c r="AA666" s="2"/>
      <c r="AB666" s="2">
        <f>ROUND(SUMIF(AA652:AA664,"=33989672",O652:O664),2)</f>
        <v>2818144.16</v>
      </c>
      <c r="AC666" s="2">
        <f>ROUND(SUMIF(AA652:AA664,"=33989672",P652:P664),2)</f>
        <v>2131596.44</v>
      </c>
      <c r="AD666" s="2">
        <f>ROUND(SUMIF(AA652:AA664,"=33989672",Q652:Q664),2)</f>
        <v>141521.04999999999</v>
      </c>
      <c r="AE666" s="2">
        <f>ROUND(SUMIF(AA652:AA664,"=33989672",R652:R664),2)</f>
        <v>66702.720000000001</v>
      </c>
      <c r="AF666" s="2">
        <f>ROUND(SUMIF(AA652:AA664,"=33989672",S652:S664),2)</f>
        <v>545026.67000000004</v>
      </c>
      <c r="AG666" s="2">
        <f>ROUND(SUMIF(AA652:AA664,"=33989672",T652:T664),2)</f>
        <v>0</v>
      </c>
      <c r="AH666" s="2">
        <f>SUMIF(AA652:AA664,"=33989672",U652:U664)</f>
        <v>2020.8009348000001</v>
      </c>
      <c r="AI666" s="2">
        <f>SUMIF(AA652:AA664,"=33989672",V652:V664)</f>
        <v>0</v>
      </c>
      <c r="AJ666" s="2">
        <f>ROUND(SUMIF(AA652:AA664,"=33989672",W652:W664),2)</f>
        <v>0</v>
      </c>
      <c r="AK666" s="2">
        <f>ROUND(SUMIF(AA652:AA664,"=33989672",X652:X664),2)</f>
        <v>571792.31999999995</v>
      </c>
      <c r="AL666" s="2">
        <f>ROUND(SUMIF(AA652:AA664,"=33989672",Y652:Y664),2)</f>
        <v>226401.06</v>
      </c>
      <c r="AM666" s="2"/>
      <c r="AN666" s="2"/>
      <c r="AO666" s="2">
        <f t="shared" ref="AO666:BD666" si="551">ROUND(BX666,2)</f>
        <v>0</v>
      </c>
      <c r="AP666" s="2">
        <f t="shared" si="551"/>
        <v>0</v>
      </c>
      <c r="AQ666" s="2">
        <f t="shared" si="551"/>
        <v>0</v>
      </c>
      <c r="AR666" s="2">
        <f t="shared" si="551"/>
        <v>3721060.81</v>
      </c>
      <c r="AS666" s="2">
        <f t="shared" si="551"/>
        <v>3721060.81</v>
      </c>
      <c r="AT666" s="2">
        <f t="shared" si="551"/>
        <v>0</v>
      </c>
      <c r="AU666" s="2">
        <f t="shared" si="551"/>
        <v>0</v>
      </c>
      <c r="AV666" s="2">
        <f t="shared" si="551"/>
        <v>2131596.44</v>
      </c>
      <c r="AW666" s="2">
        <f t="shared" si="551"/>
        <v>2131596.44</v>
      </c>
      <c r="AX666" s="2">
        <f t="shared" si="551"/>
        <v>0</v>
      </c>
      <c r="AY666" s="2">
        <f t="shared" si="551"/>
        <v>2131596.44</v>
      </c>
      <c r="AZ666" s="2">
        <f t="shared" si="551"/>
        <v>0</v>
      </c>
      <c r="BA666" s="2">
        <f t="shared" si="551"/>
        <v>0</v>
      </c>
      <c r="BB666" s="2">
        <f t="shared" si="551"/>
        <v>0</v>
      </c>
      <c r="BC666" s="2">
        <f t="shared" si="551"/>
        <v>0</v>
      </c>
      <c r="BD666" s="2">
        <f t="shared" si="551"/>
        <v>0</v>
      </c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>
        <f>ROUND(SUMIF(AA652:AA664,"=33989672",FQ652:FQ664),2)</f>
        <v>0</v>
      </c>
      <c r="BY666" s="2">
        <f>ROUND(SUMIF(AA652:AA664,"=33989672",FR652:FR664),2)</f>
        <v>0</v>
      </c>
      <c r="BZ666" s="2">
        <f>ROUND(SUMIF(AA652:AA664,"=33989672",GL652:GL664),2)</f>
        <v>0</v>
      </c>
      <c r="CA666" s="2">
        <f>ROUND(SUMIF(AA652:AA664,"=33989672",GM652:GM664),2)</f>
        <v>3721060.81</v>
      </c>
      <c r="CB666" s="2">
        <f>ROUND(SUMIF(AA652:AA664,"=33989672",GN652:GN664),2)</f>
        <v>3721060.81</v>
      </c>
      <c r="CC666" s="2">
        <f>ROUND(SUMIF(AA652:AA664,"=33989672",GO652:GO664),2)</f>
        <v>0</v>
      </c>
      <c r="CD666" s="2">
        <f>ROUND(SUMIF(AA652:AA664,"=33989672",GP652:GP664),2)</f>
        <v>0</v>
      </c>
      <c r="CE666" s="2">
        <f>AC666-BX666</f>
        <v>2131596.44</v>
      </c>
      <c r="CF666" s="2">
        <f>AC666-BY666</f>
        <v>2131596.44</v>
      </c>
      <c r="CG666" s="2">
        <f>BX666-BZ666</f>
        <v>0</v>
      </c>
      <c r="CH666" s="2">
        <f>AC666-BX666-BY666+BZ666</f>
        <v>2131596.44</v>
      </c>
      <c r="CI666" s="2">
        <f>BY666-BZ666</f>
        <v>0</v>
      </c>
      <c r="CJ666" s="2">
        <f>ROUND(SUMIF(AA652:AA664,"=33989672",GX652:GX664),2)</f>
        <v>0</v>
      </c>
      <c r="CK666" s="2">
        <f>ROUND(SUMIF(AA652:AA664,"=33989672",GY652:GY664),2)</f>
        <v>0</v>
      </c>
      <c r="CL666" s="2">
        <f>ROUND(SUMIF(AA652:AA664,"=33989672",GZ652:GZ664),2)</f>
        <v>0</v>
      </c>
      <c r="CM666" s="2">
        <f>ROUND(SUMIF(AA652:AA664,"=33989672",HD652:HD664),2)</f>
        <v>0</v>
      </c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  <c r="FR666" s="3"/>
      <c r="FS666" s="3"/>
      <c r="FT666" s="3"/>
      <c r="FU666" s="3"/>
      <c r="FV666" s="3"/>
      <c r="FW666" s="3"/>
      <c r="FX666" s="3"/>
      <c r="FY666" s="3"/>
      <c r="FZ666" s="3"/>
      <c r="GA666" s="3"/>
      <c r="GB666" s="3"/>
      <c r="GC666" s="3"/>
      <c r="GD666" s="3"/>
      <c r="GE666" s="3"/>
      <c r="GF666" s="3"/>
      <c r="GG666" s="3"/>
      <c r="GH666" s="3"/>
      <c r="GI666" s="3"/>
      <c r="GJ666" s="3"/>
      <c r="GK666" s="3"/>
      <c r="GL666" s="3"/>
      <c r="GM666" s="3"/>
      <c r="GN666" s="3"/>
      <c r="GO666" s="3"/>
      <c r="GP666" s="3"/>
      <c r="GQ666" s="3"/>
      <c r="GR666" s="3"/>
      <c r="GS666" s="3"/>
      <c r="GT666" s="3"/>
      <c r="GU666" s="3"/>
      <c r="GV666" s="3"/>
      <c r="GW666" s="3"/>
      <c r="GX666" s="3">
        <v>0</v>
      </c>
    </row>
    <row r="668" spans="1:245" x14ac:dyDescent="0.2">
      <c r="A668" s="4">
        <v>50</v>
      </c>
      <c r="B668" s="4">
        <v>0</v>
      </c>
      <c r="C668" s="4">
        <v>0</v>
      </c>
      <c r="D668" s="4">
        <v>1</v>
      </c>
      <c r="E668" s="4">
        <v>201</v>
      </c>
      <c r="F668" s="4">
        <f>ROUND(Source!O666,O668)</f>
        <v>2818144.16</v>
      </c>
      <c r="G668" s="4" t="s">
        <v>89</v>
      </c>
      <c r="H668" s="4" t="s">
        <v>90</v>
      </c>
      <c r="I668" s="4"/>
      <c r="J668" s="4"/>
      <c r="K668" s="4">
        <v>201</v>
      </c>
      <c r="L668" s="4">
        <v>1</v>
      </c>
      <c r="M668" s="4">
        <v>3</v>
      </c>
      <c r="N668" s="4" t="s">
        <v>3</v>
      </c>
      <c r="O668" s="4">
        <v>2</v>
      </c>
      <c r="P668" s="4"/>
      <c r="Q668" s="4"/>
      <c r="R668" s="4"/>
      <c r="S668" s="4"/>
      <c r="T668" s="4"/>
      <c r="U668" s="4"/>
      <c r="V668" s="4"/>
      <c r="W668" s="4"/>
    </row>
    <row r="669" spans="1:245" x14ac:dyDescent="0.2">
      <c r="A669" s="4">
        <v>50</v>
      </c>
      <c r="B669" s="4">
        <v>0</v>
      </c>
      <c r="C669" s="4">
        <v>0</v>
      </c>
      <c r="D669" s="4">
        <v>1</v>
      </c>
      <c r="E669" s="4">
        <v>202</v>
      </c>
      <c r="F669" s="4">
        <f>ROUND(Source!P666,O669)</f>
        <v>2131596.44</v>
      </c>
      <c r="G669" s="4" t="s">
        <v>91</v>
      </c>
      <c r="H669" s="4" t="s">
        <v>92</v>
      </c>
      <c r="I669" s="4"/>
      <c r="J669" s="4"/>
      <c r="K669" s="4">
        <v>202</v>
      </c>
      <c r="L669" s="4">
        <v>2</v>
      </c>
      <c r="M669" s="4">
        <v>3</v>
      </c>
      <c r="N669" s="4" t="s">
        <v>3</v>
      </c>
      <c r="O669" s="4">
        <v>2</v>
      </c>
      <c r="P669" s="4"/>
      <c r="Q669" s="4"/>
      <c r="R669" s="4"/>
      <c r="S669" s="4"/>
      <c r="T669" s="4"/>
      <c r="U669" s="4"/>
      <c r="V669" s="4"/>
      <c r="W669" s="4"/>
    </row>
    <row r="670" spans="1:245" x14ac:dyDescent="0.2">
      <c r="A670" s="4">
        <v>50</v>
      </c>
      <c r="B670" s="4">
        <v>0</v>
      </c>
      <c r="C670" s="4">
        <v>0</v>
      </c>
      <c r="D670" s="4">
        <v>1</v>
      </c>
      <c r="E670" s="4">
        <v>222</v>
      </c>
      <c r="F670" s="4">
        <f>ROUND(Source!AO666,O670)</f>
        <v>0</v>
      </c>
      <c r="G670" s="4" t="s">
        <v>93</v>
      </c>
      <c r="H670" s="4" t="s">
        <v>94</v>
      </c>
      <c r="I670" s="4"/>
      <c r="J670" s="4"/>
      <c r="K670" s="4">
        <v>222</v>
      </c>
      <c r="L670" s="4">
        <v>3</v>
      </c>
      <c r="M670" s="4">
        <v>3</v>
      </c>
      <c r="N670" s="4" t="s">
        <v>3</v>
      </c>
      <c r="O670" s="4">
        <v>2</v>
      </c>
      <c r="P670" s="4"/>
      <c r="Q670" s="4"/>
      <c r="R670" s="4"/>
      <c r="S670" s="4"/>
      <c r="T670" s="4"/>
      <c r="U670" s="4"/>
      <c r="V670" s="4"/>
      <c r="W670" s="4"/>
    </row>
    <row r="671" spans="1:245" x14ac:dyDescent="0.2">
      <c r="A671" s="4">
        <v>50</v>
      </c>
      <c r="B671" s="4">
        <v>0</v>
      </c>
      <c r="C671" s="4">
        <v>0</v>
      </c>
      <c r="D671" s="4">
        <v>1</v>
      </c>
      <c r="E671" s="4">
        <v>225</v>
      </c>
      <c r="F671" s="4">
        <f>ROUND(Source!AV666,O671)</f>
        <v>2131596.44</v>
      </c>
      <c r="G671" s="4" t="s">
        <v>95</v>
      </c>
      <c r="H671" s="4" t="s">
        <v>96</v>
      </c>
      <c r="I671" s="4"/>
      <c r="J671" s="4"/>
      <c r="K671" s="4">
        <v>225</v>
      </c>
      <c r="L671" s="4">
        <v>4</v>
      </c>
      <c r="M671" s="4">
        <v>3</v>
      </c>
      <c r="N671" s="4" t="s">
        <v>3</v>
      </c>
      <c r="O671" s="4">
        <v>2</v>
      </c>
      <c r="P671" s="4"/>
      <c r="Q671" s="4"/>
      <c r="R671" s="4"/>
      <c r="S671" s="4"/>
      <c r="T671" s="4"/>
      <c r="U671" s="4"/>
      <c r="V671" s="4"/>
      <c r="W671" s="4"/>
    </row>
    <row r="672" spans="1:245" x14ac:dyDescent="0.2">
      <c r="A672" s="4">
        <v>50</v>
      </c>
      <c r="B672" s="4">
        <v>0</v>
      </c>
      <c r="C672" s="4">
        <v>0</v>
      </c>
      <c r="D672" s="4">
        <v>1</v>
      </c>
      <c r="E672" s="4">
        <v>226</v>
      </c>
      <c r="F672" s="4">
        <f>ROUND(Source!AW666,O672)</f>
        <v>2131596.44</v>
      </c>
      <c r="G672" s="4" t="s">
        <v>97</v>
      </c>
      <c r="H672" s="4" t="s">
        <v>98</v>
      </c>
      <c r="I672" s="4"/>
      <c r="J672" s="4"/>
      <c r="K672" s="4">
        <v>226</v>
      </c>
      <c r="L672" s="4">
        <v>5</v>
      </c>
      <c r="M672" s="4">
        <v>3</v>
      </c>
      <c r="N672" s="4" t="s">
        <v>3</v>
      </c>
      <c r="O672" s="4">
        <v>2</v>
      </c>
      <c r="P672" s="4"/>
      <c r="Q672" s="4"/>
      <c r="R672" s="4"/>
      <c r="S672" s="4"/>
      <c r="T672" s="4"/>
      <c r="U672" s="4"/>
      <c r="V672" s="4"/>
      <c r="W672" s="4"/>
    </row>
    <row r="673" spans="1:23" x14ac:dyDescent="0.2">
      <c r="A673" s="4">
        <v>50</v>
      </c>
      <c r="B673" s="4">
        <v>0</v>
      </c>
      <c r="C673" s="4">
        <v>0</v>
      </c>
      <c r="D673" s="4">
        <v>1</v>
      </c>
      <c r="E673" s="4">
        <v>227</v>
      </c>
      <c r="F673" s="4">
        <f>ROUND(Source!AX666,O673)</f>
        <v>0</v>
      </c>
      <c r="G673" s="4" t="s">
        <v>99</v>
      </c>
      <c r="H673" s="4" t="s">
        <v>100</v>
      </c>
      <c r="I673" s="4"/>
      <c r="J673" s="4"/>
      <c r="K673" s="4">
        <v>227</v>
      </c>
      <c r="L673" s="4">
        <v>6</v>
      </c>
      <c r="M673" s="4">
        <v>3</v>
      </c>
      <c r="N673" s="4" t="s">
        <v>3</v>
      </c>
      <c r="O673" s="4">
        <v>2</v>
      </c>
      <c r="P673" s="4"/>
      <c r="Q673" s="4"/>
      <c r="R673" s="4"/>
      <c r="S673" s="4"/>
      <c r="T673" s="4"/>
      <c r="U673" s="4"/>
      <c r="V673" s="4"/>
      <c r="W673" s="4"/>
    </row>
    <row r="674" spans="1:23" x14ac:dyDescent="0.2">
      <c r="A674" s="4">
        <v>50</v>
      </c>
      <c r="B674" s="4">
        <v>0</v>
      </c>
      <c r="C674" s="4">
        <v>0</v>
      </c>
      <c r="D674" s="4">
        <v>1</v>
      </c>
      <c r="E674" s="4">
        <v>228</v>
      </c>
      <c r="F674" s="4">
        <f>ROUND(Source!AY666,O674)</f>
        <v>2131596.44</v>
      </c>
      <c r="G674" s="4" t="s">
        <v>101</v>
      </c>
      <c r="H674" s="4" t="s">
        <v>102</v>
      </c>
      <c r="I674" s="4"/>
      <c r="J674" s="4"/>
      <c r="K674" s="4">
        <v>228</v>
      </c>
      <c r="L674" s="4">
        <v>7</v>
      </c>
      <c r="M674" s="4">
        <v>3</v>
      </c>
      <c r="N674" s="4" t="s">
        <v>3</v>
      </c>
      <c r="O674" s="4">
        <v>2</v>
      </c>
      <c r="P674" s="4"/>
      <c r="Q674" s="4"/>
      <c r="R674" s="4"/>
      <c r="S674" s="4"/>
      <c r="T674" s="4"/>
      <c r="U674" s="4"/>
      <c r="V674" s="4"/>
      <c r="W674" s="4"/>
    </row>
    <row r="675" spans="1:23" x14ac:dyDescent="0.2">
      <c r="A675" s="4">
        <v>50</v>
      </c>
      <c r="B675" s="4">
        <v>0</v>
      </c>
      <c r="C675" s="4">
        <v>0</v>
      </c>
      <c r="D675" s="4">
        <v>1</v>
      </c>
      <c r="E675" s="4">
        <v>216</v>
      </c>
      <c r="F675" s="4">
        <f>ROUND(Source!AP666,O675)</f>
        <v>0</v>
      </c>
      <c r="G675" s="4" t="s">
        <v>103</v>
      </c>
      <c r="H675" s="4" t="s">
        <v>104</v>
      </c>
      <c r="I675" s="4"/>
      <c r="J675" s="4"/>
      <c r="K675" s="4">
        <v>216</v>
      </c>
      <c r="L675" s="4">
        <v>8</v>
      </c>
      <c r="M675" s="4">
        <v>3</v>
      </c>
      <c r="N675" s="4" t="s">
        <v>3</v>
      </c>
      <c r="O675" s="4">
        <v>2</v>
      </c>
      <c r="P675" s="4"/>
      <c r="Q675" s="4"/>
      <c r="R675" s="4"/>
      <c r="S675" s="4"/>
      <c r="T675" s="4"/>
      <c r="U675" s="4"/>
      <c r="V675" s="4"/>
      <c r="W675" s="4"/>
    </row>
    <row r="676" spans="1:23" x14ac:dyDescent="0.2">
      <c r="A676" s="4">
        <v>50</v>
      </c>
      <c r="B676" s="4">
        <v>0</v>
      </c>
      <c r="C676" s="4">
        <v>0</v>
      </c>
      <c r="D676" s="4">
        <v>1</v>
      </c>
      <c r="E676" s="4">
        <v>223</v>
      </c>
      <c r="F676" s="4">
        <f>ROUND(Source!AQ666,O676)</f>
        <v>0</v>
      </c>
      <c r="G676" s="4" t="s">
        <v>105</v>
      </c>
      <c r="H676" s="4" t="s">
        <v>106</v>
      </c>
      <c r="I676" s="4"/>
      <c r="J676" s="4"/>
      <c r="K676" s="4">
        <v>223</v>
      </c>
      <c r="L676" s="4">
        <v>9</v>
      </c>
      <c r="M676" s="4">
        <v>3</v>
      </c>
      <c r="N676" s="4" t="s">
        <v>3</v>
      </c>
      <c r="O676" s="4">
        <v>2</v>
      </c>
      <c r="P676" s="4"/>
      <c r="Q676" s="4"/>
      <c r="R676" s="4"/>
      <c r="S676" s="4"/>
      <c r="T676" s="4"/>
      <c r="U676" s="4"/>
      <c r="V676" s="4"/>
      <c r="W676" s="4"/>
    </row>
    <row r="677" spans="1:23" x14ac:dyDescent="0.2">
      <c r="A677" s="4">
        <v>50</v>
      </c>
      <c r="B677" s="4">
        <v>0</v>
      </c>
      <c r="C677" s="4">
        <v>0</v>
      </c>
      <c r="D677" s="4">
        <v>1</v>
      </c>
      <c r="E677" s="4">
        <v>229</v>
      </c>
      <c r="F677" s="4">
        <f>ROUND(Source!AZ666,O677)</f>
        <v>0</v>
      </c>
      <c r="G677" s="4" t="s">
        <v>107</v>
      </c>
      <c r="H677" s="4" t="s">
        <v>108</v>
      </c>
      <c r="I677" s="4"/>
      <c r="J677" s="4"/>
      <c r="K677" s="4">
        <v>229</v>
      </c>
      <c r="L677" s="4">
        <v>10</v>
      </c>
      <c r="M677" s="4">
        <v>3</v>
      </c>
      <c r="N677" s="4" t="s">
        <v>3</v>
      </c>
      <c r="O677" s="4">
        <v>2</v>
      </c>
      <c r="P677" s="4"/>
      <c r="Q677" s="4"/>
      <c r="R677" s="4"/>
      <c r="S677" s="4"/>
      <c r="T677" s="4"/>
      <c r="U677" s="4"/>
      <c r="V677" s="4"/>
      <c r="W677" s="4"/>
    </row>
    <row r="678" spans="1:23" x14ac:dyDescent="0.2">
      <c r="A678" s="4">
        <v>50</v>
      </c>
      <c r="B678" s="4">
        <v>0</v>
      </c>
      <c r="C678" s="4">
        <v>0</v>
      </c>
      <c r="D678" s="4">
        <v>1</v>
      </c>
      <c r="E678" s="4">
        <v>203</v>
      </c>
      <c r="F678" s="4">
        <f>ROUND(Source!Q666,O678)</f>
        <v>141521.04999999999</v>
      </c>
      <c r="G678" s="4" t="s">
        <v>109</v>
      </c>
      <c r="H678" s="4" t="s">
        <v>110</v>
      </c>
      <c r="I678" s="4"/>
      <c r="J678" s="4"/>
      <c r="K678" s="4">
        <v>203</v>
      </c>
      <c r="L678" s="4">
        <v>11</v>
      </c>
      <c r="M678" s="4">
        <v>3</v>
      </c>
      <c r="N678" s="4" t="s">
        <v>3</v>
      </c>
      <c r="O678" s="4">
        <v>2</v>
      </c>
      <c r="P678" s="4"/>
      <c r="Q678" s="4"/>
      <c r="R678" s="4"/>
      <c r="S678" s="4"/>
      <c r="T678" s="4"/>
      <c r="U678" s="4"/>
      <c r="V678" s="4"/>
      <c r="W678" s="4"/>
    </row>
    <row r="679" spans="1:23" x14ac:dyDescent="0.2">
      <c r="A679" s="4">
        <v>50</v>
      </c>
      <c r="B679" s="4">
        <v>0</v>
      </c>
      <c r="C679" s="4">
        <v>0</v>
      </c>
      <c r="D679" s="4">
        <v>1</v>
      </c>
      <c r="E679" s="4">
        <v>231</v>
      </c>
      <c r="F679" s="4">
        <f>ROUND(Source!BB666,O679)</f>
        <v>0</v>
      </c>
      <c r="G679" s="4" t="s">
        <v>111</v>
      </c>
      <c r="H679" s="4" t="s">
        <v>112</v>
      </c>
      <c r="I679" s="4"/>
      <c r="J679" s="4"/>
      <c r="K679" s="4">
        <v>231</v>
      </c>
      <c r="L679" s="4">
        <v>12</v>
      </c>
      <c r="M679" s="4">
        <v>3</v>
      </c>
      <c r="N679" s="4" t="s">
        <v>3</v>
      </c>
      <c r="O679" s="4">
        <v>2</v>
      </c>
      <c r="P679" s="4"/>
      <c r="Q679" s="4"/>
      <c r="R679" s="4"/>
      <c r="S679" s="4"/>
      <c r="T679" s="4"/>
      <c r="U679" s="4"/>
      <c r="V679" s="4"/>
      <c r="W679" s="4"/>
    </row>
    <row r="680" spans="1:23" x14ac:dyDescent="0.2">
      <c r="A680" s="4">
        <v>50</v>
      </c>
      <c r="B680" s="4">
        <v>0</v>
      </c>
      <c r="C680" s="4">
        <v>0</v>
      </c>
      <c r="D680" s="4">
        <v>1</v>
      </c>
      <c r="E680" s="4">
        <v>204</v>
      </c>
      <c r="F680" s="4">
        <f>ROUND(Source!R666,O680)</f>
        <v>66702.720000000001</v>
      </c>
      <c r="G680" s="4" t="s">
        <v>113</v>
      </c>
      <c r="H680" s="4" t="s">
        <v>114</v>
      </c>
      <c r="I680" s="4"/>
      <c r="J680" s="4"/>
      <c r="K680" s="4">
        <v>204</v>
      </c>
      <c r="L680" s="4">
        <v>13</v>
      </c>
      <c r="M680" s="4">
        <v>3</v>
      </c>
      <c r="N680" s="4" t="s">
        <v>3</v>
      </c>
      <c r="O680" s="4">
        <v>2</v>
      </c>
      <c r="P680" s="4"/>
      <c r="Q680" s="4"/>
      <c r="R680" s="4"/>
      <c r="S680" s="4"/>
      <c r="T680" s="4"/>
      <c r="U680" s="4"/>
      <c r="V680" s="4"/>
      <c r="W680" s="4"/>
    </row>
    <row r="681" spans="1:23" x14ac:dyDescent="0.2">
      <c r="A681" s="4">
        <v>50</v>
      </c>
      <c r="B681" s="4">
        <v>0</v>
      </c>
      <c r="C681" s="4">
        <v>0</v>
      </c>
      <c r="D681" s="4">
        <v>1</v>
      </c>
      <c r="E681" s="4">
        <v>205</v>
      </c>
      <c r="F681" s="4">
        <f>ROUND(Source!S666,O681)</f>
        <v>545026.67000000004</v>
      </c>
      <c r="G681" s="4" t="s">
        <v>115</v>
      </c>
      <c r="H681" s="4" t="s">
        <v>116</v>
      </c>
      <c r="I681" s="4"/>
      <c r="J681" s="4"/>
      <c r="K681" s="4">
        <v>205</v>
      </c>
      <c r="L681" s="4">
        <v>14</v>
      </c>
      <c r="M681" s="4">
        <v>3</v>
      </c>
      <c r="N681" s="4" t="s">
        <v>3</v>
      </c>
      <c r="O681" s="4">
        <v>2</v>
      </c>
      <c r="P681" s="4"/>
      <c r="Q681" s="4"/>
      <c r="R681" s="4"/>
      <c r="S681" s="4"/>
      <c r="T681" s="4"/>
      <c r="U681" s="4"/>
      <c r="V681" s="4"/>
      <c r="W681" s="4"/>
    </row>
    <row r="682" spans="1:23" x14ac:dyDescent="0.2">
      <c r="A682" s="4">
        <v>50</v>
      </c>
      <c r="B682" s="4">
        <v>0</v>
      </c>
      <c r="C682" s="4">
        <v>0</v>
      </c>
      <c r="D682" s="4">
        <v>1</v>
      </c>
      <c r="E682" s="4">
        <v>232</v>
      </c>
      <c r="F682" s="4">
        <f>ROUND(Source!BC666,O682)</f>
        <v>0</v>
      </c>
      <c r="G682" s="4" t="s">
        <v>117</v>
      </c>
      <c r="H682" s="4" t="s">
        <v>118</v>
      </c>
      <c r="I682" s="4"/>
      <c r="J682" s="4"/>
      <c r="K682" s="4">
        <v>232</v>
      </c>
      <c r="L682" s="4">
        <v>15</v>
      </c>
      <c r="M682" s="4">
        <v>3</v>
      </c>
      <c r="N682" s="4" t="s">
        <v>3</v>
      </c>
      <c r="O682" s="4">
        <v>2</v>
      </c>
      <c r="P682" s="4"/>
      <c r="Q682" s="4"/>
      <c r="R682" s="4"/>
      <c r="S682" s="4"/>
      <c r="T682" s="4"/>
      <c r="U682" s="4"/>
      <c r="V682" s="4"/>
      <c r="W682" s="4"/>
    </row>
    <row r="683" spans="1:23" x14ac:dyDescent="0.2">
      <c r="A683" s="4">
        <v>50</v>
      </c>
      <c r="B683" s="4">
        <v>0</v>
      </c>
      <c r="C683" s="4">
        <v>0</v>
      </c>
      <c r="D683" s="4">
        <v>1</v>
      </c>
      <c r="E683" s="4">
        <v>214</v>
      </c>
      <c r="F683" s="4">
        <f>ROUND(Source!AS666,O683)</f>
        <v>3721060.81</v>
      </c>
      <c r="G683" s="4" t="s">
        <v>119</v>
      </c>
      <c r="H683" s="4" t="s">
        <v>120</v>
      </c>
      <c r="I683" s="4"/>
      <c r="J683" s="4"/>
      <c r="K683" s="4">
        <v>214</v>
      </c>
      <c r="L683" s="4">
        <v>16</v>
      </c>
      <c r="M683" s="4">
        <v>3</v>
      </c>
      <c r="N683" s="4" t="s">
        <v>3</v>
      </c>
      <c r="O683" s="4">
        <v>2</v>
      </c>
      <c r="P683" s="4"/>
      <c r="Q683" s="4"/>
      <c r="R683" s="4"/>
      <c r="S683" s="4"/>
      <c r="T683" s="4"/>
      <c r="U683" s="4"/>
      <c r="V683" s="4"/>
      <c r="W683" s="4"/>
    </row>
    <row r="684" spans="1:23" x14ac:dyDescent="0.2">
      <c r="A684" s="4">
        <v>50</v>
      </c>
      <c r="B684" s="4">
        <v>0</v>
      </c>
      <c r="C684" s="4">
        <v>0</v>
      </c>
      <c r="D684" s="4">
        <v>1</v>
      </c>
      <c r="E684" s="4">
        <v>215</v>
      </c>
      <c r="F684" s="4">
        <f>ROUND(Source!AT666,O684)</f>
        <v>0</v>
      </c>
      <c r="G684" s="4" t="s">
        <v>121</v>
      </c>
      <c r="H684" s="4" t="s">
        <v>122</v>
      </c>
      <c r="I684" s="4"/>
      <c r="J684" s="4"/>
      <c r="K684" s="4">
        <v>215</v>
      </c>
      <c r="L684" s="4">
        <v>17</v>
      </c>
      <c r="M684" s="4">
        <v>3</v>
      </c>
      <c r="N684" s="4" t="s">
        <v>3</v>
      </c>
      <c r="O684" s="4">
        <v>2</v>
      </c>
      <c r="P684" s="4"/>
      <c r="Q684" s="4"/>
      <c r="R684" s="4"/>
      <c r="S684" s="4"/>
      <c r="T684" s="4"/>
      <c r="U684" s="4"/>
      <c r="V684" s="4"/>
      <c r="W684" s="4"/>
    </row>
    <row r="685" spans="1:23" x14ac:dyDescent="0.2">
      <c r="A685" s="4">
        <v>50</v>
      </c>
      <c r="B685" s="4">
        <v>0</v>
      </c>
      <c r="C685" s="4">
        <v>0</v>
      </c>
      <c r="D685" s="4">
        <v>1</v>
      </c>
      <c r="E685" s="4">
        <v>217</v>
      </c>
      <c r="F685" s="4">
        <f>ROUND(Source!AU666,O685)</f>
        <v>0</v>
      </c>
      <c r="G685" s="4" t="s">
        <v>123</v>
      </c>
      <c r="H685" s="4" t="s">
        <v>124</v>
      </c>
      <c r="I685" s="4"/>
      <c r="J685" s="4"/>
      <c r="K685" s="4">
        <v>217</v>
      </c>
      <c r="L685" s="4">
        <v>18</v>
      </c>
      <c r="M685" s="4">
        <v>3</v>
      </c>
      <c r="N685" s="4" t="s">
        <v>3</v>
      </c>
      <c r="O685" s="4">
        <v>2</v>
      </c>
      <c r="P685" s="4"/>
      <c r="Q685" s="4"/>
      <c r="R685" s="4"/>
      <c r="S685" s="4"/>
      <c r="T685" s="4"/>
      <c r="U685" s="4"/>
      <c r="V685" s="4"/>
      <c r="W685" s="4"/>
    </row>
    <row r="686" spans="1:23" x14ac:dyDescent="0.2">
      <c r="A686" s="4">
        <v>50</v>
      </c>
      <c r="B686" s="4">
        <v>0</v>
      </c>
      <c r="C686" s="4">
        <v>0</v>
      </c>
      <c r="D686" s="4">
        <v>1</v>
      </c>
      <c r="E686" s="4">
        <v>230</v>
      </c>
      <c r="F686" s="4">
        <f>ROUND(Source!BA666,O686)</f>
        <v>0</v>
      </c>
      <c r="G686" s="4" t="s">
        <v>125</v>
      </c>
      <c r="H686" s="4" t="s">
        <v>126</v>
      </c>
      <c r="I686" s="4"/>
      <c r="J686" s="4"/>
      <c r="K686" s="4">
        <v>230</v>
      </c>
      <c r="L686" s="4">
        <v>19</v>
      </c>
      <c r="M686" s="4">
        <v>3</v>
      </c>
      <c r="N686" s="4" t="s">
        <v>3</v>
      </c>
      <c r="O686" s="4">
        <v>2</v>
      </c>
      <c r="P686" s="4"/>
      <c r="Q686" s="4"/>
      <c r="R686" s="4"/>
      <c r="S686" s="4"/>
      <c r="T686" s="4"/>
      <c r="U686" s="4"/>
      <c r="V686" s="4"/>
      <c r="W686" s="4"/>
    </row>
    <row r="687" spans="1:23" x14ac:dyDescent="0.2">
      <c r="A687" s="4">
        <v>50</v>
      </c>
      <c r="B687" s="4">
        <v>0</v>
      </c>
      <c r="C687" s="4">
        <v>0</v>
      </c>
      <c r="D687" s="4">
        <v>1</v>
      </c>
      <c r="E687" s="4">
        <v>206</v>
      </c>
      <c r="F687" s="4">
        <f>ROUND(Source!T666,O687)</f>
        <v>0</v>
      </c>
      <c r="G687" s="4" t="s">
        <v>127</v>
      </c>
      <c r="H687" s="4" t="s">
        <v>128</v>
      </c>
      <c r="I687" s="4"/>
      <c r="J687" s="4"/>
      <c r="K687" s="4">
        <v>206</v>
      </c>
      <c r="L687" s="4">
        <v>20</v>
      </c>
      <c r="M687" s="4">
        <v>3</v>
      </c>
      <c r="N687" s="4" t="s">
        <v>3</v>
      </c>
      <c r="O687" s="4">
        <v>2</v>
      </c>
      <c r="P687" s="4"/>
      <c r="Q687" s="4"/>
      <c r="R687" s="4"/>
      <c r="S687" s="4"/>
      <c r="T687" s="4"/>
      <c r="U687" s="4"/>
      <c r="V687" s="4"/>
      <c r="W687" s="4"/>
    </row>
    <row r="688" spans="1:23" x14ac:dyDescent="0.2">
      <c r="A688" s="4">
        <v>50</v>
      </c>
      <c r="B688" s="4">
        <v>0</v>
      </c>
      <c r="C688" s="4">
        <v>0</v>
      </c>
      <c r="D688" s="4">
        <v>1</v>
      </c>
      <c r="E688" s="4">
        <v>207</v>
      </c>
      <c r="F688" s="4">
        <f>Source!U666</f>
        <v>2020.8009348000001</v>
      </c>
      <c r="G688" s="4" t="s">
        <v>129</v>
      </c>
      <c r="H688" s="4" t="s">
        <v>130</v>
      </c>
      <c r="I688" s="4"/>
      <c r="J688" s="4"/>
      <c r="K688" s="4">
        <v>207</v>
      </c>
      <c r="L688" s="4">
        <v>21</v>
      </c>
      <c r="M688" s="4">
        <v>3</v>
      </c>
      <c r="N688" s="4" t="s">
        <v>3</v>
      </c>
      <c r="O688" s="4">
        <v>-1</v>
      </c>
      <c r="P688" s="4"/>
      <c r="Q688" s="4"/>
      <c r="R688" s="4"/>
      <c r="S688" s="4"/>
      <c r="T688" s="4"/>
      <c r="U688" s="4"/>
      <c r="V688" s="4"/>
      <c r="W688" s="4"/>
    </row>
    <row r="689" spans="1:245" x14ac:dyDescent="0.2">
      <c r="A689" s="4">
        <v>50</v>
      </c>
      <c r="B689" s="4">
        <v>0</v>
      </c>
      <c r="C689" s="4">
        <v>0</v>
      </c>
      <c r="D689" s="4">
        <v>1</v>
      </c>
      <c r="E689" s="4">
        <v>208</v>
      </c>
      <c r="F689" s="4">
        <f>Source!V666</f>
        <v>0</v>
      </c>
      <c r="G689" s="4" t="s">
        <v>131</v>
      </c>
      <c r="H689" s="4" t="s">
        <v>132</v>
      </c>
      <c r="I689" s="4"/>
      <c r="J689" s="4"/>
      <c r="K689" s="4">
        <v>208</v>
      </c>
      <c r="L689" s="4">
        <v>22</v>
      </c>
      <c r="M689" s="4">
        <v>3</v>
      </c>
      <c r="N689" s="4" t="s">
        <v>3</v>
      </c>
      <c r="O689" s="4">
        <v>-1</v>
      </c>
      <c r="P689" s="4"/>
      <c r="Q689" s="4"/>
      <c r="R689" s="4"/>
      <c r="S689" s="4"/>
      <c r="T689" s="4"/>
      <c r="U689" s="4"/>
      <c r="V689" s="4"/>
      <c r="W689" s="4"/>
    </row>
    <row r="690" spans="1:245" x14ac:dyDescent="0.2">
      <c r="A690" s="4">
        <v>50</v>
      </c>
      <c r="B690" s="4">
        <v>0</v>
      </c>
      <c r="C690" s="4">
        <v>0</v>
      </c>
      <c r="D690" s="4">
        <v>1</v>
      </c>
      <c r="E690" s="4">
        <v>209</v>
      </c>
      <c r="F690" s="4">
        <f>ROUND(Source!W666,O690)</f>
        <v>0</v>
      </c>
      <c r="G690" s="4" t="s">
        <v>133</v>
      </c>
      <c r="H690" s="4" t="s">
        <v>134</v>
      </c>
      <c r="I690" s="4"/>
      <c r="J690" s="4"/>
      <c r="K690" s="4">
        <v>209</v>
      </c>
      <c r="L690" s="4">
        <v>23</v>
      </c>
      <c r="M690" s="4">
        <v>3</v>
      </c>
      <c r="N690" s="4" t="s">
        <v>3</v>
      </c>
      <c r="O690" s="4">
        <v>2</v>
      </c>
      <c r="P690" s="4"/>
      <c r="Q690" s="4"/>
      <c r="R690" s="4"/>
      <c r="S690" s="4"/>
      <c r="T690" s="4"/>
      <c r="U690" s="4"/>
      <c r="V690" s="4"/>
      <c r="W690" s="4"/>
    </row>
    <row r="691" spans="1:245" x14ac:dyDescent="0.2">
      <c r="A691" s="4">
        <v>50</v>
      </c>
      <c r="B691" s="4">
        <v>0</v>
      </c>
      <c r="C691" s="4">
        <v>0</v>
      </c>
      <c r="D691" s="4">
        <v>1</v>
      </c>
      <c r="E691" s="4">
        <v>233</v>
      </c>
      <c r="F691" s="4">
        <f>ROUND(Source!BD666,O691)</f>
        <v>0</v>
      </c>
      <c r="G691" s="4" t="s">
        <v>135</v>
      </c>
      <c r="H691" s="4" t="s">
        <v>136</v>
      </c>
      <c r="I691" s="4"/>
      <c r="J691" s="4"/>
      <c r="K691" s="4">
        <v>233</v>
      </c>
      <c r="L691" s="4">
        <v>24</v>
      </c>
      <c r="M691" s="4">
        <v>3</v>
      </c>
      <c r="N691" s="4" t="s">
        <v>3</v>
      </c>
      <c r="O691" s="4">
        <v>2</v>
      </c>
      <c r="P691" s="4"/>
      <c r="Q691" s="4"/>
      <c r="R691" s="4"/>
      <c r="S691" s="4"/>
      <c r="T691" s="4"/>
      <c r="U691" s="4"/>
      <c r="V691" s="4"/>
      <c r="W691" s="4"/>
    </row>
    <row r="692" spans="1:245" x14ac:dyDescent="0.2">
      <c r="A692" s="4">
        <v>50</v>
      </c>
      <c r="B692" s="4">
        <v>0</v>
      </c>
      <c r="C692" s="4">
        <v>0</v>
      </c>
      <c r="D692" s="4">
        <v>1</v>
      </c>
      <c r="E692" s="4">
        <v>210</v>
      </c>
      <c r="F692" s="4">
        <f>ROUND(Source!X666,O692)</f>
        <v>571792.31999999995</v>
      </c>
      <c r="G692" s="4" t="s">
        <v>137</v>
      </c>
      <c r="H692" s="4" t="s">
        <v>138</v>
      </c>
      <c r="I692" s="4"/>
      <c r="J692" s="4"/>
      <c r="K692" s="4">
        <v>210</v>
      </c>
      <c r="L692" s="4">
        <v>25</v>
      </c>
      <c r="M692" s="4">
        <v>3</v>
      </c>
      <c r="N692" s="4" t="s">
        <v>3</v>
      </c>
      <c r="O692" s="4">
        <v>2</v>
      </c>
      <c r="P692" s="4"/>
      <c r="Q692" s="4"/>
      <c r="R692" s="4"/>
      <c r="S692" s="4"/>
      <c r="T692" s="4"/>
      <c r="U692" s="4"/>
      <c r="V692" s="4"/>
      <c r="W692" s="4"/>
    </row>
    <row r="693" spans="1:245" x14ac:dyDescent="0.2">
      <c r="A693" s="4">
        <v>50</v>
      </c>
      <c r="B693" s="4">
        <v>0</v>
      </c>
      <c r="C693" s="4">
        <v>0</v>
      </c>
      <c r="D693" s="4">
        <v>1</v>
      </c>
      <c r="E693" s="4">
        <v>211</v>
      </c>
      <c r="F693" s="4">
        <f>ROUND(Source!Y666,O693)</f>
        <v>226401.06</v>
      </c>
      <c r="G693" s="4" t="s">
        <v>139</v>
      </c>
      <c r="H693" s="4" t="s">
        <v>140</v>
      </c>
      <c r="I693" s="4"/>
      <c r="J693" s="4"/>
      <c r="K693" s="4">
        <v>211</v>
      </c>
      <c r="L693" s="4">
        <v>26</v>
      </c>
      <c r="M693" s="4">
        <v>3</v>
      </c>
      <c r="N693" s="4" t="s">
        <v>3</v>
      </c>
      <c r="O693" s="4">
        <v>2</v>
      </c>
      <c r="P693" s="4"/>
      <c r="Q693" s="4"/>
      <c r="R693" s="4"/>
      <c r="S693" s="4"/>
      <c r="T693" s="4"/>
      <c r="U693" s="4"/>
      <c r="V693" s="4"/>
      <c r="W693" s="4"/>
    </row>
    <row r="694" spans="1:245" x14ac:dyDescent="0.2">
      <c r="A694" s="4">
        <v>50</v>
      </c>
      <c r="B694" s="4">
        <v>0</v>
      </c>
      <c r="C694" s="4">
        <v>0</v>
      </c>
      <c r="D694" s="4">
        <v>1</v>
      </c>
      <c r="E694" s="4">
        <v>224</v>
      </c>
      <c r="F694" s="4">
        <f>ROUND(Source!AR666,O694)</f>
        <v>3721060.81</v>
      </c>
      <c r="G694" s="4" t="s">
        <v>141</v>
      </c>
      <c r="H694" s="4" t="s">
        <v>142</v>
      </c>
      <c r="I694" s="4"/>
      <c r="J694" s="4"/>
      <c r="K694" s="4">
        <v>224</v>
      </c>
      <c r="L694" s="4">
        <v>27</v>
      </c>
      <c r="M694" s="4">
        <v>3</v>
      </c>
      <c r="N694" s="4" t="s">
        <v>3</v>
      </c>
      <c r="O694" s="4">
        <v>2</v>
      </c>
      <c r="P694" s="4"/>
      <c r="Q694" s="4"/>
      <c r="R694" s="4"/>
      <c r="S694" s="4"/>
      <c r="T694" s="4"/>
      <c r="U694" s="4"/>
      <c r="V694" s="4"/>
      <c r="W694" s="4"/>
    </row>
    <row r="695" spans="1:245" x14ac:dyDescent="0.2">
      <c r="A695" s="4">
        <v>50</v>
      </c>
      <c r="B695" s="4">
        <v>1</v>
      </c>
      <c r="C695" s="4">
        <v>0</v>
      </c>
      <c r="D695" s="4">
        <v>2</v>
      </c>
      <c r="E695" s="4">
        <v>0</v>
      </c>
      <c r="F695" s="4">
        <f>ROUND(F694*1.2,O695)</f>
        <v>4465272.97</v>
      </c>
      <c r="G695" s="4" t="s">
        <v>15</v>
      </c>
      <c r="H695" s="4" t="s">
        <v>239</v>
      </c>
      <c r="I695" s="4"/>
      <c r="J695" s="4"/>
      <c r="K695" s="4">
        <v>212</v>
      </c>
      <c r="L695" s="4">
        <v>28</v>
      </c>
      <c r="M695" s="4">
        <v>0</v>
      </c>
      <c r="N695" s="4" t="s">
        <v>3</v>
      </c>
      <c r="O695" s="4">
        <v>2</v>
      </c>
      <c r="P695" s="4"/>
      <c r="Q695" s="4"/>
      <c r="R695" s="4"/>
      <c r="S695" s="4"/>
      <c r="T695" s="4"/>
      <c r="U695" s="4"/>
      <c r="V695" s="4"/>
      <c r="W695" s="4"/>
    </row>
    <row r="697" spans="1:245" x14ac:dyDescent="0.2">
      <c r="A697" s="1">
        <v>4</v>
      </c>
      <c r="B697" s="1">
        <v>1</v>
      </c>
      <c r="C697" s="1"/>
      <c r="D697" s="1">
        <f>ROW(A711)</f>
        <v>711</v>
      </c>
      <c r="E697" s="1"/>
      <c r="F697" s="1" t="s">
        <v>13</v>
      </c>
      <c r="G697" s="1" t="s">
        <v>417</v>
      </c>
      <c r="H697" s="1" t="s">
        <v>3</v>
      </c>
      <c r="I697" s="1">
        <v>0</v>
      </c>
      <c r="J697" s="1"/>
      <c r="K697" s="1">
        <v>0</v>
      </c>
      <c r="L697" s="1"/>
      <c r="M697" s="1"/>
      <c r="N697" s="1"/>
      <c r="O697" s="1"/>
      <c r="P697" s="1"/>
      <c r="Q697" s="1"/>
      <c r="R697" s="1"/>
      <c r="S697" s="1"/>
      <c r="T697" s="1"/>
      <c r="U697" s="1" t="s">
        <v>3</v>
      </c>
      <c r="V697" s="1">
        <v>0</v>
      </c>
      <c r="W697" s="1"/>
      <c r="X697" s="1"/>
      <c r="Y697" s="1"/>
      <c r="Z697" s="1"/>
      <c r="AA697" s="1"/>
      <c r="AB697" s="1" t="s">
        <v>3</v>
      </c>
      <c r="AC697" s="1" t="s">
        <v>3</v>
      </c>
      <c r="AD697" s="1" t="s">
        <v>3</v>
      </c>
      <c r="AE697" s="1" t="s">
        <v>3</v>
      </c>
      <c r="AF697" s="1" t="s">
        <v>3</v>
      </c>
      <c r="AG697" s="1" t="s">
        <v>3</v>
      </c>
      <c r="AH697" s="1"/>
      <c r="AI697" s="1"/>
      <c r="AJ697" s="1"/>
      <c r="AK697" s="1"/>
      <c r="AL697" s="1"/>
      <c r="AM697" s="1"/>
      <c r="AN697" s="1"/>
      <c r="AO697" s="1"/>
      <c r="AP697" s="1" t="s">
        <v>3</v>
      </c>
      <c r="AQ697" s="1" t="s">
        <v>3</v>
      </c>
      <c r="AR697" s="1" t="s">
        <v>3</v>
      </c>
      <c r="AS697" s="1"/>
      <c r="AT697" s="1"/>
      <c r="AU697" s="1"/>
      <c r="AV697" s="1"/>
      <c r="AW697" s="1"/>
      <c r="AX697" s="1"/>
      <c r="AY697" s="1"/>
      <c r="AZ697" s="1" t="s">
        <v>3</v>
      </c>
      <c r="BA697" s="1"/>
      <c r="BB697" s="1" t="s">
        <v>3</v>
      </c>
      <c r="BC697" s="1" t="s">
        <v>3</v>
      </c>
      <c r="BD697" s="1" t="s">
        <v>3</v>
      </c>
      <c r="BE697" s="1" t="s">
        <v>3</v>
      </c>
      <c r="BF697" s="1" t="s">
        <v>3</v>
      </c>
      <c r="BG697" s="1" t="s">
        <v>3</v>
      </c>
      <c r="BH697" s="1" t="s">
        <v>3</v>
      </c>
      <c r="BI697" s="1" t="s">
        <v>3</v>
      </c>
      <c r="BJ697" s="1" t="s">
        <v>3</v>
      </c>
      <c r="BK697" s="1" t="s">
        <v>3</v>
      </c>
      <c r="BL697" s="1" t="s">
        <v>3</v>
      </c>
      <c r="BM697" s="1" t="s">
        <v>3</v>
      </c>
      <c r="BN697" s="1" t="s">
        <v>3</v>
      </c>
      <c r="BO697" s="1" t="s">
        <v>3</v>
      </c>
      <c r="BP697" s="1" t="s">
        <v>3</v>
      </c>
      <c r="BQ697" s="1"/>
      <c r="BR697" s="1"/>
      <c r="BS697" s="1"/>
      <c r="BT697" s="1"/>
      <c r="BU697" s="1"/>
      <c r="BV697" s="1"/>
      <c r="BW697" s="1"/>
      <c r="BX697" s="1">
        <v>0</v>
      </c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>
        <v>0</v>
      </c>
    </row>
    <row r="699" spans="1:245" x14ac:dyDescent="0.2">
      <c r="A699" s="2">
        <v>52</v>
      </c>
      <c r="B699" s="2">
        <f t="shared" ref="B699:G699" si="552">B711</f>
        <v>1</v>
      </c>
      <c r="C699" s="2">
        <f t="shared" si="552"/>
        <v>4</v>
      </c>
      <c r="D699" s="2">
        <f t="shared" si="552"/>
        <v>697</v>
      </c>
      <c r="E699" s="2">
        <f t="shared" si="552"/>
        <v>0</v>
      </c>
      <c r="F699" s="2" t="str">
        <f t="shared" si="552"/>
        <v>Новый раздел</v>
      </c>
      <c r="G699" s="2" t="str">
        <f t="shared" si="552"/>
        <v>28. Камень бортовой садовый</v>
      </c>
      <c r="H699" s="2"/>
      <c r="I699" s="2"/>
      <c r="J699" s="2"/>
      <c r="K699" s="2"/>
      <c r="L699" s="2"/>
      <c r="M699" s="2"/>
      <c r="N699" s="2"/>
      <c r="O699" s="2">
        <f t="shared" ref="O699:AT699" si="553">O711</f>
        <v>990867.32</v>
      </c>
      <c r="P699" s="2">
        <f t="shared" si="553"/>
        <v>449647.6</v>
      </c>
      <c r="Q699" s="2">
        <f t="shared" si="553"/>
        <v>11604.01</v>
      </c>
      <c r="R699" s="2">
        <f t="shared" si="553"/>
        <v>6527.92</v>
      </c>
      <c r="S699" s="2">
        <f t="shared" si="553"/>
        <v>529615.71</v>
      </c>
      <c r="T699" s="2">
        <f t="shared" si="553"/>
        <v>0</v>
      </c>
      <c r="U699" s="2">
        <f t="shared" si="553"/>
        <v>1965.3098611999999</v>
      </c>
      <c r="V699" s="2">
        <f t="shared" si="553"/>
        <v>0</v>
      </c>
      <c r="W699" s="2">
        <f t="shared" si="553"/>
        <v>0</v>
      </c>
      <c r="X699" s="2">
        <f t="shared" si="553"/>
        <v>499846.64</v>
      </c>
      <c r="Y699" s="2">
        <f t="shared" si="553"/>
        <v>245493.56</v>
      </c>
      <c r="Z699" s="2">
        <f t="shared" si="553"/>
        <v>0</v>
      </c>
      <c r="AA699" s="2">
        <f t="shared" si="553"/>
        <v>0</v>
      </c>
      <c r="AB699" s="2">
        <f t="shared" si="553"/>
        <v>990867.32</v>
      </c>
      <c r="AC699" s="2">
        <f t="shared" si="553"/>
        <v>449647.6</v>
      </c>
      <c r="AD699" s="2">
        <f t="shared" si="553"/>
        <v>11604.01</v>
      </c>
      <c r="AE699" s="2">
        <f t="shared" si="553"/>
        <v>6527.92</v>
      </c>
      <c r="AF699" s="2">
        <f t="shared" si="553"/>
        <v>529615.71</v>
      </c>
      <c r="AG699" s="2">
        <f t="shared" si="553"/>
        <v>0</v>
      </c>
      <c r="AH699" s="2">
        <f t="shared" si="553"/>
        <v>1965.3098611999999</v>
      </c>
      <c r="AI699" s="2">
        <f t="shared" si="553"/>
        <v>0</v>
      </c>
      <c r="AJ699" s="2">
        <f t="shared" si="553"/>
        <v>0</v>
      </c>
      <c r="AK699" s="2">
        <f t="shared" si="553"/>
        <v>499846.64</v>
      </c>
      <c r="AL699" s="2">
        <f t="shared" si="553"/>
        <v>245493.56</v>
      </c>
      <c r="AM699" s="2">
        <f t="shared" si="553"/>
        <v>0</v>
      </c>
      <c r="AN699" s="2">
        <f t="shared" si="553"/>
        <v>0</v>
      </c>
      <c r="AO699" s="2">
        <f t="shared" si="553"/>
        <v>0</v>
      </c>
      <c r="AP699" s="2">
        <f t="shared" si="553"/>
        <v>0</v>
      </c>
      <c r="AQ699" s="2">
        <f t="shared" si="553"/>
        <v>0</v>
      </c>
      <c r="AR699" s="2">
        <f t="shared" si="553"/>
        <v>1746456.35</v>
      </c>
      <c r="AS699" s="2">
        <f t="shared" si="553"/>
        <v>1746456.35</v>
      </c>
      <c r="AT699" s="2">
        <f t="shared" si="553"/>
        <v>0</v>
      </c>
      <c r="AU699" s="2">
        <f t="shared" ref="AU699:BZ699" si="554">AU711</f>
        <v>0</v>
      </c>
      <c r="AV699" s="2">
        <f t="shared" si="554"/>
        <v>449647.6</v>
      </c>
      <c r="AW699" s="2">
        <f t="shared" si="554"/>
        <v>449647.6</v>
      </c>
      <c r="AX699" s="2">
        <f t="shared" si="554"/>
        <v>0</v>
      </c>
      <c r="AY699" s="2">
        <f t="shared" si="554"/>
        <v>449647.6</v>
      </c>
      <c r="AZ699" s="2">
        <f t="shared" si="554"/>
        <v>0</v>
      </c>
      <c r="BA699" s="2">
        <f t="shared" si="554"/>
        <v>0</v>
      </c>
      <c r="BB699" s="2">
        <f t="shared" si="554"/>
        <v>0</v>
      </c>
      <c r="BC699" s="2">
        <f t="shared" si="554"/>
        <v>0</v>
      </c>
      <c r="BD699" s="2">
        <f t="shared" si="554"/>
        <v>0</v>
      </c>
      <c r="BE699" s="2">
        <f t="shared" si="554"/>
        <v>0</v>
      </c>
      <c r="BF699" s="2">
        <f t="shared" si="554"/>
        <v>0</v>
      </c>
      <c r="BG699" s="2">
        <f t="shared" si="554"/>
        <v>0</v>
      </c>
      <c r="BH699" s="2">
        <f t="shared" si="554"/>
        <v>0</v>
      </c>
      <c r="BI699" s="2">
        <f t="shared" si="554"/>
        <v>0</v>
      </c>
      <c r="BJ699" s="2">
        <f t="shared" si="554"/>
        <v>0</v>
      </c>
      <c r="BK699" s="2">
        <f t="shared" si="554"/>
        <v>0</v>
      </c>
      <c r="BL699" s="2">
        <f t="shared" si="554"/>
        <v>0</v>
      </c>
      <c r="BM699" s="2">
        <f t="shared" si="554"/>
        <v>0</v>
      </c>
      <c r="BN699" s="2">
        <f t="shared" si="554"/>
        <v>0</v>
      </c>
      <c r="BO699" s="2">
        <f t="shared" si="554"/>
        <v>0</v>
      </c>
      <c r="BP699" s="2">
        <f t="shared" si="554"/>
        <v>0</v>
      </c>
      <c r="BQ699" s="2">
        <f t="shared" si="554"/>
        <v>0</v>
      </c>
      <c r="BR699" s="2">
        <f t="shared" si="554"/>
        <v>0</v>
      </c>
      <c r="BS699" s="2">
        <f t="shared" si="554"/>
        <v>0</v>
      </c>
      <c r="BT699" s="2">
        <f t="shared" si="554"/>
        <v>0</v>
      </c>
      <c r="BU699" s="2">
        <f t="shared" si="554"/>
        <v>0</v>
      </c>
      <c r="BV699" s="2">
        <f t="shared" si="554"/>
        <v>0</v>
      </c>
      <c r="BW699" s="2">
        <f t="shared" si="554"/>
        <v>0</v>
      </c>
      <c r="BX699" s="2">
        <f t="shared" si="554"/>
        <v>0</v>
      </c>
      <c r="BY699" s="2">
        <f t="shared" si="554"/>
        <v>0</v>
      </c>
      <c r="BZ699" s="2">
        <f t="shared" si="554"/>
        <v>0</v>
      </c>
      <c r="CA699" s="2">
        <f t="shared" ref="CA699:DF699" si="555">CA711</f>
        <v>1746456.35</v>
      </c>
      <c r="CB699" s="2">
        <f t="shared" si="555"/>
        <v>1746456.35</v>
      </c>
      <c r="CC699" s="2">
        <f t="shared" si="555"/>
        <v>0</v>
      </c>
      <c r="CD699" s="2">
        <f t="shared" si="555"/>
        <v>0</v>
      </c>
      <c r="CE699" s="2">
        <f t="shared" si="555"/>
        <v>449647.6</v>
      </c>
      <c r="CF699" s="2">
        <f t="shared" si="555"/>
        <v>449647.6</v>
      </c>
      <c r="CG699" s="2">
        <f t="shared" si="555"/>
        <v>0</v>
      </c>
      <c r="CH699" s="2">
        <f t="shared" si="555"/>
        <v>449647.6</v>
      </c>
      <c r="CI699" s="2">
        <f t="shared" si="555"/>
        <v>0</v>
      </c>
      <c r="CJ699" s="2">
        <f t="shared" si="555"/>
        <v>0</v>
      </c>
      <c r="CK699" s="2">
        <f t="shared" si="555"/>
        <v>0</v>
      </c>
      <c r="CL699" s="2">
        <f t="shared" si="555"/>
        <v>0</v>
      </c>
      <c r="CM699" s="2">
        <f t="shared" si="555"/>
        <v>0</v>
      </c>
      <c r="CN699" s="2">
        <f t="shared" si="555"/>
        <v>0</v>
      </c>
      <c r="CO699" s="2">
        <f t="shared" si="555"/>
        <v>0</v>
      </c>
      <c r="CP699" s="2">
        <f t="shared" si="555"/>
        <v>0</v>
      </c>
      <c r="CQ699" s="2">
        <f t="shared" si="555"/>
        <v>0</v>
      </c>
      <c r="CR699" s="2">
        <f t="shared" si="555"/>
        <v>0</v>
      </c>
      <c r="CS699" s="2">
        <f t="shared" si="555"/>
        <v>0</v>
      </c>
      <c r="CT699" s="2">
        <f t="shared" si="555"/>
        <v>0</v>
      </c>
      <c r="CU699" s="2">
        <f t="shared" si="555"/>
        <v>0</v>
      </c>
      <c r="CV699" s="2">
        <f t="shared" si="555"/>
        <v>0</v>
      </c>
      <c r="CW699" s="2">
        <f t="shared" si="555"/>
        <v>0</v>
      </c>
      <c r="CX699" s="2">
        <f t="shared" si="555"/>
        <v>0</v>
      </c>
      <c r="CY699" s="2">
        <f t="shared" si="555"/>
        <v>0</v>
      </c>
      <c r="CZ699" s="2">
        <f t="shared" si="555"/>
        <v>0</v>
      </c>
      <c r="DA699" s="2">
        <f t="shared" si="555"/>
        <v>0</v>
      </c>
      <c r="DB699" s="2">
        <f t="shared" si="555"/>
        <v>0</v>
      </c>
      <c r="DC699" s="2">
        <f t="shared" si="555"/>
        <v>0</v>
      </c>
      <c r="DD699" s="2">
        <f t="shared" si="555"/>
        <v>0</v>
      </c>
      <c r="DE699" s="2">
        <f t="shared" si="555"/>
        <v>0</v>
      </c>
      <c r="DF699" s="2">
        <f t="shared" si="555"/>
        <v>0</v>
      </c>
      <c r="DG699" s="3">
        <f t="shared" ref="DG699:EL699" si="556">DG711</f>
        <v>0</v>
      </c>
      <c r="DH699" s="3">
        <f t="shared" si="556"/>
        <v>0</v>
      </c>
      <c r="DI699" s="3">
        <f t="shared" si="556"/>
        <v>0</v>
      </c>
      <c r="DJ699" s="3">
        <f t="shared" si="556"/>
        <v>0</v>
      </c>
      <c r="DK699" s="3">
        <f t="shared" si="556"/>
        <v>0</v>
      </c>
      <c r="DL699" s="3">
        <f t="shared" si="556"/>
        <v>0</v>
      </c>
      <c r="DM699" s="3">
        <f t="shared" si="556"/>
        <v>0</v>
      </c>
      <c r="DN699" s="3">
        <f t="shared" si="556"/>
        <v>0</v>
      </c>
      <c r="DO699" s="3">
        <f t="shared" si="556"/>
        <v>0</v>
      </c>
      <c r="DP699" s="3">
        <f t="shared" si="556"/>
        <v>0</v>
      </c>
      <c r="DQ699" s="3">
        <f t="shared" si="556"/>
        <v>0</v>
      </c>
      <c r="DR699" s="3">
        <f t="shared" si="556"/>
        <v>0</v>
      </c>
      <c r="DS699" s="3">
        <f t="shared" si="556"/>
        <v>0</v>
      </c>
      <c r="DT699" s="3">
        <f t="shared" si="556"/>
        <v>0</v>
      </c>
      <c r="DU699" s="3">
        <f t="shared" si="556"/>
        <v>0</v>
      </c>
      <c r="DV699" s="3">
        <f t="shared" si="556"/>
        <v>0</v>
      </c>
      <c r="DW699" s="3">
        <f t="shared" si="556"/>
        <v>0</v>
      </c>
      <c r="DX699" s="3">
        <f t="shared" si="556"/>
        <v>0</v>
      </c>
      <c r="DY699" s="3">
        <f t="shared" si="556"/>
        <v>0</v>
      </c>
      <c r="DZ699" s="3">
        <f t="shared" si="556"/>
        <v>0</v>
      </c>
      <c r="EA699" s="3">
        <f t="shared" si="556"/>
        <v>0</v>
      </c>
      <c r="EB699" s="3">
        <f t="shared" si="556"/>
        <v>0</v>
      </c>
      <c r="EC699" s="3">
        <f t="shared" si="556"/>
        <v>0</v>
      </c>
      <c r="ED699" s="3">
        <f t="shared" si="556"/>
        <v>0</v>
      </c>
      <c r="EE699" s="3">
        <f t="shared" si="556"/>
        <v>0</v>
      </c>
      <c r="EF699" s="3">
        <f t="shared" si="556"/>
        <v>0</v>
      </c>
      <c r="EG699" s="3">
        <f t="shared" si="556"/>
        <v>0</v>
      </c>
      <c r="EH699" s="3">
        <f t="shared" si="556"/>
        <v>0</v>
      </c>
      <c r="EI699" s="3">
        <f t="shared" si="556"/>
        <v>0</v>
      </c>
      <c r="EJ699" s="3">
        <f t="shared" si="556"/>
        <v>0</v>
      </c>
      <c r="EK699" s="3">
        <f t="shared" si="556"/>
        <v>0</v>
      </c>
      <c r="EL699" s="3">
        <f t="shared" si="556"/>
        <v>0</v>
      </c>
      <c r="EM699" s="3">
        <f t="shared" ref="EM699:FR699" si="557">EM711</f>
        <v>0</v>
      </c>
      <c r="EN699" s="3">
        <f t="shared" si="557"/>
        <v>0</v>
      </c>
      <c r="EO699" s="3">
        <f t="shared" si="557"/>
        <v>0</v>
      </c>
      <c r="EP699" s="3">
        <f t="shared" si="557"/>
        <v>0</v>
      </c>
      <c r="EQ699" s="3">
        <f t="shared" si="557"/>
        <v>0</v>
      </c>
      <c r="ER699" s="3">
        <f t="shared" si="557"/>
        <v>0</v>
      </c>
      <c r="ES699" s="3">
        <f t="shared" si="557"/>
        <v>0</v>
      </c>
      <c r="ET699" s="3">
        <f t="shared" si="557"/>
        <v>0</v>
      </c>
      <c r="EU699" s="3">
        <f t="shared" si="557"/>
        <v>0</v>
      </c>
      <c r="EV699" s="3">
        <f t="shared" si="557"/>
        <v>0</v>
      </c>
      <c r="EW699" s="3">
        <f t="shared" si="557"/>
        <v>0</v>
      </c>
      <c r="EX699" s="3">
        <f t="shared" si="557"/>
        <v>0</v>
      </c>
      <c r="EY699" s="3">
        <f t="shared" si="557"/>
        <v>0</v>
      </c>
      <c r="EZ699" s="3">
        <f t="shared" si="557"/>
        <v>0</v>
      </c>
      <c r="FA699" s="3">
        <f t="shared" si="557"/>
        <v>0</v>
      </c>
      <c r="FB699" s="3">
        <f t="shared" si="557"/>
        <v>0</v>
      </c>
      <c r="FC699" s="3">
        <f t="shared" si="557"/>
        <v>0</v>
      </c>
      <c r="FD699" s="3">
        <f t="shared" si="557"/>
        <v>0</v>
      </c>
      <c r="FE699" s="3">
        <f t="shared" si="557"/>
        <v>0</v>
      </c>
      <c r="FF699" s="3">
        <f t="shared" si="557"/>
        <v>0</v>
      </c>
      <c r="FG699" s="3">
        <f t="shared" si="557"/>
        <v>0</v>
      </c>
      <c r="FH699" s="3">
        <f t="shared" si="557"/>
        <v>0</v>
      </c>
      <c r="FI699" s="3">
        <f t="shared" si="557"/>
        <v>0</v>
      </c>
      <c r="FJ699" s="3">
        <f t="shared" si="557"/>
        <v>0</v>
      </c>
      <c r="FK699" s="3">
        <f t="shared" si="557"/>
        <v>0</v>
      </c>
      <c r="FL699" s="3">
        <f t="shared" si="557"/>
        <v>0</v>
      </c>
      <c r="FM699" s="3">
        <f t="shared" si="557"/>
        <v>0</v>
      </c>
      <c r="FN699" s="3">
        <f t="shared" si="557"/>
        <v>0</v>
      </c>
      <c r="FO699" s="3">
        <f t="shared" si="557"/>
        <v>0</v>
      </c>
      <c r="FP699" s="3">
        <f t="shared" si="557"/>
        <v>0</v>
      </c>
      <c r="FQ699" s="3">
        <f t="shared" si="557"/>
        <v>0</v>
      </c>
      <c r="FR699" s="3">
        <f t="shared" si="557"/>
        <v>0</v>
      </c>
      <c r="FS699" s="3">
        <f t="shared" ref="FS699:GX699" si="558">FS711</f>
        <v>0</v>
      </c>
      <c r="FT699" s="3">
        <f t="shared" si="558"/>
        <v>0</v>
      </c>
      <c r="FU699" s="3">
        <f t="shared" si="558"/>
        <v>0</v>
      </c>
      <c r="FV699" s="3">
        <f t="shared" si="558"/>
        <v>0</v>
      </c>
      <c r="FW699" s="3">
        <f t="shared" si="558"/>
        <v>0</v>
      </c>
      <c r="FX699" s="3">
        <f t="shared" si="558"/>
        <v>0</v>
      </c>
      <c r="FY699" s="3">
        <f t="shared" si="558"/>
        <v>0</v>
      </c>
      <c r="FZ699" s="3">
        <f t="shared" si="558"/>
        <v>0</v>
      </c>
      <c r="GA699" s="3">
        <f t="shared" si="558"/>
        <v>0</v>
      </c>
      <c r="GB699" s="3">
        <f t="shared" si="558"/>
        <v>0</v>
      </c>
      <c r="GC699" s="3">
        <f t="shared" si="558"/>
        <v>0</v>
      </c>
      <c r="GD699" s="3">
        <f t="shared" si="558"/>
        <v>0</v>
      </c>
      <c r="GE699" s="3">
        <f t="shared" si="558"/>
        <v>0</v>
      </c>
      <c r="GF699" s="3">
        <f t="shared" si="558"/>
        <v>0</v>
      </c>
      <c r="GG699" s="3">
        <f t="shared" si="558"/>
        <v>0</v>
      </c>
      <c r="GH699" s="3">
        <f t="shared" si="558"/>
        <v>0</v>
      </c>
      <c r="GI699" s="3">
        <f t="shared" si="558"/>
        <v>0</v>
      </c>
      <c r="GJ699" s="3">
        <f t="shared" si="558"/>
        <v>0</v>
      </c>
      <c r="GK699" s="3">
        <f t="shared" si="558"/>
        <v>0</v>
      </c>
      <c r="GL699" s="3">
        <f t="shared" si="558"/>
        <v>0</v>
      </c>
      <c r="GM699" s="3">
        <f t="shared" si="558"/>
        <v>0</v>
      </c>
      <c r="GN699" s="3">
        <f t="shared" si="558"/>
        <v>0</v>
      </c>
      <c r="GO699" s="3">
        <f t="shared" si="558"/>
        <v>0</v>
      </c>
      <c r="GP699" s="3">
        <f t="shared" si="558"/>
        <v>0</v>
      </c>
      <c r="GQ699" s="3">
        <f t="shared" si="558"/>
        <v>0</v>
      </c>
      <c r="GR699" s="3">
        <f t="shared" si="558"/>
        <v>0</v>
      </c>
      <c r="GS699" s="3">
        <f t="shared" si="558"/>
        <v>0</v>
      </c>
      <c r="GT699" s="3">
        <f t="shared" si="558"/>
        <v>0</v>
      </c>
      <c r="GU699" s="3">
        <f t="shared" si="558"/>
        <v>0</v>
      </c>
      <c r="GV699" s="3">
        <f t="shared" si="558"/>
        <v>0</v>
      </c>
      <c r="GW699" s="3">
        <f t="shared" si="558"/>
        <v>0</v>
      </c>
      <c r="GX699" s="3">
        <f t="shared" si="558"/>
        <v>0</v>
      </c>
    </row>
    <row r="701" spans="1:245" x14ac:dyDescent="0.2">
      <c r="A701">
        <v>17</v>
      </c>
      <c r="B701">
        <v>1</v>
      </c>
      <c r="C701">
        <f>ROW(SmtRes!A255)</f>
        <v>255</v>
      </c>
      <c r="D701">
        <f>ROW(EtalonRes!A256)</f>
        <v>256</v>
      </c>
      <c r="E701" t="s">
        <v>418</v>
      </c>
      <c r="F701" t="s">
        <v>174</v>
      </c>
      <c r="G701" t="s">
        <v>175</v>
      </c>
      <c r="H701" t="s">
        <v>176</v>
      </c>
      <c r="I701">
        <f>ROUND(1261/100,5)</f>
        <v>12.61</v>
      </c>
      <c r="J701">
        <v>0</v>
      </c>
      <c r="O701">
        <f t="shared" ref="O701:O709" si="559">ROUND(CP701,2)</f>
        <v>265247.8</v>
      </c>
      <c r="P701">
        <f t="shared" ref="P701:P709" si="560">ROUND((ROUND((AC701*AW701*I701),2)*BC701),2)</f>
        <v>0</v>
      </c>
      <c r="Q701">
        <f t="shared" ref="Q701:Q709" si="561">(ROUND((ROUND(((ET701)*AV701*I701),2)*BB701),2)+ROUND((ROUND(((AE701-(EU701))*AV701*I701),2)*BS701),2))</f>
        <v>0</v>
      </c>
      <c r="R701">
        <f t="shared" ref="R701:R709" si="562">ROUND((ROUND((AE701*AV701*I701),2)*BS701),2)</f>
        <v>0</v>
      </c>
      <c r="S701">
        <f t="shared" ref="S701:S709" si="563">ROUND((ROUND((AF701*AV701*I701),2)*BA701),2)</f>
        <v>265247.8</v>
      </c>
      <c r="T701">
        <f t="shared" ref="T701:T709" si="564">ROUND(CU701*I701,2)</f>
        <v>0</v>
      </c>
      <c r="U701">
        <f t="shared" ref="U701:U709" si="565">CV701*I701</f>
        <v>967.18700000000001</v>
      </c>
      <c r="V701">
        <f t="shared" ref="V701:V709" si="566">CW701*I701</f>
        <v>0</v>
      </c>
      <c r="W701">
        <f t="shared" ref="W701:W709" si="567">ROUND(CX701*I701,2)</f>
        <v>0</v>
      </c>
      <c r="X701">
        <f t="shared" ref="X701:X709" si="568">ROUND(CY701,2)</f>
        <v>180368.5</v>
      </c>
      <c r="Y701">
        <f t="shared" ref="Y701:Y709" si="569">ROUND(CZ701,2)</f>
        <v>108751.6</v>
      </c>
      <c r="AA701">
        <v>33989672</v>
      </c>
      <c r="AB701">
        <f t="shared" ref="AB701:AB709" si="570">ROUND((AC701+AD701+AF701),6)</f>
        <v>857.51</v>
      </c>
      <c r="AC701">
        <f t="shared" ref="AC701:AC709" si="571">ROUND((ES701),6)</f>
        <v>0</v>
      </c>
      <c r="AD701">
        <f t="shared" ref="AD701:AD709" si="572">ROUND((((ET701)-(EU701))+AE701),6)</f>
        <v>0</v>
      </c>
      <c r="AE701">
        <f t="shared" ref="AE701:AE709" si="573">ROUND((EU701),6)</f>
        <v>0</v>
      </c>
      <c r="AF701">
        <f t="shared" ref="AF701:AF709" si="574">ROUND((EV701),6)</f>
        <v>857.51</v>
      </c>
      <c r="AG701">
        <f t="shared" ref="AG701:AG709" si="575">ROUND((AP701),6)</f>
        <v>0</v>
      </c>
      <c r="AH701">
        <f t="shared" ref="AH701:AH709" si="576">(EW701)</f>
        <v>76.7</v>
      </c>
      <c r="AI701">
        <f t="shared" ref="AI701:AI709" si="577">(EX701)</f>
        <v>0</v>
      </c>
      <c r="AJ701">
        <f t="shared" ref="AJ701:AJ709" si="578">(AS701)</f>
        <v>0</v>
      </c>
      <c r="AK701">
        <v>857.51</v>
      </c>
      <c r="AL701">
        <v>0</v>
      </c>
      <c r="AM701">
        <v>0</v>
      </c>
      <c r="AN701">
        <v>0</v>
      </c>
      <c r="AO701">
        <v>857.51</v>
      </c>
      <c r="AP701">
        <v>0</v>
      </c>
      <c r="AQ701">
        <v>76.7</v>
      </c>
      <c r="AR701">
        <v>0</v>
      </c>
      <c r="AS701">
        <v>0</v>
      </c>
      <c r="AT701">
        <v>68</v>
      </c>
      <c r="AU701">
        <v>41</v>
      </c>
      <c r="AV701">
        <v>1</v>
      </c>
      <c r="AW701">
        <v>1</v>
      </c>
      <c r="AZ701">
        <v>1</v>
      </c>
      <c r="BA701">
        <v>24.53</v>
      </c>
      <c r="BB701">
        <v>1</v>
      </c>
      <c r="BC701">
        <v>1</v>
      </c>
      <c r="BD701" t="s">
        <v>3</v>
      </c>
      <c r="BE701" t="s">
        <v>3</v>
      </c>
      <c r="BF701" t="s">
        <v>3</v>
      </c>
      <c r="BG701" t="s">
        <v>3</v>
      </c>
      <c r="BH701">
        <v>0</v>
      </c>
      <c r="BI701">
        <v>1</v>
      </c>
      <c r="BJ701" t="s">
        <v>177</v>
      </c>
      <c r="BM701">
        <v>674</v>
      </c>
      <c r="BN701">
        <v>0</v>
      </c>
      <c r="BO701" t="s">
        <v>174</v>
      </c>
      <c r="BP701">
        <v>1</v>
      </c>
      <c r="BQ701">
        <v>60</v>
      </c>
      <c r="BR701">
        <v>0</v>
      </c>
      <c r="BS701">
        <v>24.53</v>
      </c>
      <c r="BT701">
        <v>1</v>
      </c>
      <c r="BU701">
        <v>1</v>
      </c>
      <c r="BV701">
        <v>1</v>
      </c>
      <c r="BW701">
        <v>1</v>
      </c>
      <c r="BX701">
        <v>1</v>
      </c>
      <c r="BY701" t="s">
        <v>3</v>
      </c>
      <c r="BZ701">
        <v>68</v>
      </c>
      <c r="CA701">
        <v>41</v>
      </c>
      <c r="CE701">
        <v>30</v>
      </c>
      <c r="CF701">
        <v>0</v>
      </c>
      <c r="CG701">
        <v>0</v>
      </c>
      <c r="CM701">
        <v>0</v>
      </c>
      <c r="CN701" t="s">
        <v>3</v>
      </c>
      <c r="CO701">
        <v>0</v>
      </c>
      <c r="CP701">
        <f t="shared" ref="CP701:CP709" si="579">(P701+Q701+S701)</f>
        <v>265247.8</v>
      </c>
      <c r="CQ701">
        <f t="shared" ref="CQ701:CQ709" si="580">ROUND((ROUND((AC701*AW701*1),2)*BC701),2)</f>
        <v>0</v>
      </c>
      <c r="CR701">
        <f t="shared" ref="CR701:CR709" si="581">(ROUND((ROUND(((ET701)*AV701*1),2)*BB701),2)+ROUND((ROUND(((AE701-(EU701))*AV701*1),2)*BS701),2))</f>
        <v>0</v>
      </c>
      <c r="CS701">
        <f t="shared" ref="CS701:CS709" si="582">ROUND((ROUND((AE701*AV701*1),2)*BS701),2)</f>
        <v>0</v>
      </c>
      <c r="CT701">
        <f t="shared" ref="CT701:CT709" si="583">ROUND((ROUND((AF701*AV701*1),2)*BA701),2)</f>
        <v>21034.720000000001</v>
      </c>
      <c r="CU701">
        <f t="shared" ref="CU701:CU709" si="584">AG701</f>
        <v>0</v>
      </c>
      <c r="CV701">
        <f t="shared" ref="CV701:CV709" si="585">(AH701*AV701)</f>
        <v>76.7</v>
      </c>
      <c r="CW701">
        <f t="shared" ref="CW701:CW709" si="586">AI701</f>
        <v>0</v>
      </c>
      <c r="CX701">
        <f t="shared" ref="CX701:CX709" si="587">AJ701</f>
        <v>0</v>
      </c>
      <c r="CY701">
        <f t="shared" ref="CY701:CY709" si="588">S701*(BZ701/100)</f>
        <v>180368.50400000002</v>
      </c>
      <c r="CZ701">
        <f t="shared" ref="CZ701:CZ709" si="589">S701*(CA701/100)</f>
        <v>108751.59799999998</v>
      </c>
      <c r="DC701" t="s">
        <v>3</v>
      </c>
      <c r="DD701" t="s">
        <v>3</v>
      </c>
      <c r="DE701" t="s">
        <v>3</v>
      </c>
      <c r="DF701" t="s">
        <v>3</v>
      </c>
      <c r="DG701" t="s">
        <v>3</v>
      </c>
      <c r="DH701" t="s">
        <v>3</v>
      </c>
      <c r="DI701" t="s">
        <v>3</v>
      </c>
      <c r="DJ701" t="s">
        <v>3</v>
      </c>
      <c r="DK701" t="s">
        <v>3</v>
      </c>
      <c r="DL701" t="s">
        <v>3</v>
      </c>
      <c r="DM701" t="s">
        <v>3</v>
      </c>
      <c r="DN701">
        <v>80</v>
      </c>
      <c r="DO701">
        <v>55</v>
      </c>
      <c r="DP701">
        <v>1</v>
      </c>
      <c r="DQ701">
        <v>1</v>
      </c>
      <c r="DU701">
        <v>1003</v>
      </c>
      <c r="DV701" t="s">
        <v>176</v>
      </c>
      <c r="DW701" t="s">
        <v>176</v>
      </c>
      <c r="DX701">
        <v>100</v>
      </c>
      <c r="EE701">
        <v>33798313</v>
      </c>
      <c r="EF701">
        <v>60</v>
      </c>
      <c r="EG701" t="s">
        <v>20</v>
      </c>
      <c r="EH701">
        <v>0</v>
      </c>
      <c r="EI701" t="s">
        <v>3</v>
      </c>
      <c r="EJ701">
        <v>1</v>
      </c>
      <c r="EK701">
        <v>674</v>
      </c>
      <c r="EL701" t="s">
        <v>33</v>
      </c>
      <c r="EM701" t="s">
        <v>34</v>
      </c>
      <c r="EO701" t="s">
        <v>3</v>
      </c>
      <c r="EQ701">
        <v>131072</v>
      </c>
      <c r="ER701">
        <v>857.51</v>
      </c>
      <c r="ES701">
        <v>0</v>
      </c>
      <c r="ET701">
        <v>0</v>
      </c>
      <c r="EU701">
        <v>0</v>
      </c>
      <c r="EV701">
        <v>857.51</v>
      </c>
      <c r="EW701">
        <v>76.7</v>
      </c>
      <c r="EX701">
        <v>0</v>
      </c>
      <c r="EY701">
        <v>0</v>
      </c>
      <c r="FQ701">
        <v>0</v>
      </c>
      <c r="FR701">
        <f t="shared" ref="FR701:FR709" si="590">ROUND(IF(AND(BH701=3,BI701=3),P701,0),2)</f>
        <v>0</v>
      </c>
      <c r="FS701">
        <v>0</v>
      </c>
      <c r="FX701">
        <v>80</v>
      </c>
      <c r="FY701">
        <v>55</v>
      </c>
      <c r="GA701" t="s">
        <v>3</v>
      </c>
      <c r="GD701">
        <v>0</v>
      </c>
      <c r="GF701">
        <v>-306614759</v>
      </c>
      <c r="GG701">
        <v>2</v>
      </c>
      <c r="GH701">
        <v>1</v>
      </c>
      <c r="GI701">
        <v>2</v>
      </c>
      <c r="GJ701">
        <v>0</v>
      </c>
      <c r="GK701">
        <f>ROUND(R701*(R12)/100,2)</f>
        <v>0</v>
      </c>
      <c r="GL701">
        <f t="shared" ref="GL701:GL709" si="591">ROUND(IF(AND(BH701=3,BI701=3,FS701&lt;&gt;0),P701,0),2)</f>
        <v>0</v>
      </c>
      <c r="GM701">
        <f t="shared" ref="GM701:GM709" si="592">ROUND(O701+X701+Y701+GK701,2)+GX701</f>
        <v>554367.9</v>
      </c>
      <c r="GN701">
        <f t="shared" ref="GN701:GN709" si="593">IF(OR(BI701=0,BI701=1),ROUND(O701+X701+Y701+GK701,2),0)</f>
        <v>554367.9</v>
      </c>
      <c r="GO701">
        <f t="shared" ref="GO701:GO709" si="594">IF(BI701=2,ROUND(O701+X701+Y701+GK701,2),0)</f>
        <v>0</v>
      </c>
      <c r="GP701">
        <f t="shared" ref="GP701:GP709" si="595">IF(BI701=4,ROUND(O701+X701+Y701+GK701,2)+GX701,0)</f>
        <v>0</v>
      </c>
      <c r="GR701">
        <v>0</v>
      </c>
      <c r="GS701">
        <v>3</v>
      </c>
      <c r="GT701">
        <v>0</v>
      </c>
      <c r="GU701" t="s">
        <v>3</v>
      </c>
      <c r="GV701">
        <f t="shared" ref="GV701:GV709" si="596">ROUND((GT701),6)</f>
        <v>0</v>
      </c>
      <c r="GW701">
        <v>1</v>
      </c>
      <c r="GX701">
        <f t="shared" ref="GX701:GX709" si="597">ROUND(HC701*I701,2)</f>
        <v>0</v>
      </c>
      <c r="HA701">
        <v>0</v>
      </c>
      <c r="HB701">
        <v>0</v>
      </c>
      <c r="HC701">
        <f t="shared" ref="HC701:HC709" si="598">GV701*GW701</f>
        <v>0</v>
      </c>
      <c r="IK701">
        <v>0</v>
      </c>
    </row>
    <row r="702" spans="1:245" x14ac:dyDescent="0.2">
      <c r="A702">
        <v>17</v>
      </c>
      <c r="B702">
        <v>1</v>
      </c>
      <c r="C702">
        <f>ROW(SmtRes!A257)</f>
        <v>257</v>
      </c>
      <c r="D702">
        <f>ROW(EtalonRes!A258)</f>
        <v>258</v>
      </c>
      <c r="E702" t="s">
        <v>419</v>
      </c>
      <c r="F702" t="s">
        <v>420</v>
      </c>
      <c r="G702" t="s">
        <v>421</v>
      </c>
      <c r="H702" t="s">
        <v>38</v>
      </c>
      <c r="I702">
        <f>ROUND(I701*100*(0.058*0.8+0.016)*2.4*0.1,5)</f>
        <v>18.884740000000001</v>
      </c>
      <c r="J702">
        <v>0</v>
      </c>
      <c r="O702">
        <f t="shared" si="559"/>
        <v>10130.94</v>
      </c>
      <c r="P702">
        <f t="shared" si="560"/>
        <v>0</v>
      </c>
      <c r="Q702">
        <f t="shared" si="561"/>
        <v>3956</v>
      </c>
      <c r="R702">
        <f t="shared" si="562"/>
        <v>3233.54</v>
      </c>
      <c r="S702">
        <f t="shared" si="563"/>
        <v>6174.94</v>
      </c>
      <c r="T702">
        <f t="shared" si="564"/>
        <v>0</v>
      </c>
      <c r="U702">
        <f t="shared" si="565"/>
        <v>21.150908800000003</v>
      </c>
      <c r="V702">
        <f t="shared" si="566"/>
        <v>0</v>
      </c>
      <c r="W702">
        <f t="shared" si="567"/>
        <v>0</v>
      </c>
      <c r="X702">
        <f t="shared" si="568"/>
        <v>4507.71</v>
      </c>
      <c r="Y702">
        <f t="shared" si="569"/>
        <v>2531.73</v>
      </c>
      <c r="AA702">
        <v>33989672</v>
      </c>
      <c r="AB702">
        <f t="shared" si="570"/>
        <v>29.37</v>
      </c>
      <c r="AC702">
        <f t="shared" si="571"/>
        <v>0</v>
      </c>
      <c r="AD702">
        <f t="shared" si="572"/>
        <v>16.04</v>
      </c>
      <c r="AE702">
        <f t="shared" si="573"/>
        <v>6.98</v>
      </c>
      <c r="AF702">
        <f t="shared" si="574"/>
        <v>13.33</v>
      </c>
      <c r="AG702">
        <f t="shared" si="575"/>
        <v>0</v>
      </c>
      <c r="AH702">
        <f t="shared" si="576"/>
        <v>1.1200000000000001</v>
      </c>
      <c r="AI702">
        <f t="shared" si="577"/>
        <v>0</v>
      </c>
      <c r="AJ702">
        <f t="shared" si="578"/>
        <v>0</v>
      </c>
      <c r="AK702">
        <v>29.37</v>
      </c>
      <c r="AL702">
        <v>0</v>
      </c>
      <c r="AM702">
        <v>16.04</v>
      </c>
      <c r="AN702">
        <v>6.98</v>
      </c>
      <c r="AO702">
        <v>13.33</v>
      </c>
      <c r="AP702">
        <v>0</v>
      </c>
      <c r="AQ702">
        <v>1.1200000000000001</v>
      </c>
      <c r="AR702">
        <v>0</v>
      </c>
      <c r="AS702">
        <v>0</v>
      </c>
      <c r="AT702">
        <v>73</v>
      </c>
      <c r="AU702">
        <v>41</v>
      </c>
      <c r="AV702">
        <v>1</v>
      </c>
      <c r="AW702">
        <v>1</v>
      </c>
      <c r="AZ702">
        <v>1</v>
      </c>
      <c r="BA702">
        <v>24.53</v>
      </c>
      <c r="BB702">
        <v>13.06</v>
      </c>
      <c r="BC702">
        <v>1</v>
      </c>
      <c r="BD702" t="s">
        <v>3</v>
      </c>
      <c r="BE702" t="s">
        <v>3</v>
      </c>
      <c r="BF702" t="s">
        <v>3</v>
      </c>
      <c r="BG702" t="s">
        <v>3</v>
      </c>
      <c r="BH702">
        <v>0</v>
      </c>
      <c r="BI702">
        <v>1</v>
      </c>
      <c r="BJ702" t="s">
        <v>422</v>
      </c>
      <c r="BM702">
        <v>644</v>
      </c>
      <c r="BN702">
        <v>0</v>
      </c>
      <c r="BO702" t="s">
        <v>420</v>
      </c>
      <c r="BP702">
        <v>1</v>
      </c>
      <c r="BQ702">
        <v>60</v>
      </c>
      <c r="BR702">
        <v>0</v>
      </c>
      <c r="BS702">
        <v>24.53</v>
      </c>
      <c r="BT702">
        <v>1</v>
      </c>
      <c r="BU702">
        <v>1</v>
      </c>
      <c r="BV702">
        <v>1</v>
      </c>
      <c r="BW702">
        <v>1</v>
      </c>
      <c r="BX702">
        <v>1</v>
      </c>
      <c r="BY702" t="s">
        <v>3</v>
      </c>
      <c r="BZ702">
        <v>73</v>
      </c>
      <c r="CA702">
        <v>41</v>
      </c>
      <c r="CE702">
        <v>30</v>
      </c>
      <c r="CF702">
        <v>0</v>
      </c>
      <c r="CG702">
        <v>0</v>
      </c>
      <c r="CM702">
        <v>0</v>
      </c>
      <c r="CN702" t="s">
        <v>3</v>
      </c>
      <c r="CO702">
        <v>0</v>
      </c>
      <c r="CP702">
        <f t="shared" si="579"/>
        <v>10130.939999999999</v>
      </c>
      <c r="CQ702">
        <f t="shared" si="580"/>
        <v>0</v>
      </c>
      <c r="CR702">
        <f t="shared" si="581"/>
        <v>209.48</v>
      </c>
      <c r="CS702">
        <f t="shared" si="582"/>
        <v>171.22</v>
      </c>
      <c r="CT702">
        <f t="shared" si="583"/>
        <v>326.98</v>
      </c>
      <c r="CU702">
        <f t="shared" si="584"/>
        <v>0</v>
      </c>
      <c r="CV702">
        <f t="shared" si="585"/>
        <v>1.1200000000000001</v>
      </c>
      <c r="CW702">
        <f t="shared" si="586"/>
        <v>0</v>
      </c>
      <c r="CX702">
        <f t="shared" si="587"/>
        <v>0</v>
      </c>
      <c r="CY702">
        <f t="shared" si="588"/>
        <v>4507.7061999999996</v>
      </c>
      <c r="CZ702">
        <f t="shared" si="589"/>
        <v>2531.7253999999998</v>
      </c>
      <c r="DC702" t="s">
        <v>3</v>
      </c>
      <c r="DD702" t="s">
        <v>3</v>
      </c>
      <c r="DE702" t="s">
        <v>3</v>
      </c>
      <c r="DF702" t="s">
        <v>3</v>
      </c>
      <c r="DG702" t="s">
        <v>3</v>
      </c>
      <c r="DH702" t="s">
        <v>3</v>
      </c>
      <c r="DI702" t="s">
        <v>3</v>
      </c>
      <c r="DJ702" t="s">
        <v>3</v>
      </c>
      <c r="DK702" t="s">
        <v>3</v>
      </c>
      <c r="DL702" t="s">
        <v>3</v>
      </c>
      <c r="DM702" t="s">
        <v>3</v>
      </c>
      <c r="DN702">
        <v>91</v>
      </c>
      <c r="DO702">
        <v>70</v>
      </c>
      <c r="DP702">
        <v>1</v>
      </c>
      <c r="DQ702">
        <v>1</v>
      </c>
      <c r="DU702">
        <v>1013</v>
      </c>
      <c r="DV702" t="s">
        <v>38</v>
      </c>
      <c r="DW702" t="s">
        <v>38</v>
      </c>
      <c r="DX702">
        <v>1</v>
      </c>
      <c r="EE702">
        <v>33798283</v>
      </c>
      <c r="EF702">
        <v>60</v>
      </c>
      <c r="EG702" t="s">
        <v>20</v>
      </c>
      <c r="EH702">
        <v>0</v>
      </c>
      <c r="EI702" t="s">
        <v>3</v>
      </c>
      <c r="EJ702">
        <v>1</v>
      </c>
      <c r="EK702">
        <v>644</v>
      </c>
      <c r="EL702" t="s">
        <v>423</v>
      </c>
      <c r="EM702" t="s">
        <v>424</v>
      </c>
      <c r="EO702" t="s">
        <v>3</v>
      </c>
      <c r="EQ702">
        <v>2490368</v>
      </c>
      <c r="ER702">
        <v>29.37</v>
      </c>
      <c r="ES702">
        <v>0</v>
      </c>
      <c r="ET702">
        <v>16.04</v>
      </c>
      <c r="EU702">
        <v>6.98</v>
      </c>
      <c r="EV702">
        <v>13.33</v>
      </c>
      <c r="EW702">
        <v>1.1200000000000001</v>
      </c>
      <c r="EX702">
        <v>0</v>
      </c>
      <c r="EY702">
        <v>0</v>
      </c>
      <c r="FQ702">
        <v>0</v>
      </c>
      <c r="FR702">
        <f t="shared" si="590"/>
        <v>0</v>
      </c>
      <c r="FS702">
        <v>0</v>
      </c>
      <c r="FX702">
        <v>91</v>
      </c>
      <c r="FY702">
        <v>70</v>
      </c>
      <c r="GA702" t="s">
        <v>3</v>
      </c>
      <c r="GD702">
        <v>0</v>
      </c>
      <c r="GF702">
        <v>1026317222</v>
      </c>
      <c r="GG702">
        <v>2</v>
      </c>
      <c r="GH702">
        <v>1</v>
      </c>
      <c r="GI702">
        <v>2</v>
      </c>
      <c r="GJ702">
        <v>0</v>
      </c>
      <c r="GK702">
        <f>ROUND(R702*(R12)/100,2)</f>
        <v>5076.66</v>
      </c>
      <c r="GL702">
        <f t="shared" si="591"/>
        <v>0</v>
      </c>
      <c r="GM702">
        <f t="shared" si="592"/>
        <v>22247.040000000001</v>
      </c>
      <c r="GN702">
        <f t="shared" si="593"/>
        <v>22247.040000000001</v>
      </c>
      <c r="GO702">
        <f t="shared" si="594"/>
        <v>0</v>
      </c>
      <c r="GP702">
        <f t="shared" si="595"/>
        <v>0</v>
      </c>
      <c r="GR702">
        <v>0</v>
      </c>
      <c r="GS702">
        <v>3</v>
      </c>
      <c r="GT702">
        <v>0</v>
      </c>
      <c r="GU702" t="s">
        <v>3</v>
      </c>
      <c r="GV702">
        <f t="shared" si="596"/>
        <v>0</v>
      </c>
      <c r="GW702">
        <v>1</v>
      </c>
      <c r="GX702">
        <f t="shared" si="597"/>
        <v>0</v>
      </c>
      <c r="HA702">
        <v>0</v>
      </c>
      <c r="HB702">
        <v>0</v>
      </c>
      <c r="HC702">
        <f t="shared" si="598"/>
        <v>0</v>
      </c>
      <c r="IK702">
        <v>0</v>
      </c>
    </row>
    <row r="703" spans="1:245" x14ac:dyDescent="0.2">
      <c r="A703">
        <v>17</v>
      </c>
      <c r="B703">
        <v>1</v>
      </c>
      <c r="C703">
        <f>ROW(SmtRes!A258)</f>
        <v>258</v>
      </c>
      <c r="D703">
        <f>ROW(EtalonRes!A259)</f>
        <v>259</v>
      </c>
      <c r="E703" t="s">
        <v>425</v>
      </c>
      <c r="F703" t="s">
        <v>36</v>
      </c>
      <c r="G703" t="s">
        <v>37</v>
      </c>
      <c r="H703" t="s">
        <v>38</v>
      </c>
      <c r="I703">
        <f>ROUND(I701*100*(0.058*0.8+0.016)*2.4*0.9,5)</f>
        <v>169.96261999999999</v>
      </c>
      <c r="J703">
        <v>0</v>
      </c>
      <c r="O703">
        <f t="shared" si="559"/>
        <v>40107.53</v>
      </c>
      <c r="P703">
        <f t="shared" si="560"/>
        <v>0</v>
      </c>
      <c r="Q703">
        <f t="shared" si="561"/>
        <v>0</v>
      </c>
      <c r="R703">
        <f t="shared" si="562"/>
        <v>0</v>
      </c>
      <c r="S703">
        <f t="shared" si="563"/>
        <v>40107.53</v>
      </c>
      <c r="T703">
        <f t="shared" si="564"/>
        <v>0</v>
      </c>
      <c r="U703">
        <f t="shared" si="565"/>
        <v>173.36187239999998</v>
      </c>
      <c r="V703">
        <f t="shared" si="566"/>
        <v>0</v>
      </c>
      <c r="W703">
        <f t="shared" si="567"/>
        <v>0</v>
      </c>
      <c r="X703">
        <f t="shared" si="568"/>
        <v>29278.5</v>
      </c>
      <c r="Y703">
        <f t="shared" si="569"/>
        <v>16444.09</v>
      </c>
      <c r="AA703">
        <v>33989672</v>
      </c>
      <c r="AB703">
        <f t="shared" si="570"/>
        <v>9.6199999999999992</v>
      </c>
      <c r="AC703">
        <f t="shared" si="571"/>
        <v>0</v>
      </c>
      <c r="AD703">
        <f t="shared" si="572"/>
        <v>0</v>
      </c>
      <c r="AE703">
        <f t="shared" si="573"/>
        <v>0</v>
      </c>
      <c r="AF703">
        <f t="shared" si="574"/>
        <v>9.6199999999999992</v>
      </c>
      <c r="AG703">
        <f t="shared" si="575"/>
        <v>0</v>
      </c>
      <c r="AH703">
        <f t="shared" si="576"/>
        <v>1.02</v>
      </c>
      <c r="AI703">
        <f t="shared" si="577"/>
        <v>0</v>
      </c>
      <c r="AJ703">
        <f t="shared" si="578"/>
        <v>0</v>
      </c>
      <c r="AK703">
        <v>9.6199999999999992</v>
      </c>
      <c r="AL703">
        <v>0</v>
      </c>
      <c r="AM703">
        <v>0</v>
      </c>
      <c r="AN703">
        <v>0</v>
      </c>
      <c r="AO703">
        <v>9.6199999999999992</v>
      </c>
      <c r="AP703">
        <v>0</v>
      </c>
      <c r="AQ703">
        <v>1.02</v>
      </c>
      <c r="AR703">
        <v>0</v>
      </c>
      <c r="AS703">
        <v>0</v>
      </c>
      <c r="AT703">
        <v>73</v>
      </c>
      <c r="AU703">
        <v>41</v>
      </c>
      <c r="AV703">
        <v>1</v>
      </c>
      <c r="AW703">
        <v>1</v>
      </c>
      <c r="AZ703">
        <v>1</v>
      </c>
      <c r="BA703">
        <v>24.53</v>
      </c>
      <c r="BB703">
        <v>1</v>
      </c>
      <c r="BC703">
        <v>1</v>
      </c>
      <c r="BD703" t="s">
        <v>3</v>
      </c>
      <c r="BE703" t="s">
        <v>3</v>
      </c>
      <c r="BF703" t="s">
        <v>3</v>
      </c>
      <c r="BG703" t="s">
        <v>3</v>
      </c>
      <c r="BH703">
        <v>0</v>
      </c>
      <c r="BI703">
        <v>1</v>
      </c>
      <c r="BJ703" t="s">
        <v>39</v>
      </c>
      <c r="BM703">
        <v>682</v>
      </c>
      <c r="BN703">
        <v>0</v>
      </c>
      <c r="BO703" t="s">
        <v>36</v>
      </c>
      <c r="BP703">
        <v>1</v>
      </c>
      <c r="BQ703">
        <v>60</v>
      </c>
      <c r="BR703">
        <v>0</v>
      </c>
      <c r="BS703">
        <v>24.53</v>
      </c>
      <c r="BT703">
        <v>1</v>
      </c>
      <c r="BU703">
        <v>1</v>
      </c>
      <c r="BV703">
        <v>1</v>
      </c>
      <c r="BW703">
        <v>1</v>
      </c>
      <c r="BX703">
        <v>1</v>
      </c>
      <c r="BY703" t="s">
        <v>3</v>
      </c>
      <c r="BZ703">
        <v>73</v>
      </c>
      <c r="CA703">
        <v>41</v>
      </c>
      <c r="CE703">
        <v>30</v>
      </c>
      <c r="CF703">
        <v>0</v>
      </c>
      <c r="CG703">
        <v>0</v>
      </c>
      <c r="CM703">
        <v>0</v>
      </c>
      <c r="CN703" t="s">
        <v>3</v>
      </c>
      <c r="CO703">
        <v>0</v>
      </c>
      <c r="CP703">
        <f t="shared" si="579"/>
        <v>40107.53</v>
      </c>
      <c r="CQ703">
        <f t="shared" si="580"/>
        <v>0</v>
      </c>
      <c r="CR703">
        <f t="shared" si="581"/>
        <v>0</v>
      </c>
      <c r="CS703">
        <f t="shared" si="582"/>
        <v>0</v>
      </c>
      <c r="CT703">
        <f t="shared" si="583"/>
        <v>235.98</v>
      </c>
      <c r="CU703">
        <f t="shared" si="584"/>
        <v>0</v>
      </c>
      <c r="CV703">
        <f t="shared" si="585"/>
        <v>1.02</v>
      </c>
      <c r="CW703">
        <f t="shared" si="586"/>
        <v>0</v>
      </c>
      <c r="CX703">
        <f t="shared" si="587"/>
        <v>0</v>
      </c>
      <c r="CY703">
        <f t="shared" si="588"/>
        <v>29278.496899999998</v>
      </c>
      <c r="CZ703">
        <f t="shared" si="589"/>
        <v>16444.087299999999</v>
      </c>
      <c r="DC703" t="s">
        <v>3</v>
      </c>
      <c r="DD703" t="s">
        <v>3</v>
      </c>
      <c r="DE703" t="s">
        <v>3</v>
      </c>
      <c r="DF703" t="s">
        <v>3</v>
      </c>
      <c r="DG703" t="s">
        <v>3</v>
      </c>
      <c r="DH703" t="s">
        <v>3</v>
      </c>
      <c r="DI703" t="s">
        <v>3</v>
      </c>
      <c r="DJ703" t="s">
        <v>3</v>
      </c>
      <c r="DK703" t="s">
        <v>3</v>
      </c>
      <c r="DL703" t="s">
        <v>3</v>
      </c>
      <c r="DM703" t="s">
        <v>3</v>
      </c>
      <c r="DN703">
        <v>91</v>
      </c>
      <c r="DO703">
        <v>70</v>
      </c>
      <c r="DP703">
        <v>1</v>
      </c>
      <c r="DQ703">
        <v>1</v>
      </c>
      <c r="DU703">
        <v>1013</v>
      </c>
      <c r="DV703" t="s">
        <v>38</v>
      </c>
      <c r="DW703" t="s">
        <v>38</v>
      </c>
      <c r="DX703">
        <v>1</v>
      </c>
      <c r="EE703">
        <v>33798321</v>
      </c>
      <c r="EF703">
        <v>60</v>
      </c>
      <c r="EG703" t="s">
        <v>20</v>
      </c>
      <c r="EH703">
        <v>0</v>
      </c>
      <c r="EI703" t="s">
        <v>3</v>
      </c>
      <c r="EJ703">
        <v>1</v>
      </c>
      <c r="EK703">
        <v>682</v>
      </c>
      <c r="EL703" t="s">
        <v>40</v>
      </c>
      <c r="EM703" t="s">
        <v>41</v>
      </c>
      <c r="EO703" t="s">
        <v>3</v>
      </c>
      <c r="EQ703">
        <v>131072</v>
      </c>
      <c r="ER703">
        <v>9.6199999999999992</v>
      </c>
      <c r="ES703">
        <v>0</v>
      </c>
      <c r="ET703">
        <v>0</v>
      </c>
      <c r="EU703">
        <v>0</v>
      </c>
      <c r="EV703">
        <v>9.6199999999999992</v>
      </c>
      <c r="EW703">
        <v>1.02</v>
      </c>
      <c r="EX703">
        <v>0</v>
      </c>
      <c r="EY703">
        <v>0</v>
      </c>
      <c r="FQ703">
        <v>0</v>
      </c>
      <c r="FR703">
        <f t="shared" si="590"/>
        <v>0</v>
      </c>
      <c r="FS703">
        <v>0</v>
      </c>
      <c r="FX703">
        <v>91</v>
      </c>
      <c r="FY703">
        <v>70</v>
      </c>
      <c r="GA703" t="s">
        <v>3</v>
      </c>
      <c r="GD703">
        <v>0</v>
      </c>
      <c r="GF703">
        <v>903638064</v>
      </c>
      <c r="GG703">
        <v>2</v>
      </c>
      <c r="GH703">
        <v>1</v>
      </c>
      <c r="GI703">
        <v>2</v>
      </c>
      <c r="GJ703">
        <v>0</v>
      </c>
      <c r="GK703">
        <f>ROUND(R703*(R12)/100,2)</f>
        <v>0</v>
      </c>
      <c r="GL703">
        <f t="shared" si="591"/>
        <v>0</v>
      </c>
      <c r="GM703">
        <f t="shared" si="592"/>
        <v>85830.12</v>
      </c>
      <c r="GN703">
        <f t="shared" si="593"/>
        <v>85830.12</v>
      </c>
      <c r="GO703">
        <f t="shared" si="594"/>
        <v>0</v>
      </c>
      <c r="GP703">
        <f t="shared" si="595"/>
        <v>0</v>
      </c>
      <c r="GR703">
        <v>0</v>
      </c>
      <c r="GS703">
        <v>3</v>
      </c>
      <c r="GT703">
        <v>0</v>
      </c>
      <c r="GU703" t="s">
        <v>3</v>
      </c>
      <c r="GV703">
        <f t="shared" si="596"/>
        <v>0</v>
      </c>
      <c r="GW703">
        <v>1</v>
      </c>
      <c r="GX703">
        <f t="shared" si="597"/>
        <v>0</v>
      </c>
      <c r="HA703">
        <v>0</v>
      </c>
      <c r="HB703">
        <v>0</v>
      </c>
      <c r="HC703">
        <f t="shared" si="598"/>
        <v>0</v>
      </c>
      <c r="IK703">
        <v>0</v>
      </c>
    </row>
    <row r="704" spans="1:245" x14ac:dyDescent="0.2">
      <c r="A704">
        <v>17</v>
      </c>
      <c r="B704">
        <v>1</v>
      </c>
      <c r="C704">
        <f>ROW(SmtRes!A259)</f>
        <v>259</v>
      </c>
      <c r="D704">
        <f>ROW(EtalonRes!A260)</f>
        <v>260</v>
      </c>
      <c r="E704" t="s">
        <v>426</v>
      </c>
      <c r="F704" t="s">
        <v>49</v>
      </c>
      <c r="G704" t="s">
        <v>50</v>
      </c>
      <c r="H704" t="s">
        <v>51</v>
      </c>
      <c r="I704">
        <v>0</v>
      </c>
      <c r="J704">
        <v>0</v>
      </c>
      <c r="O704">
        <f t="shared" si="559"/>
        <v>0</v>
      </c>
      <c r="P704">
        <f t="shared" si="560"/>
        <v>0</v>
      </c>
      <c r="Q704">
        <f t="shared" si="561"/>
        <v>0</v>
      </c>
      <c r="R704">
        <f t="shared" si="562"/>
        <v>0</v>
      </c>
      <c r="S704">
        <f t="shared" si="563"/>
        <v>0</v>
      </c>
      <c r="T704">
        <f t="shared" si="564"/>
        <v>0</v>
      </c>
      <c r="U704">
        <f t="shared" si="565"/>
        <v>0</v>
      </c>
      <c r="V704">
        <f t="shared" si="566"/>
        <v>0</v>
      </c>
      <c r="W704">
        <f t="shared" si="567"/>
        <v>0</v>
      </c>
      <c r="X704">
        <f t="shared" si="568"/>
        <v>0</v>
      </c>
      <c r="Y704">
        <f t="shared" si="569"/>
        <v>0</v>
      </c>
      <c r="AA704">
        <v>33989672</v>
      </c>
      <c r="AB704">
        <f t="shared" si="570"/>
        <v>56.8</v>
      </c>
      <c r="AC704">
        <f t="shared" si="571"/>
        <v>0</v>
      </c>
      <c r="AD704">
        <f t="shared" si="572"/>
        <v>56.8</v>
      </c>
      <c r="AE704">
        <f t="shared" si="573"/>
        <v>0</v>
      </c>
      <c r="AF704">
        <f t="shared" si="574"/>
        <v>0</v>
      </c>
      <c r="AG704">
        <f t="shared" si="575"/>
        <v>0</v>
      </c>
      <c r="AH704">
        <f t="shared" si="576"/>
        <v>0</v>
      </c>
      <c r="AI704">
        <f t="shared" si="577"/>
        <v>0</v>
      </c>
      <c r="AJ704">
        <f t="shared" si="578"/>
        <v>0</v>
      </c>
      <c r="AK704">
        <v>56.8</v>
      </c>
      <c r="AL704">
        <v>0</v>
      </c>
      <c r="AM704">
        <v>56.8</v>
      </c>
      <c r="AN704">
        <v>0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93</v>
      </c>
      <c r="AU704">
        <v>64</v>
      </c>
      <c r="AV704">
        <v>1</v>
      </c>
      <c r="AW704">
        <v>1</v>
      </c>
      <c r="AZ704">
        <v>1</v>
      </c>
      <c r="BA704">
        <v>1</v>
      </c>
      <c r="BB704">
        <v>10.11</v>
      </c>
      <c r="BC704">
        <v>1</v>
      </c>
      <c r="BD704" t="s">
        <v>3</v>
      </c>
      <c r="BE704" t="s">
        <v>3</v>
      </c>
      <c r="BF704" t="s">
        <v>3</v>
      </c>
      <c r="BG704" t="s">
        <v>3</v>
      </c>
      <c r="BH704">
        <v>0</v>
      </c>
      <c r="BI704">
        <v>4</v>
      </c>
      <c r="BJ704" t="s">
        <v>52</v>
      </c>
      <c r="BM704">
        <v>1113</v>
      </c>
      <c r="BN704">
        <v>0</v>
      </c>
      <c r="BO704" t="s">
        <v>49</v>
      </c>
      <c r="BP704">
        <v>1</v>
      </c>
      <c r="BQ704">
        <v>150</v>
      </c>
      <c r="BR704">
        <v>0</v>
      </c>
      <c r="BS704">
        <v>1</v>
      </c>
      <c r="BT704">
        <v>1</v>
      </c>
      <c r="BU704">
        <v>1</v>
      </c>
      <c r="BV704">
        <v>1</v>
      </c>
      <c r="BW704">
        <v>1</v>
      </c>
      <c r="BX704">
        <v>1</v>
      </c>
      <c r="BY704" t="s">
        <v>3</v>
      </c>
      <c r="BZ704">
        <v>93</v>
      </c>
      <c r="CA704">
        <v>64</v>
      </c>
      <c r="CE704">
        <v>30</v>
      </c>
      <c r="CF704">
        <v>0</v>
      </c>
      <c r="CG704">
        <v>0</v>
      </c>
      <c r="CM704">
        <v>0</v>
      </c>
      <c r="CN704" t="s">
        <v>3</v>
      </c>
      <c r="CO704">
        <v>0</v>
      </c>
      <c r="CP704">
        <f t="shared" si="579"/>
        <v>0</v>
      </c>
      <c r="CQ704">
        <f t="shared" si="580"/>
        <v>0</v>
      </c>
      <c r="CR704">
        <f t="shared" si="581"/>
        <v>574.25</v>
      </c>
      <c r="CS704">
        <f t="shared" si="582"/>
        <v>0</v>
      </c>
      <c r="CT704">
        <f t="shared" si="583"/>
        <v>0</v>
      </c>
      <c r="CU704">
        <f t="shared" si="584"/>
        <v>0</v>
      </c>
      <c r="CV704">
        <f t="shared" si="585"/>
        <v>0</v>
      </c>
      <c r="CW704">
        <f t="shared" si="586"/>
        <v>0</v>
      </c>
      <c r="CX704">
        <f t="shared" si="587"/>
        <v>0</v>
      </c>
      <c r="CY704">
        <f t="shared" si="588"/>
        <v>0</v>
      </c>
      <c r="CZ704">
        <f t="shared" si="589"/>
        <v>0</v>
      </c>
      <c r="DC704" t="s">
        <v>3</v>
      </c>
      <c r="DD704" t="s">
        <v>3</v>
      </c>
      <c r="DE704" t="s">
        <v>3</v>
      </c>
      <c r="DF704" t="s">
        <v>3</v>
      </c>
      <c r="DG704" t="s">
        <v>3</v>
      </c>
      <c r="DH704" t="s">
        <v>3</v>
      </c>
      <c r="DI704" t="s">
        <v>3</v>
      </c>
      <c r="DJ704" t="s">
        <v>3</v>
      </c>
      <c r="DK704" t="s">
        <v>3</v>
      </c>
      <c r="DL704" t="s">
        <v>3</v>
      </c>
      <c r="DM704" t="s">
        <v>3</v>
      </c>
      <c r="DN704">
        <v>0</v>
      </c>
      <c r="DO704">
        <v>0</v>
      </c>
      <c r="DP704">
        <v>1</v>
      </c>
      <c r="DQ704">
        <v>1</v>
      </c>
      <c r="DU704">
        <v>1009</v>
      </c>
      <c r="DV704" t="s">
        <v>51</v>
      </c>
      <c r="DW704" t="s">
        <v>51</v>
      </c>
      <c r="DX704">
        <v>1000</v>
      </c>
      <c r="EE704">
        <v>33798752</v>
      </c>
      <c r="EF704">
        <v>150</v>
      </c>
      <c r="EG704" t="s">
        <v>53</v>
      </c>
      <c r="EH704">
        <v>0</v>
      </c>
      <c r="EI704" t="s">
        <v>3</v>
      </c>
      <c r="EJ704">
        <v>4</v>
      </c>
      <c r="EK704">
        <v>1113</v>
      </c>
      <c r="EL704" t="s">
        <v>54</v>
      </c>
      <c r="EM704" t="s">
        <v>55</v>
      </c>
      <c r="EO704" t="s">
        <v>3</v>
      </c>
      <c r="EQ704">
        <v>131072</v>
      </c>
      <c r="ER704">
        <v>56.8</v>
      </c>
      <c r="ES704">
        <v>0</v>
      </c>
      <c r="ET704">
        <v>56.8</v>
      </c>
      <c r="EU704">
        <v>0</v>
      </c>
      <c r="EV704">
        <v>0</v>
      </c>
      <c r="EW704">
        <v>0</v>
      </c>
      <c r="EX704">
        <v>0</v>
      </c>
      <c r="EY704">
        <v>0</v>
      </c>
      <c r="FQ704">
        <v>0</v>
      </c>
      <c r="FR704">
        <f t="shared" si="590"/>
        <v>0</v>
      </c>
      <c r="FS704">
        <v>0</v>
      </c>
      <c r="FX704">
        <v>0</v>
      </c>
      <c r="FY704">
        <v>0</v>
      </c>
      <c r="GA704" t="s">
        <v>3</v>
      </c>
      <c r="GD704">
        <v>0</v>
      </c>
      <c r="GF704">
        <v>-915290513</v>
      </c>
      <c r="GG704">
        <v>2</v>
      </c>
      <c r="GH704">
        <v>1</v>
      </c>
      <c r="GI704">
        <v>2</v>
      </c>
      <c r="GJ704">
        <v>0</v>
      </c>
      <c r="GK704">
        <f>ROUND(R704*(R12)/100,2)</f>
        <v>0</v>
      </c>
      <c r="GL704">
        <f t="shared" si="591"/>
        <v>0</v>
      </c>
      <c r="GM704">
        <f t="shared" si="592"/>
        <v>0</v>
      </c>
      <c r="GN704">
        <f t="shared" si="593"/>
        <v>0</v>
      </c>
      <c r="GO704">
        <f t="shared" si="594"/>
        <v>0</v>
      </c>
      <c r="GP704">
        <f t="shared" si="595"/>
        <v>0</v>
      </c>
      <c r="GR704">
        <v>0</v>
      </c>
      <c r="GS704">
        <v>3</v>
      </c>
      <c r="GT704">
        <v>0</v>
      </c>
      <c r="GU704" t="s">
        <v>3</v>
      </c>
      <c r="GV704">
        <f t="shared" si="596"/>
        <v>0</v>
      </c>
      <c r="GW704">
        <v>1</v>
      </c>
      <c r="GX704">
        <f t="shared" si="597"/>
        <v>0</v>
      </c>
      <c r="HA704">
        <v>0</v>
      </c>
      <c r="HB704">
        <v>0</v>
      </c>
      <c r="HC704">
        <f t="shared" si="598"/>
        <v>0</v>
      </c>
      <c r="IK704">
        <v>0</v>
      </c>
    </row>
    <row r="705" spans="1:245" x14ac:dyDescent="0.2">
      <c r="A705">
        <v>17</v>
      </c>
      <c r="B705">
        <v>1</v>
      </c>
      <c r="C705">
        <f>ROW(SmtRes!A260)</f>
        <v>260</v>
      </c>
      <c r="D705">
        <f>ROW(EtalonRes!A261)</f>
        <v>261</v>
      </c>
      <c r="E705" t="s">
        <v>427</v>
      </c>
      <c r="F705" t="s">
        <v>428</v>
      </c>
      <c r="G705" t="s">
        <v>429</v>
      </c>
      <c r="H705" t="s">
        <v>38</v>
      </c>
      <c r="I705">
        <f>ROUND(I704,9)</f>
        <v>0</v>
      </c>
      <c r="J705">
        <v>0</v>
      </c>
      <c r="O705">
        <f t="shared" si="559"/>
        <v>0</v>
      </c>
      <c r="P705">
        <f t="shared" si="560"/>
        <v>0</v>
      </c>
      <c r="Q705">
        <f t="shared" si="561"/>
        <v>0</v>
      </c>
      <c r="R705">
        <f t="shared" si="562"/>
        <v>0</v>
      </c>
      <c r="S705">
        <f t="shared" si="563"/>
        <v>0</v>
      </c>
      <c r="T705">
        <f t="shared" si="564"/>
        <v>0</v>
      </c>
      <c r="U705">
        <f t="shared" si="565"/>
        <v>0</v>
      </c>
      <c r="V705">
        <f t="shared" si="566"/>
        <v>0</v>
      </c>
      <c r="W705">
        <f t="shared" si="567"/>
        <v>0</v>
      </c>
      <c r="X705">
        <f t="shared" si="568"/>
        <v>0</v>
      </c>
      <c r="Y705">
        <f t="shared" si="569"/>
        <v>0</v>
      </c>
      <c r="AA705">
        <v>33989672</v>
      </c>
      <c r="AB705">
        <f t="shared" si="570"/>
        <v>22.57</v>
      </c>
      <c r="AC705">
        <f t="shared" si="571"/>
        <v>0</v>
      </c>
      <c r="AD705">
        <f t="shared" si="572"/>
        <v>22.57</v>
      </c>
      <c r="AE705">
        <f t="shared" si="573"/>
        <v>0</v>
      </c>
      <c r="AF705">
        <f t="shared" si="574"/>
        <v>0</v>
      </c>
      <c r="AG705">
        <f t="shared" si="575"/>
        <v>0</v>
      </c>
      <c r="AH705">
        <f t="shared" si="576"/>
        <v>0</v>
      </c>
      <c r="AI705">
        <f t="shared" si="577"/>
        <v>0</v>
      </c>
      <c r="AJ705">
        <f t="shared" si="578"/>
        <v>0</v>
      </c>
      <c r="AK705">
        <v>22.57</v>
      </c>
      <c r="AL705">
        <v>0</v>
      </c>
      <c r="AM705">
        <v>22.57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93</v>
      </c>
      <c r="AU705">
        <v>64</v>
      </c>
      <c r="AV705">
        <v>1</v>
      </c>
      <c r="AW705">
        <v>1</v>
      </c>
      <c r="AZ705">
        <v>1</v>
      </c>
      <c r="BA705">
        <v>1</v>
      </c>
      <c r="BB705">
        <v>7.63</v>
      </c>
      <c r="BC705">
        <v>1</v>
      </c>
      <c r="BD705" t="s">
        <v>3</v>
      </c>
      <c r="BE705" t="s">
        <v>3</v>
      </c>
      <c r="BF705" t="s">
        <v>3</v>
      </c>
      <c r="BG705" t="s">
        <v>3</v>
      </c>
      <c r="BH705">
        <v>0</v>
      </c>
      <c r="BI705">
        <v>4</v>
      </c>
      <c r="BJ705" t="s">
        <v>430</v>
      </c>
      <c r="BM705">
        <v>1113</v>
      </c>
      <c r="BN705">
        <v>0</v>
      </c>
      <c r="BO705" t="s">
        <v>428</v>
      </c>
      <c r="BP705">
        <v>1</v>
      </c>
      <c r="BQ705">
        <v>150</v>
      </c>
      <c r="BR705">
        <v>0</v>
      </c>
      <c r="BS705">
        <v>1</v>
      </c>
      <c r="BT705">
        <v>1</v>
      </c>
      <c r="BU705">
        <v>1</v>
      </c>
      <c r="BV705">
        <v>1</v>
      </c>
      <c r="BW705">
        <v>1</v>
      </c>
      <c r="BX705">
        <v>1</v>
      </c>
      <c r="BY705" t="s">
        <v>3</v>
      </c>
      <c r="BZ705">
        <v>93</v>
      </c>
      <c r="CA705">
        <v>64</v>
      </c>
      <c r="CE705">
        <v>30</v>
      </c>
      <c r="CF705">
        <v>0</v>
      </c>
      <c r="CG705">
        <v>0</v>
      </c>
      <c r="CM705">
        <v>0</v>
      </c>
      <c r="CN705" t="s">
        <v>3</v>
      </c>
      <c r="CO705">
        <v>0</v>
      </c>
      <c r="CP705">
        <f t="shared" si="579"/>
        <v>0</v>
      </c>
      <c r="CQ705">
        <f t="shared" si="580"/>
        <v>0</v>
      </c>
      <c r="CR705">
        <f t="shared" si="581"/>
        <v>172.21</v>
      </c>
      <c r="CS705">
        <f t="shared" si="582"/>
        <v>0</v>
      </c>
      <c r="CT705">
        <f t="shared" si="583"/>
        <v>0</v>
      </c>
      <c r="CU705">
        <f t="shared" si="584"/>
        <v>0</v>
      </c>
      <c r="CV705">
        <f t="shared" si="585"/>
        <v>0</v>
      </c>
      <c r="CW705">
        <f t="shared" si="586"/>
        <v>0</v>
      </c>
      <c r="CX705">
        <f t="shared" si="587"/>
        <v>0</v>
      </c>
      <c r="CY705">
        <f t="shared" si="588"/>
        <v>0</v>
      </c>
      <c r="CZ705">
        <f t="shared" si="589"/>
        <v>0</v>
      </c>
      <c r="DC705" t="s">
        <v>3</v>
      </c>
      <c r="DD705" t="s">
        <v>3</v>
      </c>
      <c r="DE705" t="s">
        <v>3</v>
      </c>
      <c r="DF705" t="s">
        <v>3</v>
      </c>
      <c r="DG705" t="s">
        <v>3</v>
      </c>
      <c r="DH705" t="s">
        <v>3</v>
      </c>
      <c r="DI705" t="s">
        <v>3</v>
      </c>
      <c r="DJ705" t="s">
        <v>3</v>
      </c>
      <c r="DK705" t="s">
        <v>3</v>
      </c>
      <c r="DL705" t="s">
        <v>3</v>
      </c>
      <c r="DM705" t="s">
        <v>3</v>
      </c>
      <c r="DN705">
        <v>0</v>
      </c>
      <c r="DO705">
        <v>0</v>
      </c>
      <c r="DP705">
        <v>1</v>
      </c>
      <c r="DQ705">
        <v>1</v>
      </c>
      <c r="DU705">
        <v>1013</v>
      </c>
      <c r="DV705" t="s">
        <v>38</v>
      </c>
      <c r="DW705" t="s">
        <v>38</v>
      </c>
      <c r="DX705">
        <v>1</v>
      </c>
      <c r="EE705">
        <v>33798752</v>
      </c>
      <c r="EF705">
        <v>150</v>
      </c>
      <c r="EG705" t="s">
        <v>53</v>
      </c>
      <c r="EH705">
        <v>0</v>
      </c>
      <c r="EI705" t="s">
        <v>3</v>
      </c>
      <c r="EJ705">
        <v>4</v>
      </c>
      <c r="EK705">
        <v>1113</v>
      </c>
      <c r="EL705" t="s">
        <v>54</v>
      </c>
      <c r="EM705" t="s">
        <v>55</v>
      </c>
      <c r="EO705" t="s">
        <v>3</v>
      </c>
      <c r="EQ705">
        <v>131072</v>
      </c>
      <c r="ER705">
        <v>22.57</v>
      </c>
      <c r="ES705">
        <v>0</v>
      </c>
      <c r="ET705">
        <v>22.57</v>
      </c>
      <c r="EU705">
        <v>0</v>
      </c>
      <c r="EV705">
        <v>0</v>
      </c>
      <c r="EW705">
        <v>0</v>
      </c>
      <c r="EX705">
        <v>0</v>
      </c>
      <c r="EY705">
        <v>0</v>
      </c>
      <c r="FQ705">
        <v>0</v>
      </c>
      <c r="FR705">
        <f t="shared" si="590"/>
        <v>0</v>
      </c>
      <c r="FS705">
        <v>0</v>
      </c>
      <c r="FX705">
        <v>0</v>
      </c>
      <c r="FY705">
        <v>0</v>
      </c>
      <c r="GA705" t="s">
        <v>3</v>
      </c>
      <c r="GD705">
        <v>0</v>
      </c>
      <c r="GF705">
        <v>-1145659814</v>
      </c>
      <c r="GG705">
        <v>2</v>
      </c>
      <c r="GH705">
        <v>1</v>
      </c>
      <c r="GI705">
        <v>2</v>
      </c>
      <c r="GJ705">
        <v>0</v>
      </c>
      <c r="GK705">
        <f>ROUND(R705*(R12)/100,2)</f>
        <v>0</v>
      </c>
      <c r="GL705">
        <f t="shared" si="591"/>
        <v>0</v>
      </c>
      <c r="GM705">
        <f t="shared" si="592"/>
        <v>0</v>
      </c>
      <c r="GN705">
        <f t="shared" si="593"/>
        <v>0</v>
      </c>
      <c r="GO705">
        <f t="shared" si="594"/>
        <v>0</v>
      </c>
      <c r="GP705">
        <f t="shared" si="595"/>
        <v>0</v>
      </c>
      <c r="GR705">
        <v>0</v>
      </c>
      <c r="GS705">
        <v>3</v>
      </c>
      <c r="GT705">
        <v>0</v>
      </c>
      <c r="GU705" t="s">
        <v>3</v>
      </c>
      <c r="GV705">
        <f t="shared" si="596"/>
        <v>0</v>
      </c>
      <c r="GW705">
        <v>1</v>
      </c>
      <c r="GX705">
        <f t="shared" si="597"/>
        <v>0</v>
      </c>
      <c r="HA705">
        <v>0</v>
      </c>
      <c r="HB705">
        <v>0</v>
      </c>
      <c r="HC705">
        <f t="shared" si="598"/>
        <v>0</v>
      </c>
      <c r="IK705">
        <v>0</v>
      </c>
    </row>
    <row r="706" spans="1:245" x14ac:dyDescent="0.2">
      <c r="A706">
        <v>17</v>
      </c>
      <c r="B706">
        <v>1</v>
      </c>
      <c r="C706">
        <f>ROW(SmtRes!A268)</f>
        <v>268</v>
      </c>
      <c r="D706">
        <f>ROW(EtalonRes!A269)</f>
        <v>269</v>
      </c>
      <c r="E706" t="s">
        <v>431</v>
      </c>
      <c r="F706" t="s">
        <v>183</v>
      </c>
      <c r="G706" t="s">
        <v>184</v>
      </c>
      <c r="H706" t="s">
        <v>185</v>
      </c>
      <c r="I706">
        <f>ROUND(1261*0.2*0.1/100,9)</f>
        <v>0.25219999999999998</v>
      </c>
      <c r="J706">
        <v>0</v>
      </c>
      <c r="O706">
        <f t="shared" si="559"/>
        <v>2594.06</v>
      </c>
      <c r="P706">
        <f t="shared" si="560"/>
        <v>44.51</v>
      </c>
      <c r="Q706">
        <f t="shared" si="561"/>
        <v>1612.26</v>
      </c>
      <c r="R706">
        <f t="shared" si="562"/>
        <v>736.39</v>
      </c>
      <c r="S706">
        <f t="shared" si="563"/>
        <v>937.29</v>
      </c>
      <c r="T706">
        <f t="shared" si="564"/>
        <v>0</v>
      </c>
      <c r="U706">
        <f t="shared" si="565"/>
        <v>3.6316799999999998</v>
      </c>
      <c r="V706">
        <f t="shared" si="566"/>
        <v>0</v>
      </c>
      <c r="W706">
        <f t="shared" si="567"/>
        <v>0</v>
      </c>
      <c r="X706">
        <f t="shared" si="568"/>
        <v>1227.8499999999999</v>
      </c>
      <c r="Y706">
        <f t="shared" si="569"/>
        <v>506.14</v>
      </c>
      <c r="AA706">
        <v>33989672</v>
      </c>
      <c r="AB706">
        <f t="shared" si="570"/>
        <v>863.31</v>
      </c>
      <c r="AC706">
        <f t="shared" si="571"/>
        <v>35.35</v>
      </c>
      <c r="AD706">
        <f t="shared" si="572"/>
        <v>676.47</v>
      </c>
      <c r="AE706">
        <f t="shared" si="573"/>
        <v>119.05</v>
      </c>
      <c r="AF706">
        <f t="shared" si="574"/>
        <v>151.49</v>
      </c>
      <c r="AG706">
        <f t="shared" si="575"/>
        <v>0</v>
      </c>
      <c r="AH706">
        <f t="shared" si="576"/>
        <v>14.4</v>
      </c>
      <c r="AI706">
        <f t="shared" si="577"/>
        <v>0</v>
      </c>
      <c r="AJ706">
        <f t="shared" si="578"/>
        <v>0</v>
      </c>
      <c r="AK706">
        <v>863.31</v>
      </c>
      <c r="AL706">
        <v>35.35</v>
      </c>
      <c r="AM706">
        <v>676.47</v>
      </c>
      <c r="AN706">
        <v>119.05</v>
      </c>
      <c r="AO706">
        <v>151.49</v>
      </c>
      <c r="AP706">
        <v>0</v>
      </c>
      <c r="AQ706">
        <v>14.4</v>
      </c>
      <c r="AR706">
        <v>0</v>
      </c>
      <c r="AS706">
        <v>0</v>
      </c>
      <c r="AT706">
        <v>131</v>
      </c>
      <c r="AU706">
        <v>54</v>
      </c>
      <c r="AV706">
        <v>1</v>
      </c>
      <c r="AW706">
        <v>1</v>
      </c>
      <c r="AZ706">
        <v>1</v>
      </c>
      <c r="BA706">
        <v>24.53</v>
      </c>
      <c r="BB706">
        <v>9.4499999999999993</v>
      </c>
      <c r="BC706">
        <v>4.99</v>
      </c>
      <c r="BD706" t="s">
        <v>3</v>
      </c>
      <c r="BE706" t="s">
        <v>3</v>
      </c>
      <c r="BF706" t="s">
        <v>3</v>
      </c>
      <c r="BG706" t="s">
        <v>3</v>
      </c>
      <c r="BH706">
        <v>0</v>
      </c>
      <c r="BI706">
        <v>1</v>
      </c>
      <c r="BJ706" t="s">
        <v>186</v>
      </c>
      <c r="BM706">
        <v>146</v>
      </c>
      <c r="BN706">
        <v>0</v>
      </c>
      <c r="BO706" t="s">
        <v>183</v>
      </c>
      <c r="BP706">
        <v>1</v>
      </c>
      <c r="BQ706">
        <v>30</v>
      </c>
      <c r="BR706">
        <v>0</v>
      </c>
      <c r="BS706">
        <v>24.53</v>
      </c>
      <c r="BT706">
        <v>1</v>
      </c>
      <c r="BU706">
        <v>1</v>
      </c>
      <c r="BV706">
        <v>1</v>
      </c>
      <c r="BW706">
        <v>1</v>
      </c>
      <c r="BX706">
        <v>1</v>
      </c>
      <c r="BY706" t="s">
        <v>3</v>
      </c>
      <c r="BZ706">
        <v>131</v>
      </c>
      <c r="CA706">
        <v>54</v>
      </c>
      <c r="CE706">
        <v>30</v>
      </c>
      <c r="CF706">
        <v>0</v>
      </c>
      <c r="CG706">
        <v>0</v>
      </c>
      <c r="CM706">
        <v>0</v>
      </c>
      <c r="CN706" t="s">
        <v>3</v>
      </c>
      <c r="CO706">
        <v>0</v>
      </c>
      <c r="CP706">
        <f t="shared" si="579"/>
        <v>2594.06</v>
      </c>
      <c r="CQ706">
        <f t="shared" si="580"/>
        <v>176.4</v>
      </c>
      <c r="CR706">
        <f t="shared" si="581"/>
        <v>6392.64</v>
      </c>
      <c r="CS706">
        <f t="shared" si="582"/>
        <v>2920.3</v>
      </c>
      <c r="CT706">
        <f t="shared" si="583"/>
        <v>3716.05</v>
      </c>
      <c r="CU706">
        <f t="shared" si="584"/>
        <v>0</v>
      </c>
      <c r="CV706">
        <f t="shared" si="585"/>
        <v>14.4</v>
      </c>
      <c r="CW706">
        <f t="shared" si="586"/>
        <v>0</v>
      </c>
      <c r="CX706">
        <f t="shared" si="587"/>
        <v>0</v>
      </c>
      <c r="CY706">
        <f t="shared" si="588"/>
        <v>1227.8498999999999</v>
      </c>
      <c r="CZ706">
        <f t="shared" si="589"/>
        <v>506.13659999999999</v>
      </c>
      <c r="DC706" t="s">
        <v>3</v>
      </c>
      <c r="DD706" t="s">
        <v>3</v>
      </c>
      <c r="DE706" t="s">
        <v>3</v>
      </c>
      <c r="DF706" t="s">
        <v>3</v>
      </c>
      <c r="DG706" t="s">
        <v>3</v>
      </c>
      <c r="DH706" t="s">
        <v>3</v>
      </c>
      <c r="DI706" t="s">
        <v>3</v>
      </c>
      <c r="DJ706" t="s">
        <v>3</v>
      </c>
      <c r="DK706" t="s">
        <v>3</v>
      </c>
      <c r="DL706" t="s">
        <v>3</v>
      </c>
      <c r="DM706" t="s">
        <v>3</v>
      </c>
      <c r="DN706">
        <v>161</v>
      </c>
      <c r="DO706">
        <v>107</v>
      </c>
      <c r="DP706">
        <v>1</v>
      </c>
      <c r="DQ706">
        <v>1</v>
      </c>
      <c r="DU706">
        <v>1013</v>
      </c>
      <c r="DV706" t="s">
        <v>185</v>
      </c>
      <c r="DW706" t="s">
        <v>185</v>
      </c>
      <c r="DX706">
        <v>1</v>
      </c>
      <c r="EE706">
        <v>33797785</v>
      </c>
      <c r="EF706">
        <v>30</v>
      </c>
      <c r="EG706" t="s">
        <v>77</v>
      </c>
      <c r="EH706">
        <v>0</v>
      </c>
      <c r="EI706" t="s">
        <v>3</v>
      </c>
      <c r="EJ706">
        <v>1</v>
      </c>
      <c r="EK706">
        <v>146</v>
      </c>
      <c r="EL706" t="s">
        <v>187</v>
      </c>
      <c r="EM706" t="s">
        <v>188</v>
      </c>
      <c r="EO706" t="s">
        <v>3</v>
      </c>
      <c r="EQ706">
        <v>131072</v>
      </c>
      <c r="ER706">
        <v>863.31</v>
      </c>
      <c r="ES706">
        <v>35.35</v>
      </c>
      <c r="ET706">
        <v>676.47</v>
      </c>
      <c r="EU706">
        <v>119.05</v>
      </c>
      <c r="EV706">
        <v>151.49</v>
      </c>
      <c r="EW706">
        <v>14.4</v>
      </c>
      <c r="EX706">
        <v>0</v>
      </c>
      <c r="EY706">
        <v>0</v>
      </c>
      <c r="FQ706">
        <v>0</v>
      </c>
      <c r="FR706">
        <f t="shared" si="590"/>
        <v>0</v>
      </c>
      <c r="FS706">
        <v>0</v>
      </c>
      <c r="FX706">
        <v>161</v>
      </c>
      <c r="FY706">
        <v>107</v>
      </c>
      <c r="GA706" t="s">
        <v>3</v>
      </c>
      <c r="GD706">
        <v>0</v>
      </c>
      <c r="GF706">
        <v>-1939963274</v>
      </c>
      <c r="GG706">
        <v>2</v>
      </c>
      <c r="GH706">
        <v>1</v>
      </c>
      <c r="GI706">
        <v>2</v>
      </c>
      <c r="GJ706">
        <v>0</v>
      </c>
      <c r="GK706">
        <f>ROUND(R706*(R12)/100,2)</f>
        <v>1156.1300000000001</v>
      </c>
      <c r="GL706">
        <f t="shared" si="591"/>
        <v>0</v>
      </c>
      <c r="GM706">
        <f t="shared" si="592"/>
        <v>5484.18</v>
      </c>
      <c r="GN706">
        <f t="shared" si="593"/>
        <v>5484.18</v>
      </c>
      <c r="GO706">
        <f t="shared" si="594"/>
        <v>0</v>
      </c>
      <c r="GP706">
        <f t="shared" si="595"/>
        <v>0</v>
      </c>
      <c r="GR706">
        <v>0</v>
      </c>
      <c r="GS706">
        <v>3</v>
      </c>
      <c r="GT706">
        <v>0</v>
      </c>
      <c r="GU706" t="s">
        <v>3</v>
      </c>
      <c r="GV706">
        <f t="shared" si="596"/>
        <v>0</v>
      </c>
      <c r="GW706">
        <v>1</v>
      </c>
      <c r="GX706">
        <f t="shared" si="597"/>
        <v>0</v>
      </c>
      <c r="HA706">
        <v>0</v>
      </c>
      <c r="HB706">
        <v>0</v>
      </c>
      <c r="HC706">
        <f t="shared" si="598"/>
        <v>0</v>
      </c>
      <c r="IK706">
        <v>0</v>
      </c>
    </row>
    <row r="707" spans="1:245" x14ac:dyDescent="0.2">
      <c r="A707">
        <v>18</v>
      </c>
      <c r="B707">
        <v>1</v>
      </c>
      <c r="C707">
        <v>268</v>
      </c>
      <c r="E707" t="s">
        <v>432</v>
      </c>
      <c r="F707" t="s">
        <v>190</v>
      </c>
      <c r="G707" t="s">
        <v>191</v>
      </c>
      <c r="H707" t="s">
        <v>66</v>
      </c>
      <c r="I707">
        <f>I706*J707</f>
        <v>27.742000000000001</v>
      </c>
      <c r="J707">
        <v>110.00000000000001</v>
      </c>
      <c r="O707">
        <f t="shared" si="559"/>
        <v>15320.43</v>
      </c>
      <c r="P707">
        <f t="shared" si="560"/>
        <v>15320.43</v>
      </c>
      <c r="Q707">
        <f t="shared" si="561"/>
        <v>0</v>
      </c>
      <c r="R707">
        <f t="shared" si="562"/>
        <v>0</v>
      </c>
      <c r="S707">
        <f t="shared" si="563"/>
        <v>0</v>
      </c>
      <c r="T707">
        <f t="shared" si="564"/>
        <v>0</v>
      </c>
      <c r="U707">
        <f t="shared" si="565"/>
        <v>0</v>
      </c>
      <c r="V707">
        <f t="shared" si="566"/>
        <v>0</v>
      </c>
      <c r="W707">
        <f t="shared" si="567"/>
        <v>0</v>
      </c>
      <c r="X707">
        <f t="shared" si="568"/>
        <v>0</v>
      </c>
      <c r="Y707">
        <f t="shared" si="569"/>
        <v>0</v>
      </c>
      <c r="AA707">
        <v>33989672</v>
      </c>
      <c r="AB707">
        <f t="shared" si="570"/>
        <v>104.99</v>
      </c>
      <c r="AC707">
        <f t="shared" si="571"/>
        <v>104.99</v>
      </c>
      <c r="AD707">
        <f t="shared" si="572"/>
        <v>0</v>
      </c>
      <c r="AE707">
        <f t="shared" si="573"/>
        <v>0</v>
      </c>
      <c r="AF707">
        <f t="shared" si="574"/>
        <v>0</v>
      </c>
      <c r="AG707">
        <f t="shared" si="575"/>
        <v>0</v>
      </c>
      <c r="AH707">
        <f t="shared" si="576"/>
        <v>0</v>
      </c>
      <c r="AI707">
        <f t="shared" si="577"/>
        <v>0</v>
      </c>
      <c r="AJ707">
        <f t="shared" si="578"/>
        <v>0</v>
      </c>
      <c r="AK707">
        <v>104.99</v>
      </c>
      <c r="AL707">
        <v>104.99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1</v>
      </c>
      <c r="AW707">
        <v>1</v>
      </c>
      <c r="AZ707">
        <v>1</v>
      </c>
      <c r="BA707">
        <v>1</v>
      </c>
      <c r="BB707">
        <v>1</v>
      </c>
      <c r="BC707">
        <v>5.26</v>
      </c>
      <c r="BD707" t="s">
        <v>3</v>
      </c>
      <c r="BE707" t="s">
        <v>3</v>
      </c>
      <c r="BF707" t="s">
        <v>3</v>
      </c>
      <c r="BG707" t="s">
        <v>3</v>
      </c>
      <c r="BH707">
        <v>3</v>
      </c>
      <c r="BI707">
        <v>1</v>
      </c>
      <c r="BJ707" t="s">
        <v>192</v>
      </c>
      <c r="BM707">
        <v>146</v>
      </c>
      <c r="BN707">
        <v>0</v>
      </c>
      <c r="BO707" t="s">
        <v>190</v>
      </c>
      <c r="BP707">
        <v>1</v>
      </c>
      <c r="BQ707">
        <v>30</v>
      </c>
      <c r="BR707">
        <v>0</v>
      </c>
      <c r="BS707">
        <v>1</v>
      </c>
      <c r="BT707">
        <v>1</v>
      </c>
      <c r="BU707">
        <v>1</v>
      </c>
      <c r="BV707">
        <v>1</v>
      </c>
      <c r="BW707">
        <v>1</v>
      </c>
      <c r="BX707">
        <v>1</v>
      </c>
      <c r="BY707" t="s">
        <v>3</v>
      </c>
      <c r="BZ707">
        <v>0</v>
      </c>
      <c r="CA707">
        <v>0</v>
      </c>
      <c r="CE707">
        <v>30</v>
      </c>
      <c r="CF707">
        <v>0</v>
      </c>
      <c r="CG707">
        <v>0</v>
      </c>
      <c r="CM707">
        <v>0</v>
      </c>
      <c r="CN707" t="s">
        <v>3</v>
      </c>
      <c r="CO707">
        <v>0</v>
      </c>
      <c r="CP707">
        <f t="shared" si="579"/>
        <v>15320.43</v>
      </c>
      <c r="CQ707">
        <f t="shared" si="580"/>
        <v>552.25</v>
      </c>
      <c r="CR707">
        <f t="shared" si="581"/>
        <v>0</v>
      </c>
      <c r="CS707">
        <f t="shared" si="582"/>
        <v>0</v>
      </c>
      <c r="CT707">
        <f t="shared" si="583"/>
        <v>0</v>
      </c>
      <c r="CU707">
        <f t="shared" si="584"/>
        <v>0</v>
      </c>
      <c r="CV707">
        <f t="shared" si="585"/>
        <v>0</v>
      </c>
      <c r="CW707">
        <f t="shared" si="586"/>
        <v>0</v>
      </c>
      <c r="CX707">
        <f t="shared" si="587"/>
        <v>0</v>
      </c>
      <c r="CY707">
        <f t="shared" si="588"/>
        <v>0</v>
      </c>
      <c r="CZ707">
        <f t="shared" si="589"/>
        <v>0</v>
      </c>
      <c r="DC707" t="s">
        <v>3</v>
      </c>
      <c r="DD707" t="s">
        <v>3</v>
      </c>
      <c r="DE707" t="s">
        <v>3</v>
      </c>
      <c r="DF707" t="s">
        <v>3</v>
      </c>
      <c r="DG707" t="s">
        <v>3</v>
      </c>
      <c r="DH707" t="s">
        <v>3</v>
      </c>
      <c r="DI707" t="s">
        <v>3</v>
      </c>
      <c r="DJ707" t="s">
        <v>3</v>
      </c>
      <c r="DK707" t="s">
        <v>3</v>
      </c>
      <c r="DL707" t="s">
        <v>3</v>
      </c>
      <c r="DM707" t="s">
        <v>3</v>
      </c>
      <c r="DN707">
        <v>161</v>
      </c>
      <c r="DO707">
        <v>107</v>
      </c>
      <c r="DP707">
        <v>1</v>
      </c>
      <c r="DQ707">
        <v>1</v>
      </c>
      <c r="DU707">
        <v>1007</v>
      </c>
      <c r="DV707" t="s">
        <v>66</v>
      </c>
      <c r="DW707" t="s">
        <v>66</v>
      </c>
      <c r="DX707">
        <v>1</v>
      </c>
      <c r="EE707">
        <v>33797785</v>
      </c>
      <c r="EF707">
        <v>30</v>
      </c>
      <c r="EG707" t="s">
        <v>77</v>
      </c>
      <c r="EH707">
        <v>0</v>
      </c>
      <c r="EI707" t="s">
        <v>3</v>
      </c>
      <c r="EJ707">
        <v>1</v>
      </c>
      <c r="EK707">
        <v>146</v>
      </c>
      <c r="EL707" t="s">
        <v>187</v>
      </c>
      <c r="EM707" t="s">
        <v>188</v>
      </c>
      <c r="EO707" t="s">
        <v>3</v>
      </c>
      <c r="EQ707">
        <v>0</v>
      </c>
      <c r="ER707">
        <v>104.99</v>
      </c>
      <c r="ES707">
        <v>104.99</v>
      </c>
      <c r="ET707">
        <v>0</v>
      </c>
      <c r="EU707">
        <v>0</v>
      </c>
      <c r="EV707">
        <v>0</v>
      </c>
      <c r="EW707">
        <v>0</v>
      </c>
      <c r="EX707">
        <v>0</v>
      </c>
      <c r="FQ707">
        <v>0</v>
      </c>
      <c r="FR707">
        <f t="shared" si="590"/>
        <v>0</v>
      </c>
      <c r="FS707">
        <v>0</v>
      </c>
      <c r="FX707">
        <v>161</v>
      </c>
      <c r="FY707">
        <v>107</v>
      </c>
      <c r="GA707" t="s">
        <v>3</v>
      </c>
      <c r="GD707">
        <v>0</v>
      </c>
      <c r="GF707">
        <v>2069056849</v>
      </c>
      <c r="GG707">
        <v>2</v>
      </c>
      <c r="GH707">
        <v>1</v>
      </c>
      <c r="GI707">
        <v>2</v>
      </c>
      <c r="GJ707">
        <v>0</v>
      </c>
      <c r="GK707">
        <f>ROUND(R707*(R12)/100,2)</f>
        <v>0</v>
      </c>
      <c r="GL707">
        <f t="shared" si="591"/>
        <v>0</v>
      </c>
      <c r="GM707">
        <f t="shared" si="592"/>
        <v>15320.43</v>
      </c>
      <c r="GN707">
        <f t="shared" si="593"/>
        <v>15320.43</v>
      </c>
      <c r="GO707">
        <f t="shared" si="594"/>
        <v>0</v>
      </c>
      <c r="GP707">
        <f t="shared" si="595"/>
        <v>0</v>
      </c>
      <c r="GR707">
        <v>0</v>
      </c>
      <c r="GS707">
        <v>3</v>
      </c>
      <c r="GT707">
        <v>0</v>
      </c>
      <c r="GU707" t="s">
        <v>3</v>
      </c>
      <c r="GV707">
        <f t="shared" si="596"/>
        <v>0</v>
      </c>
      <c r="GW707">
        <v>1</v>
      </c>
      <c r="GX707">
        <f t="shared" si="597"/>
        <v>0</v>
      </c>
      <c r="HA707">
        <v>0</v>
      </c>
      <c r="HB707">
        <v>0</v>
      </c>
      <c r="HC707">
        <f t="shared" si="598"/>
        <v>0</v>
      </c>
      <c r="IK707">
        <v>0</v>
      </c>
    </row>
    <row r="708" spans="1:245" x14ac:dyDescent="0.2">
      <c r="A708">
        <v>17</v>
      </c>
      <c r="B708">
        <v>1</v>
      </c>
      <c r="C708">
        <f>ROW(SmtRes!A277)</f>
        <v>277</v>
      </c>
      <c r="D708">
        <f>ROW(EtalonRes!A278)</f>
        <v>278</v>
      </c>
      <c r="E708" t="s">
        <v>433</v>
      </c>
      <c r="F708" t="s">
        <v>249</v>
      </c>
      <c r="G708" t="s">
        <v>250</v>
      </c>
      <c r="H708" t="s">
        <v>26</v>
      </c>
      <c r="I708">
        <f>ROUND(1261/100,5)</f>
        <v>12.61</v>
      </c>
      <c r="J708">
        <v>0</v>
      </c>
      <c r="O708">
        <f t="shared" si="559"/>
        <v>485627.89</v>
      </c>
      <c r="P708">
        <f t="shared" si="560"/>
        <v>262443.99</v>
      </c>
      <c r="Q708">
        <f t="shared" si="561"/>
        <v>6035.75</v>
      </c>
      <c r="R708">
        <f t="shared" si="562"/>
        <v>2557.9899999999998</v>
      </c>
      <c r="S708">
        <f t="shared" si="563"/>
        <v>217148.15</v>
      </c>
      <c r="T708">
        <f t="shared" si="564"/>
        <v>0</v>
      </c>
      <c r="U708">
        <f t="shared" si="565"/>
        <v>799.97839999999997</v>
      </c>
      <c r="V708">
        <f t="shared" si="566"/>
        <v>0</v>
      </c>
      <c r="W708">
        <f t="shared" si="567"/>
        <v>0</v>
      </c>
      <c r="X708">
        <f t="shared" si="568"/>
        <v>284464.08</v>
      </c>
      <c r="Y708">
        <f t="shared" si="569"/>
        <v>117260</v>
      </c>
      <c r="AA708">
        <v>33989672</v>
      </c>
      <c r="AB708">
        <f t="shared" si="570"/>
        <v>4465.42</v>
      </c>
      <c r="AC708">
        <f t="shared" si="571"/>
        <v>3709.87</v>
      </c>
      <c r="AD708">
        <f t="shared" si="572"/>
        <v>53.54</v>
      </c>
      <c r="AE708">
        <f t="shared" si="573"/>
        <v>8.27</v>
      </c>
      <c r="AF708">
        <f t="shared" si="574"/>
        <v>702.01</v>
      </c>
      <c r="AG708">
        <f t="shared" si="575"/>
        <v>0</v>
      </c>
      <c r="AH708">
        <f t="shared" si="576"/>
        <v>63.44</v>
      </c>
      <c r="AI708">
        <f t="shared" si="577"/>
        <v>0</v>
      </c>
      <c r="AJ708">
        <f t="shared" si="578"/>
        <v>0</v>
      </c>
      <c r="AK708">
        <v>4465.42</v>
      </c>
      <c r="AL708">
        <v>3709.87</v>
      </c>
      <c r="AM708">
        <v>53.54</v>
      </c>
      <c r="AN708">
        <v>8.27</v>
      </c>
      <c r="AO708">
        <v>702.01</v>
      </c>
      <c r="AP708">
        <v>0</v>
      </c>
      <c r="AQ708">
        <v>63.44</v>
      </c>
      <c r="AR708">
        <v>0</v>
      </c>
      <c r="AS708">
        <v>0</v>
      </c>
      <c r="AT708">
        <v>131</v>
      </c>
      <c r="AU708">
        <v>54</v>
      </c>
      <c r="AV708">
        <v>1</v>
      </c>
      <c r="AW708">
        <v>1</v>
      </c>
      <c r="AZ708">
        <v>1</v>
      </c>
      <c r="BA708">
        <v>24.53</v>
      </c>
      <c r="BB708">
        <v>8.94</v>
      </c>
      <c r="BC708">
        <v>5.61</v>
      </c>
      <c r="BD708" t="s">
        <v>3</v>
      </c>
      <c r="BE708" t="s">
        <v>3</v>
      </c>
      <c r="BF708" t="s">
        <v>3</v>
      </c>
      <c r="BG708" t="s">
        <v>3</v>
      </c>
      <c r="BH708">
        <v>0</v>
      </c>
      <c r="BI708">
        <v>1</v>
      </c>
      <c r="BJ708" t="s">
        <v>251</v>
      </c>
      <c r="BM708">
        <v>1693</v>
      </c>
      <c r="BN708">
        <v>0</v>
      </c>
      <c r="BO708" t="s">
        <v>249</v>
      </c>
      <c r="BP708">
        <v>1</v>
      </c>
      <c r="BQ708">
        <v>30</v>
      </c>
      <c r="BR708">
        <v>0</v>
      </c>
      <c r="BS708">
        <v>24.53</v>
      </c>
      <c r="BT708">
        <v>1</v>
      </c>
      <c r="BU708">
        <v>1</v>
      </c>
      <c r="BV708">
        <v>1</v>
      </c>
      <c r="BW708">
        <v>1</v>
      </c>
      <c r="BX708">
        <v>1</v>
      </c>
      <c r="BY708" t="s">
        <v>3</v>
      </c>
      <c r="BZ708">
        <v>131</v>
      </c>
      <c r="CA708">
        <v>54</v>
      </c>
      <c r="CE708">
        <v>30</v>
      </c>
      <c r="CF708">
        <v>0</v>
      </c>
      <c r="CG708">
        <v>0</v>
      </c>
      <c r="CM708">
        <v>0</v>
      </c>
      <c r="CN708" t="s">
        <v>3</v>
      </c>
      <c r="CO708">
        <v>0</v>
      </c>
      <c r="CP708">
        <f t="shared" si="579"/>
        <v>485627.89</v>
      </c>
      <c r="CQ708">
        <f t="shared" si="580"/>
        <v>20812.37</v>
      </c>
      <c r="CR708">
        <f t="shared" si="581"/>
        <v>478.65</v>
      </c>
      <c r="CS708">
        <f t="shared" si="582"/>
        <v>202.86</v>
      </c>
      <c r="CT708">
        <f t="shared" si="583"/>
        <v>17220.310000000001</v>
      </c>
      <c r="CU708">
        <f t="shared" si="584"/>
        <v>0</v>
      </c>
      <c r="CV708">
        <f t="shared" si="585"/>
        <v>63.44</v>
      </c>
      <c r="CW708">
        <f t="shared" si="586"/>
        <v>0</v>
      </c>
      <c r="CX708">
        <f t="shared" si="587"/>
        <v>0</v>
      </c>
      <c r="CY708">
        <f t="shared" si="588"/>
        <v>284464.07650000002</v>
      </c>
      <c r="CZ708">
        <f t="shared" si="589"/>
        <v>117260.001</v>
      </c>
      <c r="DC708" t="s">
        <v>3</v>
      </c>
      <c r="DD708" t="s">
        <v>3</v>
      </c>
      <c r="DE708" t="s">
        <v>3</v>
      </c>
      <c r="DF708" t="s">
        <v>3</v>
      </c>
      <c r="DG708" t="s">
        <v>3</v>
      </c>
      <c r="DH708" t="s">
        <v>3</v>
      </c>
      <c r="DI708" t="s">
        <v>3</v>
      </c>
      <c r="DJ708" t="s">
        <v>3</v>
      </c>
      <c r="DK708" t="s">
        <v>3</v>
      </c>
      <c r="DL708" t="s">
        <v>3</v>
      </c>
      <c r="DM708" t="s">
        <v>3</v>
      </c>
      <c r="DN708">
        <v>161</v>
      </c>
      <c r="DO708">
        <v>107</v>
      </c>
      <c r="DP708">
        <v>1</v>
      </c>
      <c r="DQ708">
        <v>1</v>
      </c>
      <c r="DU708">
        <v>1013</v>
      </c>
      <c r="DV708" t="s">
        <v>26</v>
      </c>
      <c r="DW708" t="s">
        <v>26</v>
      </c>
      <c r="DX708">
        <v>1</v>
      </c>
      <c r="EE708">
        <v>33799332</v>
      </c>
      <c r="EF708">
        <v>30</v>
      </c>
      <c r="EG708" t="s">
        <v>77</v>
      </c>
      <c r="EH708">
        <v>0</v>
      </c>
      <c r="EI708" t="s">
        <v>3</v>
      </c>
      <c r="EJ708">
        <v>1</v>
      </c>
      <c r="EK708">
        <v>1693</v>
      </c>
      <c r="EL708" t="s">
        <v>252</v>
      </c>
      <c r="EM708" t="s">
        <v>253</v>
      </c>
      <c r="EO708" t="s">
        <v>3</v>
      </c>
      <c r="EQ708">
        <v>131072</v>
      </c>
      <c r="ER708">
        <v>4465.42</v>
      </c>
      <c r="ES708">
        <v>3709.87</v>
      </c>
      <c r="ET708">
        <v>53.54</v>
      </c>
      <c r="EU708">
        <v>8.27</v>
      </c>
      <c r="EV708">
        <v>702.01</v>
      </c>
      <c r="EW708">
        <v>63.44</v>
      </c>
      <c r="EX708">
        <v>0</v>
      </c>
      <c r="EY708">
        <v>0</v>
      </c>
      <c r="FQ708">
        <v>0</v>
      </c>
      <c r="FR708">
        <f t="shared" si="590"/>
        <v>0</v>
      </c>
      <c r="FS708">
        <v>0</v>
      </c>
      <c r="FX708">
        <v>161</v>
      </c>
      <c r="FY708">
        <v>107</v>
      </c>
      <c r="GA708" t="s">
        <v>3</v>
      </c>
      <c r="GD708">
        <v>0</v>
      </c>
      <c r="GF708">
        <v>574270988</v>
      </c>
      <c r="GG708">
        <v>2</v>
      </c>
      <c r="GH708">
        <v>1</v>
      </c>
      <c r="GI708">
        <v>2</v>
      </c>
      <c r="GJ708">
        <v>0</v>
      </c>
      <c r="GK708">
        <f>ROUND(R708*(R12)/100,2)</f>
        <v>4016.04</v>
      </c>
      <c r="GL708">
        <f t="shared" si="591"/>
        <v>0</v>
      </c>
      <c r="GM708">
        <f t="shared" si="592"/>
        <v>891368.01</v>
      </c>
      <c r="GN708">
        <f t="shared" si="593"/>
        <v>891368.01</v>
      </c>
      <c r="GO708">
        <f t="shared" si="594"/>
        <v>0</v>
      </c>
      <c r="GP708">
        <f t="shared" si="595"/>
        <v>0</v>
      </c>
      <c r="GR708">
        <v>0</v>
      </c>
      <c r="GS708">
        <v>3</v>
      </c>
      <c r="GT708">
        <v>0</v>
      </c>
      <c r="GU708" t="s">
        <v>3</v>
      </c>
      <c r="GV708">
        <f t="shared" si="596"/>
        <v>0</v>
      </c>
      <c r="GW708">
        <v>1</v>
      </c>
      <c r="GX708">
        <f t="shared" si="597"/>
        <v>0</v>
      </c>
      <c r="HA708">
        <v>0</v>
      </c>
      <c r="HB708">
        <v>0</v>
      </c>
      <c r="HC708">
        <f t="shared" si="598"/>
        <v>0</v>
      </c>
      <c r="IK708">
        <v>0</v>
      </c>
    </row>
    <row r="709" spans="1:245" x14ac:dyDescent="0.2">
      <c r="A709">
        <v>18</v>
      </c>
      <c r="B709">
        <v>1</v>
      </c>
      <c r="C709">
        <v>277</v>
      </c>
      <c r="E709" t="s">
        <v>434</v>
      </c>
      <c r="F709" t="s">
        <v>255</v>
      </c>
      <c r="G709" t="s">
        <v>256</v>
      </c>
      <c r="H709" t="s">
        <v>66</v>
      </c>
      <c r="I709">
        <f>I708*J709</f>
        <v>20.175999999999998</v>
      </c>
      <c r="J709">
        <v>1.5999999999999999</v>
      </c>
      <c r="O709">
        <f t="shared" si="559"/>
        <v>171838.67</v>
      </c>
      <c r="P709">
        <f t="shared" si="560"/>
        <v>171838.67</v>
      </c>
      <c r="Q709">
        <f t="shared" si="561"/>
        <v>0</v>
      </c>
      <c r="R709">
        <f t="shared" si="562"/>
        <v>0</v>
      </c>
      <c r="S709">
        <f t="shared" si="563"/>
        <v>0</v>
      </c>
      <c r="T709">
        <f t="shared" si="564"/>
        <v>0</v>
      </c>
      <c r="U709">
        <f t="shared" si="565"/>
        <v>0</v>
      </c>
      <c r="V709">
        <f t="shared" si="566"/>
        <v>0</v>
      </c>
      <c r="W709">
        <f t="shared" si="567"/>
        <v>0</v>
      </c>
      <c r="X709">
        <f t="shared" si="568"/>
        <v>0</v>
      </c>
      <c r="Y709">
        <f t="shared" si="569"/>
        <v>0</v>
      </c>
      <c r="AA709">
        <v>33989672</v>
      </c>
      <c r="AB709">
        <f t="shared" si="570"/>
        <v>2385.71</v>
      </c>
      <c r="AC709">
        <f t="shared" si="571"/>
        <v>2385.71</v>
      </c>
      <c r="AD709">
        <f t="shared" si="572"/>
        <v>0</v>
      </c>
      <c r="AE709">
        <f t="shared" si="573"/>
        <v>0</v>
      </c>
      <c r="AF709">
        <f t="shared" si="574"/>
        <v>0</v>
      </c>
      <c r="AG709">
        <f t="shared" si="575"/>
        <v>0</v>
      </c>
      <c r="AH709">
        <f t="shared" si="576"/>
        <v>0</v>
      </c>
      <c r="AI709">
        <f t="shared" si="577"/>
        <v>0</v>
      </c>
      <c r="AJ709">
        <f t="shared" si="578"/>
        <v>0</v>
      </c>
      <c r="AK709">
        <v>2385.71</v>
      </c>
      <c r="AL709">
        <v>2385.71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0</v>
      </c>
      <c r="AV709">
        <v>1</v>
      </c>
      <c r="AW709">
        <v>1</v>
      </c>
      <c r="AZ709">
        <v>1</v>
      </c>
      <c r="BA709">
        <v>1</v>
      </c>
      <c r="BB709">
        <v>1</v>
      </c>
      <c r="BC709">
        <v>3.57</v>
      </c>
      <c r="BD709" t="s">
        <v>3</v>
      </c>
      <c r="BE709" t="s">
        <v>3</v>
      </c>
      <c r="BF709" t="s">
        <v>3</v>
      </c>
      <c r="BG709" t="s">
        <v>3</v>
      </c>
      <c r="BH709">
        <v>3</v>
      </c>
      <c r="BI709">
        <v>1</v>
      </c>
      <c r="BJ709" t="s">
        <v>257</v>
      </c>
      <c r="BM709">
        <v>1693</v>
      </c>
      <c r="BN709">
        <v>0</v>
      </c>
      <c r="BO709" t="s">
        <v>255</v>
      </c>
      <c r="BP709">
        <v>1</v>
      </c>
      <c r="BQ709">
        <v>30</v>
      </c>
      <c r="BR709">
        <v>0</v>
      </c>
      <c r="BS709">
        <v>1</v>
      </c>
      <c r="BT709">
        <v>1</v>
      </c>
      <c r="BU709">
        <v>1</v>
      </c>
      <c r="BV709">
        <v>1</v>
      </c>
      <c r="BW709">
        <v>1</v>
      </c>
      <c r="BX709">
        <v>1</v>
      </c>
      <c r="BY709" t="s">
        <v>3</v>
      </c>
      <c r="BZ709">
        <v>0</v>
      </c>
      <c r="CA709">
        <v>0</v>
      </c>
      <c r="CE709">
        <v>30</v>
      </c>
      <c r="CF709">
        <v>0</v>
      </c>
      <c r="CG709">
        <v>0</v>
      </c>
      <c r="CM709">
        <v>0</v>
      </c>
      <c r="CN709" t="s">
        <v>3</v>
      </c>
      <c r="CO709">
        <v>0</v>
      </c>
      <c r="CP709">
        <f t="shared" si="579"/>
        <v>171838.67</v>
      </c>
      <c r="CQ709">
        <f t="shared" si="580"/>
        <v>8516.98</v>
      </c>
      <c r="CR709">
        <f t="shared" si="581"/>
        <v>0</v>
      </c>
      <c r="CS709">
        <f t="shared" si="582"/>
        <v>0</v>
      </c>
      <c r="CT709">
        <f t="shared" si="583"/>
        <v>0</v>
      </c>
      <c r="CU709">
        <f t="shared" si="584"/>
        <v>0</v>
      </c>
      <c r="CV709">
        <f t="shared" si="585"/>
        <v>0</v>
      </c>
      <c r="CW709">
        <f t="shared" si="586"/>
        <v>0</v>
      </c>
      <c r="CX709">
        <f t="shared" si="587"/>
        <v>0</v>
      </c>
      <c r="CY709">
        <f t="shared" si="588"/>
        <v>0</v>
      </c>
      <c r="CZ709">
        <f t="shared" si="589"/>
        <v>0</v>
      </c>
      <c r="DC709" t="s">
        <v>3</v>
      </c>
      <c r="DD709" t="s">
        <v>3</v>
      </c>
      <c r="DE709" t="s">
        <v>3</v>
      </c>
      <c r="DF709" t="s">
        <v>3</v>
      </c>
      <c r="DG709" t="s">
        <v>3</v>
      </c>
      <c r="DH709" t="s">
        <v>3</v>
      </c>
      <c r="DI709" t="s">
        <v>3</v>
      </c>
      <c r="DJ709" t="s">
        <v>3</v>
      </c>
      <c r="DK709" t="s">
        <v>3</v>
      </c>
      <c r="DL709" t="s">
        <v>3</v>
      </c>
      <c r="DM709" t="s">
        <v>3</v>
      </c>
      <c r="DN709">
        <v>161</v>
      </c>
      <c r="DO709">
        <v>107</v>
      </c>
      <c r="DP709">
        <v>1</v>
      </c>
      <c r="DQ709">
        <v>1</v>
      </c>
      <c r="DU709">
        <v>1007</v>
      </c>
      <c r="DV709" t="s">
        <v>66</v>
      </c>
      <c r="DW709" t="s">
        <v>66</v>
      </c>
      <c r="DX709">
        <v>1</v>
      </c>
      <c r="EE709">
        <v>33799332</v>
      </c>
      <c r="EF709">
        <v>30</v>
      </c>
      <c r="EG709" t="s">
        <v>77</v>
      </c>
      <c r="EH709">
        <v>0</v>
      </c>
      <c r="EI709" t="s">
        <v>3</v>
      </c>
      <c r="EJ709">
        <v>1</v>
      </c>
      <c r="EK709">
        <v>1693</v>
      </c>
      <c r="EL709" t="s">
        <v>252</v>
      </c>
      <c r="EM709" t="s">
        <v>253</v>
      </c>
      <c r="EO709" t="s">
        <v>3</v>
      </c>
      <c r="EQ709">
        <v>0</v>
      </c>
      <c r="ER709">
        <v>2385.71</v>
      </c>
      <c r="ES709">
        <v>2385.71</v>
      </c>
      <c r="ET709">
        <v>0</v>
      </c>
      <c r="EU709">
        <v>0</v>
      </c>
      <c r="EV709">
        <v>0</v>
      </c>
      <c r="EW709">
        <v>0</v>
      </c>
      <c r="EX709">
        <v>0</v>
      </c>
      <c r="FQ709">
        <v>0</v>
      </c>
      <c r="FR709">
        <f t="shared" si="590"/>
        <v>0</v>
      </c>
      <c r="FS709">
        <v>0</v>
      </c>
      <c r="FX709">
        <v>161</v>
      </c>
      <c r="FY709">
        <v>107</v>
      </c>
      <c r="GA709" t="s">
        <v>3</v>
      </c>
      <c r="GD709">
        <v>0</v>
      </c>
      <c r="GF709">
        <v>889553512</v>
      </c>
      <c r="GG709">
        <v>2</v>
      </c>
      <c r="GH709">
        <v>1</v>
      </c>
      <c r="GI709">
        <v>2</v>
      </c>
      <c r="GJ709">
        <v>0</v>
      </c>
      <c r="GK709">
        <f>ROUND(R709*(R12)/100,2)</f>
        <v>0</v>
      </c>
      <c r="GL709">
        <f t="shared" si="591"/>
        <v>0</v>
      </c>
      <c r="GM709">
        <f t="shared" si="592"/>
        <v>171838.67</v>
      </c>
      <c r="GN709">
        <f t="shared" si="593"/>
        <v>171838.67</v>
      </c>
      <c r="GO709">
        <f t="shared" si="594"/>
        <v>0</v>
      </c>
      <c r="GP709">
        <f t="shared" si="595"/>
        <v>0</v>
      </c>
      <c r="GR709">
        <v>0</v>
      </c>
      <c r="GS709">
        <v>3</v>
      </c>
      <c r="GT709">
        <v>0</v>
      </c>
      <c r="GU709" t="s">
        <v>3</v>
      </c>
      <c r="GV709">
        <f t="shared" si="596"/>
        <v>0</v>
      </c>
      <c r="GW709">
        <v>1</v>
      </c>
      <c r="GX709">
        <f t="shared" si="597"/>
        <v>0</v>
      </c>
      <c r="HA709">
        <v>0</v>
      </c>
      <c r="HB709">
        <v>0</v>
      </c>
      <c r="HC709">
        <f t="shared" si="598"/>
        <v>0</v>
      </c>
      <c r="IK709">
        <v>0</v>
      </c>
    </row>
    <row r="711" spans="1:245" x14ac:dyDescent="0.2">
      <c r="A711" s="2">
        <v>51</v>
      </c>
      <c r="B711" s="2">
        <f>B697</f>
        <v>1</v>
      </c>
      <c r="C711" s="2">
        <f>A697</f>
        <v>4</v>
      </c>
      <c r="D711" s="2">
        <f>ROW(A697)</f>
        <v>697</v>
      </c>
      <c r="E711" s="2"/>
      <c r="F711" s="2" t="str">
        <f>IF(F697&lt;&gt;"",F697,"")</f>
        <v>Новый раздел</v>
      </c>
      <c r="G711" s="2" t="str">
        <f>IF(G697&lt;&gt;"",G697,"")</f>
        <v>28. Камень бортовой садовый</v>
      </c>
      <c r="H711" s="2">
        <v>0</v>
      </c>
      <c r="I711" s="2"/>
      <c r="J711" s="2"/>
      <c r="K711" s="2"/>
      <c r="L711" s="2"/>
      <c r="M711" s="2"/>
      <c r="N711" s="2"/>
      <c r="O711" s="2">
        <f t="shared" ref="O711:T711" si="599">ROUND(AB711,2)</f>
        <v>990867.32</v>
      </c>
      <c r="P711" s="2">
        <f t="shared" si="599"/>
        <v>449647.6</v>
      </c>
      <c r="Q711" s="2">
        <f t="shared" si="599"/>
        <v>11604.01</v>
      </c>
      <c r="R711" s="2">
        <f t="shared" si="599"/>
        <v>6527.92</v>
      </c>
      <c r="S711" s="2">
        <f t="shared" si="599"/>
        <v>529615.71</v>
      </c>
      <c r="T711" s="2">
        <f t="shared" si="599"/>
        <v>0</v>
      </c>
      <c r="U711" s="2">
        <f>AH711</f>
        <v>1965.3098611999999</v>
      </c>
      <c r="V711" s="2">
        <f>AI711</f>
        <v>0</v>
      </c>
      <c r="W711" s="2">
        <f>ROUND(AJ711,2)</f>
        <v>0</v>
      </c>
      <c r="X711" s="2">
        <f>ROUND(AK711,2)</f>
        <v>499846.64</v>
      </c>
      <c r="Y711" s="2">
        <f>ROUND(AL711,2)</f>
        <v>245493.56</v>
      </c>
      <c r="Z711" s="2"/>
      <c r="AA711" s="2"/>
      <c r="AB711" s="2">
        <f>ROUND(SUMIF(AA701:AA709,"=33989672",O701:O709),2)</f>
        <v>990867.32</v>
      </c>
      <c r="AC711" s="2">
        <f>ROUND(SUMIF(AA701:AA709,"=33989672",P701:P709),2)</f>
        <v>449647.6</v>
      </c>
      <c r="AD711" s="2">
        <f>ROUND(SUMIF(AA701:AA709,"=33989672",Q701:Q709),2)</f>
        <v>11604.01</v>
      </c>
      <c r="AE711" s="2">
        <f>ROUND(SUMIF(AA701:AA709,"=33989672",R701:R709),2)</f>
        <v>6527.92</v>
      </c>
      <c r="AF711" s="2">
        <f>ROUND(SUMIF(AA701:AA709,"=33989672",S701:S709),2)</f>
        <v>529615.71</v>
      </c>
      <c r="AG711" s="2">
        <f>ROUND(SUMIF(AA701:AA709,"=33989672",T701:T709),2)</f>
        <v>0</v>
      </c>
      <c r="AH711" s="2">
        <f>SUMIF(AA701:AA709,"=33989672",U701:U709)</f>
        <v>1965.3098611999999</v>
      </c>
      <c r="AI711" s="2">
        <f>SUMIF(AA701:AA709,"=33989672",V701:V709)</f>
        <v>0</v>
      </c>
      <c r="AJ711" s="2">
        <f>ROUND(SUMIF(AA701:AA709,"=33989672",W701:W709),2)</f>
        <v>0</v>
      </c>
      <c r="AK711" s="2">
        <f>ROUND(SUMIF(AA701:AA709,"=33989672",X701:X709),2)</f>
        <v>499846.64</v>
      </c>
      <c r="AL711" s="2">
        <f>ROUND(SUMIF(AA701:AA709,"=33989672",Y701:Y709),2)</f>
        <v>245493.56</v>
      </c>
      <c r="AM711" s="2"/>
      <c r="AN711" s="2"/>
      <c r="AO711" s="2">
        <f t="shared" ref="AO711:BD711" si="600">ROUND(BX711,2)</f>
        <v>0</v>
      </c>
      <c r="AP711" s="2">
        <f t="shared" si="600"/>
        <v>0</v>
      </c>
      <c r="AQ711" s="2">
        <f t="shared" si="600"/>
        <v>0</v>
      </c>
      <c r="AR711" s="2">
        <f t="shared" si="600"/>
        <v>1746456.35</v>
      </c>
      <c r="AS711" s="2">
        <f t="shared" si="600"/>
        <v>1746456.35</v>
      </c>
      <c r="AT711" s="2">
        <f t="shared" si="600"/>
        <v>0</v>
      </c>
      <c r="AU711" s="2">
        <f t="shared" si="600"/>
        <v>0</v>
      </c>
      <c r="AV711" s="2">
        <f t="shared" si="600"/>
        <v>449647.6</v>
      </c>
      <c r="AW711" s="2">
        <f t="shared" si="600"/>
        <v>449647.6</v>
      </c>
      <c r="AX711" s="2">
        <f t="shared" si="600"/>
        <v>0</v>
      </c>
      <c r="AY711" s="2">
        <f t="shared" si="600"/>
        <v>449647.6</v>
      </c>
      <c r="AZ711" s="2">
        <f t="shared" si="600"/>
        <v>0</v>
      </c>
      <c r="BA711" s="2">
        <f t="shared" si="600"/>
        <v>0</v>
      </c>
      <c r="BB711" s="2">
        <f t="shared" si="600"/>
        <v>0</v>
      </c>
      <c r="BC711" s="2">
        <f t="shared" si="600"/>
        <v>0</v>
      </c>
      <c r="BD711" s="2">
        <f t="shared" si="600"/>
        <v>0</v>
      </c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>
        <f>ROUND(SUMIF(AA701:AA709,"=33989672",FQ701:FQ709),2)</f>
        <v>0</v>
      </c>
      <c r="BY711" s="2">
        <f>ROUND(SUMIF(AA701:AA709,"=33989672",FR701:FR709),2)</f>
        <v>0</v>
      </c>
      <c r="BZ711" s="2">
        <f>ROUND(SUMIF(AA701:AA709,"=33989672",GL701:GL709),2)</f>
        <v>0</v>
      </c>
      <c r="CA711" s="2">
        <f>ROUND(SUMIF(AA701:AA709,"=33989672",GM701:GM709),2)</f>
        <v>1746456.35</v>
      </c>
      <c r="CB711" s="2">
        <f>ROUND(SUMIF(AA701:AA709,"=33989672",GN701:GN709),2)</f>
        <v>1746456.35</v>
      </c>
      <c r="CC711" s="2">
        <f>ROUND(SUMIF(AA701:AA709,"=33989672",GO701:GO709),2)</f>
        <v>0</v>
      </c>
      <c r="CD711" s="2">
        <f>ROUND(SUMIF(AA701:AA709,"=33989672",GP701:GP709),2)</f>
        <v>0</v>
      </c>
      <c r="CE711" s="2">
        <f>AC711-BX711</f>
        <v>449647.6</v>
      </c>
      <c r="CF711" s="2">
        <f>AC711-BY711</f>
        <v>449647.6</v>
      </c>
      <c r="CG711" s="2">
        <f>BX711-BZ711</f>
        <v>0</v>
      </c>
      <c r="CH711" s="2">
        <f>AC711-BX711-BY711+BZ711</f>
        <v>449647.6</v>
      </c>
      <c r="CI711" s="2">
        <f>BY711-BZ711</f>
        <v>0</v>
      </c>
      <c r="CJ711" s="2">
        <f>ROUND(SUMIF(AA701:AA709,"=33989672",GX701:GX709),2)</f>
        <v>0</v>
      </c>
      <c r="CK711" s="2">
        <f>ROUND(SUMIF(AA701:AA709,"=33989672",GY701:GY709),2)</f>
        <v>0</v>
      </c>
      <c r="CL711" s="2">
        <f>ROUND(SUMIF(AA701:AA709,"=33989672",GZ701:GZ709),2)</f>
        <v>0</v>
      </c>
      <c r="CM711" s="2">
        <f>ROUND(SUMIF(AA701:AA709,"=33989672",HD701:HD709),2)</f>
        <v>0</v>
      </c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  <c r="FJ711" s="3"/>
      <c r="FK711" s="3"/>
      <c r="FL711" s="3"/>
      <c r="FM711" s="3"/>
      <c r="FN711" s="3"/>
      <c r="FO711" s="3"/>
      <c r="FP711" s="3"/>
      <c r="FQ711" s="3"/>
      <c r="FR711" s="3"/>
      <c r="FS711" s="3"/>
      <c r="FT711" s="3"/>
      <c r="FU711" s="3"/>
      <c r="FV711" s="3"/>
      <c r="FW711" s="3"/>
      <c r="FX711" s="3"/>
      <c r="FY711" s="3"/>
      <c r="FZ711" s="3"/>
      <c r="GA711" s="3"/>
      <c r="GB711" s="3"/>
      <c r="GC711" s="3"/>
      <c r="GD711" s="3"/>
      <c r="GE711" s="3"/>
      <c r="GF711" s="3"/>
      <c r="GG711" s="3"/>
      <c r="GH711" s="3"/>
      <c r="GI711" s="3"/>
      <c r="GJ711" s="3"/>
      <c r="GK711" s="3"/>
      <c r="GL711" s="3"/>
      <c r="GM711" s="3"/>
      <c r="GN711" s="3"/>
      <c r="GO711" s="3"/>
      <c r="GP711" s="3"/>
      <c r="GQ711" s="3"/>
      <c r="GR711" s="3"/>
      <c r="GS711" s="3"/>
      <c r="GT711" s="3"/>
      <c r="GU711" s="3"/>
      <c r="GV711" s="3"/>
      <c r="GW711" s="3"/>
      <c r="GX711" s="3">
        <v>0</v>
      </c>
    </row>
    <row r="713" spans="1:245" x14ac:dyDescent="0.2">
      <c r="A713" s="4">
        <v>50</v>
      </c>
      <c r="B713" s="4">
        <v>0</v>
      </c>
      <c r="C713" s="4">
        <v>0</v>
      </c>
      <c r="D713" s="4">
        <v>1</v>
      </c>
      <c r="E713" s="4">
        <v>201</v>
      </c>
      <c r="F713" s="4">
        <f>ROUND(Source!O711,O713)</f>
        <v>990867.32</v>
      </c>
      <c r="G713" s="4" t="s">
        <v>89</v>
      </c>
      <c r="H713" s="4" t="s">
        <v>90</v>
      </c>
      <c r="I713" s="4"/>
      <c r="J713" s="4"/>
      <c r="K713" s="4">
        <v>201</v>
      </c>
      <c r="L713" s="4">
        <v>1</v>
      </c>
      <c r="M713" s="4">
        <v>3</v>
      </c>
      <c r="N713" s="4" t="s">
        <v>3</v>
      </c>
      <c r="O713" s="4">
        <v>2</v>
      </c>
      <c r="P713" s="4"/>
      <c r="Q713" s="4"/>
      <c r="R713" s="4"/>
      <c r="S713" s="4"/>
      <c r="T713" s="4"/>
      <c r="U713" s="4"/>
      <c r="V713" s="4"/>
      <c r="W713" s="4"/>
    </row>
    <row r="714" spans="1:245" x14ac:dyDescent="0.2">
      <c r="A714" s="4">
        <v>50</v>
      </c>
      <c r="B714" s="4">
        <v>0</v>
      </c>
      <c r="C714" s="4">
        <v>0</v>
      </c>
      <c r="D714" s="4">
        <v>1</v>
      </c>
      <c r="E714" s="4">
        <v>202</v>
      </c>
      <c r="F714" s="4">
        <f>ROUND(Source!P711,O714)</f>
        <v>449647.6</v>
      </c>
      <c r="G714" s="4" t="s">
        <v>91</v>
      </c>
      <c r="H714" s="4" t="s">
        <v>92</v>
      </c>
      <c r="I714" s="4"/>
      <c r="J714" s="4"/>
      <c r="K714" s="4">
        <v>202</v>
      </c>
      <c r="L714" s="4">
        <v>2</v>
      </c>
      <c r="M714" s="4">
        <v>3</v>
      </c>
      <c r="N714" s="4" t="s">
        <v>3</v>
      </c>
      <c r="O714" s="4">
        <v>2</v>
      </c>
      <c r="P714" s="4"/>
      <c r="Q714" s="4"/>
      <c r="R714" s="4"/>
      <c r="S714" s="4"/>
      <c r="T714" s="4"/>
      <c r="U714" s="4"/>
      <c r="V714" s="4"/>
      <c r="W714" s="4"/>
    </row>
    <row r="715" spans="1:245" x14ac:dyDescent="0.2">
      <c r="A715" s="4">
        <v>50</v>
      </c>
      <c r="B715" s="4">
        <v>0</v>
      </c>
      <c r="C715" s="4">
        <v>0</v>
      </c>
      <c r="D715" s="4">
        <v>1</v>
      </c>
      <c r="E715" s="4">
        <v>222</v>
      </c>
      <c r="F715" s="4">
        <f>ROUND(Source!AO711,O715)</f>
        <v>0</v>
      </c>
      <c r="G715" s="4" t="s">
        <v>93</v>
      </c>
      <c r="H715" s="4" t="s">
        <v>94</v>
      </c>
      <c r="I715" s="4"/>
      <c r="J715" s="4"/>
      <c r="K715" s="4">
        <v>222</v>
      </c>
      <c r="L715" s="4">
        <v>3</v>
      </c>
      <c r="M715" s="4">
        <v>3</v>
      </c>
      <c r="N715" s="4" t="s">
        <v>3</v>
      </c>
      <c r="O715" s="4">
        <v>2</v>
      </c>
      <c r="P715" s="4"/>
      <c r="Q715" s="4"/>
      <c r="R715" s="4"/>
      <c r="S715" s="4"/>
      <c r="T715" s="4"/>
      <c r="U715" s="4"/>
      <c r="V715" s="4"/>
      <c r="W715" s="4"/>
    </row>
    <row r="716" spans="1:245" x14ac:dyDescent="0.2">
      <c r="A716" s="4">
        <v>50</v>
      </c>
      <c r="B716" s="4">
        <v>0</v>
      </c>
      <c r="C716" s="4">
        <v>0</v>
      </c>
      <c r="D716" s="4">
        <v>1</v>
      </c>
      <c r="E716" s="4">
        <v>225</v>
      </c>
      <c r="F716" s="4">
        <f>ROUND(Source!AV711,O716)</f>
        <v>449647.6</v>
      </c>
      <c r="G716" s="4" t="s">
        <v>95</v>
      </c>
      <c r="H716" s="4" t="s">
        <v>96</v>
      </c>
      <c r="I716" s="4"/>
      <c r="J716" s="4"/>
      <c r="K716" s="4">
        <v>225</v>
      </c>
      <c r="L716" s="4">
        <v>4</v>
      </c>
      <c r="M716" s="4">
        <v>3</v>
      </c>
      <c r="N716" s="4" t="s">
        <v>3</v>
      </c>
      <c r="O716" s="4">
        <v>2</v>
      </c>
      <c r="P716" s="4"/>
      <c r="Q716" s="4"/>
      <c r="R716" s="4"/>
      <c r="S716" s="4"/>
      <c r="T716" s="4"/>
      <c r="U716" s="4"/>
      <c r="V716" s="4"/>
      <c r="W716" s="4"/>
    </row>
    <row r="717" spans="1:245" x14ac:dyDescent="0.2">
      <c r="A717" s="4">
        <v>50</v>
      </c>
      <c r="B717" s="4">
        <v>0</v>
      </c>
      <c r="C717" s="4">
        <v>0</v>
      </c>
      <c r="D717" s="4">
        <v>1</v>
      </c>
      <c r="E717" s="4">
        <v>226</v>
      </c>
      <c r="F717" s="4">
        <f>ROUND(Source!AW711,O717)</f>
        <v>449647.6</v>
      </c>
      <c r="G717" s="4" t="s">
        <v>97</v>
      </c>
      <c r="H717" s="4" t="s">
        <v>98</v>
      </c>
      <c r="I717" s="4"/>
      <c r="J717" s="4"/>
      <c r="K717" s="4">
        <v>226</v>
      </c>
      <c r="L717" s="4">
        <v>5</v>
      </c>
      <c r="M717" s="4">
        <v>3</v>
      </c>
      <c r="N717" s="4" t="s">
        <v>3</v>
      </c>
      <c r="O717" s="4">
        <v>2</v>
      </c>
      <c r="P717" s="4"/>
      <c r="Q717" s="4"/>
      <c r="R717" s="4"/>
      <c r="S717" s="4"/>
      <c r="T717" s="4"/>
      <c r="U717" s="4"/>
      <c r="V717" s="4"/>
      <c r="W717" s="4"/>
    </row>
    <row r="718" spans="1:245" x14ac:dyDescent="0.2">
      <c r="A718" s="4">
        <v>50</v>
      </c>
      <c r="B718" s="4">
        <v>0</v>
      </c>
      <c r="C718" s="4">
        <v>0</v>
      </c>
      <c r="D718" s="4">
        <v>1</v>
      </c>
      <c r="E718" s="4">
        <v>227</v>
      </c>
      <c r="F718" s="4">
        <f>ROUND(Source!AX711,O718)</f>
        <v>0</v>
      </c>
      <c r="G718" s="4" t="s">
        <v>99</v>
      </c>
      <c r="H718" s="4" t="s">
        <v>100</v>
      </c>
      <c r="I718" s="4"/>
      <c r="J718" s="4"/>
      <c r="K718" s="4">
        <v>227</v>
      </c>
      <c r="L718" s="4">
        <v>6</v>
      </c>
      <c r="M718" s="4">
        <v>3</v>
      </c>
      <c r="N718" s="4" t="s">
        <v>3</v>
      </c>
      <c r="O718" s="4">
        <v>2</v>
      </c>
      <c r="P718" s="4"/>
      <c r="Q718" s="4"/>
      <c r="R718" s="4"/>
      <c r="S718" s="4"/>
      <c r="T718" s="4"/>
      <c r="U718" s="4"/>
      <c r="V718" s="4"/>
      <c r="W718" s="4"/>
    </row>
    <row r="719" spans="1:245" x14ac:dyDescent="0.2">
      <c r="A719" s="4">
        <v>50</v>
      </c>
      <c r="B719" s="4">
        <v>0</v>
      </c>
      <c r="C719" s="4">
        <v>0</v>
      </c>
      <c r="D719" s="4">
        <v>1</v>
      </c>
      <c r="E719" s="4">
        <v>228</v>
      </c>
      <c r="F719" s="4">
        <f>ROUND(Source!AY711,O719)</f>
        <v>449647.6</v>
      </c>
      <c r="G719" s="4" t="s">
        <v>101</v>
      </c>
      <c r="H719" s="4" t="s">
        <v>102</v>
      </c>
      <c r="I719" s="4"/>
      <c r="J719" s="4"/>
      <c r="K719" s="4">
        <v>228</v>
      </c>
      <c r="L719" s="4">
        <v>7</v>
      </c>
      <c r="M719" s="4">
        <v>3</v>
      </c>
      <c r="N719" s="4" t="s">
        <v>3</v>
      </c>
      <c r="O719" s="4">
        <v>2</v>
      </c>
      <c r="P719" s="4"/>
      <c r="Q719" s="4"/>
      <c r="R719" s="4"/>
      <c r="S719" s="4"/>
      <c r="T719" s="4"/>
      <c r="U719" s="4"/>
      <c r="V719" s="4"/>
      <c r="W719" s="4"/>
    </row>
    <row r="720" spans="1:245" x14ac:dyDescent="0.2">
      <c r="A720" s="4">
        <v>50</v>
      </c>
      <c r="B720" s="4">
        <v>0</v>
      </c>
      <c r="C720" s="4">
        <v>0</v>
      </c>
      <c r="D720" s="4">
        <v>1</v>
      </c>
      <c r="E720" s="4">
        <v>216</v>
      </c>
      <c r="F720" s="4">
        <f>ROUND(Source!AP711,O720)</f>
        <v>0</v>
      </c>
      <c r="G720" s="4" t="s">
        <v>103</v>
      </c>
      <c r="H720" s="4" t="s">
        <v>104</v>
      </c>
      <c r="I720" s="4"/>
      <c r="J720" s="4"/>
      <c r="K720" s="4">
        <v>216</v>
      </c>
      <c r="L720" s="4">
        <v>8</v>
      </c>
      <c r="M720" s="4">
        <v>3</v>
      </c>
      <c r="N720" s="4" t="s">
        <v>3</v>
      </c>
      <c r="O720" s="4">
        <v>2</v>
      </c>
      <c r="P720" s="4"/>
      <c r="Q720" s="4"/>
      <c r="R720" s="4"/>
      <c r="S720" s="4"/>
      <c r="T720" s="4"/>
      <c r="U720" s="4"/>
      <c r="V720" s="4"/>
      <c r="W720" s="4"/>
    </row>
    <row r="721" spans="1:23" x14ac:dyDescent="0.2">
      <c r="A721" s="4">
        <v>50</v>
      </c>
      <c r="B721" s="4">
        <v>0</v>
      </c>
      <c r="C721" s="4">
        <v>0</v>
      </c>
      <c r="D721" s="4">
        <v>1</v>
      </c>
      <c r="E721" s="4">
        <v>223</v>
      </c>
      <c r="F721" s="4">
        <f>ROUND(Source!AQ711,O721)</f>
        <v>0</v>
      </c>
      <c r="G721" s="4" t="s">
        <v>105</v>
      </c>
      <c r="H721" s="4" t="s">
        <v>106</v>
      </c>
      <c r="I721" s="4"/>
      <c r="J721" s="4"/>
      <c r="K721" s="4">
        <v>223</v>
      </c>
      <c r="L721" s="4">
        <v>9</v>
      </c>
      <c r="M721" s="4">
        <v>3</v>
      </c>
      <c r="N721" s="4" t="s">
        <v>3</v>
      </c>
      <c r="O721" s="4">
        <v>2</v>
      </c>
      <c r="P721" s="4"/>
      <c r="Q721" s="4"/>
      <c r="R721" s="4"/>
      <c r="S721" s="4"/>
      <c r="T721" s="4"/>
      <c r="U721" s="4"/>
      <c r="V721" s="4"/>
      <c r="W721" s="4"/>
    </row>
    <row r="722" spans="1:23" x14ac:dyDescent="0.2">
      <c r="A722" s="4">
        <v>50</v>
      </c>
      <c r="B722" s="4">
        <v>0</v>
      </c>
      <c r="C722" s="4">
        <v>0</v>
      </c>
      <c r="D722" s="4">
        <v>1</v>
      </c>
      <c r="E722" s="4">
        <v>229</v>
      </c>
      <c r="F722" s="4">
        <f>ROUND(Source!AZ711,O722)</f>
        <v>0</v>
      </c>
      <c r="G722" s="4" t="s">
        <v>107</v>
      </c>
      <c r="H722" s="4" t="s">
        <v>108</v>
      </c>
      <c r="I722" s="4"/>
      <c r="J722" s="4"/>
      <c r="K722" s="4">
        <v>229</v>
      </c>
      <c r="L722" s="4">
        <v>10</v>
      </c>
      <c r="M722" s="4">
        <v>3</v>
      </c>
      <c r="N722" s="4" t="s">
        <v>3</v>
      </c>
      <c r="O722" s="4">
        <v>2</v>
      </c>
      <c r="P722" s="4"/>
      <c r="Q722" s="4"/>
      <c r="R722" s="4"/>
      <c r="S722" s="4"/>
      <c r="T722" s="4"/>
      <c r="U722" s="4"/>
      <c r="V722" s="4"/>
      <c r="W722" s="4"/>
    </row>
    <row r="723" spans="1:23" x14ac:dyDescent="0.2">
      <c r="A723" s="4">
        <v>50</v>
      </c>
      <c r="B723" s="4">
        <v>0</v>
      </c>
      <c r="C723" s="4">
        <v>0</v>
      </c>
      <c r="D723" s="4">
        <v>1</v>
      </c>
      <c r="E723" s="4">
        <v>203</v>
      </c>
      <c r="F723" s="4">
        <f>ROUND(Source!Q711,O723)</f>
        <v>11604.01</v>
      </c>
      <c r="G723" s="4" t="s">
        <v>109</v>
      </c>
      <c r="H723" s="4" t="s">
        <v>110</v>
      </c>
      <c r="I723" s="4"/>
      <c r="J723" s="4"/>
      <c r="K723" s="4">
        <v>203</v>
      </c>
      <c r="L723" s="4">
        <v>11</v>
      </c>
      <c r="M723" s="4">
        <v>3</v>
      </c>
      <c r="N723" s="4" t="s">
        <v>3</v>
      </c>
      <c r="O723" s="4">
        <v>2</v>
      </c>
      <c r="P723" s="4"/>
      <c r="Q723" s="4"/>
      <c r="R723" s="4"/>
      <c r="S723" s="4"/>
      <c r="T723" s="4"/>
      <c r="U723" s="4"/>
      <c r="V723" s="4"/>
      <c r="W723" s="4"/>
    </row>
    <row r="724" spans="1:23" x14ac:dyDescent="0.2">
      <c r="A724" s="4">
        <v>50</v>
      </c>
      <c r="B724" s="4">
        <v>0</v>
      </c>
      <c r="C724" s="4">
        <v>0</v>
      </c>
      <c r="D724" s="4">
        <v>1</v>
      </c>
      <c r="E724" s="4">
        <v>231</v>
      </c>
      <c r="F724" s="4">
        <f>ROUND(Source!BB711,O724)</f>
        <v>0</v>
      </c>
      <c r="G724" s="4" t="s">
        <v>111</v>
      </c>
      <c r="H724" s="4" t="s">
        <v>112</v>
      </c>
      <c r="I724" s="4"/>
      <c r="J724" s="4"/>
      <c r="K724" s="4">
        <v>231</v>
      </c>
      <c r="L724" s="4">
        <v>12</v>
      </c>
      <c r="M724" s="4">
        <v>3</v>
      </c>
      <c r="N724" s="4" t="s">
        <v>3</v>
      </c>
      <c r="O724" s="4">
        <v>2</v>
      </c>
      <c r="P724" s="4"/>
      <c r="Q724" s="4"/>
      <c r="R724" s="4"/>
      <c r="S724" s="4"/>
      <c r="T724" s="4"/>
      <c r="U724" s="4"/>
      <c r="V724" s="4"/>
      <c r="W724" s="4"/>
    </row>
    <row r="725" spans="1:23" x14ac:dyDescent="0.2">
      <c r="A725" s="4">
        <v>50</v>
      </c>
      <c r="B725" s="4">
        <v>0</v>
      </c>
      <c r="C725" s="4">
        <v>0</v>
      </c>
      <c r="D725" s="4">
        <v>1</v>
      </c>
      <c r="E725" s="4">
        <v>204</v>
      </c>
      <c r="F725" s="4">
        <f>ROUND(Source!R711,O725)</f>
        <v>6527.92</v>
      </c>
      <c r="G725" s="4" t="s">
        <v>113</v>
      </c>
      <c r="H725" s="4" t="s">
        <v>114</v>
      </c>
      <c r="I725" s="4"/>
      <c r="J725" s="4"/>
      <c r="K725" s="4">
        <v>204</v>
      </c>
      <c r="L725" s="4">
        <v>13</v>
      </c>
      <c r="M725" s="4">
        <v>3</v>
      </c>
      <c r="N725" s="4" t="s">
        <v>3</v>
      </c>
      <c r="O725" s="4">
        <v>2</v>
      </c>
      <c r="P725" s="4"/>
      <c r="Q725" s="4"/>
      <c r="R725" s="4"/>
      <c r="S725" s="4"/>
      <c r="T725" s="4"/>
      <c r="U725" s="4"/>
      <c r="V725" s="4"/>
      <c r="W725" s="4"/>
    </row>
    <row r="726" spans="1:23" x14ac:dyDescent="0.2">
      <c r="A726" s="4">
        <v>50</v>
      </c>
      <c r="B726" s="4">
        <v>0</v>
      </c>
      <c r="C726" s="4">
        <v>0</v>
      </c>
      <c r="D726" s="4">
        <v>1</v>
      </c>
      <c r="E726" s="4">
        <v>205</v>
      </c>
      <c r="F726" s="4">
        <f>ROUND(Source!S711,O726)</f>
        <v>529615.71</v>
      </c>
      <c r="G726" s="4" t="s">
        <v>115</v>
      </c>
      <c r="H726" s="4" t="s">
        <v>116</v>
      </c>
      <c r="I726" s="4"/>
      <c r="J726" s="4"/>
      <c r="K726" s="4">
        <v>205</v>
      </c>
      <c r="L726" s="4">
        <v>14</v>
      </c>
      <c r="M726" s="4">
        <v>3</v>
      </c>
      <c r="N726" s="4" t="s">
        <v>3</v>
      </c>
      <c r="O726" s="4">
        <v>2</v>
      </c>
      <c r="P726" s="4"/>
      <c r="Q726" s="4"/>
      <c r="R726" s="4"/>
      <c r="S726" s="4"/>
      <c r="T726" s="4"/>
      <c r="U726" s="4"/>
      <c r="V726" s="4"/>
      <c r="W726" s="4"/>
    </row>
    <row r="727" spans="1:23" x14ac:dyDescent="0.2">
      <c r="A727" s="4">
        <v>50</v>
      </c>
      <c r="B727" s="4">
        <v>0</v>
      </c>
      <c r="C727" s="4">
        <v>0</v>
      </c>
      <c r="D727" s="4">
        <v>1</v>
      </c>
      <c r="E727" s="4">
        <v>232</v>
      </c>
      <c r="F727" s="4">
        <f>ROUND(Source!BC711,O727)</f>
        <v>0</v>
      </c>
      <c r="G727" s="4" t="s">
        <v>117</v>
      </c>
      <c r="H727" s="4" t="s">
        <v>118</v>
      </c>
      <c r="I727" s="4"/>
      <c r="J727" s="4"/>
      <c r="K727" s="4">
        <v>232</v>
      </c>
      <c r="L727" s="4">
        <v>15</v>
      </c>
      <c r="M727" s="4">
        <v>3</v>
      </c>
      <c r="N727" s="4" t="s">
        <v>3</v>
      </c>
      <c r="O727" s="4">
        <v>2</v>
      </c>
      <c r="P727" s="4"/>
      <c r="Q727" s="4"/>
      <c r="R727" s="4"/>
      <c r="S727" s="4"/>
      <c r="T727" s="4"/>
      <c r="U727" s="4"/>
      <c r="V727" s="4"/>
      <c r="W727" s="4"/>
    </row>
    <row r="728" spans="1:23" x14ac:dyDescent="0.2">
      <c r="A728" s="4">
        <v>50</v>
      </c>
      <c r="B728" s="4">
        <v>0</v>
      </c>
      <c r="C728" s="4">
        <v>0</v>
      </c>
      <c r="D728" s="4">
        <v>1</v>
      </c>
      <c r="E728" s="4">
        <v>214</v>
      </c>
      <c r="F728" s="4">
        <f>ROUND(Source!AS711,O728)</f>
        <v>1746456.35</v>
      </c>
      <c r="G728" s="4" t="s">
        <v>119</v>
      </c>
      <c r="H728" s="4" t="s">
        <v>120</v>
      </c>
      <c r="I728" s="4"/>
      <c r="J728" s="4"/>
      <c r="K728" s="4">
        <v>214</v>
      </c>
      <c r="L728" s="4">
        <v>16</v>
      </c>
      <c r="M728" s="4">
        <v>3</v>
      </c>
      <c r="N728" s="4" t="s">
        <v>3</v>
      </c>
      <c r="O728" s="4">
        <v>2</v>
      </c>
      <c r="P728" s="4"/>
      <c r="Q728" s="4"/>
      <c r="R728" s="4"/>
      <c r="S728" s="4"/>
      <c r="T728" s="4"/>
      <c r="U728" s="4"/>
      <c r="V728" s="4"/>
      <c r="W728" s="4"/>
    </row>
    <row r="729" spans="1:23" x14ac:dyDescent="0.2">
      <c r="A729" s="4">
        <v>50</v>
      </c>
      <c r="B729" s="4">
        <v>0</v>
      </c>
      <c r="C729" s="4">
        <v>0</v>
      </c>
      <c r="D729" s="4">
        <v>1</v>
      </c>
      <c r="E729" s="4">
        <v>215</v>
      </c>
      <c r="F729" s="4">
        <f>ROUND(Source!AT711,O729)</f>
        <v>0</v>
      </c>
      <c r="G729" s="4" t="s">
        <v>121</v>
      </c>
      <c r="H729" s="4" t="s">
        <v>122</v>
      </c>
      <c r="I729" s="4"/>
      <c r="J729" s="4"/>
      <c r="K729" s="4">
        <v>215</v>
      </c>
      <c r="L729" s="4">
        <v>17</v>
      </c>
      <c r="M729" s="4">
        <v>3</v>
      </c>
      <c r="N729" s="4" t="s">
        <v>3</v>
      </c>
      <c r="O729" s="4">
        <v>2</v>
      </c>
      <c r="P729" s="4"/>
      <c r="Q729" s="4"/>
      <c r="R729" s="4"/>
      <c r="S729" s="4"/>
      <c r="T729" s="4"/>
      <c r="U729" s="4"/>
      <c r="V729" s="4"/>
      <c r="W729" s="4"/>
    </row>
    <row r="730" spans="1:23" x14ac:dyDescent="0.2">
      <c r="A730" s="4">
        <v>50</v>
      </c>
      <c r="B730" s="4">
        <v>0</v>
      </c>
      <c r="C730" s="4">
        <v>0</v>
      </c>
      <c r="D730" s="4">
        <v>1</v>
      </c>
      <c r="E730" s="4">
        <v>217</v>
      </c>
      <c r="F730" s="4">
        <f>ROUND(Source!AU711,O730)</f>
        <v>0</v>
      </c>
      <c r="G730" s="4" t="s">
        <v>123</v>
      </c>
      <c r="H730" s="4" t="s">
        <v>124</v>
      </c>
      <c r="I730" s="4"/>
      <c r="J730" s="4"/>
      <c r="K730" s="4">
        <v>217</v>
      </c>
      <c r="L730" s="4">
        <v>18</v>
      </c>
      <c r="M730" s="4">
        <v>3</v>
      </c>
      <c r="N730" s="4" t="s">
        <v>3</v>
      </c>
      <c r="O730" s="4">
        <v>2</v>
      </c>
      <c r="P730" s="4"/>
      <c r="Q730" s="4"/>
      <c r="R730" s="4"/>
      <c r="S730" s="4"/>
      <c r="T730" s="4"/>
      <c r="U730" s="4"/>
      <c r="V730" s="4"/>
      <c r="W730" s="4"/>
    </row>
    <row r="731" spans="1:23" x14ac:dyDescent="0.2">
      <c r="A731" s="4">
        <v>50</v>
      </c>
      <c r="B731" s="4">
        <v>0</v>
      </c>
      <c r="C731" s="4">
        <v>0</v>
      </c>
      <c r="D731" s="4">
        <v>1</v>
      </c>
      <c r="E731" s="4">
        <v>230</v>
      </c>
      <c r="F731" s="4">
        <f>ROUND(Source!BA711,O731)</f>
        <v>0</v>
      </c>
      <c r="G731" s="4" t="s">
        <v>125</v>
      </c>
      <c r="H731" s="4" t="s">
        <v>126</v>
      </c>
      <c r="I731" s="4"/>
      <c r="J731" s="4"/>
      <c r="K731" s="4">
        <v>230</v>
      </c>
      <c r="L731" s="4">
        <v>19</v>
      </c>
      <c r="M731" s="4">
        <v>3</v>
      </c>
      <c r="N731" s="4" t="s">
        <v>3</v>
      </c>
      <c r="O731" s="4">
        <v>2</v>
      </c>
      <c r="P731" s="4"/>
      <c r="Q731" s="4"/>
      <c r="R731" s="4"/>
      <c r="S731" s="4"/>
      <c r="T731" s="4"/>
      <c r="U731" s="4"/>
      <c r="V731" s="4"/>
      <c r="W731" s="4"/>
    </row>
    <row r="732" spans="1:23" x14ac:dyDescent="0.2">
      <c r="A732" s="4">
        <v>50</v>
      </c>
      <c r="B732" s="4">
        <v>0</v>
      </c>
      <c r="C732" s="4">
        <v>0</v>
      </c>
      <c r="D732" s="4">
        <v>1</v>
      </c>
      <c r="E732" s="4">
        <v>206</v>
      </c>
      <c r="F732" s="4">
        <f>ROUND(Source!T711,O732)</f>
        <v>0</v>
      </c>
      <c r="G732" s="4" t="s">
        <v>127</v>
      </c>
      <c r="H732" s="4" t="s">
        <v>128</v>
      </c>
      <c r="I732" s="4"/>
      <c r="J732" s="4"/>
      <c r="K732" s="4">
        <v>206</v>
      </c>
      <c r="L732" s="4">
        <v>20</v>
      </c>
      <c r="M732" s="4">
        <v>3</v>
      </c>
      <c r="N732" s="4" t="s">
        <v>3</v>
      </c>
      <c r="O732" s="4">
        <v>2</v>
      </c>
      <c r="P732" s="4"/>
      <c r="Q732" s="4"/>
      <c r="R732" s="4"/>
      <c r="S732" s="4"/>
      <c r="T732" s="4"/>
      <c r="U732" s="4"/>
      <c r="V732" s="4"/>
      <c r="W732" s="4"/>
    </row>
    <row r="733" spans="1:23" x14ac:dyDescent="0.2">
      <c r="A733" s="4">
        <v>50</v>
      </c>
      <c r="B733" s="4">
        <v>0</v>
      </c>
      <c r="C733" s="4">
        <v>0</v>
      </c>
      <c r="D733" s="4">
        <v>1</v>
      </c>
      <c r="E733" s="4">
        <v>207</v>
      </c>
      <c r="F733" s="4">
        <f>Source!U711</f>
        <v>1965.3098611999999</v>
      </c>
      <c r="G733" s="4" t="s">
        <v>129</v>
      </c>
      <c r="H733" s="4" t="s">
        <v>130</v>
      </c>
      <c r="I733" s="4"/>
      <c r="J733" s="4"/>
      <c r="K733" s="4">
        <v>207</v>
      </c>
      <c r="L733" s="4">
        <v>21</v>
      </c>
      <c r="M733" s="4">
        <v>3</v>
      </c>
      <c r="N733" s="4" t="s">
        <v>3</v>
      </c>
      <c r="O733" s="4">
        <v>-1</v>
      </c>
      <c r="P733" s="4"/>
      <c r="Q733" s="4"/>
      <c r="R733" s="4"/>
      <c r="S733" s="4"/>
      <c r="T733" s="4"/>
      <c r="U733" s="4"/>
      <c r="V733" s="4"/>
      <c r="W733" s="4"/>
    </row>
    <row r="734" spans="1:23" x14ac:dyDescent="0.2">
      <c r="A734" s="4">
        <v>50</v>
      </c>
      <c r="B734" s="4">
        <v>0</v>
      </c>
      <c r="C734" s="4">
        <v>0</v>
      </c>
      <c r="D734" s="4">
        <v>1</v>
      </c>
      <c r="E734" s="4">
        <v>208</v>
      </c>
      <c r="F734" s="4">
        <f>Source!V711</f>
        <v>0</v>
      </c>
      <c r="G734" s="4" t="s">
        <v>131</v>
      </c>
      <c r="H734" s="4" t="s">
        <v>132</v>
      </c>
      <c r="I734" s="4"/>
      <c r="J734" s="4"/>
      <c r="K734" s="4">
        <v>208</v>
      </c>
      <c r="L734" s="4">
        <v>22</v>
      </c>
      <c r="M734" s="4">
        <v>3</v>
      </c>
      <c r="N734" s="4" t="s">
        <v>3</v>
      </c>
      <c r="O734" s="4">
        <v>-1</v>
      </c>
      <c r="P734" s="4"/>
      <c r="Q734" s="4"/>
      <c r="R734" s="4"/>
      <c r="S734" s="4"/>
      <c r="T734" s="4"/>
      <c r="U734" s="4"/>
      <c r="V734" s="4"/>
      <c r="W734" s="4"/>
    </row>
    <row r="735" spans="1:23" x14ac:dyDescent="0.2">
      <c r="A735" s="4">
        <v>50</v>
      </c>
      <c r="B735" s="4">
        <v>0</v>
      </c>
      <c r="C735" s="4">
        <v>0</v>
      </c>
      <c r="D735" s="4">
        <v>1</v>
      </c>
      <c r="E735" s="4">
        <v>209</v>
      </c>
      <c r="F735" s="4">
        <f>ROUND(Source!W711,O735)</f>
        <v>0</v>
      </c>
      <c r="G735" s="4" t="s">
        <v>133</v>
      </c>
      <c r="H735" s="4" t="s">
        <v>134</v>
      </c>
      <c r="I735" s="4"/>
      <c r="J735" s="4"/>
      <c r="K735" s="4">
        <v>209</v>
      </c>
      <c r="L735" s="4">
        <v>23</v>
      </c>
      <c r="M735" s="4">
        <v>3</v>
      </c>
      <c r="N735" s="4" t="s">
        <v>3</v>
      </c>
      <c r="O735" s="4">
        <v>2</v>
      </c>
      <c r="P735" s="4"/>
      <c r="Q735" s="4"/>
      <c r="R735" s="4"/>
      <c r="S735" s="4"/>
      <c r="T735" s="4"/>
      <c r="U735" s="4"/>
      <c r="V735" s="4"/>
      <c r="W735" s="4"/>
    </row>
    <row r="736" spans="1:23" x14ac:dyDescent="0.2">
      <c r="A736" s="4">
        <v>50</v>
      </c>
      <c r="B736" s="4">
        <v>0</v>
      </c>
      <c r="C736" s="4">
        <v>0</v>
      </c>
      <c r="D736" s="4">
        <v>1</v>
      </c>
      <c r="E736" s="4">
        <v>233</v>
      </c>
      <c r="F736" s="4">
        <f>ROUND(Source!BD711,O736)</f>
        <v>0</v>
      </c>
      <c r="G736" s="4" t="s">
        <v>135</v>
      </c>
      <c r="H736" s="4" t="s">
        <v>136</v>
      </c>
      <c r="I736" s="4"/>
      <c r="J736" s="4"/>
      <c r="K736" s="4">
        <v>233</v>
      </c>
      <c r="L736" s="4">
        <v>24</v>
      </c>
      <c r="M736" s="4">
        <v>3</v>
      </c>
      <c r="N736" s="4" t="s">
        <v>3</v>
      </c>
      <c r="O736" s="4">
        <v>2</v>
      </c>
      <c r="P736" s="4"/>
      <c r="Q736" s="4"/>
      <c r="R736" s="4"/>
      <c r="S736" s="4"/>
      <c r="T736" s="4"/>
      <c r="U736" s="4"/>
      <c r="V736" s="4"/>
      <c r="W736" s="4"/>
    </row>
    <row r="737" spans="1:206" x14ac:dyDescent="0.2">
      <c r="A737" s="4">
        <v>50</v>
      </c>
      <c r="B737" s="4">
        <v>0</v>
      </c>
      <c r="C737" s="4">
        <v>0</v>
      </c>
      <c r="D737" s="4">
        <v>1</v>
      </c>
      <c r="E737" s="4">
        <v>210</v>
      </c>
      <c r="F737" s="4">
        <f>ROUND(Source!X711,O737)</f>
        <v>499846.64</v>
      </c>
      <c r="G737" s="4" t="s">
        <v>137</v>
      </c>
      <c r="H737" s="4" t="s">
        <v>138</v>
      </c>
      <c r="I737" s="4"/>
      <c r="J737" s="4"/>
      <c r="K737" s="4">
        <v>210</v>
      </c>
      <c r="L737" s="4">
        <v>25</v>
      </c>
      <c r="M737" s="4">
        <v>3</v>
      </c>
      <c r="N737" s="4" t="s">
        <v>3</v>
      </c>
      <c r="O737" s="4">
        <v>2</v>
      </c>
      <c r="P737" s="4"/>
      <c r="Q737" s="4"/>
      <c r="R737" s="4"/>
      <c r="S737" s="4"/>
      <c r="T737" s="4"/>
      <c r="U737" s="4"/>
      <c r="V737" s="4"/>
      <c r="W737" s="4"/>
    </row>
    <row r="738" spans="1:206" x14ac:dyDescent="0.2">
      <c r="A738" s="4">
        <v>50</v>
      </c>
      <c r="B738" s="4">
        <v>0</v>
      </c>
      <c r="C738" s="4">
        <v>0</v>
      </c>
      <c r="D738" s="4">
        <v>1</v>
      </c>
      <c r="E738" s="4">
        <v>211</v>
      </c>
      <c r="F738" s="4">
        <f>ROUND(Source!Y711,O738)</f>
        <v>245493.56</v>
      </c>
      <c r="G738" s="4" t="s">
        <v>139</v>
      </c>
      <c r="H738" s="4" t="s">
        <v>140</v>
      </c>
      <c r="I738" s="4"/>
      <c r="J738" s="4"/>
      <c r="K738" s="4">
        <v>211</v>
      </c>
      <c r="L738" s="4">
        <v>26</v>
      </c>
      <c r="M738" s="4">
        <v>3</v>
      </c>
      <c r="N738" s="4" t="s">
        <v>3</v>
      </c>
      <c r="O738" s="4">
        <v>2</v>
      </c>
      <c r="P738" s="4"/>
      <c r="Q738" s="4"/>
      <c r="R738" s="4"/>
      <c r="S738" s="4"/>
      <c r="T738" s="4"/>
      <c r="U738" s="4"/>
      <c r="V738" s="4"/>
      <c r="W738" s="4"/>
    </row>
    <row r="739" spans="1:206" x14ac:dyDescent="0.2">
      <c r="A739" s="4">
        <v>50</v>
      </c>
      <c r="B739" s="4">
        <v>0</v>
      </c>
      <c r="C739" s="4">
        <v>0</v>
      </c>
      <c r="D739" s="4">
        <v>1</v>
      </c>
      <c r="E739" s="4">
        <v>224</v>
      </c>
      <c r="F739" s="4">
        <f>ROUND(Source!AR711,O739)</f>
        <v>1746456.35</v>
      </c>
      <c r="G739" s="4" t="s">
        <v>141</v>
      </c>
      <c r="H739" s="4" t="s">
        <v>142</v>
      </c>
      <c r="I739" s="4"/>
      <c r="J739" s="4"/>
      <c r="K739" s="4">
        <v>224</v>
      </c>
      <c r="L739" s="4">
        <v>27</v>
      </c>
      <c r="M739" s="4">
        <v>3</v>
      </c>
      <c r="N739" s="4" t="s">
        <v>3</v>
      </c>
      <c r="O739" s="4">
        <v>2</v>
      </c>
      <c r="P739" s="4"/>
      <c r="Q739" s="4"/>
      <c r="R739" s="4"/>
      <c r="S739" s="4"/>
      <c r="T739" s="4"/>
      <c r="U739" s="4"/>
      <c r="V739" s="4"/>
      <c r="W739" s="4"/>
    </row>
    <row r="740" spans="1:206" x14ac:dyDescent="0.2">
      <c r="A740" s="4">
        <v>50</v>
      </c>
      <c r="B740" s="4">
        <v>1</v>
      </c>
      <c r="C740" s="4">
        <v>0</v>
      </c>
      <c r="D740" s="4">
        <v>2</v>
      </c>
      <c r="E740" s="4">
        <v>0</v>
      </c>
      <c r="F740" s="4">
        <f>ROUND(F739*1.2,O740)</f>
        <v>2095747.62</v>
      </c>
      <c r="G740" s="4" t="s">
        <v>15</v>
      </c>
      <c r="H740" s="4" t="s">
        <v>239</v>
      </c>
      <c r="I740" s="4"/>
      <c r="J740" s="4"/>
      <c r="K740" s="4">
        <v>212</v>
      </c>
      <c r="L740" s="4">
        <v>28</v>
      </c>
      <c r="M740" s="4">
        <v>0</v>
      </c>
      <c r="N740" s="4" t="s">
        <v>3</v>
      </c>
      <c r="O740" s="4">
        <v>2</v>
      </c>
      <c r="P740" s="4"/>
      <c r="Q740" s="4"/>
      <c r="R740" s="4"/>
      <c r="S740" s="4"/>
      <c r="T740" s="4"/>
      <c r="U740" s="4"/>
      <c r="V740" s="4"/>
      <c r="W740" s="4"/>
    </row>
    <row r="742" spans="1:206" x14ac:dyDescent="0.2">
      <c r="A742" s="1">
        <v>4</v>
      </c>
      <c r="B742" s="1">
        <v>1</v>
      </c>
      <c r="C742" s="1"/>
      <c r="D742" s="1">
        <f>ROW(A746)</f>
        <v>746</v>
      </c>
      <c r="E742" s="1"/>
      <c r="F742" s="1" t="s">
        <v>13</v>
      </c>
      <c r="G742" s="1" t="s">
        <v>435</v>
      </c>
      <c r="H742" s="1" t="s">
        <v>3</v>
      </c>
      <c r="I742" s="1">
        <v>0</v>
      </c>
      <c r="J742" s="1"/>
      <c r="K742" s="1">
        <v>0</v>
      </c>
      <c r="L742" s="1"/>
      <c r="M742" s="1"/>
      <c r="N742" s="1"/>
      <c r="O742" s="1"/>
      <c r="P742" s="1"/>
      <c r="Q742" s="1"/>
      <c r="R742" s="1"/>
      <c r="S742" s="1"/>
      <c r="T742" s="1"/>
      <c r="U742" s="1" t="s">
        <v>3</v>
      </c>
      <c r="V742" s="1">
        <v>0</v>
      </c>
      <c r="W742" s="1"/>
      <c r="X742" s="1"/>
      <c r="Y742" s="1"/>
      <c r="Z742" s="1"/>
      <c r="AA742" s="1"/>
      <c r="AB742" s="1" t="s">
        <v>3</v>
      </c>
      <c r="AC742" s="1" t="s">
        <v>3</v>
      </c>
      <c r="AD742" s="1" t="s">
        <v>3</v>
      </c>
      <c r="AE742" s="1" t="s">
        <v>3</v>
      </c>
      <c r="AF742" s="1" t="s">
        <v>3</v>
      </c>
      <c r="AG742" s="1" t="s">
        <v>3</v>
      </c>
      <c r="AH742" s="1"/>
      <c r="AI742" s="1"/>
      <c r="AJ742" s="1"/>
      <c r="AK742" s="1"/>
      <c r="AL742" s="1"/>
      <c r="AM742" s="1"/>
      <c r="AN742" s="1"/>
      <c r="AO742" s="1"/>
      <c r="AP742" s="1" t="s">
        <v>3</v>
      </c>
      <c r="AQ742" s="1" t="s">
        <v>3</v>
      </c>
      <c r="AR742" s="1" t="s">
        <v>3</v>
      </c>
      <c r="AS742" s="1"/>
      <c r="AT742" s="1"/>
      <c r="AU742" s="1"/>
      <c r="AV742" s="1"/>
      <c r="AW742" s="1"/>
      <c r="AX742" s="1"/>
      <c r="AY742" s="1"/>
      <c r="AZ742" s="1" t="s">
        <v>3</v>
      </c>
      <c r="BA742" s="1"/>
      <c r="BB742" s="1" t="s">
        <v>3</v>
      </c>
      <c r="BC742" s="1" t="s">
        <v>3</v>
      </c>
      <c r="BD742" s="1" t="s">
        <v>3</v>
      </c>
      <c r="BE742" s="1" t="s">
        <v>3</v>
      </c>
      <c r="BF742" s="1" t="s">
        <v>3</v>
      </c>
      <c r="BG742" s="1" t="s">
        <v>3</v>
      </c>
      <c r="BH742" s="1" t="s">
        <v>3</v>
      </c>
      <c r="BI742" s="1" t="s">
        <v>3</v>
      </c>
      <c r="BJ742" s="1" t="s">
        <v>3</v>
      </c>
      <c r="BK742" s="1" t="s">
        <v>3</v>
      </c>
      <c r="BL742" s="1" t="s">
        <v>3</v>
      </c>
      <c r="BM742" s="1" t="s">
        <v>3</v>
      </c>
      <c r="BN742" s="1" t="s">
        <v>3</v>
      </c>
      <c r="BO742" s="1" t="s">
        <v>3</v>
      </c>
      <c r="BP742" s="1" t="s">
        <v>3</v>
      </c>
      <c r="BQ742" s="1"/>
      <c r="BR742" s="1"/>
      <c r="BS742" s="1"/>
      <c r="BT742" s="1"/>
      <c r="BU742" s="1"/>
      <c r="BV742" s="1"/>
      <c r="BW742" s="1"/>
      <c r="BX742" s="1">
        <v>0</v>
      </c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>
        <v>0</v>
      </c>
    </row>
    <row r="744" spans="1:206" x14ac:dyDescent="0.2">
      <c r="A744" s="2">
        <v>52</v>
      </c>
      <c r="B744" s="2">
        <f t="shared" ref="B744:G744" si="601">B746</f>
        <v>1</v>
      </c>
      <c r="C744" s="2">
        <f t="shared" si="601"/>
        <v>4</v>
      </c>
      <c r="D744" s="2">
        <f t="shared" si="601"/>
        <v>742</v>
      </c>
      <c r="E744" s="2">
        <f t="shared" si="601"/>
        <v>0</v>
      </c>
      <c r="F744" s="2" t="str">
        <f t="shared" si="601"/>
        <v>Новый раздел</v>
      </c>
      <c r="G744" s="2" t="str">
        <f t="shared" si="601"/>
        <v>29. Устройство покрытия площадок для выгула домашних животных</v>
      </c>
      <c r="H744" s="2"/>
      <c r="I744" s="2"/>
      <c r="J744" s="2"/>
      <c r="K744" s="2"/>
      <c r="L744" s="2"/>
      <c r="M744" s="2"/>
      <c r="N744" s="2"/>
      <c r="O744" s="2">
        <f t="shared" ref="O744:AT744" si="602">O746</f>
        <v>0</v>
      </c>
      <c r="P744" s="2">
        <f t="shared" si="602"/>
        <v>0</v>
      </c>
      <c r="Q744" s="2">
        <f t="shared" si="602"/>
        <v>0</v>
      </c>
      <c r="R744" s="2">
        <f t="shared" si="602"/>
        <v>0</v>
      </c>
      <c r="S744" s="2">
        <f t="shared" si="602"/>
        <v>0</v>
      </c>
      <c r="T744" s="2">
        <f t="shared" si="602"/>
        <v>0</v>
      </c>
      <c r="U744" s="2">
        <f t="shared" si="602"/>
        <v>0</v>
      </c>
      <c r="V744" s="2">
        <f t="shared" si="602"/>
        <v>0</v>
      </c>
      <c r="W744" s="2">
        <f t="shared" si="602"/>
        <v>0</v>
      </c>
      <c r="X744" s="2">
        <f t="shared" si="602"/>
        <v>0</v>
      </c>
      <c r="Y744" s="2">
        <f t="shared" si="602"/>
        <v>0</v>
      </c>
      <c r="Z744" s="2">
        <f t="shared" si="602"/>
        <v>0</v>
      </c>
      <c r="AA744" s="2">
        <f t="shared" si="602"/>
        <v>0</v>
      </c>
      <c r="AB744" s="2">
        <f t="shared" si="602"/>
        <v>0</v>
      </c>
      <c r="AC744" s="2">
        <f t="shared" si="602"/>
        <v>0</v>
      </c>
      <c r="AD744" s="2">
        <f t="shared" si="602"/>
        <v>0</v>
      </c>
      <c r="AE744" s="2">
        <f t="shared" si="602"/>
        <v>0</v>
      </c>
      <c r="AF744" s="2">
        <f t="shared" si="602"/>
        <v>0</v>
      </c>
      <c r="AG744" s="2">
        <f t="shared" si="602"/>
        <v>0</v>
      </c>
      <c r="AH744" s="2">
        <f t="shared" si="602"/>
        <v>0</v>
      </c>
      <c r="AI744" s="2">
        <f t="shared" si="602"/>
        <v>0</v>
      </c>
      <c r="AJ744" s="2">
        <f t="shared" si="602"/>
        <v>0</v>
      </c>
      <c r="AK744" s="2">
        <f t="shared" si="602"/>
        <v>0</v>
      </c>
      <c r="AL744" s="2">
        <f t="shared" si="602"/>
        <v>0</v>
      </c>
      <c r="AM744" s="2">
        <f t="shared" si="602"/>
        <v>0</v>
      </c>
      <c r="AN744" s="2">
        <f t="shared" si="602"/>
        <v>0</v>
      </c>
      <c r="AO744" s="2">
        <f t="shared" si="602"/>
        <v>0</v>
      </c>
      <c r="AP744" s="2">
        <f t="shared" si="602"/>
        <v>0</v>
      </c>
      <c r="AQ744" s="2">
        <f t="shared" si="602"/>
        <v>0</v>
      </c>
      <c r="AR744" s="2">
        <f t="shared" si="602"/>
        <v>0</v>
      </c>
      <c r="AS744" s="2">
        <f t="shared" si="602"/>
        <v>0</v>
      </c>
      <c r="AT744" s="2">
        <f t="shared" si="602"/>
        <v>0</v>
      </c>
      <c r="AU744" s="2">
        <f t="shared" ref="AU744:BZ744" si="603">AU746</f>
        <v>0</v>
      </c>
      <c r="AV744" s="2">
        <f t="shared" si="603"/>
        <v>0</v>
      </c>
      <c r="AW744" s="2">
        <f t="shared" si="603"/>
        <v>0</v>
      </c>
      <c r="AX744" s="2">
        <f t="shared" si="603"/>
        <v>0</v>
      </c>
      <c r="AY744" s="2">
        <f t="shared" si="603"/>
        <v>0</v>
      </c>
      <c r="AZ744" s="2">
        <f t="shared" si="603"/>
        <v>0</v>
      </c>
      <c r="BA744" s="2">
        <f t="shared" si="603"/>
        <v>0</v>
      </c>
      <c r="BB744" s="2">
        <f t="shared" si="603"/>
        <v>0</v>
      </c>
      <c r="BC744" s="2">
        <f t="shared" si="603"/>
        <v>0</v>
      </c>
      <c r="BD744" s="2">
        <f t="shared" si="603"/>
        <v>0</v>
      </c>
      <c r="BE744" s="2">
        <f t="shared" si="603"/>
        <v>0</v>
      </c>
      <c r="BF744" s="2">
        <f t="shared" si="603"/>
        <v>0</v>
      </c>
      <c r="BG744" s="2">
        <f t="shared" si="603"/>
        <v>0</v>
      </c>
      <c r="BH744" s="2">
        <f t="shared" si="603"/>
        <v>0</v>
      </c>
      <c r="BI744" s="2">
        <f t="shared" si="603"/>
        <v>0</v>
      </c>
      <c r="BJ744" s="2">
        <f t="shared" si="603"/>
        <v>0</v>
      </c>
      <c r="BK744" s="2">
        <f t="shared" si="603"/>
        <v>0</v>
      </c>
      <c r="BL744" s="2">
        <f t="shared" si="603"/>
        <v>0</v>
      </c>
      <c r="BM744" s="2">
        <f t="shared" si="603"/>
        <v>0</v>
      </c>
      <c r="BN744" s="2">
        <f t="shared" si="603"/>
        <v>0</v>
      </c>
      <c r="BO744" s="2">
        <f t="shared" si="603"/>
        <v>0</v>
      </c>
      <c r="BP744" s="2">
        <f t="shared" si="603"/>
        <v>0</v>
      </c>
      <c r="BQ744" s="2">
        <f t="shared" si="603"/>
        <v>0</v>
      </c>
      <c r="BR744" s="2">
        <f t="shared" si="603"/>
        <v>0</v>
      </c>
      <c r="BS744" s="2">
        <f t="shared" si="603"/>
        <v>0</v>
      </c>
      <c r="BT744" s="2">
        <f t="shared" si="603"/>
        <v>0</v>
      </c>
      <c r="BU744" s="2">
        <f t="shared" si="603"/>
        <v>0</v>
      </c>
      <c r="BV744" s="2">
        <f t="shared" si="603"/>
        <v>0</v>
      </c>
      <c r="BW744" s="2">
        <f t="shared" si="603"/>
        <v>0</v>
      </c>
      <c r="BX744" s="2">
        <f t="shared" si="603"/>
        <v>0</v>
      </c>
      <c r="BY744" s="2">
        <f t="shared" si="603"/>
        <v>0</v>
      </c>
      <c r="BZ744" s="2">
        <f t="shared" si="603"/>
        <v>0</v>
      </c>
      <c r="CA744" s="2">
        <f t="shared" ref="CA744:DF744" si="604">CA746</f>
        <v>0</v>
      </c>
      <c r="CB744" s="2">
        <f t="shared" si="604"/>
        <v>0</v>
      </c>
      <c r="CC744" s="2">
        <f t="shared" si="604"/>
        <v>0</v>
      </c>
      <c r="CD744" s="2">
        <f t="shared" si="604"/>
        <v>0</v>
      </c>
      <c r="CE744" s="2">
        <f t="shared" si="604"/>
        <v>0</v>
      </c>
      <c r="CF744" s="2">
        <f t="shared" si="604"/>
        <v>0</v>
      </c>
      <c r="CG744" s="2">
        <f t="shared" si="604"/>
        <v>0</v>
      </c>
      <c r="CH744" s="2">
        <f t="shared" si="604"/>
        <v>0</v>
      </c>
      <c r="CI744" s="2">
        <f t="shared" si="604"/>
        <v>0</v>
      </c>
      <c r="CJ744" s="2">
        <f t="shared" si="604"/>
        <v>0</v>
      </c>
      <c r="CK744" s="2">
        <f t="shared" si="604"/>
        <v>0</v>
      </c>
      <c r="CL744" s="2">
        <f t="shared" si="604"/>
        <v>0</v>
      </c>
      <c r="CM744" s="2">
        <f t="shared" si="604"/>
        <v>0</v>
      </c>
      <c r="CN744" s="2">
        <f t="shared" si="604"/>
        <v>0</v>
      </c>
      <c r="CO744" s="2">
        <f t="shared" si="604"/>
        <v>0</v>
      </c>
      <c r="CP744" s="2">
        <f t="shared" si="604"/>
        <v>0</v>
      </c>
      <c r="CQ744" s="2">
        <f t="shared" si="604"/>
        <v>0</v>
      </c>
      <c r="CR744" s="2">
        <f t="shared" si="604"/>
        <v>0</v>
      </c>
      <c r="CS744" s="2">
        <f t="shared" si="604"/>
        <v>0</v>
      </c>
      <c r="CT744" s="2">
        <f t="shared" si="604"/>
        <v>0</v>
      </c>
      <c r="CU744" s="2">
        <f t="shared" si="604"/>
        <v>0</v>
      </c>
      <c r="CV744" s="2">
        <f t="shared" si="604"/>
        <v>0</v>
      </c>
      <c r="CW744" s="2">
        <f t="shared" si="604"/>
        <v>0</v>
      </c>
      <c r="CX744" s="2">
        <f t="shared" si="604"/>
        <v>0</v>
      </c>
      <c r="CY744" s="2">
        <f t="shared" si="604"/>
        <v>0</v>
      </c>
      <c r="CZ744" s="2">
        <f t="shared" si="604"/>
        <v>0</v>
      </c>
      <c r="DA744" s="2">
        <f t="shared" si="604"/>
        <v>0</v>
      </c>
      <c r="DB744" s="2">
        <f t="shared" si="604"/>
        <v>0</v>
      </c>
      <c r="DC744" s="2">
        <f t="shared" si="604"/>
        <v>0</v>
      </c>
      <c r="DD744" s="2">
        <f t="shared" si="604"/>
        <v>0</v>
      </c>
      <c r="DE744" s="2">
        <f t="shared" si="604"/>
        <v>0</v>
      </c>
      <c r="DF744" s="2">
        <f t="shared" si="604"/>
        <v>0</v>
      </c>
      <c r="DG744" s="3">
        <f t="shared" ref="DG744:EL744" si="605">DG746</f>
        <v>0</v>
      </c>
      <c r="DH744" s="3">
        <f t="shared" si="605"/>
        <v>0</v>
      </c>
      <c r="DI744" s="3">
        <f t="shared" si="605"/>
        <v>0</v>
      </c>
      <c r="DJ744" s="3">
        <f t="shared" si="605"/>
        <v>0</v>
      </c>
      <c r="DK744" s="3">
        <f t="shared" si="605"/>
        <v>0</v>
      </c>
      <c r="DL744" s="3">
        <f t="shared" si="605"/>
        <v>0</v>
      </c>
      <c r="DM744" s="3">
        <f t="shared" si="605"/>
        <v>0</v>
      </c>
      <c r="DN744" s="3">
        <f t="shared" si="605"/>
        <v>0</v>
      </c>
      <c r="DO744" s="3">
        <f t="shared" si="605"/>
        <v>0</v>
      </c>
      <c r="DP744" s="3">
        <f t="shared" si="605"/>
        <v>0</v>
      </c>
      <c r="DQ744" s="3">
        <f t="shared" si="605"/>
        <v>0</v>
      </c>
      <c r="DR744" s="3">
        <f t="shared" si="605"/>
        <v>0</v>
      </c>
      <c r="DS744" s="3">
        <f t="shared" si="605"/>
        <v>0</v>
      </c>
      <c r="DT744" s="3">
        <f t="shared" si="605"/>
        <v>0</v>
      </c>
      <c r="DU744" s="3">
        <f t="shared" si="605"/>
        <v>0</v>
      </c>
      <c r="DV744" s="3">
        <f t="shared" si="605"/>
        <v>0</v>
      </c>
      <c r="DW744" s="3">
        <f t="shared" si="605"/>
        <v>0</v>
      </c>
      <c r="DX744" s="3">
        <f t="shared" si="605"/>
        <v>0</v>
      </c>
      <c r="DY744" s="3">
        <f t="shared" si="605"/>
        <v>0</v>
      </c>
      <c r="DZ744" s="3">
        <f t="shared" si="605"/>
        <v>0</v>
      </c>
      <c r="EA744" s="3">
        <f t="shared" si="605"/>
        <v>0</v>
      </c>
      <c r="EB744" s="3">
        <f t="shared" si="605"/>
        <v>0</v>
      </c>
      <c r="EC744" s="3">
        <f t="shared" si="605"/>
        <v>0</v>
      </c>
      <c r="ED744" s="3">
        <f t="shared" si="605"/>
        <v>0</v>
      </c>
      <c r="EE744" s="3">
        <f t="shared" si="605"/>
        <v>0</v>
      </c>
      <c r="EF744" s="3">
        <f t="shared" si="605"/>
        <v>0</v>
      </c>
      <c r="EG744" s="3">
        <f t="shared" si="605"/>
        <v>0</v>
      </c>
      <c r="EH744" s="3">
        <f t="shared" si="605"/>
        <v>0</v>
      </c>
      <c r="EI744" s="3">
        <f t="shared" si="605"/>
        <v>0</v>
      </c>
      <c r="EJ744" s="3">
        <f t="shared" si="605"/>
        <v>0</v>
      </c>
      <c r="EK744" s="3">
        <f t="shared" si="605"/>
        <v>0</v>
      </c>
      <c r="EL744" s="3">
        <f t="shared" si="605"/>
        <v>0</v>
      </c>
      <c r="EM744" s="3">
        <f t="shared" ref="EM744:FR744" si="606">EM746</f>
        <v>0</v>
      </c>
      <c r="EN744" s="3">
        <f t="shared" si="606"/>
        <v>0</v>
      </c>
      <c r="EO744" s="3">
        <f t="shared" si="606"/>
        <v>0</v>
      </c>
      <c r="EP744" s="3">
        <f t="shared" si="606"/>
        <v>0</v>
      </c>
      <c r="EQ744" s="3">
        <f t="shared" si="606"/>
        <v>0</v>
      </c>
      <c r="ER744" s="3">
        <f t="shared" si="606"/>
        <v>0</v>
      </c>
      <c r="ES744" s="3">
        <f t="shared" si="606"/>
        <v>0</v>
      </c>
      <c r="ET744" s="3">
        <f t="shared" si="606"/>
        <v>0</v>
      </c>
      <c r="EU744" s="3">
        <f t="shared" si="606"/>
        <v>0</v>
      </c>
      <c r="EV744" s="3">
        <f t="shared" si="606"/>
        <v>0</v>
      </c>
      <c r="EW744" s="3">
        <f t="shared" si="606"/>
        <v>0</v>
      </c>
      <c r="EX744" s="3">
        <f t="shared" si="606"/>
        <v>0</v>
      </c>
      <c r="EY744" s="3">
        <f t="shared" si="606"/>
        <v>0</v>
      </c>
      <c r="EZ744" s="3">
        <f t="shared" si="606"/>
        <v>0</v>
      </c>
      <c r="FA744" s="3">
        <f t="shared" si="606"/>
        <v>0</v>
      </c>
      <c r="FB744" s="3">
        <f t="shared" si="606"/>
        <v>0</v>
      </c>
      <c r="FC744" s="3">
        <f t="shared" si="606"/>
        <v>0</v>
      </c>
      <c r="FD744" s="3">
        <f t="shared" si="606"/>
        <v>0</v>
      </c>
      <c r="FE744" s="3">
        <f t="shared" si="606"/>
        <v>0</v>
      </c>
      <c r="FF744" s="3">
        <f t="shared" si="606"/>
        <v>0</v>
      </c>
      <c r="FG744" s="3">
        <f t="shared" si="606"/>
        <v>0</v>
      </c>
      <c r="FH744" s="3">
        <f t="shared" si="606"/>
        <v>0</v>
      </c>
      <c r="FI744" s="3">
        <f t="shared" si="606"/>
        <v>0</v>
      </c>
      <c r="FJ744" s="3">
        <f t="shared" si="606"/>
        <v>0</v>
      </c>
      <c r="FK744" s="3">
        <f t="shared" si="606"/>
        <v>0</v>
      </c>
      <c r="FL744" s="3">
        <f t="shared" si="606"/>
        <v>0</v>
      </c>
      <c r="FM744" s="3">
        <f t="shared" si="606"/>
        <v>0</v>
      </c>
      <c r="FN744" s="3">
        <f t="shared" si="606"/>
        <v>0</v>
      </c>
      <c r="FO744" s="3">
        <f t="shared" si="606"/>
        <v>0</v>
      </c>
      <c r="FP744" s="3">
        <f t="shared" si="606"/>
        <v>0</v>
      </c>
      <c r="FQ744" s="3">
        <f t="shared" si="606"/>
        <v>0</v>
      </c>
      <c r="FR744" s="3">
        <f t="shared" si="606"/>
        <v>0</v>
      </c>
      <c r="FS744" s="3">
        <f t="shared" ref="FS744:GX744" si="607">FS746</f>
        <v>0</v>
      </c>
      <c r="FT744" s="3">
        <f t="shared" si="607"/>
        <v>0</v>
      </c>
      <c r="FU744" s="3">
        <f t="shared" si="607"/>
        <v>0</v>
      </c>
      <c r="FV744" s="3">
        <f t="shared" si="607"/>
        <v>0</v>
      </c>
      <c r="FW744" s="3">
        <f t="shared" si="607"/>
        <v>0</v>
      </c>
      <c r="FX744" s="3">
        <f t="shared" si="607"/>
        <v>0</v>
      </c>
      <c r="FY744" s="3">
        <f t="shared" si="607"/>
        <v>0</v>
      </c>
      <c r="FZ744" s="3">
        <f t="shared" si="607"/>
        <v>0</v>
      </c>
      <c r="GA744" s="3">
        <f t="shared" si="607"/>
        <v>0</v>
      </c>
      <c r="GB744" s="3">
        <f t="shared" si="607"/>
        <v>0</v>
      </c>
      <c r="GC744" s="3">
        <f t="shared" si="607"/>
        <v>0</v>
      </c>
      <c r="GD744" s="3">
        <f t="shared" si="607"/>
        <v>0</v>
      </c>
      <c r="GE744" s="3">
        <f t="shared" si="607"/>
        <v>0</v>
      </c>
      <c r="GF744" s="3">
        <f t="shared" si="607"/>
        <v>0</v>
      </c>
      <c r="GG744" s="3">
        <f t="shared" si="607"/>
        <v>0</v>
      </c>
      <c r="GH744" s="3">
        <f t="shared" si="607"/>
        <v>0</v>
      </c>
      <c r="GI744" s="3">
        <f t="shared" si="607"/>
        <v>0</v>
      </c>
      <c r="GJ744" s="3">
        <f t="shared" si="607"/>
        <v>0</v>
      </c>
      <c r="GK744" s="3">
        <f t="shared" si="607"/>
        <v>0</v>
      </c>
      <c r="GL744" s="3">
        <f t="shared" si="607"/>
        <v>0</v>
      </c>
      <c r="GM744" s="3">
        <f t="shared" si="607"/>
        <v>0</v>
      </c>
      <c r="GN744" s="3">
        <f t="shared" si="607"/>
        <v>0</v>
      </c>
      <c r="GO744" s="3">
        <f t="shared" si="607"/>
        <v>0</v>
      </c>
      <c r="GP744" s="3">
        <f t="shared" si="607"/>
        <v>0</v>
      </c>
      <c r="GQ744" s="3">
        <f t="shared" si="607"/>
        <v>0</v>
      </c>
      <c r="GR744" s="3">
        <f t="shared" si="607"/>
        <v>0</v>
      </c>
      <c r="GS744" s="3">
        <f t="shared" si="607"/>
        <v>0</v>
      </c>
      <c r="GT744" s="3">
        <f t="shared" si="607"/>
        <v>0</v>
      </c>
      <c r="GU744" s="3">
        <f t="shared" si="607"/>
        <v>0</v>
      </c>
      <c r="GV744" s="3">
        <f t="shared" si="607"/>
        <v>0</v>
      </c>
      <c r="GW744" s="3">
        <f t="shared" si="607"/>
        <v>0</v>
      </c>
      <c r="GX744" s="3">
        <f t="shared" si="607"/>
        <v>0</v>
      </c>
    </row>
    <row r="746" spans="1:206" x14ac:dyDescent="0.2">
      <c r="A746" s="2">
        <v>51</v>
      </c>
      <c r="B746" s="2">
        <f>B742</f>
        <v>1</v>
      </c>
      <c r="C746" s="2">
        <f>A742</f>
        <v>4</v>
      </c>
      <c r="D746" s="2">
        <f>ROW(A742)</f>
        <v>742</v>
      </c>
      <c r="E746" s="2"/>
      <c r="F746" s="2" t="str">
        <f>IF(F742&lt;&gt;"",F742,"")</f>
        <v>Новый раздел</v>
      </c>
      <c r="G746" s="2" t="str">
        <f>IF(G742&lt;&gt;"",G742,"")</f>
        <v>29. Устройство покрытия площадок для выгула домашних животных</v>
      </c>
      <c r="H746" s="2">
        <v>0</v>
      </c>
      <c r="I746" s="2"/>
      <c r="J746" s="2"/>
      <c r="K746" s="2"/>
      <c r="L746" s="2"/>
      <c r="M746" s="2"/>
      <c r="N746" s="2"/>
      <c r="O746" s="2">
        <f t="shared" ref="O746:T746" si="608">ROUND(AB746,2)</f>
        <v>0</v>
      </c>
      <c r="P746" s="2">
        <f t="shared" si="608"/>
        <v>0</v>
      </c>
      <c r="Q746" s="2">
        <f t="shared" si="608"/>
        <v>0</v>
      </c>
      <c r="R746" s="2">
        <f t="shared" si="608"/>
        <v>0</v>
      </c>
      <c r="S746" s="2">
        <f t="shared" si="608"/>
        <v>0</v>
      </c>
      <c r="T746" s="2">
        <f t="shared" si="608"/>
        <v>0</v>
      </c>
      <c r="U746" s="2">
        <f>AH746</f>
        <v>0</v>
      </c>
      <c r="V746" s="2">
        <f>AI746</f>
        <v>0</v>
      </c>
      <c r="W746" s="2">
        <f>ROUND(AJ746,2)</f>
        <v>0</v>
      </c>
      <c r="X746" s="2">
        <f>ROUND(AK746,2)</f>
        <v>0</v>
      </c>
      <c r="Y746" s="2">
        <f>ROUND(AL746,2)</f>
        <v>0</v>
      </c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>
        <f t="shared" ref="AO746:BD746" si="609">ROUND(BX746,2)</f>
        <v>0</v>
      </c>
      <c r="AP746" s="2">
        <f t="shared" si="609"/>
        <v>0</v>
      </c>
      <c r="AQ746" s="2">
        <f t="shared" si="609"/>
        <v>0</v>
      </c>
      <c r="AR746" s="2">
        <f t="shared" si="609"/>
        <v>0</v>
      </c>
      <c r="AS746" s="2">
        <f t="shared" si="609"/>
        <v>0</v>
      </c>
      <c r="AT746" s="2">
        <f t="shared" si="609"/>
        <v>0</v>
      </c>
      <c r="AU746" s="2">
        <f t="shared" si="609"/>
        <v>0</v>
      </c>
      <c r="AV746" s="2">
        <f t="shared" si="609"/>
        <v>0</v>
      </c>
      <c r="AW746" s="2">
        <f t="shared" si="609"/>
        <v>0</v>
      </c>
      <c r="AX746" s="2">
        <f t="shared" si="609"/>
        <v>0</v>
      </c>
      <c r="AY746" s="2">
        <f t="shared" si="609"/>
        <v>0</v>
      </c>
      <c r="AZ746" s="2">
        <f t="shared" si="609"/>
        <v>0</v>
      </c>
      <c r="BA746" s="2">
        <f t="shared" si="609"/>
        <v>0</v>
      </c>
      <c r="BB746" s="2">
        <f t="shared" si="609"/>
        <v>0</v>
      </c>
      <c r="BC746" s="2">
        <f t="shared" si="609"/>
        <v>0</v>
      </c>
      <c r="BD746" s="2">
        <f t="shared" si="609"/>
        <v>0</v>
      </c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>
        <v>0</v>
      </c>
    </row>
    <row r="748" spans="1:206" x14ac:dyDescent="0.2">
      <c r="A748" s="4">
        <v>50</v>
      </c>
      <c r="B748" s="4">
        <v>0</v>
      </c>
      <c r="C748" s="4">
        <v>0</v>
      </c>
      <c r="D748" s="4">
        <v>1</v>
      </c>
      <c r="E748" s="4">
        <v>201</v>
      </c>
      <c r="F748" s="4">
        <f>ROUND(Source!O746,O748)</f>
        <v>0</v>
      </c>
      <c r="G748" s="4" t="s">
        <v>89</v>
      </c>
      <c r="H748" s="4" t="s">
        <v>90</v>
      </c>
      <c r="I748" s="4"/>
      <c r="J748" s="4"/>
      <c r="K748" s="4">
        <v>201</v>
      </c>
      <c r="L748" s="4">
        <v>1</v>
      </c>
      <c r="M748" s="4">
        <v>3</v>
      </c>
      <c r="N748" s="4" t="s">
        <v>3</v>
      </c>
      <c r="O748" s="4">
        <v>2</v>
      </c>
      <c r="P748" s="4"/>
      <c r="Q748" s="4"/>
      <c r="R748" s="4"/>
      <c r="S748" s="4"/>
      <c r="T748" s="4"/>
      <c r="U748" s="4"/>
      <c r="V748" s="4"/>
      <c r="W748" s="4"/>
    </row>
    <row r="749" spans="1:206" x14ac:dyDescent="0.2">
      <c r="A749" s="4">
        <v>50</v>
      </c>
      <c r="B749" s="4">
        <v>0</v>
      </c>
      <c r="C749" s="4">
        <v>0</v>
      </c>
      <c r="D749" s="4">
        <v>1</v>
      </c>
      <c r="E749" s="4">
        <v>202</v>
      </c>
      <c r="F749" s="4">
        <f>ROUND(Source!P746,O749)</f>
        <v>0</v>
      </c>
      <c r="G749" s="4" t="s">
        <v>91</v>
      </c>
      <c r="H749" s="4" t="s">
        <v>92</v>
      </c>
      <c r="I749" s="4"/>
      <c r="J749" s="4"/>
      <c r="K749" s="4">
        <v>202</v>
      </c>
      <c r="L749" s="4">
        <v>2</v>
      </c>
      <c r="M749" s="4">
        <v>3</v>
      </c>
      <c r="N749" s="4" t="s">
        <v>3</v>
      </c>
      <c r="O749" s="4">
        <v>2</v>
      </c>
      <c r="P749" s="4"/>
      <c r="Q749" s="4"/>
      <c r="R749" s="4"/>
      <c r="S749" s="4"/>
      <c r="T749" s="4"/>
      <c r="U749" s="4"/>
      <c r="V749" s="4"/>
      <c r="W749" s="4"/>
    </row>
    <row r="750" spans="1:206" x14ac:dyDescent="0.2">
      <c r="A750" s="4">
        <v>50</v>
      </c>
      <c r="B750" s="4">
        <v>0</v>
      </c>
      <c r="C750" s="4">
        <v>0</v>
      </c>
      <c r="D750" s="4">
        <v>1</v>
      </c>
      <c r="E750" s="4">
        <v>222</v>
      </c>
      <c r="F750" s="4">
        <f>ROUND(Source!AO746,O750)</f>
        <v>0</v>
      </c>
      <c r="G750" s="4" t="s">
        <v>93</v>
      </c>
      <c r="H750" s="4" t="s">
        <v>94</v>
      </c>
      <c r="I750" s="4"/>
      <c r="J750" s="4"/>
      <c r="K750" s="4">
        <v>222</v>
      </c>
      <c r="L750" s="4">
        <v>3</v>
      </c>
      <c r="M750" s="4">
        <v>3</v>
      </c>
      <c r="N750" s="4" t="s">
        <v>3</v>
      </c>
      <c r="O750" s="4">
        <v>2</v>
      </c>
      <c r="P750" s="4"/>
      <c r="Q750" s="4"/>
      <c r="R750" s="4"/>
      <c r="S750" s="4"/>
      <c r="T750" s="4"/>
      <c r="U750" s="4"/>
      <c r="V750" s="4"/>
      <c r="W750" s="4"/>
    </row>
    <row r="751" spans="1:206" x14ac:dyDescent="0.2">
      <c r="A751" s="4">
        <v>50</v>
      </c>
      <c r="B751" s="4">
        <v>0</v>
      </c>
      <c r="C751" s="4">
        <v>0</v>
      </c>
      <c r="D751" s="4">
        <v>1</v>
      </c>
      <c r="E751" s="4">
        <v>225</v>
      </c>
      <c r="F751" s="4">
        <f>ROUND(Source!AV746,O751)</f>
        <v>0</v>
      </c>
      <c r="G751" s="4" t="s">
        <v>95</v>
      </c>
      <c r="H751" s="4" t="s">
        <v>96</v>
      </c>
      <c r="I751" s="4"/>
      <c r="J751" s="4"/>
      <c r="K751" s="4">
        <v>225</v>
      </c>
      <c r="L751" s="4">
        <v>4</v>
      </c>
      <c r="M751" s="4">
        <v>3</v>
      </c>
      <c r="N751" s="4" t="s">
        <v>3</v>
      </c>
      <c r="O751" s="4">
        <v>2</v>
      </c>
      <c r="P751" s="4"/>
      <c r="Q751" s="4"/>
      <c r="R751" s="4"/>
      <c r="S751" s="4"/>
      <c r="T751" s="4"/>
      <c r="U751" s="4"/>
      <c r="V751" s="4"/>
      <c r="W751" s="4"/>
    </row>
    <row r="752" spans="1:206" x14ac:dyDescent="0.2">
      <c r="A752" s="4">
        <v>50</v>
      </c>
      <c r="B752" s="4">
        <v>0</v>
      </c>
      <c r="C752" s="4">
        <v>0</v>
      </c>
      <c r="D752" s="4">
        <v>1</v>
      </c>
      <c r="E752" s="4">
        <v>226</v>
      </c>
      <c r="F752" s="4">
        <f>ROUND(Source!AW746,O752)</f>
        <v>0</v>
      </c>
      <c r="G752" s="4" t="s">
        <v>97</v>
      </c>
      <c r="H752" s="4" t="s">
        <v>98</v>
      </c>
      <c r="I752" s="4"/>
      <c r="J752" s="4"/>
      <c r="K752" s="4">
        <v>226</v>
      </c>
      <c r="L752" s="4">
        <v>5</v>
      </c>
      <c r="M752" s="4">
        <v>3</v>
      </c>
      <c r="N752" s="4" t="s">
        <v>3</v>
      </c>
      <c r="O752" s="4">
        <v>2</v>
      </c>
      <c r="P752" s="4"/>
      <c r="Q752" s="4"/>
      <c r="R752" s="4"/>
      <c r="S752" s="4"/>
      <c r="T752" s="4"/>
      <c r="U752" s="4"/>
      <c r="V752" s="4"/>
      <c r="W752" s="4"/>
    </row>
    <row r="753" spans="1:23" x14ac:dyDescent="0.2">
      <c r="A753" s="4">
        <v>50</v>
      </c>
      <c r="B753" s="4">
        <v>0</v>
      </c>
      <c r="C753" s="4">
        <v>0</v>
      </c>
      <c r="D753" s="4">
        <v>1</v>
      </c>
      <c r="E753" s="4">
        <v>227</v>
      </c>
      <c r="F753" s="4">
        <f>ROUND(Source!AX746,O753)</f>
        <v>0</v>
      </c>
      <c r="G753" s="4" t="s">
        <v>99</v>
      </c>
      <c r="H753" s="4" t="s">
        <v>100</v>
      </c>
      <c r="I753" s="4"/>
      <c r="J753" s="4"/>
      <c r="K753" s="4">
        <v>227</v>
      </c>
      <c r="L753" s="4">
        <v>6</v>
      </c>
      <c r="M753" s="4">
        <v>3</v>
      </c>
      <c r="N753" s="4" t="s">
        <v>3</v>
      </c>
      <c r="O753" s="4">
        <v>2</v>
      </c>
      <c r="P753" s="4"/>
      <c r="Q753" s="4"/>
      <c r="R753" s="4"/>
      <c r="S753" s="4"/>
      <c r="T753" s="4"/>
      <c r="U753" s="4"/>
      <c r="V753" s="4"/>
      <c r="W753" s="4"/>
    </row>
    <row r="754" spans="1:23" x14ac:dyDescent="0.2">
      <c r="A754" s="4">
        <v>50</v>
      </c>
      <c r="B754" s="4">
        <v>0</v>
      </c>
      <c r="C754" s="4">
        <v>0</v>
      </c>
      <c r="D754" s="4">
        <v>1</v>
      </c>
      <c r="E754" s="4">
        <v>228</v>
      </c>
      <c r="F754" s="4">
        <f>ROUND(Source!AY746,O754)</f>
        <v>0</v>
      </c>
      <c r="G754" s="4" t="s">
        <v>101</v>
      </c>
      <c r="H754" s="4" t="s">
        <v>102</v>
      </c>
      <c r="I754" s="4"/>
      <c r="J754" s="4"/>
      <c r="K754" s="4">
        <v>228</v>
      </c>
      <c r="L754" s="4">
        <v>7</v>
      </c>
      <c r="M754" s="4">
        <v>3</v>
      </c>
      <c r="N754" s="4" t="s">
        <v>3</v>
      </c>
      <c r="O754" s="4">
        <v>2</v>
      </c>
      <c r="P754" s="4"/>
      <c r="Q754" s="4"/>
      <c r="R754" s="4"/>
      <c r="S754" s="4"/>
      <c r="T754" s="4"/>
      <c r="U754" s="4"/>
      <c r="V754" s="4"/>
      <c r="W754" s="4"/>
    </row>
    <row r="755" spans="1:23" x14ac:dyDescent="0.2">
      <c r="A755" s="4">
        <v>50</v>
      </c>
      <c r="B755" s="4">
        <v>0</v>
      </c>
      <c r="C755" s="4">
        <v>0</v>
      </c>
      <c r="D755" s="4">
        <v>1</v>
      </c>
      <c r="E755" s="4">
        <v>216</v>
      </c>
      <c r="F755" s="4">
        <f>ROUND(Source!AP746,O755)</f>
        <v>0</v>
      </c>
      <c r="G755" s="4" t="s">
        <v>103</v>
      </c>
      <c r="H755" s="4" t="s">
        <v>104</v>
      </c>
      <c r="I755" s="4"/>
      <c r="J755" s="4"/>
      <c r="K755" s="4">
        <v>216</v>
      </c>
      <c r="L755" s="4">
        <v>8</v>
      </c>
      <c r="M755" s="4">
        <v>3</v>
      </c>
      <c r="N755" s="4" t="s">
        <v>3</v>
      </c>
      <c r="O755" s="4">
        <v>2</v>
      </c>
      <c r="P755" s="4"/>
      <c r="Q755" s="4"/>
      <c r="R755" s="4"/>
      <c r="S755" s="4"/>
      <c r="T755" s="4"/>
      <c r="U755" s="4"/>
      <c r="V755" s="4"/>
      <c r="W755" s="4"/>
    </row>
    <row r="756" spans="1:23" x14ac:dyDescent="0.2">
      <c r="A756" s="4">
        <v>50</v>
      </c>
      <c r="B756" s="4">
        <v>0</v>
      </c>
      <c r="C756" s="4">
        <v>0</v>
      </c>
      <c r="D756" s="4">
        <v>1</v>
      </c>
      <c r="E756" s="4">
        <v>223</v>
      </c>
      <c r="F756" s="4">
        <f>ROUND(Source!AQ746,O756)</f>
        <v>0</v>
      </c>
      <c r="G756" s="4" t="s">
        <v>105</v>
      </c>
      <c r="H756" s="4" t="s">
        <v>106</v>
      </c>
      <c r="I756" s="4"/>
      <c r="J756" s="4"/>
      <c r="K756" s="4">
        <v>223</v>
      </c>
      <c r="L756" s="4">
        <v>9</v>
      </c>
      <c r="M756" s="4">
        <v>3</v>
      </c>
      <c r="N756" s="4" t="s">
        <v>3</v>
      </c>
      <c r="O756" s="4">
        <v>2</v>
      </c>
      <c r="P756" s="4"/>
      <c r="Q756" s="4"/>
      <c r="R756" s="4"/>
      <c r="S756" s="4"/>
      <c r="T756" s="4"/>
      <c r="U756" s="4"/>
      <c r="V756" s="4"/>
      <c r="W756" s="4"/>
    </row>
    <row r="757" spans="1:23" x14ac:dyDescent="0.2">
      <c r="A757" s="4">
        <v>50</v>
      </c>
      <c r="B757" s="4">
        <v>0</v>
      </c>
      <c r="C757" s="4">
        <v>0</v>
      </c>
      <c r="D757" s="4">
        <v>1</v>
      </c>
      <c r="E757" s="4">
        <v>229</v>
      </c>
      <c r="F757" s="4">
        <f>ROUND(Source!AZ746,O757)</f>
        <v>0</v>
      </c>
      <c r="G757" s="4" t="s">
        <v>107</v>
      </c>
      <c r="H757" s="4" t="s">
        <v>108</v>
      </c>
      <c r="I757" s="4"/>
      <c r="J757" s="4"/>
      <c r="K757" s="4">
        <v>229</v>
      </c>
      <c r="L757" s="4">
        <v>10</v>
      </c>
      <c r="M757" s="4">
        <v>3</v>
      </c>
      <c r="N757" s="4" t="s">
        <v>3</v>
      </c>
      <c r="O757" s="4">
        <v>2</v>
      </c>
      <c r="P757" s="4"/>
      <c r="Q757" s="4"/>
      <c r="R757" s="4"/>
      <c r="S757" s="4"/>
      <c r="T757" s="4"/>
      <c r="U757" s="4"/>
      <c r="V757" s="4"/>
      <c r="W757" s="4"/>
    </row>
    <row r="758" spans="1:23" x14ac:dyDescent="0.2">
      <c r="A758" s="4">
        <v>50</v>
      </c>
      <c r="B758" s="4">
        <v>0</v>
      </c>
      <c r="C758" s="4">
        <v>0</v>
      </c>
      <c r="D758" s="4">
        <v>1</v>
      </c>
      <c r="E758" s="4">
        <v>203</v>
      </c>
      <c r="F758" s="4">
        <f>ROUND(Source!Q746,O758)</f>
        <v>0</v>
      </c>
      <c r="G758" s="4" t="s">
        <v>109</v>
      </c>
      <c r="H758" s="4" t="s">
        <v>110</v>
      </c>
      <c r="I758" s="4"/>
      <c r="J758" s="4"/>
      <c r="K758" s="4">
        <v>203</v>
      </c>
      <c r="L758" s="4">
        <v>11</v>
      </c>
      <c r="M758" s="4">
        <v>3</v>
      </c>
      <c r="N758" s="4" t="s">
        <v>3</v>
      </c>
      <c r="O758" s="4">
        <v>2</v>
      </c>
      <c r="P758" s="4"/>
      <c r="Q758" s="4"/>
      <c r="R758" s="4"/>
      <c r="S758" s="4"/>
      <c r="T758" s="4"/>
      <c r="U758" s="4"/>
      <c r="V758" s="4"/>
      <c r="W758" s="4"/>
    </row>
    <row r="759" spans="1:23" x14ac:dyDescent="0.2">
      <c r="A759" s="4">
        <v>50</v>
      </c>
      <c r="B759" s="4">
        <v>0</v>
      </c>
      <c r="C759" s="4">
        <v>0</v>
      </c>
      <c r="D759" s="4">
        <v>1</v>
      </c>
      <c r="E759" s="4">
        <v>231</v>
      </c>
      <c r="F759" s="4">
        <f>ROUND(Source!BB746,O759)</f>
        <v>0</v>
      </c>
      <c r="G759" s="4" t="s">
        <v>111</v>
      </c>
      <c r="H759" s="4" t="s">
        <v>112</v>
      </c>
      <c r="I759" s="4"/>
      <c r="J759" s="4"/>
      <c r="K759" s="4">
        <v>231</v>
      </c>
      <c r="L759" s="4">
        <v>12</v>
      </c>
      <c r="M759" s="4">
        <v>3</v>
      </c>
      <c r="N759" s="4" t="s">
        <v>3</v>
      </c>
      <c r="O759" s="4">
        <v>2</v>
      </c>
      <c r="P759" s="4"/>
      <c r="Q759" s="4"/>
      <c r="R759" s="4"/>
      <c r="S759" s="4"/>
      <c r="T759" s="4"/>
      <c r="U759" s="4"/>
      <c r="V759" s="4"/>
      <c r="W759" s="4"/>
    </row>
    <row r="760" spans="1:23" x14ac:dyDescent="0.2">
      <c r="A760" s="4">
        <v>50</v>
      </c>
      <c r="B760" s="4">
        <v>0</v>
      </c>
      <c r="C760" s="4">
        <v>0</v>
      </c>
      <c r="D760" s="4">
        <v>1</v>
      </c>
      <c r="E760" s="4">
        <v>204</v>
      </c>
      <c r="F760" s="4">
        <f>ROUND(Source!R746,O760)</f>
        <v>0</v>
      </c>
      <c r="G760" s="4" t="s">
        <v>113</v>
      </c>
      <c r="H760" s="4" t="s">
        <v>114</v>
      </c>
      <c r="I760" s="4"/>
      <c r="J760" s="4"/>
      <c r="K760" s="4">
        <v>204</v>
      </c>
      <c r="L760" s="4">
        <v>13</v>
      </c>
      <c r="M760" s="4">
        <v>3</v>
      </c>
      <c r="N760" s="4" t="s">
        <v>3</v>
      </c>
      <c r="O760" s="4">
        <v>2</v>
      </c>
      <c r="P760" s="4"/>
      <c r="Q760" s="4"/>
      <c r="R760" s="4"/>
      <c r="S760" s="4"/>
      <c r="T760" s="4"/>
      <c r="U760" s="4"/>
      <c r="V760" s="4"/>
      <c r="W760" s="4"/>
    </row>
    <row r="761" spans="1:23" x14ac:dyDescent="0.2">
      <c r="A761" s="4">
        <v>50</v>
      </c>
      <c r="B761" s="4">
        <v>0</v>
      </c>
      <c r="C761" s="4">
        <v>0</v>
      </c>
      <c r="D761" s="4">
        <v>1</v>
      </c>
      <c r="E761" s="4">
        <v>205</v>
      </c>
      <c r="F761" s="4">
        <f>ROUND(Source!S746,O761)</f>
        <v>0</v>
      </c>
      <c r="G761" s="4" t="s">
        <v>115</v>
      </c>
      <c r="H761" s="4" t="s">
        <v>116</v>
      </c>
      <c r="I761" s="4"/>
      <c r="J761" s="4"/>
      <c r="K761" s="4">
        <v>205</v>
      </c>
      <c r="L761" s="4">
        <v>14</v>
      </c>
      <c r="M761" s="4">
        <v>3</v>
      </c>
      <c r="N761" s="4" t="s">
        <v>3</v>
      </c>
      <c r="O761" s="4">
        <v>2</v>
      </c>
      <c r="P761" s="4"/>
      <c r="Q761" s="4"/>
      <c r="R761" s="4"/>
      <c r="S761" s="4"/>
      <c r="T761" s="4"/>
      <c r="U761" s="4"/>
      <c r="V761" s="4"/>
      <c r="W761" s="4"/>
    </row>
    <row r="762" spans="1:23" x14ac:dyDescent="0.2">
      <c r="A762" s="4">
        <v>50</v>
      </c>
      <c r="B762" s="4">
        <v>0</v>
      </c>
      <c r="C762" s="4">
        <v>0</v>
      </c>
      <c r="D762" s="4">
        <v>1</v>
      </c>
      <c r="E762" s="4">
        <v>232</v>
      </c>
      <c r="F762" s="4">
        <f>ROUND(Source!BC746,O762)</f>
        <v>0</v>
      </c>
      <c r="G762" s="4" t="s">
        <v>117</v>
      </c>
      <c r="H762" s="4" t="s">
        <v>118</v>
      </c>
      <c r="I762" s="4"/>
      <c r="J762" s="4"/>
      <c r="K762" s="4">
        <v>232</v>
      </c>
      <c r="L762" s="4">
        <v>15</v>
      </c>
      <c r="M762" s="4">
        <v>3</v>
      </c>
      <c r="N762" s="4" t="s">
        <v>3</v>
      </c>
      <c r="O762" s="4">
        <v>2</v>
      </c>
      <c r="P762" s="4"/>
      <c r="Q762" s="4"/>
      <c r="R762" s="4"/>
      <c r="S762" s="4"/>
      <c r="T762" s="4"/>
      <c r="U762" s="4"/>
      <c r="V762" s="4"/>
      <c r="W762" s="4"/>
    </row>
    <row r="763" spans="1:23" x14ac:dyDescent="0.2">
      <c r="A763" s="4">
        <v>50</v>
      </c>
      <c r="B763" s="4">
        <v>0</v>
      </c>
      <c r="C763" s="4">
        <v>0</v>
      </c>
      <c r="D763" s="4">
        <v>1</v>
      </c>
      <c r="E763" s="4">
        <v>214</v>
      </c>
      <c r="F763" s="4">
        <f>ROUND(Source!AS746,O763)</f>
        <v>0</v>
      </c>
      <c r="G763" s="4" t="s">
        <v>119</v>
      </c>
      <c r="H763" s="4" t="s">
        <v>120</v>
      </c>
      <c r="I763" s="4"/>
      <c r="J763" s="4"/>
      <c r="K763" s="4">
        <v>214</v>
      </c>
      <c r="L763" s="4">
        <v>16</v>
      </c>
      <c r="M763" s="4">
        <v>3</v>
      </c>
      <c r="N763" s="4" t="s">
        <v>3</v>
      </c>
      <c r="O763" s="4">
        <v>2</v>
      </c>
      <c r="P763" s="4"/>
      <c r="Q763" s="4"/>
      <c r="R763" s="4"/>
      <c r="S763" s="4"/>
      <c r="T763" s="4"/>
      <c r="U763" s="4"/>
      <c r="V763" s="4"/>
      <c r="W763" s="4"/>
    </row>
    <row r="764" spans="1:23" x14ac:dyDescent="0.2">
      <c r="A764" s="4">
        <v>50</v>
      </c>
      <c r="B764" s="4">
        <v>0</v>
      </c>
      <c r="C764" s="4">
        <v>0</v>
      </c>
      <c r="D764" s="4">
        <v>1</v>
      </c>
      <c r="E764" s="4">
        <v>215</v>
      </c>
      <c r="F764" s="4">
        <f>ROUND(Source!AT746,O764)</f>
        <v>0</v>
      </c>
      <c r="G764" s="4" t="s">
        <v>121</v>
      </c>
      <c r="H764" s="4" t="s">
        <v>122</v>
      </c>
      <c r="I764" s="4"/>
      <c r="J764" s="4"/>
      <c r="K764" s="4">
        <v>215</v>
      </c>
      <c r="L764" s="4">
        <v>17</v>
      </c>
      <c r="M764" s="4">
        <v>3</v>
      </c>
      <c r="N764" s="4" t="s">
        <v>3</v>
      </c>
      <c r="O764" s="4">
        <v>2</v>
      </c>
      <c r="P764" s="4"/>
      <c r="Q764" s="4"/>
      <c r="R764" s="4"/>
      <c r="S764" s="4"/>
      <c r="T764" s="4"/>
      <c r="U764" s="4"/>
      <c r="V764" s="4"/>
      <c r="W764" s="4"/>
    </row>
    <row r="765" spans="1:23" x14ac:dyDescent="0.2">
      <c r="A765" s="4">
        <v>50</v>
      </c>
      <c r="B765" s="4">
        <v>0</v>
      </c>
      <c r="C765" s="4">
        <v>0</v>
      </c>
      <c r="D765" s="4">
        <v>1</v>
      </c>
      <c r="E765" s="4">
        <v>217</v>
      </c>
      <c r="F765" s="4">
        <f>ROUND(Source!AU746,O765)</f>
        <v>0</v>
      </c>
      <c r="G765" s="4" t="s">
        <v>123</v>
      </c>
      <c r="H765" s="4" t="s">
        <v>124</v>
      </c>
      <c r="I765" s="4"/>
      <c r="J765" s="4"/>
      <c r="K765" s="4">
        <v>217</v>
      </c>
      <c r="L765" s="4">
        <v>18</v>
      </c>
      <c r="M765" s="4">
        <v>3</v>
      </c>
      <c r="N765" s="4" t="s">
        <v>3</v>
      </c>
      <c r="O765" s="4">
        <v>2</v>
      </c>
      <c r="P765" s="4"/>
      <c r="Q765" s="4"/>
      <c r="R765" s="4"/>
      <c r="S765" s="4"/>
      <c r="T765" s="4"/>
      <c r="U765" s="4"/>
      <c r="V765" s="4"/>
      <c r="W765" s="4"/>
    </row>
    <row r="766" spans="1:23" x14ac:dyDescent="0.2">
      <c r="A766" s="4">
        <v>50</v>
      </c>
      <c r="B766" s="4">
        <v>0</v>
      </c>
      <c r="C766" s="4">
        <v>0</v>
      </c>
      <c r="D766" s="4">
        <v>1</v>
      </c>
      <c r="E766" s="4">
        <v>230</v>
      </c>
      <c r="F766" s="4">
        <f>ROUND(Source!BA746,O766)</f>
        <v>0</v>
      </c>
      <c r="G766" s="4" t="s">
        <v>125</v>
      </c>
      <c r="H766" s="4" t="s">
        <v>126</v>
      </c>
      <c r="I766" s="4"/>
      <c r="J766" s="4"/>
      <c r="K766" s="4">
        <v>230</v>
      </c>
      <c r="L766" s="4">
        <v>19</v>
      </c>
      <c r="M766" s="4">
        <v>3</v>
      </c>
      <c r="N766" s="4" t="s">
        <v>3</v>
      </c>
      <c r="O766" s="4">
        <v>2</v>
      </c>
      <c r="P766" s="4"/>
      <c r="Q766" s="4"/>
      <c r="R766" s="4"/>
      <c r="S766" s="4"/>
      <c r="T766" s="4"/>
      <c r="U766" s="4"/>
      <c r="V766" s="4"/>
      <c r="W766" s="4"/>
    </row>
    <row r="767" spans="1:23" x14ac:dyDescent="0.2">
      <c r="A767" s="4">
        <v>50</v>
      </c>
      <c r="B767" s="4">
        <v>0</v>
      </c>
      <c r="C767" s="4">
        <v>0</v>
      </c>
      <c r="D767" s="4">
        <v>1</v>
      </c>
      <c r="E767" s="4">
        <v>206</v>
      </c>
      <c r="F767" s="4">
        <f>ROUND(Source!T746,O767)</f>
        <v>0</v>
      </c>
      <c r="G767" s="4" t="s">
        <v>127</v>
      </c>
      <c r="H767" s="4" t="s">
        <v>128</v>
      </c>
      <c r="I767" s="4"/>
      <c r="J767" s="4"/>
      <c r="K767" s="4">
        <v>206</v>
      </c>
      <c r="L767" s="4">
        <v>20</v>
      </c>
      <c r="M767" s="4">
        <v>3</v>
      </c>
      <c r="N767" s="4" t="s">
        <v>3</v>
      </c>
      <c r="O767" s="4">
        <v>2</v>
      </c>
      <c r="P767" s="4"/>
      <c r="Q767" s="4"/>
      <c r="R767" s="4"/>
      <c r="S767" s="4"/>
      <c r="T767" s="4"/>
      <c r="U767" s="4"/>
      <c r="V767" s="4"/>
      <c r="W767" s="4"/>
    </row>
    <row r="768" spans="1:23" x14ac:dyDescent="0.2">
      <c r="A768" s="4">
        <v>50</v>
      </c>
      <c r="B768" s="4">
        <v>0</v>
      </c>
      <c r="C768" s="4">
        <v>0</v>
      </c>
      <c r="D768" s="4">
        <v>1</v>
      </c>
      <c r="E768" s="4">
        <v>207</v>
      </c>
      <c r="F768" s="4">
        <f>Source!U746</f>
        <v>0</v>
      </c>
      <c r="G768" s="4" t="s">
        <v>129</v>
      </c>
      <c r="H768" s="4" t="s">
        <v>130</v>
      </c>
      <c r="I768" s="4"/>
      <c r="J768" s="4"/>
      <c r="K768" s="4">
        <v>207</v>
      </c>
      <c r="L768" s="4">
        <v>21</v>
      </c>
      <c r="M768" s="4">
        <v>3</v>
      </c>
      <c r="N768" s="4" t="s">
        <v>3</v>
      </c>
      <c r="O768" s="4">
        <v>-1</v>
      </c>
      <c r="P768" s="4"/>
      <c r="Q768" s="4"/>
      <c r="R768" s="4"/>
      <c r="S768" s="4"/>
      <c r="T768" s="4"/>
      <c r="U768" s="4"/>
      <c r="V768" s="4"/>
      <c r="W768" s="4"/>
    </row>
    <row r="769" spans="1:245" x14ac:dyDescent="0.2">
      <c r="A769" s="4">
        <v>50</v>
      </c>
      <c r="B769" s="4">
        <v>0</v>
      </c>
      <c r="C769" s="4">
        <v>0</v>
      </c>
      <c r="D769" s="4">
        <v>1</v>
      </c>
      <c r="E769" s="4">
        <v>208</v>
      </c>
      <c r="F769" s="4">
        <f>Source!V746</f>
        <v>0</v>
      </c>
      <c r="G769" s="4" t="s">
        <v>131</v>
      </c>
      <c r="H769" s="4" t="s">
        <v>132</v>
      </c>
      <c r="I769" s="4"/>
      <c r="J769" s="4"/>
      <c r="K769" s="4">
        <v>208</v>
      </c>
      <c r="L769" s="4">
        <v>22</v>
      </c>
      <c r="M769" s="4">
        <v>3</v>
      </c>
      <c r="N769" s="4" t="s">
        <v>3</v>
      </c>
      <c r="O769" s="4">
        <v>-1</v>
      </c>
      <c r="P769" s="4"/>
      <c r="Q769" s="4"/>
      <c r="R769" s="4"/>
      <c r="S769" s="4"/>
      <c r="T769" s="4"/>
      <c r="U769" s="4"/>
      <c r="V769" s="4"/>
      <c r="W769" s="4"/>
    </row>
    <row r="770" spans="1:245" x14ac:dyDescent="0.2">
      <c r="A770" s="4">
        <v>50</v>
      </c>
      <c r="B770" s="4">
        <v>0</v>
      </c>
      <c r="C770" s="4">
        <v>0</v>
      </c>
      <c r="D770" s="4">
        <v>1</v>
      </c>
      <c r="E770" s="4">
        <v>209</v>
      </c>
      <c r="F770" s="4">
        <f>ROUND(Source!W746,O770)</f>
        <v>0</v>
      </c>
      <c r="G770" s="4" t="s">
        <v>133</v>
      </c>
      <c r="H770" s="4" t="s">
        <v>134</v>
      </c>
      <c r="I770" s="4"/>
      <c r="J770" s="4"/>
      <c r="K770" s="4">
        <v>209</v>
      </c>
      <c r="L770" s="4">
        <v>23</v>
      </c>
      <c r="M770" s="4">
        <v>3</v>
      </c>
      <c r="N770" s="4" t="s">
        <v>3</v>
      </c>
      <c r="O770" s="4">
        <v>2</v>
      </c>
      <c r="P770" s="4"/>
      <c r="Q770" s="4"/>
      <c r="R770" s="4"/>
      <c r="S770" s="4"/>
      <c r="T770" s="4"/>
      <c r="U770" s="4"/>
      <c r="V770" s="4"/>
      <c r="W770" s="4"/>
    </row>
    <row r="771" spans="1:245" x14ac:dyDescent="0.2">
      <c r="A771" s="4">
        <v>50</v>
      </c>
      <c r="B771" s="4">
        <v>0</v>
      </c>
      <c r="C771" s="4">
        <v>0</v>
      </c>
      <c r="D771" s="4">
        <v>1</v>
      </c>
      <c r="E771" s="4">
        <v>233</v>
      </c>
      <c r="F771" s="4">
        <f>ROUND(Source!BD746,O771)</f>
        <v>0</v>
      </c>
      <c r="G771" s="4" t="s">
        <v>135</v>
      </c>
      <c r="H771" s="4" t="s">
        <v>136</v>
      </c>
      <c r="I771" s="4"/>
      <c r="J771" s="4"/>
      <c r="K771" s="4">
        <v>233</v>
      </c>
      <c r="L771" s="4">
        <v>24</v>
      </c>
      <c r="M771" s="4">
        <v>3</v>
      </c>
      <c r="N771" s="4" t="s">
        <v>3</v>
      </c>
      <c r="O771" s="4">
        <v>2</v>
      </c>
      <c r="P771" s="4"/>
      <c r="Q771" s="4"/>
      <c r="R771" s="4"/>
      <c r="S771" s="4"/>
      <c r="T771" s="4"/>
      <c r="U771" s="4"/>
      <c r="V771" s="4"/>
      <c r="W771" s="4"/>
    </row>
    <row r="772" spans="1:245" x14ac:dyDescent="0.2">
      <c r="A772" s="4">
        <v>50</v>
      </c>
      <c r="B772" s="4">
        <v>0</v>
      </c>
      <c r="C772" s="4">
        <v>0</v>
      </c>
      <c r="D772" s="4">
        <v>1</v>
      </c>
      <c r="E772" s="4">
        <v>210</v>
      </c>
      <c r="F772" s="4">
        <f>ROUND(Source!X746,O772)</f>
        <v>0</v>
      </c>
      <c r="G772" s="4" t="s">
        <v>137</v>
      </c>
      <c r="H772" s="4" t="s">
        <v>138</v>
      </c>
      <c r="I772" s="4"/>
      <c r="J772" s="4"/>
      <c r="K772" s="4">
        <v>210</v>
      </c>
      <c r="L772" s="4">
        <v>25</v>
      </c>
      <c r="M772" s="4">
        <v>3</v>
      </c>
      <c r="N772" s="4" t="s">
        <v>3</v>
      </c>
      <c r="O772" s="4">
        <v>2</v>
      </c>
      <c r="P772" s="4"/>
      <c r="Q772" s="4"/>
      <c r="R772" s="4"/>
      <c r="S772" s="4"/>
      <c r="T772" s="4"/>
      <c r="U772" s="4"/>
      <c r="V772" s="4"/>
      <c r="W772" s="4"/>
    </row>
    <row r="773" spans="1:245" x14ac:dyDescent="0.2">
      <c r="A773" s="4">
        <v>50</v>
      </c>
      <c r="B773" s="4">
        <v>0</v>
      </c>
      <c r="C773" s="4">
        <v>0</v>
      </c>
      <c r="D773" s="4">
        <v>1</v>
      </c>
      <c r="E773" s="4">
        <v>211</v>
      </c>
      <c r="F773" s="4">
        <f>ROUND(Source!Y746,O773)</f>
        <v>0</v>
      </c>
      <c r="G773" s="4" t="s">
        <v>139</v>
      </c>
      <c r="H773" s="4" t="s">
        <v>140</v>
      </c>
      <c r="I773" s="4"/>
      <c r="J773" s="4"/>
      <c r="K773" s="4">
        <v>211</v>
      </c>
      <c r="L773" s="4">
        <v>26</v>
      </c>
      <c r="M773" s="4">
        <v>3</v>
      </c>
      <c r="N773" s="4" t="s">
        <v>3</v>
      </c>
      <c r="O773" s="4">
        <v>2</v>
      </c>
      <c r="P773" s="4"/>
      <c r="Q773" s="4"/>
      <c r="R773" s="4"/>
      <c r="S773" s="4"/>
      <c r="T773" s="4"/>
      <c r="U773" s="4"/>
      <c r="V773" s="4"/>
      <c r="W773" s="4"/>
    </row>
    <row r="774" spans="1:245" x14ac:dyDescent="0.2">
      <c r="A774" s="4">
        <v>50</v>
      </c>
      <c r="B774" s="4">
        <v>0</v>
      </c>
      <c r="C774" s="4">
        <v>0</v>
      </c>
      <c r="D774" s="4">
        <v>1</v>
      </c>
      <c r="E774" s="4">
        <v>224</v>
      </c>
      <c r="F774" s="4">
        <f>ROUND(Source!AR746,O774)</f>
        <v>0</v>
      </c>
      <c r="G774" s="4" t="s">
        <v>141</v>
      </c>
      <c r="H774" s="4" t="s">
        <v>142</v>
      </c>
      <c r="I774" s="4"/>
      <c r="J774" s="4"/>
      <c r="K774" s="4">
        <v>224</v>
      </c>
      <c r="L774" s="4">
        <v>27</v>
      </c>
      <c r="M774" s="4">
        <v>3</v>
      </c>
      <c r="N774" s="4" t="s">
        <v>3</v>
      </c>
      <c r="O774" s="4">
        <v>2</v>
      </c>
      <c r="P774" s="4"/>
      <c r="Q774" s="4"/>
      <c r="R774" s="4"/>
      <c r="S774" s="4"/>
      <c r="T774" s="4"/>
      <c r="U774" s="4"/>
      <c r="V774" s="4"/>
      <c r="W774" s="4"/>
    </row>
    <row r="776" spans="1:245" x14ac:dyDescent="0.2">
      <c r="A776" s="1">
        <v>4</v>
      </c>
      <c r="B776" s="1">
        <v>1</v>
      </c>
      <c r="C776" s="1"/>
      <c r="D776" s="1">
        <f>ROW(A792)</f>
        <v>792</v>
      </c>
      <c r="E776" s="1"/>
      <c r="F776" s="1" t="s">
        <v>13</v>
      </c>
      <c r="G776" s="1" t="s">
        <v>436</v>
      </c>
      <c r="H776" s="1" t="s">
        <v>3</v>
      </c>
      <c r="I776" s="1">
        <v>0</v>
      </c>
      <c r="J776" s="1"/>
      <c r="K776" s="1">
        <v>0</v>
      </c>
      <c r="L776" s="1"/>
      <c r="M776" s="1"/>
      <c r="N776" s="1"/>
      <c r="O776" s="1"/>
      <c r="P776" s="1"/>
      <c r="Q776" s="1"/>
      <c r="R776" s="1"/>
      <c r="S776" s="1"/>
      <c r="T776" s="1"/>
      <c r="U776" s="1" t="s">
        <v>3</v>
      </c>
      <c r="V776" s="1">
        <v>0</v>
      </c>
      <c r="W776" s="1"/>
      <c r="X776" s="1"/>
      <c r="Y776" s="1"/>
      <c r="Z776" s="1"/>
      <c r="AA776" s="1"/>
      <c r="AB776" s="1" t="s">
        <v>3</v>
      </c>
      <c r="AC776" s="1" t="s">
        <v>3</v>
      </c>
      <c r="AD776" s="1" t="s">
        <v>3</v>
      </c>
      <c r="AE776" s="1" t="s">
        <v>3</v>
      </c>
      <c r="AF776" s="1" t="s">
        <v>3</v>
      </c>
      <c r="AG776" s="1" t="s">
        <v>3</v>
      </c>
      <c r="AH776" s="1"/>
      <c r="AI776" s="1"/>
      <c r="AJ776" s="1"/>
      <c r="AK776" s="1"/>
      <c r="AL776" s="1"/>
      <c r="AM776" s="1"/>
      <c r="AN776" s="1"/>
      <c r="AO776" s="1"/>
      <c r="AP776" s="1" t="s">
        <v>3</v>
      </c>
      <c r="AQ776" s="1" t="s">
        <v>3</v>
      </c>
      <c r="AR776" s="1" t="s">
        <v>3</v>
      </c>
      <c r="AS776" s="1"/>
      <c r="AT776" s="1"/>
      <c r="AU776" s="1"/>
      <c r="AV776" s="1"/>
      <c r="AW776" s="1"/>
      <c r="AX776" s="1"/>
      <c r="AY776" s="1"/>
      <c r="AZ776" s="1" t="s">
        <v>3</v>
      </c>
      <c r="BA776" s="1"/>
      <c r="BB776" s="1" t="s">
        <v>3</v>
      </c>
      <c r="BC776" s="1" t="s">
        <v>3</v>
      </c>
      <c r="BD776" s="1" t="s">
        <v>3</v>
      </c>
      <c r="BE776" s="1" t="s">
        <v>3</v>
      </c>
      <c r="BF776" s="1" t="s">
        <v>3</v>
      </c>
      <c r="BG776" s="1" t="s">
        <v>3</v>
      </c>
      <c r="BH776" s="1" t="s">
        <v>3</v>
      </c>
      <c r="BI776" s="1" t="s">
        <v>3</v>
      </c>
      <c r="BJ776" s="1" t="s">
        <v>3</v>
      </c>
      <c r="BK776" s="1" t="s">
        <v>3</v>
      </c>
      <c r="BL776" s="1" t="s">
        <v>3</v>
      </c>
      <c r="BM776" s="1" t="s">
        <v>3</v>
      </c>
      <c r="BN776" s="1" t="s">
        <v>3</v>
      </c>
      <c r="BO776" s="1" t="s">
        <v>3</v>
      </c>
      <c r="BP776" s="1" t="s">
        <v>3</v>
      </c>
      <c r="BQ776" s="1"/>
      <c r="BR776" s="1"/>
      <c r="BS776" s="1"/>
      <c r="BT776" s="1"/>
      <c r="BU776" s="1"/>
      <c r="BV776" s="1"/>
      <c r="BW776" s="1"/>
      <c r="BX776" s="1">
        <v>0</v>
      </c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>
        <v>0</v>
      </c>
    </row>
    <row r="778" spans="1:245" x14ac:dyDescent="0.2">
      <c r="A778" s="2">
        <v>52</v>
      </c>
      <c r="B778" s="2">
        <f t="shared" ref="B778:G778" si="610">B792</f>
        <v>1</v>
      </c>
      <c r="C778" s="2">
        <f t="shared" si="610"/>
        <v>4</v>
      </c>
      <c r="D778" s="2">
        <f t="shared" si="610"/>
        <v>776</v>
      </c>
      <c r="E778" s="2">
        <f t="shared" si="610"/>
        <v>0</v>
      </c>
      <c r="F778" s="2" t="str">
        <f t="shared" si="610"/>
        <v>Новый раздел</v>
      </c>
      <c r="G778" s="2" t="str">
        <f t="shared" si="610"/>
        <v>30.2. Окраска подпорной стенки по штукатурке с расчисткой</v>
      </c>
      <c r="H778" s="2"/>
      <c r="I778" s="2"/>
      <c r="J778" s="2"/>
      <c r="K778" s="2"/>
      <c r="L778" s="2"/>
      <c r="M778" s="2"/>
      <c r="N778" s="2"/>
      <c r="O778" s="2">
        <f t="shared" ref="O778:AT778" si="611">O792</f>
        <v>47358.2</v>
      </c>
      <c r="P778" s="2">
        <f t="shared" si="611"/>
        <v>18795.77</v>
      </c>
      <c r="Q778" s="2">
        <f t="shared" si="611"/>
        <v>667.41</v>
      </c>
      <c r="R778" s="2">
        <f t="shared" si="611"/>
        <v>349.06</v>
      </c>
      <c r="S778" s="2">
        <f t="shared" si="611"/>
        <v>27895.02</v>
      </c>
      <c r="T778" s="2">
        <f t="shared" si="611"/>
        <v>0</v>
      </c>
      <c r="U778" s="2">
        <f t="shared" si="611"/>
        <v>99.387599999999992</v>
      </c>
      <c r="V778" s="2">
        <f t="shared" si="611"/>
        <v>0</v>
      </c>
      <c r="W778" s="2">
        <f t="shared" si="611"/>
        <v>0</v>
      </c>
      <c r="X778" s="2">
        <f t="shared" si="611"/>
        <v>23002.28</v>
      </c>
      <c r="Y778" s="2">
        <f t="shared" si="611"/>
        <v>11579.18</v>
      </c>
      <c r="Z778" s="2">
        <f t="shared" si="611"/>
        <v>0</v>
      </c>
      <c r="AA778" s="2">
        <f t="shared" si="611"/>
        <v>0</v>
      </c>
      <c r="AB778" s="2">
        <f t="shared" si="611"/>
        <v>47358.2</v>
      </c>
      <c r="AC778" s="2">
        <f t="shared" si="611"/>
        <v>18795.77</v>
      </c>
      <c r="AD778" s="2">
        <f t="shared" si="611"/>
        <v>667.41</v>
      </c>
      <c r="AE778" s="2">
        <f t="shared" si="611"/>
        <v>349.06</v>
      </c>
      <c r="AF778" s="2">
        <f t="shared" si="611"/>
        <v>27895.02</v>
      </c>
      <c r="AG778" s="2">
        <f t="shared" si="611"/>
        <v>0</v>
      </c>
      <c r="AH778" s="2">
        <f t="shared" si="611"/>
        <v>99.387599999999992</v>
      </c>
      <c r="AI778" s="2">
        <f t="shared" si="611"/>
        <v>0</v>
      </c>
      <c r="AJ778" s="2">
        <f t="shared" si="611"/>
        <v>0</v>
      </c>
      <c r="AK778" s="2">
        <f t="shared" si="611"/>
        <v>23002.28</v>
      </c>
      <c r="AL778" s="2">
        <f t="shared" si="611"/>
        <v>11579.18</v>
      </c>
      <c r="AM778" s="2">
        <f t="shared" si="611"/>
        <v>0</v>
      </c>
      <c r="AN778" s="2">
        <f t="shared" si="611"/>
        <v>0</v>
      </c>
      <c r="AO778" s="2">
        <f t="shared" si="611"/>
        <v>0</v>
      </c>
      <c r="AP778" s="2">
        <f t="shared" si="611"/>
        <v>0</v>
      </c>
      <c r="AQ778" s="2">
        <f t="shared" si="611"/>
        <v>0</v>
      </c>
      <c r="AR778" s="2">
        <f t="shared" si="611"/>
        <v>82487.69</v>
      </c>
      <c r="AS778" s="2">
        <f t="shared" si="611"/>
        <v>82487.69</v>
      </c>
      <c r="AT778" s="2">
        <f t="shared" si="611"/>
        <v>0</v>
      </c>
      <c r="AU778" s="2">
        <f t="shared" ref="AU778:BZ778" si="612">AU792</f>
        <v>0</v>
      </c>
      <c r="AV778" s="2">
        <f t="shared" si="612"/>
        <v>18795.77</v>
      </c>
      <c r="AW778" s="2">
        <f t="shared" si="612"/>
        <v>18795.77</v>
      </c>
      <c r="AX778" s="2">
        <f t="shared" si="612"/>
        <v>0</v>
      </c>
      <c r="AY778" s="2">
        <f t="shared" si="612"/>
        <v>18795.77</v>
      </c>
      <c r="AZ778" s="2">
        <f t="shared" si="612"/>
        <v>0</v>
      </c>
      <c r="BA778" s="2">
        <f t="shared" si="612"/>
        <v>0</v>
      </c>
      <c r="BB778" s="2">
        <f t="shared" si="612"/>
        <v>0</v>
      </c>
      <c r="BC778" s="2">
        <f t="shared" si="612"/>
        <v>0</v>
      </c>
      <c r="BD778" s="2">
        <f t="shared" si="612"/>
        <v>0</v>
      </c>
      <c r="BE778" s="2">
        <f t="shared" si="612"/>
        <v>0</v>
      </c>
      <c r="BF778" s="2">
        <f t="shared" si="612"/>
        <v>0</v>
      </c>
      <c r="BG778" s="2">
        <f t="shared" si="612"/>
        <v>0</v>
      </c>
      <c r="BH778" s="2">
        <f t="shared" si="612"/>
        <v>0</v>
      </c>
      <c r="BI778" s="2">
        <f t="shared" si="612"/>
        <v>0</v>
      </c>
      <c r="BJ778" s="2">
        <f t="shared" si="612"/>
        <v>0</v>
      </c>
      <c r="BK778" s="2">
        <f t="shared" si="612"/>
        <v>0</v>
      </c>
      <c r="BL778" s="2">
        <f t="shared" si="612"/>
        <v>0</v>
      </c>
      <c r="BM778" s="2">
        <f t="shared" si="612"/>
        <v>0</v>
      </c>
      <c r="BN778" s="2">
        <f t="shared" si="612"/>
        <v>0</v>
      </c>
      <c r="BO778" s="2">
        <f t="shared" si="612"/>
        <v>0</v>
      </c>
      <c r="BP778" s="2">
        <f t="shared" si="612"/>
        <v>0</v>
      </c>
      <c r="BQ778" s="2">
        <f t="shared" si="612"/>
        <v>0</v>
      </c>
      <c r="BR778" s="2">
        <f t="shared" si="612"/>
        <v>0</v>
      </c>
      <c r="BS778" s="2">
        <f t="shared" si="612"/>
        <v>0</v>
      </c>
      <c r="BT778" s="2">
        <f t="shared" si="612"/>
        <v>0</v>
      </c>
      <c r="BU778" s="2">
        <f t="shared" si="612"/>
        <v>0</v>
      </c>
      <c r="BV778" s="2">
        <f t="shared" si="612"/>
        <v>0</v>
      </c>
      <c r="BW778" s="2">
        <f t="shared" si="612"/>
        <v>0</v>
      </c>
      <c r="BX778" s="2">
        <f t="shared" si="612"/>
        <v>0</v>
      </c>
      <c r="BY778" s="2">
        <f t="shared" si="612"/>
        <v>0</v>
      </c>
      <c r="BZ778" s="2">
        <f t="shared" si="612"/>
        <v>0</v>
      </c>
      <c r="CA778" s="2">
        <f t="shared" ref="CA778:DF778" si="613">CA792</f>
        <v>82487.69</v>
      </c>
      <c r="CB778" s="2">
        <f t="shared" si="613"/>
        <v>82487.69</v>
      </c>
      <c r="CC778" s="2">
        <f t="shared" si="613"/>
        <v>0</v>
      </c>
      <c r="CD778" s="2">
        <f t="shared" si="613"/>
        <v>0</v>
      </c>
      <c r="CE778" s="2">
        <f t="shared" si="613"/>
        <v>18795.77</v>
      </c>
      <c r="CF778" s="2">
        <f t="shared" si="613"/>
        <v>18795.77</v>
      </c>
      <c r="CG778" s="2">
        <f t="shared" si="613"/>
        <v>0</v>
      </c>
      <c r="CH778" s="2">
        <f t="shared" si="613"/>
        <v>18795.77</v>
      </c>
      <c r="CI778" s="2">
        <f t="shared" si="613"/>
        <v>0</v>
      </c>
      <c r="CJ778" s="2">
        <f t="shared" si="613"/>
        <v>0</v>
      </c>
      <c r="CK778" s="2">
        <f t="shared" si="613"/>
        <v>0</v>
      </c>
      <c r="CL778" s="2">
        <f t="shared" si="613"/>
        <v>0</v>
      </c>
      <c r="CM778" s="2">
        <f t="shared" si="613"/>
        <v>0</v>
      </c>
      <c r="CN778" s="2">
        <f t="shared" si="613"/>
        <v>0</v>
      </c>
      <c r="CO778" s="2">
        <f t="shared" si="613"/>
        <v>0</v>
      </c>
      <c r="CP778" s="2">
        <f t="shared" si="613"/>
        <v>0</v>
      </c>
      <c r="CQ778" s="2">
        <f t="shared" si="613"/>
        <v>0</v>
      </c>
      <c r="CR778" s="2">
        <f t="shared" si="613"/>
        <v>0</v>
      </c>
      <c r="CS778" s="2">
        <f t="shared" si="613"/>
        <v>0</v>
      </c>
      <c r="CT778" s="2">
        <f t="shared" si="613"/>
        <v>0</v>
      </c>
      <c r="CU778" s="2">
        <f t="shared" si="613"/>
        <v>0</v>
      </c>
      <c r="CV778" s="2">
        <f t="shared" si="613"/>
        <v>0</v>
      </c>
      <c r="CW778" s="2">
        <f t="shared" si="613"/>
        <v>0</v>
      </c>
      <c r="CX778" s="2">
        <f t="shared" si="613"/>
        <v>0</v>
      </c>
      <c r="CY778" s="2">
        <f t="shared" si="613"/>
        <v>0</v>
      </c>
      <c r="CZ778" s="2">
        <f t="shared" si="613"/>
        <v>0</v>
      </c>
      <c r="DA778" s="2">
        <f t="shared" si="613"/>
        <v>0</v>
      </c>
      <c r="DB778" s="2">
        <f t="shared" si="613"/>
        <v>0</v>
      </c>
      <c r="DC778" s="2">
        <f t="shared" si="613"/>
        <v>0</v>
      </c>
      <c r="DD778" s="2">
        <f t="shared" si="613"/>
        <v>0</v>
      </c>
      <c r="DE778" s="2">
        <f t="shared" si="613"/>
        <v>0</v>
      </c>
      <c r="DF778" s="2">
        <f t="shared" si="613"/>
        <v>0</v>
      </c>
      <c r="DG778" s="3">
        <f t="shared" ref="DG778:EL778" si="614">DG792</f>
        <v>0</v>
      </c>
      <c r="DH778" s="3">
        <f t="shared" si="614"/>
        <v>0</v>
      </c>
      <c r="DI778" s="3">
        <f t="shared" si="614"/>
        <v>0</v>
      </c>
      <c r="DJ778" s="3">
        <f t="shared" si="614"/>
        <v>0</v>
      </c>
      <c r="DK778" s="3">
        <f t="shared" si="614"/>
        <v>0</v>
      </c>
      <c r="DL778" s="3">
        <f t="shared" si="614"/>
        <v>0</v>
      </c>
      <c r="DM778" s="3">
        <f t="shared" si="614"/>
        <v>0</v>
      </c>
      <c r="DN778" s="3">
        <f t="shared" si="614"/>
        <v>0</v>
      </c>
      <c r="DO778" s="3">
        <f t="shared" si="614"/>
        <v>0</v>
      </c>
      <c r="DP778" s="3">
        <f t="shared" si="614"/>
        <v>0</v>
      </c>
      <c r="DQ778" s="3">
        <f t="shared" si="614"/>
        <v>0</v>
      </c>
      <c r="DR778" s="3">
        <f t="shared" si="614"/>
        <v>0</v>
      </c>
      <c r="DS778" s="3">
        <f t="shared" si="614"/>
        <v>0</v>
      </c>
      <c r="DT778" s="3">
        <f t="shared" si="614"/>
        <v>0</v>
      </c>
      <c r="DU778" s="3">
        <f t="shared" si="614"/>
        <v>0</v>
      </c>
      <c r="DV778" s="3">
        <f t="shared" si="614"/>
        <v>0</v>
      </c>
      <c r="DW778" s="3">
        <f t="shared" si="614"/>
        <v>0</v>
      </c>
      <c r="DX778" s="3">
        <f t="shared" si="614"/>
        <v>0</v>
      </c>
      <c r="DY778" s="3">
        <f t="shared" si="614"/>
        <v>0</v>
      </c>
      <c r="DZ778" s="3">
        <f t="shared" si="614"/>
        <v>0</v>
      </c>
      <c r="EA778" s="3">
        <f t="shared" si="614"/>
        <v>0</v>
      </c>
      <c r="EB778" s="3">
        <f t="shared" si="614"/>
        <v>0</v>
      </c>
      <c r="EC778" s="3">
        <f t="shared" si="614"/>
        <v>0</v>
      </c>
      <c r="ED778" s="3">
        <f t="shared" si="614"/>
        <v>0</v>
      </c>
      <c r="EE778" s="3">
        <f t="shared" si="614"/>
        <v>0</v>
      </c>
      <c r="EF778" s="3">
        <f t="shared" si="614"/>
        <v>0</v>
      </c>
      <c r="EG778" s="3">
        <f t="shared" si="614"/>
        <v>0</v>
      </c>
      <c r="EH778" s="3">
        <f t="shared" si="614"/>
        <v>0</v>
      </c>
      <c r="EI778" s="3">
        <f t="shared" si="614"/>
        <v>0</v>
      </c>
      <c r="EJ778" s="3">
        <f t="shared" si="614"/>
        <v>0</v>
      </c>
      <c r="EK778" s="3">
        <f t="shared" si="614"/>
        <v>0</v>
      </c>
      <c r="EL778" s="3">
        <f t="shared" si="614"/>
        <v>0</v>
      </c>
      <c r="EM778" s="3">
        <f t="shared" ref="EM778:FR778" si="615">EM792</f>
        <v>0</v>
      </c>
      <c r="EN778" s="3">
        <f t="shared" si="615"/>
        <v>0</v>
      </c>
      <c r="EO778" s="3">
        <f t="shared" si="615"/>
        <v>0</v>
      </c>
      <c r="EP778" s="3">
        <f t="shared" si="615"/>
        <v>0</v>
      </c>
      <c r="EQ778" s="3">
        <f t="shared" si="615"/>
        <v>0</v>
      </c>
      <c r="ER778" s="3">
        <f t="shared" si="615"/>
        <v>0</v>
      </c>
      <c r="ES778" s="3">
        <f t="shared" si="615"/>
        <v>0</v>
      </c>
      <c r="ET778" s="3">
        <f t="shared" si="615"/>
        <v>0</v>
      </c>
      <c r="EU778" s="3">
        <f t="shared" si="615"/>
        <v>0</v>
      </c>
      <c r="EV778" s="3">
        <f t="shared" si="615"/>
        <v>0</v>
      </c>
      <c r="EW778" s="3">
        <f t="shared" si="615"/>
        <v>0</v>
      </c>
      <c r="EX778" s="3">
        <f t="shared" si="615"/>
        <v>0</v>
      </c>
      <c r="EY778" s="3">
        <f t="shared" si="615"/>
        <v>0</v>
      </c>
      <c r="EZ778" s="3">
        <f t="shared" si="615"/>
        <v>0</v>
      </c>
      <c r="FA778" s="3">
        <f t="shared" si="615"/>
        <v>0</v>
      </c>
      <c r="FB778" s="3">
        <f t="shared" si="615"/>
        <v>0</v>
      </c>
      <c r="FC778" s="3">
        <f t="shared" si="615"/>
        <v>0</v>
      </c>
      <c r="FD778" s="3">
        <f t="shared" si="615"/>
        <v>0</v>
      </c>
      <c r="FE778" s="3">
        <f t="shared" si="615"/>
        <v>0</v>
      </c>
      <c r="FF778" s="3">
        <f t="shared" si="615"/>
        <v>0</v>
      </c>
      <c r="FG778" s="3">
        <f t="shared" si="615"/>
        <v>0</v>
      </c>
      <c r="FH778" s="3">
        <f t="shared" si="615"/>
        <v>0</v>
      </c>
      <c r="FI778" s="3">
        <f t="shared" si="615"/>
        <v>0</v>
      </c>
      <c r="FJ778" s="3">
        <f t="shared" si="615"/>
        <v>0</v>
      </c>
      <c r="FK778" s="3">
        <f t="shared" si="615"/>
        <v>0</v>
      </c>
      <c r="FL778" s="3">
        <f t="shared" si="615"/>
        <v>0</v>
      </c>
      <c r="FM778" s="3">
        <f t="shared" si="615"/>
        <v>0</v>
      </c>
      <c r="FN778" s="3">
        <f t="shared" si="615"/>
        <v>0</v>
      </c>
      <c r="FO778" s="3">
        <f t="shared" si="615"/>
        <v>0</v>
      </c>
      <c r="FP778" s="3">
        <f t="shared" si="615"/>
        <v>0</v>
      </c>
      <c r="FQ778" s="3">
        <f t="shared" si="615"/>
        <v>0</v>
      </c>
      <c r="FR778" s="3">
        <f t="shared" si="615"/>
        <v>0</v>
      </c>
      <c r="FS778" s="3">
        <f t="shared" ref="FS778:GX778" si="616">FS792</f>
        <v>0</v>
      </c>
      <c r="FT778" s="3">
        <f t="shared" si="616"/>
        <v>0</v>
      </c>
      <c r="FU778" s="3">
        <f t="shared" si="616"/>
        <v>0</v>
      </c>
      <c r="FV778" s="3">
        <f t="shared" si="616"/>
        <v>0</v>
      </c>
      <c r="FW778" s="3">
        <f t="shared" si="616"/>
        <v>0</v>
      </c>
      <c r="FX778" s="3">
        <f t="shared" si="616"/>
        <v>0</v>
      </c>
      <c r="FY778" s="3">
        <f t="shared" si="616"/>
        <v>0</v>
      </c>
      <c r="FZ778" s="3">
        <f t="shared" si="616"/>
        <v>0</v>
      </c>
      <c r="GA778" s="3">
        <f t="shared" si="616"/>
        <v>0</v>
      </c>
      <c r="GB778" s="3">
        <f t="shared" si="616"/>
        <v>0</v>
      </c>
      <c r="GC778" s="3">
        <f t="shared" si="616"/>
        <v>0</v>
      </c>
      <c r="GD778" s="3">
        <f t="shared" si="616"/>
        <v>0</v>
      </c>
      <c r="GE778" s="3">
        <f t="shared" si="616"/>
        <v>0</v>
      </c>
      <c r="GF778" s="3">
        <f t="shared" si="616"/>
        <v>0</v>
      </c>
      <c r="GG778" s="3">
        <f t="shared" si="616"/>
        <v>0</v>
      </c>
      <c r="GH778" s="3">
        <f t="shared" si="616"/>
        <v>0</v>
      </c>
      <c r="GI778" s="3">
        <f t="shared" si="616"/>
        <v>0</v>
      </c>
      <c r="GJ778" s="3">
        <f t="shared" si="616"/>
        <v>0</v>
      </c>
      <c r="GK778" s="3">
        <f t="shared" si="616"/>
        <v>0</v>
      </c>
      <c r="GL778" s="3">
        <f t="shared" si="616"/>
        <v>0</v>
      </c>
      <c r="GM778" s="3">
        <f t="shared" si="616"/>
        <v>0</v>
      </c>
      <c r="GN778" s="3">
        <f t="shared" si="616"/>
        <v>0</v>
      </c>
      <c r="GO778" s="3">
        <f t="shared" si="616"/>
        <v>0</v>
      </c>
      <c r="GP778" s="3">
        <f t="shared" si="616"/>
        <v>0</v>
      </c>
      <c r="GQ778" s="3">
        <f t="shared" si="616"/>
        <v>0</v>
      </c>
      <c r="GR778" s="3">
        <f t="shared" si="616"/>
        <v>0</v>
      </c>
      <c r="GS778" s="3">
        <f t="shared" si="616"/>
        <v>0</v>
      </c>
      <c r="GT778" s="3">
        <f t="shared" si="616"/>
        <v>0</v>
      </c>
      <c r="GU778" s="3">
        <f t="shared" si="616"/>
        <v>0</v>
      </c>
      <c r="GV778" s="3">
        <f t="shared" si="616"/>
        <v>0</v>
      </c>
      <c r="GW778" s="3">
        <f t="shared" si="616"/>
        <v>0</v>
      </c>
      <c r="GX778" s="3">
        <f t="shared" si="616"/>
        <v>0</v>
      </c>
    </row>
    <row r="780" spans="1:245" x14ac:dyDescent="0.2">
      <c r="A780">
        <v>17</v>
      </c>
      <c r="B780">
        <v>1</v>
      </c>
      <c r="C780">
        <f>ROW(SmtRes!A279)</f>
        <v>279</v>
      </c>
      <c r="D780">
        <f>ROW(EtalonRes!A280)</f>
        <v>280</v>
      </c>
      <c r="E780" t="s">
        <v>437</v>
      </c>
      <c r="F780" t="s">
        <v>438</v>
      </c>
      <c r="G780" t="s">
        <v>439</v>
      </c>
      <c r="H780" t="s">
        <v>18</v>
      </c>
      <c r="I780">
        <f>ROUND(200*0.0015,9)</f>
        <v>0.3</v>
      </c>
      <c r="J780">
        <v>0</v>
      </c>
      <c r="O780">
        <f t="shared" ref="O780:O790" si="617">ROUND(CP780,2)</f>
        <v>4324.6400000000003</v>
      </c>
      <c r="P780">
        <f t="shared" ref="P780:P790" si="618">ROUND((ROUND((AC780*AW780*I780),2)*BC780),2)</f>
        <v>0</v>
      </c>
      <c r="Q780">
        <f t="shared" ref="Q780:Q790" si="619">(ROUND((ROUND(((ET780)*AV780*I780),2)*BB780),2)+ROUND((ROUND(((AE780-(EU780))*AV780*I780),2)*BS780),2))</f>
        <v>0</v>
      </c>
      <c r="R780">
        <f t="shared" ref="R780:R790" si="620">ROUND((ROUND((AE780*AV780*I780),2)*BS780),2)</f>
        <v>0</v>
      </c>
      <c r="S780">
        <f t="shared" ref="S780:S790" si="621">ROUND((ROUND((AF780*AV780*I780),2)*BA780),2)</f>
        <v>4324.6400000000003</v>
      </c>
      <c r="T780">
        <f t="shared" ref="T780:T790" si="622">ROUND(CU780*I780,2)</f>
        <v>0</v>
      </c>
      <c r="U780">
        <f t="shared" ref="U780:U790" si="623">CV780*I780</f>
        <v>17.25</v>
      </c>
      <c r="V780">
        <f t="shared" ref="V780:V790" si="624">CW780*I780</f>
        <v>0</v>
      </c>
      <c r="W780">
        <f t="shared" ref="W780:W790" si="625">ROUND(CX780*I780,2)</f>
        <v>0</v>
      </c>
      <c r="X780">
        <f t="shared" ref="X780:X790" si="626">ROUND(CY780,2)</f>
        <v>2940.76</v>
      </c>
      <c r="Y780">
        <f t="shared" ref="Y780:Y790" si="627">ROUND(CZ780,2)</f>
        <v>1773.1</v>
      </c>
      <c r="AA780">
        <v>33989672</v>
      </c>
      <c r="AB780">
        <f t="shared" ref="AB780:AB790" si="628">ROUND((AC780+AD780+AF780),6)</f>
        <v>587.65</v>
      </c>
      <c r="AC780">
        <f t="shared" ref="AC780:AC790" si="629">ROUND((ES780),6)</f>
        <v>0</v>
      </c>
      <c r="AD780">
        <f t="shared" ref="AD780:AD790" si="630">ROUND((((ET780)-(EU780))+AE780),6)</f>
        <v>0</v>
      </c>
      <c r="AE780">
        <f t="shared" ref="AE780:AE790" si="631">ROUND((EU780),6)</f>
        <v>0</v>
      </c>
      <c r="AF780">
        <f t="shared" ref="AF780:AF790" si="632">ROUND((EV780),6)</f>
        <v>587.65</v>
      </c>
      <c r="AG780">
        <f t="shared" ref="AG780:AG790" si="633">ROUND((AP780),6)</f>
        <v>0</v>
      </c>
      <c r="AH780">
        <f t="shared" ref="AH780:AH790" si="634">(EW780)</f>
        <v>57.5</v>
      </c>
      <c r="AI780">
        <f t="shared" ref="AI780:AI790" si="635">(EX780)</f>
        <v>0</v>
      </c>
      <c r="AJ780">
        <f t="shared" ref="AJ780:AJ790" si="636">(AS780)</f>
        <v>0</v>
      </c>
      <c r="AK780">
        <v>587.65</v>
      </c>
      <c r="AL780">
        <v>0</v>
      </c>
      <c r="AM780">
        <v>0</v>
      </c>
      <c r="AN780">
        <v>0</v>
      </c>
      <c r="AO780">
        <v>587.65</v>
      </c>
      <c r="AP780">
        <v>0</v>
      </c>
      <c r="AQ780">
        <v>57.5</v>
      </c>
      <c r="AR780">
        <v>0</v>
      </c>
      <c r="AS780">
        <v>0</v>
      </c>
      <c r="AT780">
        <v>68</v>
      </c>
      <c r="AU780">
        <v>41</v>
      </c>
      <c r="AV780">
        <v>1</v>
      </c>
      <c r="AW780">
        <v>1</v>
      </c>
      <c r="AZ780">
        <v>1</v>
      </c>
      <c r="BA780">
        <v>24.53</v>
      </c>
      <c r="BB780">
        <v>1</v>
      </c>
      <c r="BC780">
        <v>1</v>
      </c>
      <c r="BD780" t="s">
        <v>3</v>
      </c>
      <c r="BE780" t="s">
        <v>3</v>
      </c>
      <c r="BF780" t="s">
        <v>3</v>
      </c>
      <c r="BG780" t="s">
        <v>3</v>
      </c>
      <c r="BH780">
        <v>0</v>
      </c>
      <c r="BI780">
        <v>1</v>
      </c>
      <c r="BJ780" t="s">
        <v>440</v>
      </c>
      <c r="BM780">
        <v>456</v>
      </c>
      <c r="BN780">
        <v>0</v>
      </c>
      <c r="BO780" t="s">
        <v>438</v>
      </c>
      <c r="BP780">
        <v>1</v>
      </c>
      <c r="BQ780">
        <v>60</v>
      </c>
      <c r="BR780">
        <v>0</v>
      </c>
      <c r="BS780">
        <v>24.53</v>
      </c>
      <c r="BT780">
        <v>1</v>
      </c>
      <c r="BU780">
        <v>1</v>
      </c>
      <c r="BV780">
        <v>1</v>
      </c>
      <c r="BW780">
        <v>1</v>
      </c>
      <c r="BX780">
        <v>1</v>
      </c>
      <c r="BY780" t="s">
        <v>3</v>
      </c>
      <c r="BZ780">
        <v>68</v>
      </c>
      <c r="CA780">
        <v>41</v>
      </c>
      <c r="CE780">
        <v>30</v>
      </c>
      <c r="CF780">
        <v>0</v>
      </c>
      <c r="CG780">
        <v>0</v>
      </c>
      <c r="CM780">
        <v>0</v>
      </c>
      <c r="CN780" t="s">
        <v>3</v>
      </c>
      <c r="CO780">
        <v>0</v>
      </c>
      <c r="CP780">
        <f t="shared" ref="CP780:CP790" si="637">(P780+Q780+S780)</f>
        <v>4324.6400000000003</v>
      </c>
      <c r="CQ780">
        <f t="shared" ref="CQ780:CQ790" si="638">ROUND((ROUND((AC780*AW780*1),2)*BC780),2)</f>
        <v>0</v>
      </c>
      <c r="CR780">
        <f t="shared" ref="CR780:CR790" si="639">(ROUND((ROUND(((ET780)*AV780*1),2)*BB780),2)+ROUND((ROUND(((AE780-(EU780))*AV780*1),2)*BS780),2))</f>
        <v>0</v>
      </c>
      <c r="CS780">
        <f t="shared" ref="CS780:CS790" si="640">ROUND((ROUND((AE780*AV780*1),2)*BS780),2)</f>
        <v>0</v>
      </c>
      <c r="CT780">
        <f t="shared" ref="CT780:CT790" si="641">ROUND((ROUND((AF780*AV780*1),2)*BA780),2)</f>
        <v>14415.05</v>
      </c>
      <c r="CU780">
        <f t="shared" ref="CU780:CU790" si="642">AG780</f>
        <v>0</v>
      </c>
      <c r="CV780">
        <f t="shared" ref="CV780:CV790" si="643">(AH780*AV780)</f>
        <v>57.5</v>
      </c>
      <c r="CW780">
        <f t="shared" ref="CW780:CW790" si="644">AI780</f>
        <v>0</v>
      </c>
      <c r="CX780">
        <f t="shared" ref="CX780:CX790" si="645">AJ780</f>
        <v>0</v>
      </c>
      <c r="CY780">
        <f t="shared" ref="CY780:CY790" si="646">S780*(BZ780/100)</f>
        <v>2940.7552000000005</v>
      </c>
      <c r="CZ780">
        <f t="shared" ref="CZ780:CZ790" si="647">S780*(CA780/100)</f>
        <v>1773.1024</v>
      </c>
      <c r="DC780" t="s">
        <v>3</v>
      </c>
      <c r="DD780" t="s">
        <v>3</v>
      </c>
      <c r="DE780" t="s">
        <v>3</v>
      </c>
      <c r="DF780" t="s">
        <v>3</v>
      </c>
      <c r="DG780" t="s">
        <v>3</v>
      </c>
      <c r="DH780" t="s">
        <v>3</v>
      </c>
      <c r="DI780" t="s">
        <v>3</v>
      </c>
      <c r="DJ780" t="s">
        <v>3</v>
      </c>
      <c r="DK780" t="s">
        <v>3</v>
      </c>
      <c r="DL780" t="s">
        <v>3</v>
      </c>
      <c r="DM780" t="s">
        <v>3</v>
      </c>
      <c r="DN780">
        <v>80</v>
      </c>
      <c r="DO780">
        <v>55</v>
      </c>
      <c r="DP780">
        <v>1</v>
      </c>
      <c r="DQ780">
        <v>1</v>
      </c>
      <c r="DU780">
        <v>1005</v>
      </c>
      <c r="DV780" t="s">
        <v>18</v>
      </c>
      <c r="DW780" t="s">
        <v>18</v>
      </c>
      <c r="DX780">
        <v>100</v>
      </c>
      <c r="EE780">
        <v>33798095</v>
      </c>
      <c r="EF780">
        <v>60</v>
      </c>
      <c r="EG780" t="s">
        <v>20</v>
      </c>
      <c r="EH780">
        <v>0</v>
      </c>
      <c r="EI780" t="s">
        <v>3</v>
      </c>
      <c r="EJ780">
        <v>1</v>
      </c>
      <c r="EK780">
        <v>456</v>
      </c>
      <c r="EL780" t="s">
        <v>441</v>
      </c>
      <c r="EM780" t="s">
        <v>442</v>
      </c>
      <c r="EO780" t="s">
        <v>3</v>
      </c>
      <c r="EQ780">
        <v>131072</v>
      </c>
      <c r="ER780">
        <v>587.65</v>
      </c>
      <c r="ES780">
        <v>0</v>
      </c>
      <c r="ET780">
        <v>0</v>
      </c>
      <c r="EU780">
        <v>0</v>
      </c>
      <c r="EV780">
        <v>587.65</v>
      </c>
      <c r="EW780">
        <v>57.5</v>
      </c>
      <c r="EX780">
        <v>0</v>
      </c>
      <c r="EY780">
        <v>0</v>
      </c>
      <c r="FQ780">
        <v>0</v>
      </c>
      <c r="FR780">
        <f t="shared" ref="FR780:FR790" si="648">ROUND(IF(AND(BH780=3,BI780=3),P780,0),2)</f>
        <v>0</v>
      </c>
      <c r="FS780">
        <v>0</v>
      </c>
      <c r="FX780">
        <v>80</v>
      </c>
      <c r="FY780">
        <v>55</v>
      </c>
      <c r="GA780" t="s">
        <v>3</v>
      </c>
      <c r="GD780">
        <v>0</v>
      </c>
      <c r="GF780">
        <v>304045994</v>
      </c>
      <c r="GG780">
        <v>2</v>
      </c>
      <c r="GH780">
        <v>1</v>
      </c>
      <c r="GI780">
        <v>2</v>
      </c>
      <c r="GJ780">
        <v>0</v>
      </c>
      <c r="GK780">
        <f>ROUND(R780*(R12)/100,2)</f>
        <v>0</v>
      </c>
      <c r="GL780">
        <f t="shared" ref="GL780:GL790" si="649">ROUND(IF(AND(BH780=3,BI780=3,FS780&lt;&gt;0),P780,0),2)</f>
        <v>0</v>
      </c>
      <c r="GM780">
        <f t="shared" ref="GM780:GM790" si="650">ROUND(O780+X780+Y780+GK780,2)+GX780</f>
        <v>9038.5</v>
      </c>
      <c r="GN780">
        <f t="shared" ref="GN780:GN790" si="651">IF(OR(BI780=0,BI780=1),ROUND(O780+X780+Y780+GK780,2),0)</f>
        <v>9038.5</v>
      </c>
      <c r="GO780">
        <f t="shared" ref="GO780:GO790" si="652">IF(BI780=2,ROUND(O780+X780+Y780+GK780,2),0)</f>
        <v>0</v>
      </c>
      <c r="GP780">
        <f t="shared" ref="GP780:GP790" si="653">IF(BI780=4,ROUND(O780+X780+Y780+GK780,2)+GX780,0)</f>
        <v>0</v>
      </c>
      <c r="GR780">
        <v>0</v>
      </c>
      <c r="GS780">
        <v>3</v>
      </c>
      <c r="GT780">
        <v>0</v>
      </c>
      <c r="GU780" t="s">
        <v>3</v>
      </c>
      <c r="GV780">
        <f t="shared" ref="GV780:GV790" si="654">ROUND((GT780),6)</f>
        <v>0</v>
      </c>
      <c r="GW780">
        <v>1</v>
      </c>
      <c r="GX780">
        <f t="shared" ref="GX780:GX790" si="655">ROUND(HC780*I780,2)</f>
        <v>0</v>
      </c>
      <c r="HA780">
        <v>0</v>
      </c>
      <c r="HB780">
        <v>0</v>
      </c>
      <c r="HC780">
        <f t="shared" ref="HC780:HC790" si="656">GV780*GW780</f>
        <v>0</v>
      </c>
      <c r="IK780">
        <v>0</v>
      </c>
    </row>
    <row r="781" spans="1:245" x14ac:dyDescent="0.2">
      <c r="A781">
        <v>17</v>
      </c>
      <c r="B781">
        <v>1</v>
      </c>
      <c r="C781">
        <f>ROW(SmtRes!A280)</f>
        <v>280</v>
      </c>
      <c r="D781">
        <f>ROW(EtalonRes!A281)</f>
        <v>281</v>
      </c>
      <c r="E781" t="s">
        <v>443</v>
      </c>
      <c r="F781" t="s">
        <v>36</v>
      </c>
      <c r="G781" t="s">
        <v>37</v>
      </c>
      <c r="H781" t="s">
        <v>38</v>
      </c>
      <c r="I781">
        <f>ROUND(I780*4.6,5)</f>
        <v>1.38</v>
      </c>
      <c r="J781">
        <v>0</v>
      </c>
      <c r="O781">
        <f t="shared" si="617"/>
        <v>325.76</v>
      </c>
      <c r="P781">
        <f t="shared" si="618"/>
        <v>0</v>
      </c>
      <c r="Q781">
        <f t="shared" si="619"/>
        <v>0</v>
      </c>
      <c r="R781">
        <f t="shared" si="620"/>
        <v>0</v>
      </c>
      <c r="S781">
        <f t="shared" si="621"/>
        <v>325.76</v>
      </c>
      <c r="T781">
        <f t="shared" si="622"/>
        <v>0</v>
      </c>
      <c r="U781">
        <f t="shared" si="623"/>
        <v>1.4076</v>
      </c>
      <c r="V781">
        <f t="shared" si="624"/>
        <v>0</v>
      </c>
      <c r="W781">
        <f t="shared" si="625"/>
        <v>0</v>
      </c>
      <c r="X781">
        <f t="shared" si="626"/>
        <v>237.8</v>
      </c>
      <c r="Y781">
        <f t="shared" si="627"/>
        <v>133.56</v>
      </c>
      <c r="AA781">
        <v>33989672</v>
      </c>
      <c r="AB781">
        <f t="shared" si="628"/>
        <v>9.6199999999999992</v>
      </c>
      <c r="AC781">
        <f t="shared" si="629"/>
        <v>0</v>
      </c>
      <c r="AD781">
        <f t="shared" si="630"/>
        <v>0</v>
      </c>
      <c r="AE781">
        <f t="shared" si="631"/>
        <v>0</v>
      </c>
      <c r="AF781">
        <f t="shared" si="632"/>
        <v>9.6199999999999992</v>
      </c>
      <c r="AG781">
        <f t="shared" si="633"/>
        <v>0</v>
      </c>
      <c r="AH781">
        <f t="shared" si="634"/>
        <v>1.02</v>
      </c>
      <c r="AI781">
        <f t="shared" si="635"/>
        <v>0</v>
      </c>
      <c r="AJ781">
        <f t="shared" si="636"/>
        <v>0</v>
      </c>
      <c r="AK781">
        <v>9.6199999999999992</v>
      </c>
      <c r="AL781">
        <v>0</v>
      </c>
      <c r="AM781">
        <v>0</v>
      </c>
      <c r="AN781">
        <v>0</v>
      </c>
      <c r="AO781">
        <v>9.6199999999999992</v>
      </c>
      <c r="AP781">
        <v>0</v>
      </c>
      <c r="AQ781">
        <v>1.02</v>
      </c>
      <c r="AR781">
        <v>0</v>
      </c>
      <c r="AS781">
        <v>0</v>
      </c>
      <c r="AT781">
        <v>73</v>
      </c>
      <c r="AU781">
        <v>41</v>
      </c>
      <c r="AV781">
        <v>1</v>
      </c>
      <c r="AW781">
        <v>1</v>
      </c>
      <c r="AZ781">
        <v>1</v>
      </c>
      <c r="BA781">
        <v>24.53</v>
      </c>
      <c r="BB781">
        <v>1</v>
      </c>
      <c r="BC781">
        <v>1</v>
      </c>
      <c r="BD781" t="s">
        <v>3</v>
      </c>
      <c r="BE781" t="s">
        <v>3</v>
      </c>
      <c r="BF781" t="s">
        <v>3</v>
      </c>
      <c r="BG781" t="s">
        <v>3</v>
      </c>
      <c r="BH781">
        <v>0</v>
      </c>
      <c r="BI781">
        <v>1</v>
      </c>
      <c r="BJ781" t="s">
        <v>39</v>
      </c>
      <c r="BM781">
        <v>682</v>
      </c>
      <c r="BN781">
        <v>0</v>
      </c>
      <c r="BO781" t="s">
        <v>36</v>
      </c>
      <c r="BP781">
        <v>1</v>
      </c>
      <c r="BQ781">
        <v>60</v>
      </c>
      <c r="BR781">
        <v>0</v>
      </c>
      <c r="BS781">
        <v>24.53</v>
      </c>
      <c r="BT781">
        <v>1</v>
      </c>
      <c r="BU781">
        <v>1</v>
      </c>
      <c r="BV781">
        <v>1</v>
      </c>
      <c r="BW781">
        <v>1</v>
      </c>
      <c r="BX781">
        <v>1</v>
      </c>
      <c r="BY781" t="s">
        <v>3</v>
      </c>
      <c r="BZ781">
        <v>73</v>
      </c>
      <c r="CA781">
        <v>41</v>
      </c>
      <c r="CE781">
        <v>30</v>
      </c>
      <c r="CF781">
        <v>0</v>
      </c>
      <c r="CG781">
        <v>0</v>
      </c>
      <c r="CM781">
        <v>0</v>
      </c>
      <c r="CN781" t="s">
        <v>3</v>
      </c>
      <c r="CO781">
        <v>0</v>
      </c>
      <c r="CP781">
        <f t="shared" si="637"/>
        <v>325.76</v>
      </c>
      <c r="CQ781">
        <f t="shared" si="638"/>
        <v>0</v>
      </c>
      <c r="CR781">
        <f t="shared" si="639"/>
        <v>0</v>
      </c>
      <c r="CS781">
        <f t="shared" si="640"/>
        <v>0</v>
      </c>
      <c r="CT781">
        <f t="shared" si="641"/>
        <v>235.98</v>
      </c>
      <c r="CU781">
        <f t="shared" si="642"/>
        <v>0</v>
      </c>
      <c r="CV781">
        <f t="shared" si="643"/>
        <v>1.02</v>
      </c>
      <c r="CW781">
        <f t="shared" si="644"/>
        <v>0</v>
      </c>
      <c r="CX781">
        <f t="shared" si="645"/>
        <v>0</v>
      </c>
      <c r="CY781">
        <f t="shared" si="646"/>
        <v>237.8048</v>
      </c>
      <c r="CZ781">
        <f t="shared" si="647"/>
        <v>133.5616</v>
      </c>
      <c r="DC781" t="s">
        <v>3</v>
      </c>
      <c r="DD781" t="s">
        <v>3</v>
      </c>
      <c r="DE781" t="s">
        <v>3</v>
      </c>
      <c r="DF781" t="s">
        <v>3</v>
      </c>
      <c r="DG781" t="s">
        <v>3</v>
      </c>
      <c r="DH781" t="s">
        <v>3</v>
      </c>
      <c r="DI781" t="s">
        <v>3</v>
      </c>
      <c r="DJ781" t="s">
        <v>3</v>
      </c>
      <c r="DK781" t="s">
        <v>3</v>
      </c>
      <c r="DL781" t="s">
        <v>3</v>
      </c>
      <c r="DM781" t="s">
        <v>3</v>
      </c>
      <c r="DN781">
        <v>91</v>
      </c>
      <c r="DO781">
        <v>70</v>
      </c>
      <c r="DP781">
        <v>1</v>
      </c>
      <c r="DQ781">
        <v>1</v>
      </c>
      <c r="DU781">
        <v>1013</v>
      </c>
      <c r="DV781" t="s">
        <v>38</v>
      </c>
      <c r="DW781" t="s">
        <v>38</v>
      </c>
      <c r="DX781">
        <v>1</v>
      </c>
      <c r="EE781">
        <v>33798321</v>
      </c>
      <c r="EF781">
        <v>60</v>
      </c>
      <c r="EG781" t="s">
        <v>20</v>
      </c>
      <c r="EH781">
        <v>0</v>
      </c>
      <c r="EI781" t="s">
        <v>3</v>
      </c>
      <c r="EJ781">
        <v>1</v>
      </c>
      <c r="EK781">
        <v>682</v>
      </c>
      <c r="EL781" t="s">
        <v>40</v>
      </c>
      <c r="EM781" t="s">
        <v>41</v>
      </c>
      <c r="EO781" t="s">
        <v>3</v>
      </c>
      <c r="EQ781">
        <v>2490368</v>
      </c>
      <c r="ER781">
        <v>9.6199999999999992</v>
      </c>
      <c r="ES781">
        <v>0</v>
      </c>
      <c r="ET781">
        <v>0</v>
      </c>
      <c r="EU781">
        <v>0</v>
      </c>
      <c r="EV781">
        <v>9.6199999999999992</v>
      </c>
      <c r="EW781">
        <v>1.02</v>
      </c>
      <c r="EX781">
        <v>0</v>
      </c>
      <c r="EY781">
        <v>0</v>
      </c>
      <c r="FQ781">
        <v>0</v>
      </c>
      <c r="FR781">
        <f t="shared" si="648"/>
        <v>0</v>
      </c>
      <c r="FS781">
        <v>0</v>
      </c>
      <c r="FX781">
        <v>91</v>
      </c>
      <c r="FY781">
        <v>70</v>
      </c>
      <c r="GA781" t="s">
        <v>3</v>
      </c>
      <c r="GD781">
        <v>0</v>
      </c>
      <c r="GF781">
        <v>903638064</v>
      </c>
      <c r="GG781">
        <v>2</v>
      </c>
      <c r="GH781">
        <v>1</v>
      </c>
      <c r="GI781">
        <v>2</v>
      </c>
      <c r="GJ781">
        <v>0</v>
      </c>
      <c r="GK781">
        <f>ROUND(R781*(R12)/100,2)</f>
        <v>0</v>
      </c>
      <c r="GL781">
        <f t="shared" si="649"/>
        <v>0</v>
      </c>
      <c r="GM781">
        <f t="shared" si="650"/>
        <v>697.12</v>
      </c>
      <c r="GN781">
        <f t="shared" si="651"/>
        <v>697.12</v>
      </c>
      <c r="GO781">
        <f t="shared" si="652"/>
        <v>0</v>
      </c>
      <c r="GP781">
        <f t="shared" si="653"/>
        <v>0</v>
      </c>
      <c r="GR781">
        <v>0</v>
      </c>
      <c r="GS781">
        <v>3</v>
      </c>
      <c r="GT781">
        <v>0</v>
      </c>
      <c r="GU781" t="s">
        <v>3</v>
      </c>
      <c r="GV781">
        <f t="shared" si="654"/>
        <v>0</v>
      </c>
      <c r="GW781">
        <v>1</v>
      </c>
      <c r="GX781">
        <f t="shared" si="655"/>
        <v>0</v>
      </c>
      <c r="HA781">
        <v>0</v>
      </c>
      <c r="HB781">
        <v>0</v>
      </c>
      <c r="HC781">
        <f t="shared" si="656"/>
        <v>0</v>
      </c>
      <c r="IK781">
        <v>0</v>
      </c>
    </row>
    <row r="782" spans="1:245" x14ac:dyDescent="0.2">
      <c r="A782">
        <v>17</v>
      </c>
      <c r="B782">
        <v>1</v>
      </c>
      <c r="C782">
        <f>ROW(SmtRes!A281)</f>
        <v>281</v>
      </c>
      <c r="D782">
        <f>ROW(EtalonRes!A282)</f>
        <v>282</v>
      </c>
      <c r="E782" t="s">
        <v>444</v>
      </c>
      <c r="F782" t="s">
        <v>445</v>
      </c>
      <c r="G782" t="s">
        <v>446</v>
      </c>
      <c r="H782" t="s">
        <v>51</v>
      </c>
      <c r="I782">
        <v>0</v>
      </c>
      <c r="J782">
        <v>0</v>
      </c>
      <c r="O782">
        <f t="shared" si="617"/>
        <v>0</v>
      </c>
      <c r="P782">
        <f t="shared" si="618"/>
        <v>0</v>
      </c>
      <c r="Q782">
        <f t="shared" si="619"/>
        <v>0</v>
      </c>
      <c r="R782">
        <f t="shared" si="620"/>
        <v>0</v>
      </c>
      <c r="S782">
        <f t="shared" si="621"/>
        <v>0</v>
      </c>
      <c r="T782">
        <f t="shared" si="622"/>
        <v>0</v>
      </c>
      <c r="U782">
        <f t="shared" si="623"/>
        <v>0</v>
      </c>
      <c r="V782">
        <f t="shared" si="624"/>
        <v>0</v>
      </c>
      <c r="W782">
        <f t="shared" si="625"/>
        <v>0</v>
      </c>
      <c r="X782">
        <f t="shared" si="626"/>
        <v>0</v>
      </c>
      <c r="Y782">
        <f t="shared" si="627"/>
        <v>0</v>
      </c>
      <c r="AA782">
        <v>33989672</v>
      </c>
      <c r="AB782">
        <f t="shared" si="628"/>
        <v>32.270000000000003</v>
      </c>
      <c r="AC782">
        <f t="shared" si="629"/>
        <v>0</v>
      </c>
      <c r="AD782">
        <f t="shared" si="630"/>
        <v>32.270000000000003</v>
      </c>
      <c r="AE782">
        <f t="shared" si="631"/>
        <v>0</v>
      </c>
      <c r="AF782">
        <f t="shared" si="632"/>
        <v>0</v>
      </c>
      <c r="AG782">
        <f t="shared" si="633"/>
        <v>0</v>
      </c>
      <c r="AH782">
        <f t="shared" si="634"/>
        <v>0</v>
      </c>
      <c r="AI782">
        <f t="shared" si="635"/>
        <v>0</v>
      </c>
      <c r="AJ782">
        <f t="shared" si="636"/>
        <v>0</v>
      </c>
      <c r="AK782">
        <v>32.270000000000003</v>
      </c>
      <c r="AL782">
        <v>0</v>
      </c>
      <c r="AM782">
        <v>32.270000000000003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93</v>
      </c>
      <c r="AU782">
        <v>64</v>
      </c>
      <c r="AV782">
        <v>1</v>
      </c>
      <c r="AW782">
        <v>1</v>
      </c>
      <c r="AZ782">
        <v>1</v>
      </c>
      <c r="BA782">
        <v>1</v>
      </c>
      <c r="BB782">
        <v>10.11</v>
      </c>
      <c r="BC782">
        <v>1</v>
      </c>
      <c r="BD782" t="s">
        <v>3</v>
      </c>
      <c r="BE782" t="s">
        <v>3</v>
      </c>
      <c r="BF782" t="s">
        <v>3</v>
      </c>
      <c r="BG782" t="s">
        <v>3</v>
      </c>
      <c r="BH782">
        <v>0</v>
      </c>
      <c r="BI782">
        <v>4</v>
      </c>
      <c r="BJ782" t="s">
        <v>447</v>
      </c>
      <c r="BM782">
        <v>1113</v>
      </c>
      <c r="BN782">
        <v>0</v>
      </c>
      <c r="BO782" t="s">
        <v>445</v>
      </c>
      <c r="BP782">
        <v>1</v>
      </c>
      <c r="BQ782">
        <v>150</v>
      </c>
      <c r="BR782">
        <v>0</v>
      </c>
      <c r="BS782">
        <v>1</v>
      </c>
      <c r="BT782">
        <v>1</v>
      </c>
      <c r="BU782">
        <v>1</v>
      </c>
      <c r="BV782">
        <v>1</v>
      </c>
      <c r="BW782">
        <v>1</v>
      </c>
      <c r="BX782">
        <v>1</v>
      </c>
      <c r="BY782" t="s">
        <v>3</v>
      </c>
      <c r="BZ782">
        <v>93</v>
      </c>
      <c r="CA782">
        <v>64</v>
      </c>
      <c r="CE782">
        <v>30</v>
      </c>
      <c r="CF782">
        <v>0</v>
      </c>
      <c r="CG782">
        <v>0</v>
      </c>
      <c r="CM782">
        <v>0</v>
      </c>
      <c r="CN782" t="s">
        <v>3</v>
      </c>
      <c r="CO782">
        <v>0</v>
      </c>
      <c r="CP782">
        <f t="shared" si="637"/>
        <v>0</v>
      </c>
      <c r="CQ782">
        <f t="shared" si="638"/>
        <v>0</v>
      </c>
      <c r="CR782">
        <f t="shared" si="639"/>
        <v>326.25</v>
      </c>
      <c r="CS782">
        <f t="shared" si="640"/>
        <v>0</v>
      </c>
      <c r="CT782">
        <f t="shared" si="641"/>
        <v>0</v>
      </c>
      <c r="CU782">
        <f t="shared" si="642"/>
        <v>0</v>
      </c>
      <c r="CV782">
        <f t="shared" si="643"/>
        <v>0</v>
      </c>
      <c r="CW782">
        <f t="shared" si="644"/>
        <v>0</v>
      </c>
      <c r="CX782">
        <f t="shared" si="645"/>
        <v>0</v>
      </c>
      <c r="CY782">
        <f t="shared" si="646"/>
        <v>0</v>
      </c>
      <c r="CZ782">
        <f t="shared" si="647"/>
        <v>0</v>
      </c>
      <c r="DC782" t="s">
        <v>3</v>
      </c>
      <c r="DD782" t="s">
        <v>3</v>
      </c>
      <c r="DE782" t="s">
        <v>3</v>
      </c>
      <c r="DF782" t="s">
        <v>3</v>
      </c>
      <c r="DG782" t="s">
        <v>3</v>
      </c>
      <c r="DH782" t="s">
        <v>3</v>
      </c>
      <c r="DI782" t="s">
        <v>3</v>
      </c>
      <c r="DJ782" t="s">
        <v>3</v>
      </c>
      <c r="DK782" t="s">
        <v>3</v>
      </c>
      <c r="DL782" t="s">
        <v>3</v>
      </c>
      <c r="DM782" t="s">
        <v>3</v>
      </c>
      <c r="DN782">
        <v>0</v>
      </c>
      <c r="DO782">
        <v>0</v>
      </c>
      <c r="DP782">
        <v>1</v>
      </c>
      <c r="DQ782">
        <v>1</v>
      </c>
      <c r="DU782">
        <v>1009</v>
      </c>
      <c r="DV782" t="s">
        <v>51</v>
      </c>
      <c r="DW782" t="s">
        <v>51</v>
      </c>
      <c r="DX782">
        <v>1000</v>
      </c>
      <c r="EE782">
        <v>33798752</v>
      </c>
      <c r="EF782">
        <v>150</v>
      </c>
      <c r="EG782" t="s">
        <v>53</v>
      </c>
      <c r="EH782">
        <v>0</v>
      </c>
      <c r="EI782" t="s">
        <v>3</v>
      </c>
      <c r="EJ782">
        <v>4</v>
      </c>
      <c r="EK782">
        <v>1113</v>
      </c>
      <c r="EL782" t="s">
        <v>54</v>
      </c>
      <c r="EM782" t="s">
        <v>55</v>
      </c>
      <c r="EO782" t="s">
        <v>3</v>
      </c>
      <c r="EQ782">
        <v>131072</v>
      </c>
      <c r="ER782">
        <v>32.270000000000003</v>
      </c>
      <c r="ES782">
        <v>0</v>
      </c>
      <c r="ET782">
        <v>32.270000000000003</v>
      </c>
      <c r="EU782">
        <v>0</v>
      </c>
      <c r="EV782">
        <v>0</v>
      </c>
      <c r="EW782">
        <v>0</v>
      </c>
      <c r="EX782">
        <v>0</v>
      </c>
      <c r="EY782">
        <v>0</v>
      </c>
      <c r="FQ782">
        <v>0</v>
      </c>
      <c r="FR782">
        <f t="shared" si="648"/>
        <v>0</v>
      </c>
      <c r="FS782">
        <v>0</v>
      </c>
      <c r="FX782">
        <v>0</v>
      </c>
      <c r="FY782">
        <v>0</v>
      </c>
      <c r="GA782" t="s">
        <v>3</v>
      </c>
      <c r="GD782">
        <v>0</v>
      </c>
      <c r="GF782">
        <v>-102777709</v>
      </c>
      <c r="GG782">
        <v>2</v>
      </c>
      <c r="GH782">
        <v>1</v>
      </c>
      <c r="GI782">
        <v>2</v>
      </c>
      <c r="GJ782">
        <v>0</v>
      </c>
      <c r="GK782">
        <f>ROUND(R782*(R12)/100,2)</f>
        <v>0</v>
      </c>
      <c r="GL782">
        <f t="shared" si="649"/>
        <v>0</v>
      </c>
      <c r="GM782">
        <f t="shared" si="650"/>
        <v>0</v>
      </c>
      <c r="GN782">
        <f t="shared" si="651"/>
        <v>0</v>
      </c>
      <c r="GO782">
        <f t="shared" si="652"/>
        <v>0</v>
      </c>
      <c r="GP782">
        <f t="shared" si="653"/>
        <v>0</v>
      </c>
      <c r="GR782">
        <v>0</v>
      </c>
      <c r="GS782">
        <v>3</v>
      </c>
      <c r="GT782">
        <v>0</v>
      </c>
      <c r="GU782" t="s">
        <v>3</v>
      </c>
      <c r="GV782">
        <f t="shared" si="654"/>
        <v>0</v>
      </c>
      <c r="GW782">
        <v>1</v>
      </c>
      <c r="GX782">
        <f t="shared" si="655"/>
        <v>0</v>
      </c>
      <c r="HA782">
        <v>0</v>
      </c>
      <c r="HB782">
        <v>0</v>
      </c>
      <c r="HC782">
        <f t="shared" si="656"/>
        <v>0</v>
      </c>
      <c r="IK782">
        <v>0</v>
      </c>
    </row>
    <row r="783" spans="1:245" x14ac:dyDescent="0.2">
      <c r="A783">
        <v>17</v>
      </c>
      <c r="B783">
        <v>1</v>
      </c>
      <c r="C783">
        <f>ROW(SmtRes!A282)</f>
        <v>282</v>
      </c>
      <c r="D783">
        <f>ROW(EtalonRes!A283)</f>
        <v>283</v>
      </c>
      <c r="E783" t="s">
        <v>448</v>
      </c>
      <c r="F783" t="s">
        <v>449</v>
      </c>
      <c r="G783" t="s">
        <v>450</v>
      </c>
      <c r="H783" t="s">
        <v>38</v>
      </c>
      <c r="I783">
        <f>ROUND(I782,9)</f>
        <v>0</v>
      </c>
      <c r="J783">
        <v>0</v>
      </c>
      <c r="O783">
        <f t="shared" si="617"/>
        <v>0</v>
      </c>
      <c r="P783">
        <f t="shared" si="618"/>
        <v>0</v>
      </c>
      <c r="Q783">
        <f t="shared" si="619"/>
        <v>0</v>
      </c>
      <c r="R783">
        <f t="shared" si="620"/>
        <v>0</v>
      </c>
      <c r="S783">
        <f t="shared" si="621"/>
        <v>0</v>
      </c>
      <c r="T783">
        <f t="shared" si="622"/>
        <v>0</v>
      </c>
      <c r="U783">
        <f t="shared" si="623"/>
        <v>0</v>
      </c>
      <c r="V783">
        <f t="shared" si="624"/>
        <v>0</v>
      </c>
      <c r="W783">
        <f t="shared" si="625"/>
        <v>0</v>
      </c>
      <c r="X783">
        <f t="shared" si="626"/>
        <v>0</v>
      </c>
      <c r="Y783">
        <f t="shared" si="627"/>
        <v>0</v>
      </c>
      <c r="AA783">
        <v>33989672</v>
      </c>
      <c r="AB783">
        <f t="shared" si="628"/>
        <v>21.71</v>
      </c>
      <c r="AC783">
        <f t="shared" si="629"/>
        <v>0</v>
      </c>
      <c r="AD783">
        <f t="shared" si="630"/>
        <v>21.71</v>
      </c>
      <c r="AE783">
        <f t="shared" si="631"/>
        <v>0</v>
      </c>
      <c r="AF783">
        <f t="shared" si="632"/>
        <v>0</v>
      </c>
      <c r="AG783">
        <f t="shared" si="633"/>
        <v>0</v>
      </c>
      <c r="AH783">
        <f t="shared" si="634"/>
        <v>0</v>
      </c>
      <c r="AI783">
        <f t="shared" si="635"/>
        <v>0</v>
      </c>
      <c r="AJ783">
        <f t="shared" si="636"/>
        <v>0</v>
      </c>
      <c r="AK783">
        <v>21.71</v>
      </c>
      <c r="AL783">
        <v>0</v>
      </c>
      <c r="AM783">
        <v>21.71</v>
      </c>
      <c r="AN783">
        <v>0</v>
      </c>
      <c r="AO783">
        <v>0</v>
      </c>
      <c r="AP783">
        <v>0</v>
      </c>
      <c r="AQ783">
        <v>0</v>
      </c>
      <c r="AR783">
        <v>0</v>
      </c>
      <c r="AS783">
        <v>0</v>
      </c>
      <c r="AT783">
        <v>93</v>
      </c>
      <c r="AU783">
        <v>64</v>
      </c>
      <c r="AV783">
        <v>1</v>
      </c>
      <c r="AW783">
        <v>1</v>
      </c>
      <c r="AZ783">
        <v>1</v>
      </c>
      <c r="BA783">
        <v>1</v>
      </c>
      <c r="BB783">
        <v>7.63</v>
      </c>
      <c r="BC783">
        <v>1</v>
      </c>
      <c r="BD783" t="s">
        <v>3</v>
      </c>
      <c r="BE783" t="s">
        <v>3</v>
      </c>
      <c r="BF783" t="s">
        <v>3</v>
      </c>
      <c r="BG783" t="s">
        <v>3</v>
      </c>
      <c r="BH783">
        <v>0</v>
      </c>
      <c r="BI783">
        <v>4</v>
      </c>
      <c r="BJ783" t="s">
        <v>451</v>
      </c>
      <c r="BM783">
        <v>1113</v>
      </c>
      <c r="BN783">
        <v>0</v>
      </c>
      <c r="BO783" t="s">
        <v>449</v>
      </c>
      <c r="BP783">
        <v>1</v>
      </c>
      <c r="BQ783">
        <v>150</v>
      </c>
      <c r="BR783">
        <v>0</v>
      </c>
      <c r="BS783">
        <v>1</v>
      </c>
      <c r="BT783">
        <v>1</v>
      </c>
      <c r="BU783">
        <v>1</v>
      </c>
      <c r="BV783">
        <v>1</v>
      </c>
      <c r="BW783">
        <v>1</v>
      </c>
      <c r="BX783">
        <v>1</v>
      </c>
      <c r="BY783" t="s">
        <v>3</v>
      </c>
      <c r="BZ783">
        <v>93</v>
      </c>
      <c r="CA783">
        <v>64</v>
      </c>
      <c r="CE783">
        <v>30</v>
      </c>
      <c r="CF783">
        <v>0</v>
      </c>
      <c r="CG783">
        <v>0</v>
      </c>
      <c r="CM783">
        <v>0</v>
      </c>
      <c r="CN783" t="s">
        <v>3</v>
      </c>
      <c r="CO783">
        <v>0</v>
      </c>
      <c r="CP783">
        <f t="shared" si="637"/>
        <v>0</v>
      </c>
      <c r="CQ783">
        <f t="shared" si="638"/>
        <v>0</v>
      </c>
      <c r="CR783">
        <f t="shared" si="639"/>
        <v>165.65</v>
      </c>
      <c r="CS783">
        <f t="shared" si="640"/>
        <v>0</v>
      </c>
      <c r="CT783">
        <f t="shared" si="641"/>
        <v>0</v>
      </c>
      <c r="CU783">
        <f t="shared" si="642"/>
        <v>0</v>
      </c>
      <c r="CV783">
        <f t="shared" si="643"/>
        <v>0</v>
      </c>
      <c r="CW783">
        <f t="shared" si="644"/>
        <v>0</v>
      </c>
      <c r="CX783">
        <f t="shared" si="645"/>
        <v>0</v>
      </c>
      <c r="CY783">
        <f t="shared" si="646"/>
        <v>0</v>
      </c>
      <c r="CZ783">
        <f t="shared" si="647"/>
        <v>0</v>
      </c>
      <c r="DC783" t="s">
        <v>3</v>
      </c>
      <c r="DD783" t="s">
        <v>3</v>
      </c>
      <c r="DE783" t="s">
        <v>3</v>
      </c>
      <c r="DF783" t="s">
        <v>3</v>
      </c>
      <c r="DG783" t="s">
        <v>3</v>
      </c>
      <c r="DH783" t="s">
        <v>3</v>
      </c>
      <c r="DI783" t="s">
        <v>3</v>
      </c>
      <c r="DJ783" t="s">
        <v>3</v>
      </c>
      <c r="DK783" t="s">
        <v>3</v>
      </c>
      <c r="DL783" t="s">
        <v>3</v>
      </c>
      <c r="DM783" t="s">
        <v>3</v>
      </c>
      <c r="DN783">
        <v>0</v>
      </c>
      <c r="DO783">
        <v>0</v>
      </c>
      <c r="DP783">
        <v>1</v>
      </c>
      <c r="DQ783">
        <v>1</v>
      </c>
      <c r="DU783">
        <v>1013</v>
      </c>
      <c r="DV783" t="s">
        <v>38</v>
      </c>
      <c r="DW783" t="s">
        <v>38</v>
      </c>
      <c r="DX783">
        <v>1</v>
      </c>
      <c r="EE783">
        <v>33798752</v>
      </c>
      <c r="EF783">
        <v>150</v>
      </c>
      <c r="EG783" t="s">
        <v>53</v>
      </c>
      <c r="EH783">
        <v>0</v>
      </c>
      <c r="EI783" t="s">
        <v>3</v>
      </c>
      <c r="EJ783">
        <v>4</v>
      </c>
      <c r="EK783">
        <v>1113</v>
      </c>
      <c r="EL783" t="s">
        <v>54</v>
      </c>
      <c r="EM783" t="s">
        <v>55</v>
      </c>
      <c r="EO783" t="s">
        <v>3</v>
      </c>
      <c r="EQ783">
        <v>131072</v>
      </c>
      <c r="ER783">
        <v>21.71</v>
      </c>
      <c r="ES783">
        <v>0</v>
      </c>
      <c r="ET783">
        <v>21.71</v>
      </c>
      <c r="EU783">
        <v>0</v>
      </c>
      <c r="EV783">
        <v>0</v>
      </c>
      <c r="EW783">
        <v>0</v>
      </c>
      <c r="EX783">
        <v>0</v>
      </c>
      <c r="EY783">
        <v>0</v>
      </c>
      <c r="FQ783">
        <v>0</v>
      </c>
      <c r="FR783">
        <f t="shared" si="648"/>
        <v>0</v>
      </c>
      <c r="FS783">
        <v>0</v>
      </c>
      <c r="FX783">
        <v>0</v>
      </c>
      <c r="FY783">
        <v>0</v>
      </c>
      <c r="GA783" t="s">
        <v>3</v>
      </c>
      <c r="GD783">
        <v>0</v>
      </c>
      <c r="GF783">
        <v>684059392</v>
      </c>
      <c r="GG783">
        <v>2</v>
      </c>
      <c r="GH783">
        <v>1</v>
      </c>
      <c r="GI783">
        <v>2</v>
      </c>
      <c r="GJ783">
        <v>0</v>
      </c>
      <c r="GK783">
        <f>ROUND(R783*(R12)/100,2)</f>
        <v>0</v>
      </c>
      <c r="GL783">
        <f t="shared" si="649"/>
        <v>0</v>
      </c>
      <c r="GM783">
        <f t="shared" si="650"/>
        <v>0</v>
      </c>
      <c r="GN783">
        <f t="shared" si="651"/>
        <v>0</v>
      </c>
      <c r="GO783">
        <f t="shared" si="652"/>
        <v>0</v>
      </c>
      <c r="GP783">
        <f t="shared" si="653"/>
        <v>0</v>
      </c>
      <c r="GR783">
        <v>0</v>
      </c>
      <c r="GS783">
        <v>3</v>
      </c>
      <c r="GT783">
        <v>0</v>
      </c>
      <c r="GU783" t="s">
        <v>3</v>
      </c>
      <c r="GV783">
        <f t="shared" si="654"/>
        <v>0</v>
      </c>
      <c r="GW783">
        <v>1</v>
      </c>
      <c r="GX783">
        <f t="shared" si="655"/>
        <v>0</v>
      </c>
      <c r="HA783">
        <v>0</v>
      </c>
      <c r="HB783">
        <v>0</v>
      </c>
      <c r="HC783">
        <f t="shared" si="656"/>
        <v>0</v>
      </c>
      <c r="IK783">
        <v>0</v>
      </c>
    </row>
    <row r="784" spans="1:245" x14ac:dyDescent="0.2">
      <c r="A784">
        <v>17</v>
      </c>
      <c r="B784">
        <v>1</v>
      </c>
      <c r="C784">
        <f>ROW(SmtRes!A283)</f>
        <v>283</v>
      </c>
      <c r="D784">
        <f>ROW(EtalonRes!A284)</f>
        <v>284</v>
      </c>
      <c r="E784" t="s">
        <v>452</v>
      </c>
      <c r="F784" t="s">
        <v>453</v>
      </c>
      <c r="G784" t="s">
        <v>454</v>
      </c>
      <c r="H784" t="s">
        <v>455</v>
      </c>
      <c r="I784">
        <f>ROUND(200*0.3,9)</f>
        <v>60</v>
      </c>
      <c r="J784">
        <v>0</v>
      </c>
      <c r="O784">
        <f t="shared" si="617"/>
        <v>9022.1299999999992</v>
      </c>
      <c r="P784">
        <f t="shared" si="618"/>
        <v>0</v>
      </c>
      <c r="Q784">
        <f t="shared" si="619"/>
        <v>0</v>
      </c>
      <c r="R784">
        <f t="shared" si="620"/>
        <v>0</v>
      </c>
      <c r="S784">
        <f t="shared" si="621"/>
        <v>9022.1299999999992</v>
      </c>
      <c r="T784">
        <f t="shared" si="622"/>
        <v>0</v>
      </c>
      <c r="U784">
        <f t="shared" si="623"/>
        <v>36</v>
      </c>
      <c r="V784">
        <f t="shared" si="624"/>
        <v>0</v>
      </c>
      <c r="W784">
        <f t="shared" si="625"/>
        <v>0</v>
      </c>
      <c r="X784">
        <f t="shared" si="626"/>
        <v>7307.93</v>
      </c>
      <c r="Y784">
        <f t="shared" si="627"/>
        <v>3699.07</v>
      </c>
      <c r="AA784">
        <v>33989672</v>
      </c>
      <c r="AB784">
        <f t="shared" si="628"/>
        <v>6.13</v>
      </c>
      <c r="AC784">
        <f t="shared" si="629"/>
        <v>0</v>
      </c>
      <c r="AD784">
        <f t="shared" si="630"/>
        <v>0</v>
      </c>
      <c r="AE784">
        <f t="shared" si="631"/>
        <v>0</v>
      </c>
      <c r="AF784">
        <f t="shared" si="632"/>
        <v>6.13</v>
      </c>
      <c r="AG784">
        <f t="shared" si="633"/>
        <v>0</v>
      </c>
      <c r="AH784">
        <f t="shared" si="634"/>
        <v>0.6</v>
      </c>
      <c r="AI784">
        <f t="shared" si="635"/>
        <v>0</v>
      </c>
      <c r="AJ784">
        <f t="shared" si="636"/>
        <v>0</v>
      </c>
      <c r="AK784">
        <v>6.13</v>
      </c>
      <c r="AL784">
        <v>0</v>
      </c>
      <c r="AM784">
        <v>0</v>
      </c>
      <c r="AN784">
        <v>0</v>
      </c>
      <c r="AO784">
        <v>6.13</v>
      </c>
      <c r="AP784">
        <v>0</v>
      </c>
      <c r="AQ784">
        <v>0.6</v>
      </c>
      <c r="AR784">
        <v>0</v>
      </c>
      <c r="AS784">
        <v>0</v>
      </c>
      <c r="AT784">
        <v>81</v>
      </c>
      <c r="AU784">
        <v>41</v>
      </c>
      <c r="AV784">
        <v>1</v>
      </c>
      <c r="AW784">
        <v>1</v>
      </c>
      <c r="AZ784">
        <v>1</v>
      </c>
      <c r="BA784">
        <v>24.53</v>
      </c>
      <c r="BB784">
        <v>1</v>
      </c>
      <c r="BC784">
        <v>1</v>
      </c>
      <c r="BD784" t="s">
        <v>3</v>
      </c>
      <c r="BE784" t="s">
        <v>3</v>
      </c>
      <c r="BF784" t="s">
        <v>3</v>
      </c>
      <c r="BG784" t="s">
        <v>3</v>
      </c>
      <c r="BH784">
        <v>0</v>
      </c>
      <c r="BI784">
        <v>1</v>
      </c>
      <c r="BJ784" t="s">
        <v>456</v>
      </c>
      <c r="BM784">
        <v>478</v>
      </c>
      <c r="BN784">
        <v>0</v>
      </c>
      <c r="BO784" t="s">
        <v>453</v>
      </c>
      <c r="BP784">
        <v>1</v>
      </c>
      <c r="BQ784">
        <v>60</v>
      </c>
      <c r="BR784">
        <v>0</v>
      </c>
      <c r="BS784">
        <v>24.53</v>
      </c>
      <c r="BT784">
        <v>1</v>
      </c>
      <c r="BU784">
        <v>1</v>
      </c>
      <c r="BV784">
        <v>1</v>
      </c>
      <c r="BW784">
        <v>1</v>
      </c>
      <c r="BX784">
        <v>1</v>
      </c>
      <c r="BY784" t="s">
        <v>3</v>
      </c>
      <c r="BZ784">
        <v>81</v>
      </c>
      <c r="CA784">
        <v>41</v>
      </c>
      <c r="CE784">
        <v>30</v>
      </c>
      <c r="CF784">
        <v>0</v>
      </c>
      <c r="CG784">
        <v>0</v>
      </c>
      <c r="CM784">
        <v>0</v>
      </c>
      <c r="CN784" t="s">
        <v>3</v>
      </c>
      <c r="CO784">
        <v>0</v>
      </c>
      <c r="CP784">
        <f t="shared" si="637"/>
        <v>9022.1299999999992</v>
      </c>
      <c r="CQ784">
        <f t="shared" si="638"/>
        <v>0</v>
      </c>
      <c r="CR784">
        <f t="shared" si="639"/>
        <v>0</v>
      </c>
      <c r="CS784">
        <f t="shared" si="640"/>
        <v>0</v>
      </c>
      <c r="CT784">
        <f t="shared" si="641"/>
        <v>150.37</v>
      </c>
      <c r="CU784">
        <f t="shared" si="642"/>
        <v>0</v>
      </c>
      <c r="CV784">
        <f t="shared" si="643"/>
        <v>0.6</v>
      </c>
      <c r="CW784">
        <f t="shared" si="644"/>
        <v>0</v>
      </c>
      <c r="CX784">
        <f t="shared" si="645"/>
        <v>0</v>
      </c>
      <c r="CY784">
        <f t="shared" si="646"/>
        <v>7307.9252999999999</v>
      </c>
      <c r="CZ784">
        <f t="shared" si="647"/>
        <v>3699.0732999999996</v>
      </c>
      <c r="DC784" t="s">
        <v>3</v>
      </c>
      <c r="DD784" t="s">
        <v>3</v>
      </c>
      <c r="DE784" t="s">
        <v>3</v>
      </c>
      <c r="DF784" t="s">
        <v>3</v>
      </c>
      <c r="DG784" t="s">
        <v>3</v>
      </c>
      <c r="DH784" t="s">
        <v>3</v>
      </c>
      <c r="DI784" t="s">
        <v>3</v>
      </c>
      <c r="DJ784" t="s">
        <v>3</v>
      </c>
      <c r="DK784" t="s">
        <v>3</v>
      </c>
      <c r="DL784" t="s">
        <v>3</v>
      </c>
      <c r="DM784" t="s">
        <v>3</v>
      </c>
      <c r="DN784">
        <v>100</v>
      </c>
      <c r="DO784">
        <v>64</v>
      </c>
      <c r="DP784">
        <v>1</v>
      </c>
      <c r="DQ784">
        <v>1</v>
      </c>
      <c r="DU784">
        <v>1013</v>
      </c>
      <c r="DV784" t="s">
        <v>455</v>
      </c>
      <c r="DW784" t="s">
        <v>455</v>
      </c>
      <c r="DX784">
        <v>1</v>
      </c>
      <c r="EE784">
        <v>33798117</v>
      </c>
      <c r="EF784">
        <v>60</v>
      </c>
      <c r="EG784" t="s">
        <v>20</v>
      </c>
      <c r="EH784">
        <v>0</v>
      </c>
      <c r="EI784" t="s">
        <v>3</v>
      </c>
      <c r="EJ784">
        <v>1</v>
      </c>
      <c r="EK784">
        <v>478</v>
      </c>
      <c r="EL784" t="s">
        <v>457</v>
      </c>
      <c r="EM784" t="s">
        <v>458</v>
      </c>
      <c r="EO784" t="s">
        <v>3</v>
      </c>
      <c r="EQ784">
        <v>131072</v>
      </c>
      <c r="ER784">
        <v>6.13</v>
      </c>
      <c r="ES784">
        <v>0</v>
      </c>
      <c r="ET784">
        <v>0</v>
      </c>
      <c r="EU784">
        <v>0</v>
      </c>
      <c r="EV784">
        <v>6.13</v>
      </c>
      <c r="EW784">
        <v>0.6</v>
      </c>
      <c r="EX784">
        <v>0</v>
      </c>
      <c r="EY784">
        <v>0</v>
      </c>
      <c r="FQ784">
        <v>0</v>
      </c>
      <c r="FR784">
        <f t="shared" si="648"/>
        <v>0</v>
      </c>
      <c r="FS784">
        <v>0</v>
      </c>
      <c r="FX784">
        <v>100</v>
      </c>
      <c r="FY784">
        <v>64</v>
      </c>
      <c r="GA784" t="s">
        <v>3</v>
      </c>
      <c r="GD784">
        <v>0</v>
      </c>
      <c r="GF784">
        <v>959128924</v>
      </c>
      <c r="GG784">
        <v>2</v>
      </c>
      <c r="GH784">
        <v>1</v>
      </c>
      <c r="GI784">
        <v>2</v>
      </c>
      <c r="GJ784">
        <v>0</v>
      </c>
      <c r="GK784">
        <f>ROUND(R784*(R12)/100,2)</f>
        <v>0</v>
      </c>
      <c r="GL784">
        <f t="shared" si="649"/>
        <v>0</v>
      </c>
      <c r="GM784">
        <f t="shared" si="650"/>
        <v>20029.13</v>
      </c>
      <c r="GN784">
        <f t="shared" si="651"/>
        <v>20029.13</v>
      </c>
      <c r="GO784">
        <f t="shared" si="652"/>
        <v>0</v>
      </c>
      <c r="GP784">
        <f t="shared" si="653"/>
        <v>0</v>
      </c>
      <c r="GR784">
        <v>0</v>
      </c>
      <c r="GS784">
        <v>3</v>
      </c>
      <c r="GT784">
        <v>0</v>
      </c>
      <c r="GU784" t="s">
        <v>3</v>
      </c>
      <c r="GV784">
        <f t="shared" si="654"/>
        <v>0</v>
      </c>
      <c r="GW784">
        <v>1</v>
      </c>
      <c r="GX784">
        <f t="shared" si="655"/>
        <v>0</v>
      </c>
      <c r="HA784">
        <v>0</v>
      </c>
      <c r="HB784">
        <v>0</v>
      </c>
      <c r="HC784">
        <f t="shared" si="656"/>
        <v>0</v>
      </c>
      <c r="IK784">
        <v>0</v>
      </c>
    </row>
    <row r="785" spans="1:245" x14ac:dyDescent="0.2">
      <c r="A785">
        <v>17</v>
      </c>
      <c r="B785">
        <v>1</v>
      </c>
      <c r="C785">
        <f>ROW(SmtRes!A290)</f>
        <v>290</v>
      </c>
      <c r="D785">
        <f>ROW(EtalonRes!A291)</f>
        <v>291</v>
      </c>
      <c r="E785" t="s">
        <v>459</v>
      </c>
      <c r="F785" t="s">
        <v>460</v>
      </c>
      <c r="G785" t="s">
        <v>461</v>
      </c>
      <c r="H785" t="s">
        <v>462</v>
      </c>
      <c r="I785">
        <f>ROUND(200*0.0015,9)</f>
        <v>0.3</v>
      </c>
      <c r="J785">
        <v>0</v>
      </c>
      <c r="O785">
        <f t="shared" si="617"/>
        <v>6177.18</v>
      </c>
      <c r="P785">
        <f t="shared" si="618"/>
        <v>2.39</v>
      </c>
      <c r="Q785">
        <f t="shared" si="619"/>
        <v>500.51</v>
      </c>
      <c r="R785">
        <f t="shared" si="620"/>
        <v>264.68</v>
      </c>
      <c r="S785">
        <f t="shared" si="621"/>
        <v>5674.28</v>
      </c>
      <c r="T785">
        <f t="shared" si="622"/>
        <v>0</v>
      </c>
      <c r="U785">
        <f t="shared" si="623"/>
        <v>18.329999999999998</v>
      </c>
      <c r="V785">
        <f t="shared" si="624"/>
        <v>0</v>
      </c>
      <c r="W785">
        <f t="shared" si="625"/>
        <v>0</v>
      </c>
      <c r="X785">
        <f t="shared" si="626"/>
        <v>4993.37</v>
      </c>
      <c r="Y785">
        <f t="shared" si="627"/>
        <v>2383.1999999999998</v>
      </c>
      <c r="AA785">
        <v>33989672</v>
      </c>
      <c r="AB785">
        <f t="shared" si="628"/>
        <v>929.29</v>
      </c>
      <c r="AC785">
        <f t="shared" si="629"/>
        <v>1.41</v>
      </c>
      <c r="AD785">
        <f t="shared" si="630"/>
        <v>156.80000000000001</v>
      </c>
      <c r="AE785">
        <f t="shared" si="631"/>
        <v>35.979999999999997</v>
      </c>
      <c r="AF785">
        <f t="shared" si="632"/>
        <v>771.08</v>
      </c>
      <c r="AG785">
        <f t="shared" si="633"/>
        <v>0</v>
      </c>
      <c r="AH785">
        <f t="shared" si="634"/>
        <v>61.1</v>
      </c>
      <c r="AI785">
        <f t="shared" si="635"/>
        <v>0</v>
      </c>
      <c r="AJ785">
        <f t="shared" si="636"/>
        <v>0</v>
      </c>
      <c r="AK785">
        <v>929.29</v>
      </c>
      <c r="AL785">
        <v>1.41</v>
      </c>
      <c r="AM785">
        <v>156.80000000000001</v>
      </c>
      <c r="AN785">
        <v>35.979999999999997</v>
      </c>
      <c r="AO785">
        <v>771.08</v>
      </c>
      <c r="AP785">
        <v>0</v>
      </c>
      <c r="AQ785">
        <v>61.1</v>
      </c>
      <c r="AR785">
        <v>0</v>
      </c>
      <c r="AS785">
        <v>0</v>
      </c>
      <c r="AT785">
        <v>88</v>
      </c>
      <c r="AU785">
        <v>42</v>
      </c>
      <c r="AV785">
        <v>1</v>
      </c>
      <c r="AW785">
        <v>1</v>
      </c>
      <c r="AZ785">
        <v>1</v>
      </c>
      <c r="BA785">
        <v>24.53</v>
      </c>
      <c r="BB785">
        <v>10.64</v>
      </c>
      <c r="BC785">
        <v>5.69</v>
      </c>
      <c r="BD785" t="s">
        <v>3</v>
      </c>
      <c r="BE785" t="s">
        <v>3</v>
      </c>
      <c r="BF785" t="s">
        <v>3</v>
      </c>
      <c r="BG785" t="s">
        <v>3</v>
      </c>
      <c r="BH785">
        <v>0</v>
      </c>
      <c r="BI785">
        <v>1</v>
      </c>
      <c r="BJ785" t="s">
        <v>463</v>
      </c>
      <c r="BM785">
        <v>114</v>
      </c>
      <c r="BN785">
        <v>0</v>
      </c>
      <c r="BO785" t="s">
        <v>460</v>
      </c>
      <c r="BP785">
        <v>1</v>
      </c>
      <c r="BQ785">
        <v>30</v>
      </c>
      <c r="BR785">
        <v>0</v>
      </c>
      <c r="BS785">
        <v>24.53</v>
      </c>
      <c r="BT785">
        <v>1</v>
      </c>
      <c r="BU785">
        <v>1</v>
      </c>
      <c r="BV785">
        <v>1</v>
      </c>
      <c r="BW785">
        <v>1</v>
      </c>
      <c r="BX785">
        <v>1</v>
      </c>
      <c r="BY785" t="s">
        <v>3</v>
      </c>
      <c r="BZ785">
        <v>88</v>
      </c>
      <c r="CA785">
        <v>42</v>
      </c>
      <c r="CE785">
        <v>30</v>
      </c>
      <c r="CF785">
        <v>0</v>
      </c>
      <c r="CG785">
        <v>0</v>
      </c>
      <c r="CM785">
        <v>0</v>
      </c>
      <c r="CN785" t="s">
        <v>3</v>
      </c>
      <c r="CO785">
        <v>0</v>
      </c>
      <c r="CP785">
        <f t="shared" si="637"/>
        <v>6177.1799999999994</v>
      </c>
      <c r="CQ785">
        <f t="shared" si="638"/>
        <v>8.02</v>
      </c>
      <c r="CR785">
        <f t="shared" si="639"/>
        <v>1668.35</v>
      </c>
      <c r="CS785">
        <f t="shared" si="640"/>
        <v>882.59</v>
      </c>
      <c r="CT785">
        <f t="shared" si="641"/>
        <v>18914.59</v>
      </c>
      <c r="CU785">
        <f t="shared" si="642"/>
        <v>0</v>
      </c>
      <c r="CV785">
        <f t="shared" si="643"/>
        <v>61.1</v>
      </c>
      <c r="CW785">
        <f t="shared" si="644"/>
        <v>0</v>
      </c>
      <c r="CX785">
        <f t="shared" si="645"/>
        <v>0</v>
      </c>
      <c r="CY785">
        <f t="shared" si="646"/>
        <v>4993.3663999999999</v>
      </c>
      <c r="CZ785">
        <f t="shared" si="647"/>
        <v>2383.1976</v>
      </c>
      <c r="DC785" t="s">
        <v>3</v>
      </c>
      <c r="DD785" t="s">
        <v>3</v>
      </c>
      <c r="DE785" t="s">
        <v>3</v>
      </c>
      <c r="DF785" t="s">
        <v>3</v>
      </c>
      <c r="DG785" t="s">
        <v>3</v>
      </c>
      <c r="DH785" t="s">
        <v>3</v>
      </c>
      <c r="DI785" t="s">
        <v>3</v>
      </c>
      <c r="DJ785" t="s">
        <v>3</v>
      </c>
      <c r="DK785" t="s">
        <v>3</v>
      </c>
      <c r="DL785" t="s">
        <v>3</v>
      </c>
      <c r="DM785" t="s">
        <v>3</v>
      </c>
      <c r="DN785">
        <v>120</v>
      </c>
      <c r="DO785">
        <v>84</v>
      </c>
      <c r="DP785">
        <v>1</v>
      </c>
      <c r="DQ785">
        <v>1</v>
      </c>
      <c r="DU785">
        <v>1013</v>
      </c>
      <c r="DV785" t="s">
        <v>462</v>
      </c>
      <c r="DW785" t="s">
        <v>462</v>
      </c>
      <c r="DX785">
        <v>1</v>
      </c>
      <c r="EE785">
        <v>33797753</v>
      </c>
      <c r="EF785">
        <v>30</v>
      </c>
      <c r="EG785" t="s">
        <v>77</v>
      </c>
      <c r="EH785">
        <v>0</v>
      </c>
      <c r="EI785" t="s">
        <v>3</v>
      </c>
      <c r="EJ785">
        <v>1</v>
      </c>
      <c r="EK785">
        <v>114</v>
      </c>
      <c r="EL785" t="s">
        <v>464</v>
      </c>
      <c r="EM785" t="s">
        <v>465</v>
      </c>
      <c r="EO785" t="s">
        <v>3</v>
      </c>
      <c r="EQ785">
        <v>131072</v>
      </c>
      <c r="ER785">
        <v>929.29</v>
      </c>
      <c r="ES785">
        <v>1.41</v>
      </c>
      <c r="ET785">
        <v>156.80000000000001</v>
      </c>
      <c r="EU785">
        <v>35.979999999999997</v>
      </c>
      <c r="EV785">
        <v>771.08</v>
      </c>
      <c r="EW785">
        <v>61.1</v>
      </c>
      <c r="EX785">
        <v>0</v>
      </c>
      <c r="EY785">
        <v>0</v>
      </c>
      <c r="FQ785">
        <v>0</v>
      </c>
      <c r="FR785">
        <f t="shared" si="648"/>
        <v>0</v>
      </c>
      <c r="FS785">
        <v>0</v>
      </c>
      <c r="FX785">
        <v>120</v>
      </c>
      <c r="FY785">
        <v>84</v>
      </c>
      <c r="GA785" t="s">
        <v>3</v>
      </c>
      <c r="GD785">
        <v>0</v>
      </c>
      <c r="GF785">
        <v>-1183386335</v>
      </c>
      <c r="GG785">
        <v>2</v>
      </c>
      <c r="GH785">
        <v>1</v>
      </c>
      <c r="GI785">
        <v>2</v>
      </c>
      <c r="GJ785">
        <v>0</v>
      </c>
      <c r="GK785">
        <f>ROUND(R785*(R12)/100,2)</f>
        <v>415.55</v>
      </c>
      <c r="GL785">
        <f t="shared" si="649"/>
        <v>0</v>
      </c>
      <c r="GM785">
        <f t="shared" si="650"/>
        <v>13969.3</v>
      </c>
      <c r="GN785">
        <f t="shared" si="651"/>
        <v>13969.3</v>
      </c>
      <c r="GO785">
        <f t="shared" si="652"/>
        <v>0</v>
      </c>
      <c r="GP785">
        <f t="shared" si="653"/>
        <v>0</v>
      </c>
      <c r="GR785">
        <v>0</v>
      </c>
      <c r="GS785">
        <v>3</v>
      </c>
      <c r="GT785">
        <v>0</v>
      </c>
      <c r="GU785" t="s">
        <v>3</v>
      </c>
      <c r="GV785">
        <f t="shared" si="654"/>
        <v>0</v>
      </c>
      <c r="GW785">
        <v>1</v>
      </c>
      <c r="GX785">
        <f t="shared" si="655"/>
        <v>0</v>
      </c>
      <c r="HA785">
        <v>0</v>
      </c>
      <c r="HB785">
        <v>0</v>
      </c>
      <c r="HC785">
        <f t="shared" si="656"/>
        <v>0</v>
      </c>
      <c r="IK785">
        <v>0</v>
      </c>
    </row>
    <row r="786" spans="1:245" x14ac:dyDescent="0.2">
      <c r="A786">
        <v>18</v>
      </c>
      <c r="B786">
        <v>1</v>
      </c>
      <c r="C786">
        <v>287</v>
      </c>
      <c r="E786" t="s">
        <v>466</v>
      </c>
      <c r="F786" t="s">
        <v>467</v>
      </c>
      <c r="G786" t="s">
        <v>468</v>
      </c>
      <c r="H786" t="s">
        <v>66</v>
      </c>
      <c r="I786">
        <f>I785*J786</f>
        <v>3.1752000000000002E-2</v>
      </c>
      <c r="J786">
        <v>0.10584000000000002</v>
      </c>
      <c r="O786">
        <f t="shared" si="617"/>
        <v>1.1000000000000001</v>
      </c>
      <c r="P786">
        <f t="shared" si="618"/>
        <v>1.1000000000000001</v>
      </c>
      <c r="Q786">
        <f t="shared" si="619"/>
        <v>0</v>
      </c>
      <c r="R786">
        <f t="shared" si="620"/>
        <v>0</v>
      </c>
      <c r="S786">
        <f t="shared" si="621"/>
        <v>0</v>
      </c>
      <c r="T786">
        <f t="shared" si="622"/>
        <v>0</v>
      </c>
      <c r="U786">
        <f t="shared" si="623"/>
        <v>0</v>
      </c>
      <c r="V786">
        <f t="shared" si="624"/>
        <v>0</v>
      </c>
      <c r="W786">
        <f t="shared" si="625"/>
        <v>0</v>
      </c>
      <c r="X786">
        <f t="shared" si="626"/>
        <v>0</v>
      </c>
      <c r="Y786">
        <f t="shared" si="627"/>
        <v>0</v>
      </c>
      <c r="AA786">
        <v>33989672</v>
      </c>
      <c r="AB786">
        <f t="shared" si="628"/>
        <v>7.07</v>
      </c>
      <c r="AC786">
        <f t="shared" si="629"/>
        <v>7.07</v>
      </c>
      <c r="AD786">
        <f t="shared" si="630"/>
        <v>0</v>
      </c>
      <c r="AE786">
        <f t="shared" si="631"/>
        <v>0</v>
      </c>
      <c r="AF786">
        <f t="shared" si="632"/>
        <v>0</v>
      </c>
      <c r="AG786">
        <f t="shared" si="633"/>
        <v>0</v>
      </c>
      <c r="AH786">
        <f t="shared" si="634"/>
        <v>0</v>
      </c>
      <c r="AI786">
        <f t="shared" si="635"/>
        <v>0</v>
      </c>
      <c r="AJ786">
        <f t="shared" si="636"/>
        <v>0</v>
      </c>
      <c r="AK786">
        <v>7.07</v>
      </c>
      <c r="AL786">
        <v>7.07</v>
      </c>
      <c r="AM786">
        <v>0</v>
      </c>
      <c r="AN786">
        <v>0</v>
      </c>
      <c r="AO786">
        <v>0</v>
      </c>
      <c r="AP786">
        <v>0</v>
      </c>
      <c r="AQ786">
        <v>0</v>
      </c>
      <c r="AR786">
        <v>0</v>
      </c>
      <c r="AS786">
        <v>0</v>
      </c>
      <c r="AT786">
        <v>0</v>
      </c>
      <c r="AU786">
        <v>0</v>
      </c>
      <c r="AV786">
        <v>1</v>
      </c>
      <c r="AW786">
        <v>1</v>
      </c>
      <c r="AZ786">
        <v>1</v>
      </c>
      <c r="BA786">
        <v>1</v>
      </c>
      <c r="BB786">
        <v>1</v>
      </c>
      <c r="BC786">
        <v>4.99</v>
      </c>
      <c r="BD786" t="s">
        <v>3</v>
      </c>
      <c r="BE786" t="s">
        <v>3</v>
      </c>
      <c r="BF786" t="s">
        <v>3</v>
      </c>
      <c r="BG786" t="s">
        <v>3</v>
      </c>
      <c r="BH786">
        <v>3</v>
      </c>
      <c r="BI786">
        <v>1</v>
      </c>
      <c r="BJ786" t="s">
        <v>469</v>
      </c>
      <c r="BM786">
        <v>114</v>
      </c>
      <c r="BN786">
        <v>0</v>
      </c>
      <c r="BO786" t="s">
        <v>467</v>
      </c>
      <c r="BP786">
        <v>1</v>
      </c>
      <c r="BQ786">
        <v>30</v>
      </c>
      <c r="BR786">
        <v>0</v>
      </c>
      <c r="BS786">
        <v>1</v>
      </c>
      <c r="BT786">
        <v>1</v>
      </c>
      <c r="BU786">
        <v>1</v>
      </c>
      <c r="BV786">
        <v>1</v>
      </c>
      <c r="BW786">
        <v>1</v>
      </c>
      <c r="BX786">
        <v>1</v>
      </c>
      <c r="BY786" t="s">
        <v>3</v>
      </c>
      <c r="BZ786">
        <v>0</v>
      </c>
      <c r="CA786">
        <v>0</v>
      </c>
      <c r="CE786">
        <v>30</v>
      </c>
      <c r="CF786">
        <v>0</v>
      </c>
      <c r="CG786">
        <v>0</v>
      </c>
      <c r="CM786">
        <v>0</v>
      </c>
      <c r="CN786" t="s">
        <v>3</v>
      </c>
      <c r="CO786">
        <v>0</v>
      </c>
      <c r="CP786">
        <f t="shared" si="637"/>
        <v>1.1000000000000001</v>
      </c>
      <c r="CQ786">
        <f t="shared" si="638"/>
        <v>35.28</v>
      </c>
      <c r="CR786">
        <f t="shared" si="639"/>
        <v>0</v>
      </c>
      <c r="CS786">
        <f t="shared" si="640"/>
        <v>0</v>
      </c>
      <c r="CT786">
        <f t="shared" si="641"/>
        <v>0</v>
      </c>
      <c r="CU786">
        <f t="shared" si="642"/>
        <v>0</v>
      </c>
      <c r="CV786">
        <f t="shared" si="643"/>
        <v>0</v>
      </c>
      <c r="CW786">
        <f t="shared" si="644"/>
        <v>0</v>
      </c>
      <c r="CX786">
        <f t="shared" si="645"/>
        <v>0</v>
      </c>
      <c r="CY786">
        <f t="shared" si="646"/>
        <v>0</v>
      </c>
      <c r="CZ786">
        <f t="shared" si="647"/>
        <v>0</v>
      </c>
      <c r="DC786" t="s">
        <v>3</v>
      </c>
      <c r="DD786" t="s">
        <v>3</v>
      </c>
      <c r="DE786" t="s">
        <v>3</v>
      </c>
      <c r="DF786" t="s">
        <v>3</v>
      </c>
      <c r="DG786" t="s">
        <v>3</v>
      </c>
      <c r="DH786" t="s">
        <v>3</v>
      </c>
      <c r="DI786" t="s">
        <v>3</v>
      </c>
      <c r="DJ786" t="s">
        <v>3</v>
      </c>
      <c r="DK786" t="s">
        <v>3</v>
      </c>
      <c r="DL786" t="s">
        <v>3</v>
      </c>
      <c r="DM786" t="s">
        <v>3</v>
      </c>
      <c r="DN786">
        <v>120</v>
      </c>
      <c r="DO786">
        <v>84</v>
      </c>
      <c r="DP786">
        <v>1</v>
      </c>
      <c r="DQ786">
        <v>1</v>
      </c>
      <c r="DU786">
        <v>1007</v>
      </c>
      <c r="DV786" t="s">
        <v>66</v>
      </c>
      <c r="DW786" t="s">
        <v>66</v>
      </c>
      <c r="DX786">
        <v>1</v>
      </c>
      <c r="EE786">
        <v>33797753</v>
      </c>
      <c r="EF786">
        <v>30</v>
      </c>
      <c r="EG786" t="s">
        <v>77</v>
      </c>
      <c r="EH786">
        <v>0</v>
      </c>
      <c r="EI786" t="s">
        <v>3</v>
      </c>
      <c r="EJ786">
        <v>1</v>
      </c>
      <c r="EK786">
        <v>114</v>
      </c>
      <c r="EL786" t="s">
        <v>464</v>
      </c>
      <c r="EM786" t="s">
        <v>465</v>
      </c>
      <c r="EO786" t="s">
        <v>3</v>
      </c>
      <c r="EQ786">
        <v>0</v>
      </c>
      <c r="ER786">
        <v>7.07</v>
      </c>
      <c r="ES786">
        <v>7.07</v>
      </c>
      <c r="ET786">
        <v>0</v>
      </c>
      <c r="EU786">
        <v>0</v>
      </c>
      <c r="EV786">
        <v>0</v>
      </c>
      <c r="EW786">
        <v>0</v>
      </c>
      <c r="EX786">
        <v>0</v>
      </c>
      <c r="FQ786">
        <v>0</v>
      </c>
      <c r="FR786">
        <f t="shared" si="648"/>
        <v>0</v>
      </c>
      <c r="FS786">
        <v>0</v>
      </c>
      <c r="FX786">
        <v>120</v>
      </c>
      <c r="FY786">
        <v>84</v>
      </c>
      <c r="GA786" t="s">
        <v>3</v>
      </c>
      <c r="GD786">
        <v>0</v>
      </c>
      <c r="GF786">
        <v>-862991314</v>
      </c>
      <c r="GG786">
        <v>2</v>
      </c>
      <c r="GH786">
        <v>1</v>
      </c>
      <c r="GI786">
        <v>2</v>
      </c>
      <c r="GJ786">
        <v>0</v>
      </c>
      <c r="GK786">
        <f>ROUND(R786*(R12)/100,2)</f>
        <v>0</v>
      </c>
      <c r="GL786">
        <f t="shared" si="649"/>
        <v>0</v>
      </c>
      <c r="GM786">
        <f t="shared" si="650"/>
        <v>1.1000000000000001</v>
      </c>
      <c r="GN786">
        <f t="shared" si="651"/>
        <v>1.1000000000000001</v>
      </c>
      <c r="GO786">
        <f t="shared" si="652"/>
        <v>0</v>
      </c>
      <c r="GP786">
        <f t="shared" si="653"/>
        <v>0</v>
      </c>
      <c r="GR786">
        <v>0</v>
      </c>
      <c r="GS786">
        <v>3</v>
      </c>
      <c r="GT786">
        <v>0</v>
      </c>
      <c r="GU786" t="s">
        <v>3</v>
      </c>
      <c r="GV786">
        <f t="shared" si="654"/>
        <v>0</v>
      </c>
      <c r="GW786">
        <v>1</v>
      </c>
      <c r="GX786">
        <f t="shared" si="655"/>
        <v>0</v>
      </c>
      <c r="HA786">
        <v>0</v>
      </c>
      <c r="HB786">
        <v>0</v>
      </c>
      <c r="HC786">
        <f t="shared" si="656"/>
        <v>0</v>
      </c>
      <c r="IK786">
        <v>0</v>
      </c>
    </row>
    <row r="787" spans="1:245" x14ac:dyDescent="0.2">
      <c r="A787">
        <v>18</v>
      </c>
      <c r="B787">
        <v>1</v>
      </c>
      <c r="C787">
        <v>289</v>
      </c>
      <c r="E787" t="s">
        <v>470</v>
      </c>
      <c r="F787" t="s">
        <v>471</v>
      </c>
      <c r="G787" t="s">
        <v>472</v>
      </c>
      <c r="H787" t="s">
        <v>51</v>
      </c>
      <c r="I787">
        <f>I785*J787</f>
        <v>0.18143999999999999</v>
      </c>
      <c r="J787">
        <v>0.6048</v>
      </c>
      <c r="O787">
        <f t="shared" si="617"/>
        <v>896.27</v>
      </c>
      <c r="P787">
        <f t="shared" si="618"/>
        <v>896.27</v>
      </c>
      <c r="Q787">
        <f t="shared" si="619"/>
        <v>0</v>
      </c>
      <c r="R787">
        <f t="shared" si="620"/>
        <v>0</v>
      </c>
      <c r="S787">
        <f t="shared" si="621"/>
        <v>0</v>
      </c>
      <c r="T787">
        <f t="shared" si="622"/>
        <v>0</v>
      </c>
      <c r="U787">
        <f t="shared" si="623"/>
        <v>0</v>
      </c>
      <c r="V787">
        <f t="shared" si="624"/>
        <v>0</v>
      </c>
      <c r="W787">
        <f t="shared" si="625"/>
        <v>0</v>
      </c>
      <c r="X787">
        <f t="shared" si="626"/>
        <v>0</v>
      </c>
      <c r="Y787">
        <f t="shared" si="627"/>
        <v>0</v>
      </c>
      <c r="AA787">
        <v>33989672</v>
      </c>
      <c r="AB787">
        <f t="shared" si="628"/>
        <v>796.76</v>
      </c>
      <c r="AC787">
        <f t="shared" si="629"/>
        <v>796.76</v>
      </c>
      <c r="AD787">
        <f t="shared" si="630"/>
        <v>0</v>
      </c>
      <c r="AE787">
        <f t="shared" si="631"/>
        <v>0</v>
      </c>
      <c r="AF787">
        <f t="shared" si="632"/>
        <v>0</v>
      </c>
      <c r="AG787">
        <f t="shared" si="633"/>
        <v>0</v>
      </c>
      <c r="AH787">
        <f t="shared" si="634"/>
        <v>0</v>
      </c>
      <c r="AI787">
        <f t="shared" si="635"/>
        <v>0</v>
      </c>
      <c r="AJ787">
        <f t="shared" si="636"/>
        <v>0</v>
      </c>
      <c r="AK787">
        <v>796.76</v>
      </c>
      <c r="AL787">
        <v>796.76</v>
      </c>
      <c r="AM787">
        <v>0</v>
      </c>
      <c r="AN787">
        <v>0</v>
      </c>
      <c r="AO787">
        <v>0</v>
      </c>
      <c r="AP787">
        <v>0</v>
      </c>
      <c r="AQ787">
        <v>0</v>
      </c>
      <c r="AR787">
        <v>0</v>
      </c>
      <c r="AS787">
        <v>0</v>
      </c>
      <c r="AT787">
        <v>0</v>
      </c>
      <c r="AU787">
        <v>0</v>
      </c>
      <c r="AV787">
        <v>1</v>
      </c>
      <c r="AW787">
        <v>1</v>
      </c>
      <c r="AZ787">
        <v>1</v>
      </c>
      <c r="BA787">
        <v>1</v>
      </c>
      <c r="BB787">
        <v>1</v>
      </c>
      <c r="BC787">
        <v>6.2</v>
      </c>
      <c r="BD787" t="s">
        <v>3</v>
      </c>
      <c r="BE787" t="s">
        <v>3</v>
      </c>
      <c r="BF787" t="s">
        <v>3</v>
      </c>
      <c r="BG787" t="s">
        <v>3</v>
      </c>
      <c r="BH787">
        <v>3</v>
      </c>
      <c r="BI787">
        <v>1</v>
      </c>
      <c r="BJ787" t="s">
        <v>473</v>
      </c>
      <c r="BM787">
        <v>114</v>
      </c>
      <c r="BN787">
        <v>0</v>
      </c>
      <c r="BO787" t="s">
        <v>471</v>
      </c>
      <c r="BP787">
        <v>1</v>
      </c>
      <c r="BQ787">
        <v>30</v>
      </c>
      <c r="BR787">
        <v>0</v>
      </c>
      <c r="BS787">
        <v>1</v>
      </c>
      <c r="BT787">
        <v>1</v>
      </c>
      <c r="BU787">
        <v>1</v>
      </c>
      <c r="BV787">
        <v>1</v>
      </c>
      <c r="BW787">
        <v>1</v>
      </c>
      <c r="BX787">
        <v>1</v>
      </c>
      <c r="BY787" t="s">
        <v>3</v>
      </c>
      <c r="BZ787">
        <v>0</v>
      </c>
      <c r="CA787">
        <v>0</v>
      </c>
      <c r="CE787">
        <v>30</v>
      </c>
      <c r="CF787">
        <v>0</v>
      </c>
      <c r="CG787">
        <v>0</v>
      </c>
      <c r="CM787">
        <v>0</v>
      </c>
      <c r="CN787" t="s">
        <v>3</v>
      </c>
      <c r="CO787">
        <v>0</v>
      </c>
      <c r="CP787">
        <f t="shared" si="637"/>
        <v>896.27</v>
      </c>
      <c r="CQ787">
        <f t="shared" si="638"/>
        <v>4939.91</v>
      </c>
      <c r="CR787">
        <f t="shared" si="639"/>
        <v>0</v>
      </c>
      <c r="CS787">
        <f t="shared" si="640"/>
        <v>0</v>
      </c>
      <c r="CT787">
        <f t="shared" si="641"/>
        <v>0</v>
      </c>
      <c r="CU787">
        <f t="shared" si="642"/>
        <v>0</v>
      </c>
      <c r="CV787">
        <f t="shared" si="643"/>
        <v>0</v>
      </c>
      <c r="CW787">
        <f t="shared" si="644"/>
        <v>0</v>
      </c>
      <c r="CX787">
        <f t="shared" si="645"/>
        <v>0</v>
      </c>
      <c r="CY787">
        <f t="shared" si="646"/>
        <v>0</v>
      </c>
      <c r="CZ787">
        <f t="shared" si="647"/>
        <v>0</v>
      </c>
      <c r="DC787" t="s">
        <v>3</v>
      </c>
      <c r="DD787" t="s">
        <v>3</v>
      </c>
      <c r="DE787" t="s">
        <v>3</v>
      </c>
      <c r="DF787" t="s">
        <v>3</v>
      </c>
      <c r="DG787" t="s">
        <v>3</v>
      </c>
      <c r="DH787" t="s">
        <v>3</v>
      </c>
      <c r="DI787" t="s">
        <v>3</v>
      </c>
      <c r="DJ787" t="s">
        <v>3</v>
      </c>
      <c r="DK787" t="s">
        <v>3</v>
      </c>
      <c r="DL787" t="s">
        <v>3</v>
      </c>
      <c r="DM787" t="s">
        <v>3</v>
      </c>
      <c r="DN787">
        <v>120</v>
      </c>
      <c r="DO787">
        <v>84</v>
      </c>
      <c r="DP787">
        <v>1</v>
      </c>
      <c r="DQ787">
        <v>1</v>
      </c>
      <c r="DU787">
        <v>1009</v>
      </c>
      <c r="DV787" t="s">
        <v>51</v>
      </c>
      <c r="DW787" t="s">
        <v>51</v>
      </c>
      <c r="DX787">
        <v>1000</v>
      </c>
      <c r="EE787">
        <v>33797753</v>
      </c>
      <c r="EF787">
        <v>30</v>
      </c>
      <c r="EG787" t="s">
        <v>77</v>
      </c>
      <c r="EH787">
        <v>0</v>
      </c>
      <c r="EI787" t="s">
        <v>3</v>
      </c>
      <c r="EJ787">
        <v>1</v>
      </c>
      <c r="EK787">
        <v>114</v>
      </c>
      <c r="EL787" t="s">
        <v>464</v>
      </c>
      <c r="EM787" t="s">
        <v>465</v>
      </c>
      <c r="EO787" t="s">
        <v>3</v>
      </c>
      <c r="EQ787">
        <v>0</v>
      </c>
      <c r="ER787">
        <v>796.76</v>
      </c>
      <c r="ES787">
        <v>796.76</v>
      </c>
      <c r="ET787">
        <v>0</v>
      </c>
      <c r="EU787">
        <v>0</v>
      </c>
      <c r="EV787">
        <v>0</v>
      </c>
      <c r="EW787">
        <v>0</v>
      </c>
      <c r="EX787">
        <v>0</v>
      </c>
      <c r="FQ787">
        <v>0</v>
      </c>
      <c r="FR787">
        <f t="shared" si="648"/>
        <v>0</v>
      </c>
      <c r="FS787">
        <v>0</v>
      </c>
      <c r="FX787">
        <v>120</v>
      </c>
      <c r="FY787">
        <v>84</v>
      </c>
      <c r="GA787" t="s">
        <v>3</v>
      </c>
      <c r="GD787">
        <v>0</v>
      </c>
      <c r="GF787">
        <v>-224782797</v>
      </c>
      <c r="GG787">
        <v>2</v>
      </c>
      <c r="GH787">
        <v>1</v>
      </c>
      <c r="GI787">
        <v>2</v>
      </c>
      <c r="GJ787">
        <v>0</v>
      </c>
      <c r="GK787">
        <f>ROUND(R787*(R12)/100,2)</f>
        <v>0</v>
      </c>
      <c r="GL787">
        <f t="shared" si="649"/>
        <v>0</v>
      </c>
      <c r="GM787">
        <f t="shared" si="650"/>
        <v>896.27</v>
      </c>
      <c r="GN787">
        <f t="shared" si="651"/>
        <v>896.27</v>
      </c>
      <c r="GO787">
        <f t="shared" si="652"/>
        <v>0</v>
      </c>
      <c r="GP787">
        <f t="shared" si="653"/>
        <v>0</v>
      </c>
      <c r="GR787">
        <v>0</v>
      </c>
      <c r="GS787">
        <v>3</v>
      </c>
      <c r="GT787">
        <v>0</v>
      </c>
      <c r="GU787" t="s">
        <v>3</v>
      </c>
      <c r="GV787">
        <f t="shared" si="654"/>
        <v>0</v>
      </c>
      <c r="GW787">
        <v>1</v>
      </c>
      <c r="GX787">
        <f t="shared" si="655"/>
        <v>0</v>
      </c>
      <c r="HA787">
        <v>0</v>
      </c>
      <c r="HB787">
        <v>0</v>
      </c>
      <c r="HC787">
        <f t="shared" si="656"/>
        <v>0</v>
      </c>
      <c r="IK787">
        <v>0</v>
      </c>
    </row>
    <row r="788" spans="1:245" x14ac:dyDescent="0.2">
      <c r="A788">
        <v>18</v>
      </c>
      <c r="B788">
        <v>1</v>
      </c>
      <c r="C788">
        <v>288</v>
      </c>
      <c r="E788" t="s">
        <v>474</v>
      </c>
      <c r="F788" t="s">
        <v>475</v>
      </c>
      <c r="G788" t="s">
        <v>476</v>
      </c>
      <c r="H788" t="s">
        <v>66</v>
      </c>
      <c r="I788">
        <f>I785*J788</f>
        <v>0.4536</v>
      </c>
      <c r="J788">
        <v>1.512</v>
      </c>
      <c r="O788">
        <f t="shared" si="617"/>
        <v>1461.7</v>
      </c>
      <c r="P788">
        <f t="shared" si="618"/>
        <v>1461.7</v>
      </c>
      <c r="Q788">
        <f t="shared" si="619"/>
        <v>0</v>
      </c>
      <c r="R788">
        <f t="shared" si="620"/>
        <v>0</v>
      </c>
      <c r="S788">
        <f t="shared" si="621"/>
        <v>0</v>
      </c>
      <c r="T788">
        <f t="shared" si="622"/>
        <v>0</v>
      </c>
      <c r="U788">
        <f t="shared" si="623"/>
        <v>0</v>
      </c>
      <c r="V788">
        <f t="shared" si="624"/>
        <v>0</v>
      </c>
      <c r="W788">
        <f t="shared" si="625"/>
        <v>0</v>
      </c>
      <c r="X788">
        <f t="shared" si="626"/>
        <v>0</v>
      </c>
      <c r="Y788">
        <f t="shared" si="627"/>
        <v>0</v>
      </c>
      <c r="AA788">
        <v>33989672</v>
      </c>
      <c r="AB788">
        <f t="shared" si="628"/>
        <v>481.69</v>
      </c>
      <c r="AC788">
        <f t="shared" si="629"/>
        <v>481.69</v>
      </c>
      <c r="AD788">
        <f t="shared" si="630"/>
        <v>0</v>
      </c>
      <c r="AE788">
        <f t="shared" si="631"/>
        <v>0</v>
      </c>
      <c r="AF788">
        <f t="shared" si="632"/>
        <v>0</v>
      </c>
      <c r="AG788">
        <f t="shared" si="633"/>
        <v>0</v>
      </c>
      <c r="AH788">
        <f t="shared" si="634"/>
        <v>0</v>
      </c>
      <c r="AI788">
        <f t="shared" si="635"/>
        <v>0</v>
      </c>
      <c r="AJ788">
        <f t="shared" si="636"/>
        <v>0</v>
      </c>
      <c r="AK788">
        <v>481.69</v>
      </c>
      <c r="AL788">
        <v>481.69</v>
      </c>
      <c r="AM788">
        <v>0</v>
      </c>
      <c r="AN788">
        <v>0</v>
      </c>
      <c r="AO788">
        <v>0</v>
      </c>
      <c r="AP788">
        <v>0</v>
      </c>
      <c r="AQ788">
        <v>0</v>
      </c>
      <c r="AR788">
        <v>0</v>
      </c>
      <c r="AS788">
        <v>0</v>
      </c>
      <c r="AT788">
        <v>0</v>
      </c>
      <c r="AU788">
        <v>0</v>
      </c>
      <c r="AV788">
        <v>1</v>
      </c>
      <c r="AW788">
        <v>1</v>
      </c>
      <c r="AZ788">
        <v>1</v>
      </c>
      <c r="BA788">
        <v>1</v>
      </c>
      <c r="BB788">
        <v>1</v>
      </c>
      <c r="BC788">
        <v>6.69</v>
      </c>
      <c r="BD788" t="s">
        <v>3</v>
      </c>
      <c r="BE788" t="s">
        <v>3</v>
      </c>
      <c r="BF788" t="s">
        <v>3</v>
      </c>
      <c r="BG788" t="s">
        <v>3</v>
      </c>
      <c r="BH788">
        <v>3</v>
      </c>
      <c r="BI788">
        <v>1</v>
      </c>
      <c r="BJ788" t="s">
        <v>477</v>
      </c>
      <c r="BM788">
        <v>114</v>
      </c>
      <c r="BN788">
        <v>0</v>
      </c>
      <c r="BO788" t="s">
        <v>475</v>
      </c>
      <c r="BP788">
        <v>1</v>
      </c>
      <c r="BQ788">
        <v>30</v>
      </c>
      <c r="BR788">
        <v>0</v>
      </c>
      <c r="BS788">
        <v>1</v>
      </c>
      <c r="BT788">
        <v>1</v>
      </c>
      <c r="BU788">
        <v>1</v>
      </c>
      <c r="BV788">
        <v>1</v>
      </c>
      <c r="BW788">
        <v>1</v>
      </c>
      <c r="BX788">
        <v>1</v>
      </c>
      <c r="BY788" t="s">
        <v>3</v>
      </c>
      <c r="BZ788">
        <v>0</v>
      </c>
      <c r="CA788">
        <v>0</v>
      </c>
      <c r="CE788">
        <v>30</v>
      </c>
      <c r="CF788">
        <v>0</v>
      </c>
      <c r="CG788">
        <v>0</v>
      </c>
      <c r="CM788">
        <v>0</v>
      </c>
      <c r="CN788" t="s">
        <v>3</v>
      </c>
      <c r="CO788">
        <v>0</v>
      </c>
      <c r="CP788">
        <f t="shared" si="637"/>
        <v>1461.7</v>
      </c>
      <c r="CQ788">
        <f t="shared" si="638"/>
        <v>3222.51</v>
      </c>
      <c r="CR788">
        <f t="shared" si="639"/>
        <v>0</v>
      </c>
      <c r="CS788">
        <f t="shared" si="640"/>
        <v>0</v>
      </c>
      <c r="CT788">
        <f t="shared" si="641"/>
        <v>0</v>
      </c>
      <c r="CU788">
        <f t="shared" si="642"/>
        <v>0</v>
      </c>
      <c r="CV788">
        <f t="shared" si="643"/>
        <v>0</v>
      </c>
      <c r="CW788">
        <f t="shared" si="644"/>
        <v>0</v>
      </c>
      <c r="CX788">
        <f t="shared" si="645"/>
        <v>0</v>
      </c>
      <c r="CY788">
        <f t="shared" si="646"/>
        <v>0</v>
      </c>
      <c r="CZ788">
        <f t="shared" si="647"/>
        <v>0</v>
      </c>
      <c r="DC788" t="s">
        <v>3</v>
      </c>
      <c r="DD788" t="s">
        <v>3</v>
      </c>
      <c r="DE788" t="s">
        <v>3</v>
      </c>
      <c r="DF788" t="s">
        <v>3</v>
      </c>
      <c r="DG788" t="s">
        <v>3</v>
      </c>
      <c r="DH788" t="s">
        <v>3</v>
      </c>
      <c r="DI788" t="s">
        <v>3</v>
      </c>
      <c r="DJ788" t="s">
        <v>3</v>
      </c>
      <c r="DK788" t="s">
        <v>3</v>
      </c>
      <c r="DL788" t="s">
        <v>3</v>
      </c>
      <c r="DM788" t="s">
        <v>3</v>
      </c>
      <c r="DN788">
        <v>120</v>
      </c>
      <c r="DO788">
        <v>84</v>
      </c>
      <c r="DP788">
        <v>1</v>
      </c>
      <c r="DQ788">
        <v>1</v>
      </c>
      <c r="DU788">
        <v>1007</v>
      </c>
      <c r="DV788" t="s">
        <v>66</v>
      </c>
      <c r="DW788" t="s">
        <v>66</v>
      </c>
      <c r="DX788">
        <v>1</v>
      </c>
      <c r="EE788">
        <v>33797753</v>
      </c>
      <c r="EF788">
        <v>30</v>
      </c>
      <c r="EG788" t="s">
        <v>77</v>
      </c>
      <c r="EH788">
        <v>0</v>
      </c>
      <c r="EI788" t="s">
        <v>3</v>
      </c>
      <c r="EJ788">
        <v>1</v>
      </c>
      <c r="EK788">
        <v>114</v>
      </c>
      <c r="EL788" t="s">
        <v>464</v>
      </c>
      <c r="EM788" t="s">
        <v>465</v>
      </c>
      <c r="EO788" t="s">
        <v>3</v>
      </c>
      <c r="EQ788">
        <v>0</v>
      </c>
      <c r="ER788">
        <v>481.69</v>
      </c>
      <c r="ES788">
        <v>481.69</v>
      </c>
      <c r="ET788">
        <v>0</v>
      </c>
      <c r="EU788">
        <v>0</v>
      </c>
      <c r="EV788">
        <v>0</v>
      </c>
      <c r="EW788">
        <v>0</v>
      </c>
      <c r="EX788">
        <v>0</v>
      </c>
      <c r="FQ788">
        <v>0</v>
      </c>
      <c r="FR788">
        <f t="shared" si="648"/>
        <v>0</v>
      </c>
      <c r="FS788">
        <v>0</v>
      </c>
      <c r="FX788">
        <v>120</v>
      </c>
      <c r="FY788">
        <v>84</v>
      </c>
      <c r="GA788" t="s">
        <v>3</v>
      </c>
      <c r="GD788">
        <v>0</v>
      </c>
      <c r="GF788">
        <v>202608499</v>
      </c>
      <c r="GG788">
        <v>2</v>
      </c>
      <c r="GH788">
        <v>1</v>
      </c>
      <c r="GI788">
        <v>2</v>
      </c>
      <c r="GJ788">
        <v>0</v>
      </c>
      <c r="GK788">
        <f>ROUND(R788*(R12)/100,2)</f>
        <v>0</v>
      </c>
      <c r="GL788">
        <f t="shared" si="649"/>
        <v>0</v>
      </c>
      <c r="GM788">
        <f t="shared" si="650"/>
        <v>1461.7</v>
      </c>
      <c r="GN788">
        <f t="shared" si="651"/>
        <v>1461.7</v>
      </c>
      <c r="GO788">
        <f t="shared" si="652"/>
        <v>0</v>
      </c>
      <c r="GP788">
        <f t="shared" si="653"/>
        <v>0</v>
      </c>
      <c r="GR788">
        <v>0</v>
      </c>
      <c r="GS788">
        <v>3</v>
      </c>
      <c r="GT788">
        <v>0</v>
      </c>
      <c r="GU788" t="s">
        <v>3</v>
      </c>
      <c r="GV788">
        <f t="shared" si="654"/>
        <v>0</v>
      </c>
      <c r="GW788">
        <v>1</v>
      </c>
      <c r="GX788">
        <f t="shared" si="655"/>
        <v>0</v>
      </c>
      <c r="HA788">
        <v>0</v>
      </c>
      <c r="HB788">
        <v>0</v>
      </c>
      <c r="HC788">
        <f t="shared" si="656"/>
        <v>0</v>
      </c>
      <c r="IK788">
        <v>0</v>
      </c>
    </row>
    <row r="789" spans="1:245" x14ac:dyDescent="0.2">
      <c r="A789">
        <v>17</v>
      </c>
      <c r="B789">
        <v>1</v>
      </c>
      <c r="C789">
        <f>ROW(SmtRes!A299)</f>
        <v>299</v>
      </c>
      <c r="D789">
        <f>ROW(EtalonRes!A300)</f>
        <v>300</v>
      </c>
      <c r="E789" t="s">
        <v>478</v>
      </c>
      <c r="F789" t="s">
        <v>479</v>
      </c>
      <c r="G789" t="s">
        <v>480</v>
      </c>
      <c r="H789" t="s">
        <v>481</v>
      </c>
      <c r="I789">
        <f>ROUND((200)/100,9)</f>
        <v>2</v>
      </c>
      <c r="J789">
        <v>0</v>
      </c>
      <c r="O789">
        <f t="shared" si="617"/>
        <v>15056.52</v>
      </c>
      <c r="P789">
        <f t="shared" si="618"/>
        <v>6341.41</v>
      </c>
      <c r="Q789">
        <f t="shared" si="619"/>
        <v>166.9</v>
      </c>
      <c r="R789">
        <f t="shared" si="620"/>
        <v>84.38</v>
      </c>
      <c r="S789">
        <f t="shared" si="621"/>
        <v>8548.2099999999991</v>
      </c>
      <c r="T789">
        <f t="shared" si="622"/>
        <v>0</v>
      </c>
      <c r="U789">
        <f t="shared" si="623"/>
        <v>26.4</v>
      </c>
      <c r="V789">
        <f t="shared" si="624"/>
        <v>0</v>
      </c>
      <c r="W789">
        <f t="shared" si="625"/>
        <v>0</v>
      </c>
      <c r="X789">
        <f t="shared" si="626"/>
        <v>7522.42</v>
      </c>
      <c r="Y789">
        <f t="shared" si="627"/>
        <v>3590.25</v>
      </c>
      <c r="AA789">
        <v>33989672</v>
      </c>
      <c r="AB789">
        <f t="shared" si="628"/>
        <v>609.13</v>
      </c>
      <c r="AC789">
        <f t="shared" si="629"/>
        <v>426.17</v>
      </c>
      <c r="AD789">
        <f t="shared" si="630"/>
        <v>8.7200000000000006</v>
      </c>
      <c r="AE789">
        <f t="shared" si="631"/>
        <v>1.72</v>
      </c>
      <c r="AF789">
        <f t="shared" si="632"/>
        <v>174.24</v>
      </c>
      <c r="AG789">
        <f t="shared" si="633"/>
        <v>0</v>
      </c>
      <c r="AH789">
        <f t="shared" si="634"/>
        <v>13.2</v>
      </c>
      <c r="AI789">
        <f t="shared" si="635"/>
        <v>0</v>
      </c>
      <c r="AJ789">
        <f t="shared" si="636"/>
        <v>0</v>
      </c>
      <c r="AK789">
        <v>609.13</v>
      </c>
      <c r="AL789">
        <v>426.17</v>
      </c>
      <c r="AM789">
        <v>8.7200000000000006</v>
      </c>
      <c r="AN789">
        <v>1.72</v>
      </c>
      <c r="AO789">
        <v>174.24</v>
      </c>
      <c r="AP789">
        <v>0</v>
      </c>
      <c r="AQ789">
        <v>13.2</v>
      </c>
      <c r="AR789">
        <v>0</v>
      </c>
      <c r="AS789">
        <v>0</v>
      </c>
      <c r="AT789">
        <v>88</v>
      </c>
      <c r="AU789">
        <v>42</v>
      </c>
      <c r="AV789">
        <v>1</v>
      </c>
      <c r="AW789">
        <v>1</v>
      </c>
      <c r="AZ789">
        <v>1</v>
      </c>
      <c r="BA789">
        <v>24.53</v>
      </c>
      <c r="BB789">
        <v>9.57</v>
      </c>
      <c r="BC789">
        <v>7.44</v>
      </c>
      <c r="BD789" t="s">
        <v>3</v>
      </c>
      <c r="BE789" t="s">
        <v>3</v>
      </c>
      <c r="BF789" t="s">
        <v>3</v>
      </c>
      <c r="BG789" t="s">
        <v>3</v>
      </c>
      <c r="BH789">
        <v>0</v>
      </c>
      <c r="BI789">
        <v>1</v>
      </c>
      <c r="BJ789" t="s">
        <v>482</v>
      </c>
      <c r="BM789">
        <v>116</v>
      </c>
      <c r="BN789">
        <v>0</v>
      </c>
      <c r="BO789" t="s">
        <v>479</v>
      </c>
      <c r="BP789">
        <v>1</v>
      </c>
      <c r="BQ789">
        <v>30</v>
      </c>
      <c r="BR789">
        <v>0</v>
      </c>
      <c r="BS789">
        <v>24.53</v>
      </c>
      <c r="BT789">
        <v>1</v>
      </c>
      <c r="BU789">
        <v>1</v>
      </c>
      <c r="BV789">
        <v>1</v>
      </c>
      <c r="BW789">
        <v>1</v>
      </c>
      <c r="BX789">
        <v>1</v>
      </c>
      <c r="BY789" t="s">
        <v>3</v>
      </c>
      <c r="BZ789">
        <v>88</v>
      </c>
      <c r="CA789">
        <v>42</v>
      </c>
      <c r="CE789">
        <v>30</v>
      </c>
      <c r="CF789">
        <v>0</v>
      </c>
      <c r="CG789">
        <v>0</v>
      </c>
      <c r="CM789">
        <v>0</v>
      </c>
      <c r="CN789" t="s">
        <v>3</v>
      </c>
      <c r="CO789">
        <v>0</v>
      </c>
      <c r="CP789">
        <f t="shared" si="637"/>
        <v>15056.519999999999</v>
      </c>
      <c r="CQ789">
        <f t="shared" si="638"/>
        <v>3170.7</v>
      </c>
      <c r="CR789">
        <f t="shared" si="639"/>
        <v>83.45</v>
      </c>
      <c r="CS789">
        <f t="shared" si="640"/>
        <v>42.19</v>
      </c>
      <c r="CT789">
        <f t="shared" si="641"/>
        <v>4274.1099999999997</v>
      </c>
      <c r="CU789">
        <f t="shared" si="642"/>
        <v>0</v>
      </c>
      <c r="CV789">
        <f t="shared" si="643"/>
        <v>13.2</v>
      </c>
      <c r="CW789">
        <f t="shared" si="644"/>
        <v>0</v>
      </c>
      <c r="CX789">
        <f t="shared" si="645"/>
        <v>0</v>
      </c>
      <c r="CY789">
        <f t="shared" si="646"/>
        <v>7522.4247999999989</v>
      </c>
      <c r="CZ789">
        <f t="shared" si="647"/>
        <v>3590.2481999999995</v>
      </c>
      <c r="DC789" t="s">
        <v>3</v>
      </c>
      <c r="DD789" t="s">
        <v>3</v>
      </c>
      <c r="DE789" t="s">
        <v>3</v>
      </c>
      <c r="DF789" t="s">
        <v>3</v>
      </c>
      <c r="DG789" t="s">
        <v>3</v>
      </c>
      <c r="DH789" t="s">
        <v>3</v>
      </c>
      <c r="DI789" t="s">
        <v>3</v>
      </c>
      <c r="DJ789" t="s">
        <v>3</v>
      </c>
      <c r="DK789" t="s">
        <v>3</v>
      </c>
      <c r="DL789" t="s">
        <v>3</v>
      </c>
      <c r="DM789" t="s">
        <v>3</v>
      </c>
      <c r="DN789">
        <v>120</v>
      </c>
      <c r="DO789">
        <v>84</v>
      </c>
      <c r="DP789">
        <v>1</v>
      </c>
      <c r="DQ789">
        <v>1</v>
      </c>
      <c r="DU789">
        <v>1005</v>
      </c>
      <c r="DV789" t="s">
        <v>481</v>
      </c>
      <c r="DW789" t="s">
        <v>481</v>
      </c>
      <c r="DX789">
        <v>100</v>
      </c>
      <c r="EE789">
        <v>33797755</v>
      </c>
      <c r="EF789">
        <v>30</v>
      </c>
      <c r="EG789" t="s">
        <v>77</v>
      </c>
      <c r="EH789">
        <v>0</v>
      </c>
      <c r="EI789" t="s">
        <v>3</v>
      </c>
      <c r="EJ789">
        <v>1</v>
      </c>
      <c r="EK789">
        <v>116</v>
      </c>
      <c r="EL789" t="s">
        <v>483</v>
      </c>
      <c r="EM789" t="s">
        <v>484</v>
      </c>
      <c r="EO789" t="s">
        <v>3</v>
      </c>
      <c r="EQ789">
        <v>131072</v>
      </c>
      <c r="ER789">
        <v>609.13</v>
      </c>
      <c r="ES789">
        <v>426.17</v>
      </c>
      <c r="ET789">
        <v>8.7200000000000006</v>
      </c>
      <c r="EU789">
        <v>1.72</v>
      </c>
      <c r="EV789">
        <v>174.24</v>
      </c>
      <c r="EW789">
        <v>13.2</v>
      </c>
      <c r="EX789">
        <v>0</v>
      </c>
      <c r="EY789">
        <v>0</v>
      </c>
      <c r="FQ789">
        <v>0</v>
      </c>
      <c r="FR789">
        <f t="shared" si="648"/>
        <v>0</v>
      </c>
      <c r="FS789">
        <v>0</v>
      </c>
      <c r="FX789">
        <v>120</v>
      </c>
      <c r="FY789">
        <v>84</v>
      </c>
      <c r="GA789" t="s">
        <v>3</v>
      </c>
      <c r="GD789">
        <v>0</v>
      </c>
      <c r="GF789">
        <v>-990448040</v>
      </c>
      <c r="GG789">
        <v>2</v>
      </c>
      <c r="GH789">
        <v>1</v>
      </c>
      <c r="GI789">
        <v>2</v>
      </c>
      <c r="GJ789">
        <v>0</v>
      </c>
      <c r="GK789">
        <f>ROUND(R789*(R12)/100,2)</f>
        <v>132.47999999999999</v>
      </c>
      <c r="GL789">
        <f t="shared" si="649"/>
        <v>0</v>
      </c>
      <c r="GM789">
        <f t="shared" si="650"/>
        <v>26301.67</v>
      </c>
      <c r="GN789">
        <f t="shared" si="651"/>
        <v>26301.67</v>
      </c>
      <c r="GO789">
        <f t="shared" si="652"/>
        <v>0</v>
      </c>
      <c r="GP789">
        <f t="shared" si="653"/>
        <v>0</v>
      </c>
      <c r="GR789">
        <v>0</v>
      </c>
      <c r="GS789">
        <v>3</v>
      </c>
      <c r="GT789">
        <v>0</v>
      </c>
      <c r="GU789" t="s">
        <v>3</v>
      </c>
      <c r="GV789">
        <f t="shared" si="654"/>
        <v>0</v>
      </c>
      <c r="GW789">
        <v>1</v>
      </c>
      <c r="GX789">
        <f t="shared" si="655"/>
        <v>0</v>
      </c>
      <c r="HA789">
        <v>0</v>
      </c>
      <c r="HB789">
        <v>0</v>
      </c>
      <c r="HC789">
        <f t="shared" si="656"/>
        <v>0</v>
      </c>
      <c r="IK789">
        <v>0</v>
      </c>
    </row>
    <row r="790" spans="1:245" x14ac:dyDescent="0.2">
      <c r="A790">
        <v>18</v>
      </c>
      <c r="B790">
        <v>1</v>
      </c>
      <c r="C790">
        <v>297</v>
      </c>
      <c r="E790" t="s">
        <v>485</v>
      </c>
      <c r="F790" t="s">
        <v>486</v>
      </c>
      <c r="G790" t="s">
        <v>487</v>
      </c>
      <c r="H790" t="s">
        <v>51</v>
      </c>
      <c r="I790">
        <f>I789*J790</f>
        <v>0.11799999999999999</v>
      </c>
      <c r="J790">
        <v>5.8999999999999997E-2</v>
      </c>
      <c r="O790">
        <f t="shared" si="617"/>
        <v>10092.9</v>
      </c>
      <c r="P790">
        <f t="shared" si="618"/>
        <v>10092.9</v>
      </c>
      <c r="Q790">
        <f t="shared" si="619"/>
        <v>0</v>
      </c>
      <c r="R790">
        <f t="shared" si="620"/>
        <v>0</v>
      </c>
      <c r="S790">
        <f t="shared" si="621"/>
        <v>0</v>
      </c>
      <c r="T790">
        <f t="shared" si="622"/>
        <v>0</v>
      </c>
      <c r="U790">
        <f t="shared" si="623"/>
        <v>0</v>
      </c>
      <c r="V790">
        <f t="shared" si="624"/>
        <v>0</v>
      </c>
      <c r="W790">
        <f t="shared" si="625"/>
        <v>0</v>
      </c>
      <c r="X790">
        <f t="shared" si="626"/>
        <v>0</v>
      </c>
      <c r="Y790">
        <f t="shared" si="627"/>
        <v>0</v>
      </c>
      <c r="AA790">
        <v>33989672</v>
      </c>
      <c r="AB790">
        <f t="shared" si="628"/>
        <v>16138.28</v>
      </c>
      <c r="AC790">
        <f t="shared" si="629"/>
        <v>16138.28</v>
      </c>
      <c r="AD790">
        <f t="shared" si="630"/>
        <v>0</v>
      </c>
      <c r="AE790">
        <f t="shared" si="631"/>
        <v>0</v>
      </c>
      <c r="AF790">
        <f t="shared" si="632"/>
        <v>0</v>
      </c>
      <c r="AG790">
        <f t="shared" si="633"/>
        <v>0</v>
      </c>
      <c r="AH790">
        <f t="shared" si="634"/>
        <v>0</v>
      </c>
      <c r="AI790">
        <f t="shared" si="635"/>
        <v>0</v>
      </c>
      <c r="AJ790">
        <f t="shared" si="636"/>
        <v>0</v>
      </c>
      <c r="AK790">
        <v>16138.28</v>
      </c>
      <c r="AL790">
        <v>16138.28</v>
      </c>
      <c r="AM790">
        <v>0</v>
      </c>
      <c r="AN790">
        <v>0</v>
      </c>
      <c r="AO790">
        <v>0</v>
      </c>
      <c r="AP790">
        <v>0</v>
      </c>
      <c r="AQ790">
        <v>0</v>
      </c>
      <c r="AR790">
        <v>0</v>
      </c>
      <c r="AS790">
        <v>0</v>
      </c>
      <c r="AT790">
        <v>0</v>
      </c>
      <c r="AU790">
        <v>0</v>
      </c>
      <c r="AV790">
        <v>1</v>
      </c>
      <c r="AW790">
        <v>1</v>
      </c>
      <c r="AZ790">
        <v>1</v>
      </c>
      <c r="BA790">
        <v>1</v>
      </c>
      <c r="BB790">
        <v>1</v>
      </c>
      <c r="BC790">
        <v>5.3</v>
      </c>
      <c r="BD790" t="s">
        <v>3</v>
      </c>
      <c r="BE790" t="s">
        <v>3</v>
      </c>
      <c r="BF790" t="s">
        <v>3</v>
      </c>
      <c r="BG790" t="s">
        <v>3</v>
      </c>
      <c r="BH790">
        <v>3</v>
      </c>
      <c r="BI790">
        <v>1</v>
      </c>
      <c r="BJ790" t="s">
        <v>488</v>
      </c>
      <c r="BM790">
        <v>116</v>
      </c>
      <c r="BN790">
        <v>0</v>
      </c>
      <c r="BO790" t="s">
        <v>486</v>
      </c>
      <c r="BP790">
        <v>1</v>
      </c>
      <c r="BQ790">
        <v>30</v>
      </c>
      <c r="BR790">
        <v>0</v>
      </c>
      <c r="BS790">
        <v>1</v>
      </c>
      <c r="BT790">
        <v>1</v>
      </c>
      <c r="BU790">
        <v>1</v>
      </c>
      <c r="BV790">
        <v>1</v>
      </c>
      <c r="BW790">
        <v>1</v>
      </c>
      <c r="BX790">
        <v>1</v>
      </c>
      <c r="BY790" t="s">
        <v>3</v>
      </c>
      <c r="BZ790">
        <v>0</v>
      </c>
      <c r="CA790">
        <v>0</v>
      </c>
      <c r="CE790">
        <v>30</v>
      </c>
      <c r="CF790">
        <v>0</v>
      </c>
      <c r="CG790">
        <v>0</v>
      </c>
      <c r="CM790">
        <v>0</v>
      </c>
      <c r="CN790" t="s">
        <v>3</v>
      </c>
      <c r="CO790">
        <v>0</v>
      </c>
      <c r="CP790">
        <f t="shared" si="637"/>
        <v>10092.9</v>
      </c>
      <c r="CQ790">
        <f t="shared" si="638"/>
        <v>85532.88</v>
      </c>
      <c r="CR790">
        <f t="shared" si="639"/>
        <v>0</v>
      </c>
      <c r="CS790">
        <f t="shared" si="640"/>
        <v>0</v>
      </c>
      <c r="CT790">
        <f t="shared" si="641"/>
        <v>0</v>
      </c>
      <c r="CU790">
        <f t="shared" si="642"/>
        <v>0</v>
      </c>
      <c r="CV790">
        <f t="shared" si="643"/>
        <v>0</v>
      </c>
      <c r="CW790">
        <f t="shared" si="644"/>
        <v>0</v>
      </c>
      <c r="CX790">
        <f t="shared" si="645"/>
        <v>0</v>
      </c>
      <c r="CY790">
        <f t="shared" si="646"/>
        <v>0</v>
      </c>
      <c r="CZ790">
        <f t="shared" si="647"/>
        <v>0</v>
      </c>
      <c r="DC790" t="s">
        <v>3</v>
      </c>
      <c r="DD790" t="s">
        <v>3</v>
      </c>
      <c r="DE790" t="s">
        <v>3</v>
      </c>
      <c r="DF790" t="s">
        <v>3</v>
      </c>
      <c r="DG790" t="s">
        <v>3</v>
      </c>
      <c r="DH790" t="s">
        <v>3</v>
      </c>
      <c r="DI790" t="s">
        <v>3</v>
      </c>
      <c r="DJ790" t="s">
        <v>3</v>
      </c>
      <c r="DK790" t="s">
        <v>3</v>
      </c>
      <c r="DL790" t="s">
        <v>3</v>
      </c>
      <c r="DM790" t="s">
        <v>3</v>
      </c>
      <c r="DN790">
        <v>120</v>
      </c>
      <c r="DO790">
        <v>84</v>
      </c>
      <c r="DP790">
        <v>1</v>
      </c>
      <c r="DQ790">
        <v>1</v>
      </c>
      <c r="DU790">
        <v>1009</v>
      </c>
      <c r="DV790" t="s">
        <v>51</v>
      </c>
      <c r="DW790" t="s">
        <v>51</v>
      </c>
      <c r="DX790">
        <v>1000</v>
      </c>
      <c r="EE790">
        <v>33797755</v>
      </c>
      <c r="EF790">
        <v>30</v>
      </c>
      <c r="EG790" t="s">
        <v>77</v>
      </c>
      <c r="EH790">
        <v>0</v>
      </c>
      <c r="EI790" t="s">
        <v>3</v>
      </c>
      <c r="EJ790">
        <v>1</v>
      </c>
      <c r="EK790">
        <v>116</v>
      </c>
      <c r="EL790" t="s">
        <v>483</v>
      </c>
      <c r="EM790" t="s">
        <v>484</v>
      </c>
      <c r="EO790" t="s">
        <v>3</v>
      </c>
      <c r="EQ790">
        <v>0</v>
      </c>
      <c r="ER790">
        <v>16138.28</v>
      </c>
      <c r="ES790">
        <v>16138.28</v>
      </c>
      <c r="ET790">
        <v>0</v>
      </c>
      <c r="EU790">
        <v>0</v>
      </c>
      <c r="EV790">
        <v>0</v>
      </c>
      <c r="EW790">
        <v>0</v>
      </c>
      <c r="EX790">
        <v>0</v>
      </c>
      <c r="FQ790">
        <v>0</v>
      </c>
      <c r="FR790">
        <f t="shared" si="648"/>
        <v>0</v>
      </c>
      <c r="FS790">
        <v>0</v>
      </c>
      <c r="FX790">
        <v>120</v>
      </c>
      <c r="FY790">
        <v>84</v>
      </c>
      <c r="GA790" t="s">
        <v>3</v>
      </c>
      <c r="GD790">
        <v>0</v>
      </c>
      <c r="GF790">
        <v>-448116312</v>
      </c>
      <c r="GG790">
        <v>2</v>
      </c>
      <c r="GH790">
        <v>1</v>
      </c>
      <c r="GI790">
        <v>2</v>
      </c>
      <c r="GJ790">
        <v>0</v>
      </c>
      <c r="GK790">
        <f>ROUND(R790*(R12)/100,2)</f>
        <v>0</v>
      </c>
      <c r="GL790">
        <f t="shared" si="649"/>
        <v>0</v>
      </c>
      <c r="GM790">
        <f t="shared" si="650"/>
        <v>10092.9</v>
      </c>
      <c r="GN790">
        <f t="shared" si="651"/>
        <v>10092.9</v>
      </c>
      <c r="GO790">
        <f t="shared" si="652"/>
        <v>0</v>
      </c>
      <c r="GP790">
        <f t="shared" si="653"/>
        <v>0</v>
      </c>
      <c r="GR790">
        <v>0</v>
      </c>
      <c r="GS790">
        <v>3</v>
      </c>
      <c r="GT790">
        <v>0</v>
      </c>
      <c r="GU790" t="s">
        <v>3</v>
      </c>
      <c r="GV790">
        <f t="shared" si="654"/>
        <v>0</v>
      </c>
      <c r="GW790">
        <v>1</v>
      </c>
      <c r="GX790">
        <f t="shared" si="655"/>
        <v>0</v>
      </c>
      <c r="HA790">
        <v>0</v>
      </c>
      <c r="HB790">
        <v>0</v>
      </c>
      <c r="HC790">
        <f t="shared" si="656"/>
        <v>0</v>
      </c>
      <c r="IK790">
        <v>0</v>
      </c>
    </row>
    <row r="792" spans="1:245" x14ac:dyDescent="0.2">
      <c r="A792" s="2">
        <v>51</v>
      </c>
      <c r="B792" s="2">
        <f>B776</f>
        <v>1</v>
      </c>
      <c r="C792" s="2">
        <f>A776</f>
        <v>4</v>
      </c>
      <c r="D792" s="2">
        <f>ROW(A776)</f>
        <v>776</v>
      </c>
      <c r="E792" s="2"/>
      <c r="F792" s="2" t="str">
        <f>IF(F776&lt;&gt;"",F776,"")</f>
        <v>Новый раздел</v>
      </c>
      <c r="G792" s="2" t="str">
        <f>IF(G776&lt;&gt;"",G776,"")</f>
        <v>30.2. Окраска подпорной стенки по штукатурке с расчисткой</v>
      </c>
      <c r="H792" s="2">
        <v>0</v>
      </c>
      <c r="I792" s="2"/>
      <c r="J792" s="2"/>
      <c r="K792" s="2"/>
      <c r="L792" s="2"/>
      <c r="M792" s="2"/>
      <c r="N792" s="2"/>
      <c r="O792" s="2">
        <f t="shared" ref="O792:T792" si="657">ROUND(AB792,2)</f>
        <v>47358.2</v>
      </c>
      <c r="P792" s="2">
        <f t="shared" si="657"/>
        <v>18795.77</v>
      </c>
      <c r="Q792" s="2">
        <f t="shared" si="657"/>
        <v>667.41</v>
      </c>
      <c r="R792" s="2">
        <f t="shared" si="657"/>
        <v>349.06</v>
      </c>
      <c r="S792" s="2">
        <f t="shared" si="657"/>
        <v>27895.02</v>
      </c>
      <c r="T792" s="2">
        <f t="shared" si="657"/>
        <v>0</v>
      </c>
      <c r="U792" s="2">
        <f>AH792</f>
        <v>99.387599999999992</v>
      </c>
      <c r="V792" s="2">
        <f>AI792</f>
        <v>0</v>
      </c>
      <c r="W792" s="2">
        <f>ROUND(AJ792,2)</f>
        <v>0</v>
      </c>
      <c r="X792" s="2">
        <f>ROUND(AK792,2)</f>
        <v>23002.28</v>
      </c>
      <c r="Y792" s="2">
        <f>ROUND(AL792,2)</f>
        <v>11579.18</v>
      </c>
      <c r="Z792" s="2"/>
      <c r="AA792" s="2"/>
      <c r="AB792" s="2">
        <f>ROUND(SUMIF(AA780:AA790,"=33989672",O780:O790),2)</f>
        <v>47358.2</v>
      </c>
      <c r="AC792" s="2">
        <f>ROUND(SUMIF(AA780:AA790,"=33989672",P780:P790),2)</f>
        <v>18795.77</v>
      </c>
      <c r="AD792" s="2">
        <f>ROUND(SUMIF(AA780:AA790,"=33989672",Q780:Q790),2)</f>
        <v>667.41</v>
      </c>
      <c r="AE792" s="2">
        <f>ROUND(SUMIF(AA780:AA790,"=33989672",R780:R790),2)</f>
        <v>349.06</v>
      </c>
      <c r="AF792" s="2">
        <f>ROUND(SUMIF(AA780:AA790,"=33989672",S780:S790),2)</f>
        <v>27895.02</v>
      </c>
      <c r="AG792" s="2">
        <f>ROUND(SUMIF(AA780:AA790,"=33989672",T780:T790),2)</f>
        <v>0</v>
      </c>
      <c r="AH792" s="2">
        <f>SUMIF(AA780:AA790,"=33989672",U780:U790)</f>
        <v>99.387599999999992</v>
      </c>
      <c r="AI792" s="2">
        <f>SUMIF(AA780:AA790,"=33989672",V780:V790)</f>
        <v>0</v>
      </c>
      <c r="AJ792" s="2">
        <f>ROUND(SUMIF(AA780:AA790,"=33989672",W780:W790),2)</f>
        <v>0</v>
      </c>
      <c r="AK792" s="2">
        <f>ROUND(SUMIF(AA780:AA790,"=33989672",X780:X790),2)</f>
        <v>23002.28</v>
      </c>
      <c r="AL792" s="2">
        <f>ROUND(SUMIF(AA780:AA790,"=33989672",Y780:Y790),2)</f>
        <v>11579.18</v>
      </c>
      <c r="AM792" s="2"/>
      <c r="AN792" s="2"/>
      <c r="AO792" s="2">
        <f t="shared" ref="AO792:BD792" si="658">ROUND(BX792,2)</f>
        <v>0</v>
      </c>
      <c r="AP792" s="2">
        <f t="shared" si="658"/>
        <v>0</v>
      </c>
      <c r="AQ792" s="2">
        <f t="shared" si="658"/>
        <v>0</v>
      </c>
      <c r="AR792" s="2">
        <f t="shared" si="658"/>
        <v>82487.69</v>
      </c>
      <c r="AS792" s="2">
        <f t="shared" si="658"/>
        <v>82487.69</v>
      </c>
      <c r="AT792" s="2">
        <f t="shared" si="658"/>
        <v>0</v>
      </c>
      <c r="AU792" s="2">
        <f t="shared" si="658"/>
        <v>0</v>
      </c>
      <c r="AV792" s="2">
        <f t="shared" si="658"/>
        <v>18795.77</v>
      </c>
      <c r="AW792" s="2">
        <f t="shared" si="658"/>
        <v>18795.77</v>
      </c>
      <c r="AX792" s="2">
        <f t="shared" si="658"/>
        <v>0</v>
      </c>
      <c r="AY792" s="2">
        <f t="shared" si="658"/>
        <v>18795.77</v>
      </c>
      <c r="AZ792" s="2">
        <f t="shared" si="658"/>
        <v>0</v>
      </c>
      <c r="BA792" s="2">
        <f t="shared" si="658"/>
        <v>0</v>
      </c>
      <c r="BB792" s="2">
        <f t="shared" si="658"/>
        <v>0</v>
      </c>
      <c r="BC792" s="2">
        <f t="shared" si="658"/>
        <v>0</v>
      </c>
      <c r="BD792" s="2">
        <f t="shared" si="658"/>
        <v>0</v>
      </c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>
        <f>ROUND(SUMIF(AA780:AA790,"=33989672",FQ780:FQ790),2)</f>
        <v>0</v>
      </c>
      <c r="BY792" s="2">
        <f>ROUND(SUMIF(AA780:AA790,"=33989672",FR780:FR790),2)</f>
        <v>0</v>
      </c>
      <c r="BZ792" s="2">
        <f>ROUND(SUMIF(AA780:AA790,"=33989672",GL780:GL790),2)</f>
        <v>0</v>
      </c>
      <c r="CA792" s="2">
        <f>ROUND(SUMIF(AA780:AA790,"=33989672",GM780:GM790),2)</f>
        <v>82487.69</v>
      </c>
      <c r="CB792" s="2">
        <f>ROUND(SUMIF(AA780:AA790,"=33989672",GN780:GN790),2)</f>
        <v>82487.69</v>
      </c>
      <c r="CC792" s="2">
        <f>ROUND(SUMIF(AA780:AA790,"=33989672",GO780:GO790),2)</f>
        <v>0</v>
      </c>
      <c r="CD792" s="2">
        <f>ROUND(SUMIF(AA780:AA790,"=33989672",GP780:GP790),2)</f>
        <v>0</v>
      </c>
      <c r="CE792" s="2">
        <f>AC792-BX792</f>
        <v>18795.77</v>
      </c>
      <c r="CF792" s="2">
        <f>AC792-BY792</f>
        <v>18795.77</v>
      </c>
      <c r="CG792" s="2">
        <f>BX792-BZ792</f>
        <v>0</v>
      </c>
      <c r="CH792" s="2">
        <f>AC792-BX792-BY792+BZ792</f>
        <v>18795.77</v>
      </c>
      <c r="CI792" s="2">
        <f>BY792-BZ792</f>
        <v>0</v>
      </c>
      <c r="CJ792" s="2">
        <f>ROUND(SUMIF(AA780:AA790,"=33989672",GX780:GX790),2)</f>
        <v>0</v>
      </c>
      <c r="CK792" s="2">
        <f>ROUND(SUMIF(AA780:AA790,"=33989672",GY780:GY790),2)</f>
        <v>0</v>
      </c>
      <c r="CL792" s="2">
        <f>ROUND(SUMIF(AA780:AA790,"=33989672",GZ780:GZ790),2)</f>
        <v>0</v>
      </c>
      <c r="CM792" s="2">
        <f>ROUND(SUMIF(AA780:AA790,"=33989672",HD780:HD790),2)</f>
        <v>0</v>
      </c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  <c r="FJ792" s="3"/>
      <c r="FK792" s="3"/>
      <c r="FL792" s="3"/>
      <c r="FM792" s="3"/>
      <c r="FN792" s="3"/>
      <c r="FO792" s="3"/>
      <c r="FP792" s="3"/>
      <c r="FQ792" s="3"/>
      <c r="FR792" s="3"/>
      <c r="FS792" s="3"/>
      <c r="FT792" s="3"/>
      <c r="FU792" s="3"/>
      <c r="FV792" s="3"/>
      <c r="FW792" s="3"/>
      <c r="FX792" s="3"/>
      <c r="FY792" s="3"/>
      <c r="FZ792" s="3"/>
      <c r="GA792" s="3"/>
      <c r="GB792" s="3"/>
      <c r="GC792" s="3"/>
      <c r="GD792" s="3"/>
      <c r="GE792" s="3"/>
      <c r="GF792" s="3"/>
      <c r="GG792" s="3"/>
      <c r="GH792" s="3"/>
      <c r="GI792" s="3"/>
      <c r="GJ792" s="3"/>
      <c r="GK792" s="3"/>
      <c r="GL792" s="3"/>
      <c r="GM792" s="3"/>
      <c r="GN792" s="3"/>
      <c r="GO792" s="3"/>
      <c r="GP792" s="3"/>
      <c r="GQ792" s="3"/>
      <c r="GR792" s="3"/>
      <c r="GS792" s="3"/>
      <c r="GT792" s="3"/>
      <c r="GU792" s="3"/>
      <c r="GV792" s="3"/>
      <c r="GW792" s="3"/>
      <c r="GX792" s="3">
        <v>0</v>
      </c>
    </row>
    <row r="794" spans="1:245" x14ac:dyDescent="0.2">
      <c r="A794" s="4">
        <v>50</v>
      </c>
      <c r="B794" s="4">
        <v>0</v>
      </c>
      <c r="C794" s="4">
        <v>0</v>
      </c>
      <c r="D794" s="4">
        <v>1</v>
      </c>
      <c r="E794" s="4">
        <v>201</v>
      </c>
      <c r="F794" s="4">
        <f>ROUND(Source!O792,O794)</f>
        <v>47358.2</v>
      </c>
      <c r="G794" s="4" t="s">
        <v>89</v>
      </c>
      <c r="H794" s="4" t="s">
        <v>90</v>
      </c>
      <c r="I794" s="4"/>
      <c r="J794" s="4"/>
      <c r="K794" s="4">
        <v>201</v>
      </c>
      <c r="L794" s="4">
        <v>1</v>
      </c>
      <c r="M794" s="4">
        <v>3</v>
      </c>
      <c r="N794" s="4" t="s">
        <v>3</v>
      </c>
      <c r="O794" s="4">
        <v>2</v>
      </c>
      <c r="P794" s="4"/>
      <c r="Q794" s="4"/>
      <c r="R794" s="4"/>
      <c r="S794" s="4"/>
      <c r="T794" s="4"/>
      <c r="U794" s="4"/>
      <c r="V794" s="4"/>
      <c r="W794" s="4"/>
    </row>
    <row r="795" spans="1:245" x14ac:dyDescent="0.2">
      <c r="A795" s="4">
        <v>50</v>
      </c>
      <c r="B795" s="4">
        <v>0</v>
      </c>
      <c r="C795" s="4">
        <v>0</v>
      </c>
      <c r="D795" s="4">
        <v>1</v>
      </c>
      <c r="E795" s="4">
        <v>202</v>
      </c>
      <c r="F795" s="4">
        <f>ROUND(Source!P792,O795)</f>
        <v>18795.77</v>
      </c>
      <c r="G795" s="4" t="s">
        <v>91</v>
      </c>
      <c r="H795" s="4" t="s">
        <v>92</v>
      </c>
      <c r="I795" s="4"/>
      <c r="J795" s="4"/>
      <c r="K795" s="4">
        <v>202</v>
      </c>
      <c r="L795" s="4">
        <v>2</v>
      </c>
      <c r="M795" s="4">
        <v>3</v>
      </c>
      <c r="N795" s="4" t="s">
        <v>3</v>
      </c>
      <c r="O795" s="4">
        <v>2</v>
      </c>
      <c r="P795" s="4"/>
      <c r="Q795" s="4"/>
      <c r="R795" s="4"/>
      <c r="S795" s="4"/>
      <c r="T795" s="4"/>
      <c r="U795" s="4"/>
      <c r="V795" s="4"/>
      <c r="W795" s="4"/>
    </row>
    <row r="796" spans="1:245" x14ac:dyDescent="0.2">
      <c r="A796" s="4">
        <v>50</v>
      </c>
      <c r="B796" s="4">
        <v>0</v>
      </c>
      <c r="C796" s="4">
        <v>0</v>
      </c>
      <c r="D796" s="4">
        <v>1</v>
      </c>
      <c r="E796" s="4">
        <v>222</v>
      </c>
      <c r="F796" s="4">
        <f>ROUND(Source!AO792,O796)</f>
        <v>0</v>
      </c>
      <c r="G796" s="4" t="s">
        <v>93</v>
      </c>
      <c r="H796" s="4" t="s">
        <v>94</v>
      </c>
      <c r="I796" s="4"/>
      <c r="J796" s="4"/>
      <c r="K796" s="4">
        <v>222</v>
      </c>
      <c r="L796" s="4">
        <v>3</v>
      </c>
      <c r="M796" s="4">
        <v>3</v>
      </c>
      <c r="N796" s="4" t="s">
        <v>3</v>
      </c>
      <c r="O796" s="4">
        <v>2</v>
      </c>
      <c r="P796" s="4"/>
      <c r="Q796" s="4"/>
      <c r="R796" s="4"/>
      <c r="S796" s="4"/>
      <c r="T796" s="4"/>
      <c r="U796" s="4"/>
      <c r="V796" s="4"/>
      <c r="W796" s="4"/>
    </row>
    <row r="797" spans="1:245" x14ac:dyDescent="0.2">
      <c r="A797" s="4">
        <v>50</v>
      </c>
      <c r="B797" s="4">
        <v>0</v>
      </c>
      <c r="C797" s="4">
        <v>0</v>
      </c>
      <c r="D797" s="4">
        <v>1</v>
      </c>
      <c r="E797" s="4">
        <v>225</v>
      </c>
      <c r="F797" s="4">
        <f>ROUND(Source!AV792,O797)</f>
        <v>18795.77</v>
      </c>
      <c r="G797" s="4" t="s">
        <v>95</v>
      </c>
      <c r="H797" s="4" t="s">
        <v>96</v>
      </c>
      <c r="I797" s="4"/>
      <c r="J797" s="4"/>
      <c r="K797" s="4">
        <v>225</v>
      </c>
      <c r="L797" s="4">
        <v>4</v>
      </c>
      <c r="M797" s="4">
        <v>3</v>
      </c>
      <c r="N797" s="4" t="s">
        <v>3</v>
      </c>
      <c r="O797" s="4">
        <v>2</v>
      </c>
      <c r="P797" s="4"/>
      <c r="Q797" s="4"/>
      <c r="R797" s="4"/>
      <c r="S797" s="4"/>
      <c r="T797" s="4"/>
      <c r="U797" s="4"/>
      <c r="V797" s="4"/>
      <c r="W797" s="4"/>
    </row>
    <row r="798" spans="1:245" x14ac:dyDescent="0.2">
      <c r="A798" s="4">
        <v>50</v>
      </c>
      <c r="B798" s="4">
        <v>0</v>
      </c>
      <c r="C798" s="4">
        <v>0</v>
      </c>
      <c r="D798" s="4">
        <v>1</v>
      </c>
      <c r="E798" s="4">
        <v>226</v>
      </c>
      <c r="F798" s="4">
        <f>ROUND(Source!AW792,O798)</f>
        <v>18795.77</v>
      </c>
      <c r="G798" s="4" t="s">
        <v>97</v>
      </c>
      <c r="H798" s="4" t="s">
        <v>98</v>
      </c>
      <c r="I798" s="4"/>
      <c r="J798" s="4"/>
      <c r="K798" s="4">
        <v>226</v>
      </c>
      <c r="L798" s="4">
        <v>5</v>
      </c>
      <c r="M798" s="4">
        <v>3</v>
      </c>
      <c r="N798" s="4" t="s">
        <v>3</v>
      </c>
      <c r="O798" s="4">
        <v>2</v>
      </c>
      <c r="P798" s="4"/>
      <c r="Q798" s="4"/>
      <c r="R798" s="4"/>
      <c r="S798" s="4"/>
      <c r="T798" s="4"/>
      <c r="U798" s="4"/>
      <c r="V798" s="4"/>
      <c r="W798" s="4"/>
    </row>
    <row r="799" spans="1:245" x14ac:dyDescent="0.2">
      <c r="A799" s="4">
        <v>50</v>
      </c>
      <c r="B799" s="4">
        <v>0</v>
      </c>
      <c r="C799" s="4">
        <v>0</v>
      </c>
      <c r="D799" s="4">
        <v>1</v>
      </c>
      <c r="E799" s="4">
        <v>227</v>
      </c>
      <c r="F799" s="4">
        <f>ROUND(Source!AX792,O799)</f>
        <v>0</v>
      </c>
      <c r="G799" s="4" t="s">
        <v>99</v>
      </c>
      <c r="H799" s="4" t="s">
        <v>100</v>
      </c>
      <c r="I799" s="4"/>
      <c r="J799" s="4"/>
      <c r="K799" s="4">
        <v>227</v>
      </c>
      <c r="L799" s="4">
        <v>6</v>
      </c>
      <c r="M799" s="4">
        <v>3</v>
      </c>
      <c r="N799" s="4" t="s">
        <v>3</v>
      </c>
      <c r="O799" s="4">
        <v>2</v>
      </c>
      <c r="P799" s="4"/>
      <c r="Q799" s="4"/>
      <c r="R799" s="4"/>
      <c r="S799" s="4"/>
      <c r="T799" s="4"/>
      <c r="U799" s="4"/>
      <c r="V799" s="4"/>
      <c r="W799" s="4"/>
    </row>
    <row r="800" spans="1:245" x14ac:dyDescent="0.2">
      <c r="A800" s="4">
        <v>50</v>
      </c>
      <c r="B800" s="4">
        <v>0</v>
      </c>
      <c r="C800" s="4">
        <v>0</v>
      </c>
      <c r="D800" s="4">
        <v>1</v>
      </c>
      <c r="E800" s="4">
        <v>228</v>
      </c>
      <c r="F800" s="4">
        <f>ROUND(Source!AY792,O800)</f>
        <v>18795.77</v>
      </c>
      <c r="G800" s="4" t="s">
        <v>101</v>
      </c>
      <c r="H800" s="4" t="s">
        <v>102</v>
      </c>
      <c r="I800" s="4"/>
      <c r="J800" s="4"/>
      <c r="K800" s="4">
        <v>228</v>
      </c>
      <c r="L800" s="4">
        <v>7</v>
      </c>
      <c r="M800" s="4">
        <v>3</v>
      </c>
      <c r="N800" s="4" t="s">
        <v>3</v>
      </c>
      <c r="O800" s="4">
        <v>2</v>
      </c>
      <c r="P800" s="4"/>
      <c r="Q800" s="4"/>
      <c r="R800" s="4"/>
      <c r="S800" s="4"/>
      <c r="T800" s="4"/>
      <c r="U800" s="4"/>
      <c r="V800" s="4"/>
      <c r="W800" s="4"/>
    </row>
    <row r="801" spans="1:23" x14ac:dyDescent="0.2">
      <c r="A801" s="4">
        <v>50</v>
      </c>
      <c r="B801" s="4">
        <v>0</v>
      </c>
      <c r="C801" s="4">
        <v>0</v>
      </c>
      <c r="D801" s="4">
        <v>1</v>
      </c>
      <c r="E801" s="4">
        <v>216</v>
      </c>
      <c r="F801" s="4">
        <f>ROUND(Source!AP792,O801)</f>
        <v>0</v>
      </c>
      <c r="G801" s="4" t="s">
        <v>103</v>
      </c>
      <c r="H801" s="4" t="s">
        <v>104</v>
      </c>
      <c r="I801" s="4"/>
      <c r="J801" s="4"/>
      <c r="K801" s="4">
        <v>216</v>
      </c>
      <c r="L801" s="4">
        <v>8</v>
      </c>
      <c r="M801" s="4">
        <v>3</v>
      </c>
      <c r="N801" s="4" t="s">
        <v>3</v>
      </c>
      <c r="O801" s="4">
        <v>2</v>
      </c>
      <c r="P801" s="4"/>
      <c r="Q801" s="4"/>
      <c r="R801" s="4"/>
      <c r="S801" s="4"/>
      <c r="T801" s="4"/>
      <c r="U801" s="4"/>
      <c r="V801" s="4"/>
      <c r="W801" s="4"/>
    </row>
    <row r="802" spans="1:23" x14ac:dyDescent="0.2">
      <c r="A802" s="4">
        <v>50</v>
      </c>
      <c r="B802" s="4">
        <v>0</v>
      </c>
      <c r="C802" s="4">
        <v>0</v>
      </c>
      <c r="D802" s="4">
        <v>1</v>
      </c>
      <c r="E802" s="4">
        <v>223</v>
      </c>
      <c r="F802" s="4">
        <f>ROUND(Source!AQ792,O802)</f>
        <v>0</v>
      </c>
      <c r="G802" s="4" t="s">
        <v>105</v>
      </c>
      <c r="H802" s="4" t="s">
        <v>106</v>
      </c>
      <c r="I802" s="4"/>
      <c r="J802" s="4"/>
      <c r="K802" s="4">
        <v>223</v>
      </c>
      <c r="L802" s="4">
        <v>9</v>
      </c>
      <c r="M802" s="4">
        <v>3</v>
      </c>
      <c r="N802" s="4" t="s">
        <v>3</v>
      </c>
      <c r="O802" s="4">
        <v>2</v>
      </c>
      <c r="P802" s="4"/>
      <c r="Q802" s="4"/>
      <c r="R802" s="4"/>
      <c r="S802" s="4"/>
      <c r="T802" s="4"/>
      <c r="U802" s="4"/>
      <c r="V802" s="4"/>
      <c r="W802" s="4"/>
    </row>
    <row r="803" spans="1:23" x14ac:dyDescent="0.2">
      <c r="A803" s="4">
        <v>50</v>
      </c>
      <c r="B803" s="4">
        <v>0</v>
      </c>
      <c r="C803" s="4">
        <v>0</v>
      </c>
      <c r="D803" s="4">
        <v>1</v>
      </c>
      <c r="E803" s="4">
        <v>229</v>
      </c>
      <c r="F803" s="4">
        <f>ROUND(Source!AZ792,O803)</f>
        <v>0</v>
      </c>
      <c r="G803" s="4" t="s">
        <v>107</v>
      </c>
      <c r="H803" s="4" t="s">
        <v>108</v>
      </c>
      <c r="I803" s="4"/>
      <c r="J803" s="4"/>
      <c r="K803" s="4">
        <v>229</v>
      </c>
      <c r="L803" s="4">
        <v>10</v>
      </c>
      <c r="M803" s="4">
        <v>3</v>
      </c>
      <c r="N803" s="4" t="s">
        <v>3</v>
      </c>
      <c r="O803" s="4">
        <v>2</v>
      </c>
      <c r="P803" s="4"/>
      <c r="Q803" s="4"/>
      <c r="R803" s="4"/>
      <c r="S803" s="4"/>
      <c r="T803" s="4"/>
      <c r="U803" s="4"/>
      <c r="V803" s="4"/>
      <c r="W803" s="4"/>
    </row>
    <row r="804" spans="1:23" x14ac:dyDescent="0.2">
      <c r="A804" s="4">
        <v>50</v>
      </c>
      <c r="B804" s="4">
        <v>0</v>
      </c>
      <c r="C804" s="4">
        <v>0</v>
      </c>
      <c r="D804" s="4">
        <v>1</v>
      </c>
      <c r="E804" s="4">
        <v>203</v>
      </c>
      <c r="F804" s="4">
        <f>ROUND(Source!Q792,O804)</f>
        <v>667.41</v>
      </c>
      <c r="G804" s="4" t="s">
        <v>109</v>
      </c>
      <c r="H804" s="4" t="s">
        <v>110</v>
      </c>
      <c r="I804" s="4"/>
      <c r="J804" s="4"/>
      <c r="K804" s="4">
        <v>203</v>
      </c>
      <c r="L804" s="4">
        <v>11</v>
      </c>
      <c r="M804" s="4">
        <v>3</v>
      </c>
      <c r="N804" s="4" t="s">
        <v>3</v>
      </c>
      <c r="O804" s="4">
        <v>2</v>
      </c>
      <c r="P804" s="4"/>
      <c r="Q804" s="4"/>
      <c r="R804" s="4"/>
      <c r="S804" s="4"/>
      <c r="T804" s="4"/>
      <c r="U804" s="4"/>
      <c r="V804" s="4"/>
      <c r="W804" s="4"/>
    </row>
    <row r="805" spans="1:23" x14ac:dyDescent="0.2">
      <c r="A805" s="4">
        <v>50</v>
      </c>
      <c r="B805" s="4">
        <v>0</v>
      </c>
      <c r="C805" s="4">
        <v>0</v>
      </c>
      <c r="D805" s="4">
        <v>1</v>
      </c>
      <c r="E805" s="4">
        <v>231</v>
      </c>
      <c r="F805" s="4">
        <f>ROUND(Source!BB792,O805)</f>
        <v>0</v>
      </c>
      <c r="G805" s="4" t="s">
        <v>111</v>
      </c>
      <c r="H805" s="4" t="s">
        <v>112</v>
      </c>
      <c r="I805" s="4"/>
      <c r="J805" s="4"/>
      <c r="K805" s="4">
        <v>231</v>
      </c>
      <c r="L805" s="4">
        <v>12</v>
      </c>
      <c r="M805" s="4">
        <v>3</v>
      </c>
      <c r="N805" s="4" t="s">
        <v>3</v>
      </c>
      <c r="O805" s="4">
        <v>2</v>
      </c>
      <c r="P805" s="4"/>
      <c r="Q805" s="4"/>
      <c r="R805" s="4"/>
      <c r="S805" s="4"/>
      <c r="T805" s="4"/>
      <c r="U805" s="4"/>
      <c r="V805" s="4"/>
      <c r="W805" s="4"/>
    </row>
    <row r="806" spans="1:23" x14ac:dyDescent="0.2">
      <c r="A806" s="4">
        <v>50</v>
      </c>
      <c r="B806" s="4">
        <v>0</v>
      </c>
      <c r="C806" s="4">
        <v>0</v>
      </c>
      <c r="D806" s="4">
        <v>1</v>
      </c>
      <c r="E806" s="4">
        <v>204</v>
      </c>
      <c r="F806" s="4">
        <f>ROUND(Source!R792,O806)</f>
        <v>349.06</v>
      </c>
      <c r="G806" s="4" t="s">
        <v>113</v>
      </c>
      <c r="H806" s="4" t="s">
        <v>114</v>
      </c>
      <c r="I806" s="4"/>
      <c r="J806" s="4"/>
      <c r="K806" s="4">
        <v>204</v>
      </c>
      <c r="L806" s="4">
        <v>13</v>
      </c>
      <c r="M806" s="4">
        <v>3</v>
      </c>
      <c r="N806" s="4" t="s">
        <v>3</v>
      </c>
      <c r="O806" s="4">
        <v>2</v>
      </c>
      <c r="P806" s="4"/>
      <c r="Q806" s="4"/>
      <c r="R806" s="4"/>
      <c r="S806" s="4"/>
      <c r="T806" s="4"/>
      <c r="U806" s="4"/>
      <c r="V806" s="4"/>
      <c r="W806" s="4"/>
    </row>
    <row r="807" spans="1:23" x14ac:dyDescent="0.2">
      <c r="A807" s="4">
        <v>50</v>
      </c>
      <c r="B807" s="4">
        <v>0</v>
      </c>
      <c r="C807" s="4">
        <v>0</v>
      </c>
      <c r="D807" s="4">
        <v>1</v>
      </c>
      <c r="E807" s="4">
        <v>205</v>
      </c>
      <c r="F807" s="4">
        <f>ROUND(Source!S792,O807)</f>
        <v>27895.02</v>
      </c>
      <c r="G807" s="4" t="s">
        <v>115</v>
      </c>
      <c r="H807" s="4" t="s">
        <v>116</v>
      </c>
      <c r="I807" s="4"/>
      <c r="J807" s="4"/>
      <c r="K807" s="4">
        <v>205</v>
      </c>
      <c r="L807" s="4">
        <v>14</v>
      </c>
      <c r="M807" s="4">
        <v>3</v>
      </c>
      <c r="N807" s="4" t="s">
        <v>3</v>
      </c>
      <c r="O807" s="4">
        <v>2</v>
      </c>
      <c r="P807" s="4"/>
      <c r="Q807" s="4"/>
      <c r="R807" s="4"/>
      <c r="S807" s="4"/>
      <c r="T807" s="4"/>
      <c r="U807" s="4"/>
      <c r="V807" s="4"/>
      <c r="W807" s="4"/>
    </row>
    <row r="808" spans="1:23" x14ac:dyDescent="0.2">
      <c r="A808" s="4">
        <v>50</v>
      </c>
      <c r="B808" s="4">
        <v>0</v>
      </c>
      <c r="C808" s="4">
        <v>0</v>
      </c>
      <c r="D808" s="4">
        <v>1</v>
      </c>
      <c r="E808" s="4">
        <v>232</v>
      </c>
      <c r="F808" s="4">
        <f>ROUND(Source!BC792,O808)</f>
        <v>0</v>
      </c>
      <c r="G808" s="4" t="s">
        <v>117</v>
      </c>
      <c r="H808" s="4" t="s">
        <v>118</v>
      </c>
      <c r="I808" s="4"/>
      <c r="J808" s="4"/>
      <c r="K808" s="4">
        <v>232</v>
      </c>
      <c r="L808" s="4">
        <v>15</v>
      </c>
      <c r="M808" s="4">
        <v>3</v>
      </c>
      <c r="N808" s="4" t="s">
        <v>3</v>
      </c>
      <c r="O808" s="4">
        <v>2</v>
      </c>
      <c r="P808" s="4"/>
      <c r="Q808" s="4"/>
      <c r="R808" s="4"/>
      <c r="S808" s="4"/>
      <c r="T808" s="4"/>
      <c r="U808" s="4"/>
      <c r="V808" s="4"/>
      <c r="W808" s="4"/>
    </row>
    <row r="809" spans="1:23" x14ac:dyDescent="0.2">
      <c r="A809" s="4">
        <v>50</v>
      </c>
      <c r="B809" s="4">
        <v>0</v>
      </c>
      <c r="C809" s="4">
        <v>0</v>
      </c>
      <c r="D809" s="4">
        <v>1</v>
      </c>
      <c r="E809" s="4">
        <v>214</v>
      </c>
      <c r="F809" s="4">
        <f>ROUND(Source!AS792,O809)</f>
        <v>82487.69</v>
      </c>
      <c r="G809" s="4" t="s">
        <v>119</v>
      </c>
      <c r="H809" s="4" t="s">
        <v>120</v>
      </c>
      <c r="I809" s="4"/>
      <c r="J809" s="4"/>
      <c r="K809" s="4">
        <v>214</v>
      </c>
      <c r="L809" s="4">
        <v>16</v>
      </c>
      <c r="M809" s="4">
        <v>3</v>
      </c>
      <c r="N809" s="4" t="s">
        <v>3</v>
      </c>
      <c r="O809" s="4">
        <v>2</v>
      </c>
      <c r="P809" s="4"/>
      <c r="Q809" s="4"/>
      <c r="R809" s="4"/>
      <c r="S809" s="4"/>
      <c r="T809" s="4"/>
      <c r="U809" s="4"/>
      <c r="V809" s="4"/>
      <c r="W809" s="4"/>
    </row>
    <row r="810" spans="1:23" x14ac:dyDescent="0.2">
      <c r="A810" s="4">
        <v>50</v>
      </c>
      <c r="B810" s="4">
        <v>0</v>
      </c>
      <c r="C810" s="4">
        <v>0</v>
      </c>
      <c r="D810" s="4">
        <v>1</v>
      </c>
      <c r="E810" s="4">
        <v>215</v>
      </c>
      <c r="F810" s="4">
        <f>ROUND(Source!AT792,O810)</f>
        <v>0</v>
      </c>
      <c r="G810" s="4" t="s">
        <v>121</v>
      </c>
      <c r="H810" s="4" t="s">
        <v>122</v>
      </c>
      <c r="I810" s="4"/>
      <c r="J810" s="4"/>
      <c r="K810" s="4">
        <v>215</v>
      </c>
      <c r="L810" s="4">
        <v>17</v>
      </c>
      <c r="M810" s="4">
        <v>3</v>
      </c>
      <c r="N810" s="4" t="s">
        <v>3</v>
      </c>
      <c r="O810" s="4">
        <v>2</v>
      </c>
      <c r="P810" s="4"/>
      <c r="Q810" s="4"/>
      <c r="R810" s="4"/>
      <c r="S810" s="4"/>
      <c r="T810" s="4"/>
      <c r="U810" s="4"/>
      <c r="V810" s="4"/>
      <c r="W810" s="4"/>
    </row>
    <row r="811" spans="1:23" x14ac:dyDescent="0.2">
      <c r="A811" s="4">
        <v>50</v>
      </c>
      <c r="B811" s="4">
        <v>0</v>
      </c>
      <c r="C811" s="4">
        <v>0</v>
      </c>
      <c r="D811" s="4">
        <v>1</v>
      </c>
      <c r="E811" s="4">
        <v>217</v>
      </c>
      <c r="F811" s="4">
        <f>ROUND(Source!AU792,O811)</f>
        <v>0</v>
      </c>
      <c r="G811" s="4" t="s">
        <v>123</v>
      </c>
      <c r="H811" s="4" t="s">
        <v>124</v>
      </c>
      <c r="I811" s="4"/>
      <c r="J811" s="4"/>
      <c r="K811" s="4">
        <v>217</v>
      </c>
      <c r="L811" s="4">
        <v>18</v>
      </c>
      <c r="M811" s="4">
        <v>3</v>
      </c>
      <c r="N811" s="4" t="s">
        <v>3</v>
      </c>
      <c r="O811" s="4">
        <v>2</v>
      </c>
      <c r="P811" s="4"/>
      <c r="Q811" s="4"/>
      <c r="R811" s="4"/>
      <c r="S811" s="4"/>
      <c r="T811" s="4"/>
      <c r="U811" s="4"/>
      <c r="V811" s="4"/>
      <c r="W811" s="4"/>
    </row>
    <row r="812" spans="1:23" x14ac:dyDescent="0.2">
      <c r="A812" s="4">
        <v>50</v>
      </c>
      <c r="B812" s="4">
        <v>0</v>
      </c>
      <c r="C812" s="4">
        <v>0</v>
      </c>
      <c r="D812" s="4">
        <v>1</v>
      </c>
      <c r="E812" s="4">
        <v>230</v>
      </c>
      <c r="F812" s="4">
        <f>ROUND(Source!BA792,O812)</f>
        <v>0</v>
      </c>
      <c r="G812" s="4" t="s">
        <v>125</v>
      </c>
      <c r="H812" s="4" t="s">
        <v>126</v>
      </c>
      <c r="I812" s="4"/>
      <c r="J812" s="4"/>
      <c r="K812" s="4">
        <v>230</v>
      </c>
      <c r="L812" s="4">
        <v>19</v>
      </c>
      <c r="M812" s="4">
        <v>3</v>
      </c>
      <c r="N812" s="4" t="s">
        <v>3</v>
      </c>
      <c r="O812" s="4">
        <v>2</v>
      </c>
      <c r="P812" s="4"/>
      <c r="Q812" s="4"/>
      <c r="R812" s="4"/>
      <c r="S812" s="4"/>
      <c r="T812" s="4"/>
      <c r="U812" s="4"/>
      <c r="V812" s="4"/>
      <c r="W812" s="4"/>
    </row>
    <row r="813" spans="1:23" x14ac:dyDescent="0.2">
      <c r="A813" s="4">
        <v>50</v>
      </c>
      <c r="B813" s="4">
        <v>0</v>
      </c>
      <c r="C813" s="4">
        <v>0</v>
      </c>
      <c r="D813" s="4">
        <v>1</v>
      </c>
      <c r="E813" s="4">
        <v>206</v>
      </c>
      <c r="F813" s="4">
        <f>ROUND(Source!T792,O813)</f>
        <v>0</v>
      </c>
      <c r="G813" s="4" t="s">
        <v>127</v>
      </c>
      <c r="H813" s="4" t="s">
        <v>128</v>
      </c>
      <c r="I813" s="4"/>
      <c r="J813" s="4"/>
      <c r="K813" s="4">
        <v>206</v>
      </c>
      <c r="L813" s="4">
        <v>20</v>
      </c>
      <c r="M813" s="4">
        <v>3</v>
      </c>
      <c r="N813" s="4" t="s">
        <v>3</v>
      </c>
      <c r="O813" s="4">
        <v>2</v>
      </c>
      <c r="P813" s="4"/>
      <c r="Q813" s="4"/>
      <c r="R813" s="4"/>
      <c r="S813" s="4"/>
      <c r="T813" s="4"/>
      <c r="U813" s="4"/>
      <c r="V813" s="4"/>
      <c r="W813" s="4"/>
    </row>
    <row r="814" spans="1:23" x14ac:dyDescent="0.2">
      <c r="A814" s="4">
        <v>50</v>
      </c>
      <c r="B814" s="4">
        <v>0</v>
      </c>
      <c r="C814" s="4">
        <v>0</v>
      </c>
      <c r="D814" s="4">
        <v>1</v>
      </c>
      <c r="E814" s="4">
        <v>207</v>
      </c>
      <c r="F814" s="4">
        <f>Source!U792</f>
        <v>99.387599999999992</v>
      </c>
      <c r="G814" s="4" t="s">
        <v>129</v>
      </c>
      <c r="H814" s="4" t="s">
        <v>130</v>
      </c>
      <c r="I814" s="4"/>
      <c r="J814" s="4"/>
      <c r="K814" s="4">
        <v>207</v>
      </c>
      <c r="L814" s="4">
        <v>21</v>
      </c>
      <c r="M814" s="4">
        <v>3</v>
      </c>
      <c r="N814" s="4" t="s">
        <v>3</v>
      </c>
      <c r="O814" s="4">
        <v>-1</v>
      </c>
      <c r="P814" s="4"/>
      <c r="Q814" s="4"/>
      <c r="R814" s="4"/>
      <c r="S814" s="4"/>
      <c r="T814" s="4"/>
      <c r="U814" s="4"/>
      <c r="V814" s="4"/>
      <c r="W814" s="4"/>
    </row>
    <row r="815" spans="1:23" x14ac:dyDescent="0.2">
      <c r="A815" s="4">
        <v>50</v>
      </c>
      <c r="B815" s="4">
        <v>0</v>
      </c>
      <c r="C815" s="4">
        <v>0</v>
      </c>
      <c r="D815" s="4">
        <v>1</v>
      </c>
      <c r="E815" s="4">
        <v>208</v>
      </c>
      <c r="F815" s="4">
        <f>Source!V792</f>
        <v>0</v>
      </c>
      <c r="G815" s="4" t="s">
        <v>131</v>
      </c>
      <c r="H815" s="4" t="s">
        <v>132</v>
      </c>
      <c r="I815" s="4"/>
      <c r="J815" s="4"/>
      <c r="K815" s="4">
        <v>208</v>
      </c>
      <c r="L815" s="4">
        <v>22</v>
      </c>
      <c r="M815" s="4">
        <v>3</v>
      </c>
      <c r="N815" s="4" t="s">
        <v>3</v>
      </c>
      <c r="O815" s="4">
        <v>-1</v>
      </c>
      <c r="P815" s="4"/>
      <c r="Q815" s="4"/>
      <c r="R815" s="4"/>
      <c r="S815" s="4"/>
      <c r="T815" s="4"/>
      <c r="U815" s="4"/>
      <c r="V815" s="4"/>
      <c r="W815" s="4"/>
    </row>
    <row r="816" spans="1:23" x14ac:dyDescent="0.2">
      <c r="A816" s="4">
        <v>50</v>
      </c>
      <c r="B816" s="4">
        <v>0</v>
      </c>
      <c r="C816" s="4">
        <v>0</v>
      </c>
      <c r="D816" s="4">
        <v>1</v>
      </c>
      <c r="E816" s="4">
        <v>209</v>
      </c>
      <c r="F816" s="4">
        <f>ROUND(Source!W792,O816)</f>
        <v>0</v>
      </c>
      <c r="G816" s="4" t="s">
        <v>133</v>
      </c>
      <c r="H816" s="4" t="s">
        <v>134</v>
      </c>
      <c r="I816" s="4"/>
      <c r="J816" s="4"/>
      <c r="K816" s="4">
        <v>209</v>
      </c>
      <c r="L816" s="4">
        <v>23</v>
      </c>
      <c r="M816" s="4">
        <v>3</v>
      </c>
      <c r="N816" s="4" t="s">
        <v>3</v>
      </c>
      <c r="O816" s="4">
        <v>2</v>
      </c>
      <c r="P816" s="4"/>
      <c r="Q816" s="4"/>
      <c r="R816" s="4"/>
      <c r="S816" s="4"/>
      <c r="T816" s="4"/>
      <c r="U816" s="4"/>
      <c r="V816" s="4"/>
      <c r="W816" s="4"/>
    </row>
    <row r="817" spans="1:206" x14ac:dyDescent="0.2">
      <c r="A817" s="4">
        <v>50</v>
      </c>
      <c r="B817" s="4">
        <v>0</v>
      </c>
      <c r="C817" s="4">
        <v>0</v>
      </c>
      <c r="D817" s="4">
        <v>1</v>
      </c>
      <c r="E817" s="4">
        <v>233</v>
      </c>
      <c r="F817" s="4">
        <f>ROUND(Source!BD792,O817)</f>
        <v>0</v>
      </c>
      <c r="G817" s="4" t="s">
        <v>135</v>
      </c>
      <c r="H817" s="4" t="s">
        <v>136</v>
      </c>
      <c r="I817" s="4"/>
      <c r="J817" s="4"/>
      <c r="K817" s="4">
        <v>233</v>
      </c>
      <c r="L817" s="4">
        <v>24</v>
      </c>
      <c r="M817" s="4">
        <v>3</v>
      </c>
      <c r="N817" s="4" t="s">
        <v>3</v>
      </c>
      <c r="O817" s="4">
        <v>2</v>
      </c>
      <c r="P817" s="4"/>
      <c r="Q817" s="4"/>
      <c r="R817" s="4"/>
      <c r="S817" s="4"/>
      <c r="T817" s="4"/>
      <c r="U817" s="4"/>
      <c r="V817" s="4"/>
      <c r="W817" s="4"/>
    </row>
    <row r="818" spans="1:206" x14ac:dyDescent="0.2">
      <c r="A818" s="4">
        <v>50</v>
      </c>
      <c r="B818" s="4">
        <v>0</v>
      </c>
      <c r="C818" s="4">
        <v>0</v>
      </c>
      <c r="D818" s="4">
        <v>1</v>
      </c>
      <c r="E818" s="4">
        <v>210</v>
      </c>
      <c r="F818" s="4">
        <f>ROUND(Source!X792,O818)</f>
        <v>23002.28</v>
      </c>
      <c r="G818" s="4" t="s">
        <v>137</v>
      </c>
      <c r="H818" s="4" t="s">
        <v>138</v>
      </c>
      <c r="I818" s="4"/>
      <c r="J818" s="4"/>
      <c r="K818" s="4">
        <v>210</v>
      </c>
      <c r="L818" s="4">
        <v>25</v>
      </c>
      <c r="M818" s="4">
        <v>3</v>
      </c>
      <c r="N818" s="4" t="s">
        <v>3</v>
      </c>
      <c r="O818" s="4">
        <v>2</v>
      </c>
      <c r="P818" s="4"/>
      <c r="Q818" s="4"/>
      <c r="R818" s="4"/>
      <c r="S818" s="4"/>
      <c r="T818" s="4"/>
      <c r="U818" s="4"/>
      <c r="V818" s="4"/>
      <c r="W818" s="4"/>
    </row>
    <row r="819" spans="1:206" x14ac:dyDescent="0.2">
      <c r="A819" s="4">
        <v>50</v>
      </c>
      <c r="B819" s="4">
        <v>0</v>
      </c>
      <c r="C819" s="4">
        <v>0</v>
      </c>
      <c r="D819" s="4">
        <v>1</v>
      </c>
      <c r="E819" s="4">
        <v>211</v>
      </c>
      <c r="F819" s="4">
        <f>ROUND(Source!Y792,O819)</f>
        <v>11579.18</v>
      </c>
      <c r="G819" s="4" t="s">
        <v>139</v>
      </c>
      <c r="H819" s="4" t="s">
        <v>140</v>
      </c>
      <c r="I819" s="4"/>
      <c r="J819" s="4"/>
      <c r="K819" s="4">
        <v>211</v>
      </c>
      <c r="L819" s="4">
        <v>26</v>
      </c>
      <c r="M819" s="4">
        <v>3</v>
      </c>
      <c r="N819" s="4" t="s">
        <v>3</v>
      </c>
      <c r="O819" s="4">
        <v>2</v>
      </c>
      <c r="P819" s="4"/>
      <c r="Q819" s="4"/>
      <c r="R819" s="4"/>
      <c r="S819" s="4"/>
      <c r="T819" s="4"/>
      <c r="U819" s="4"/>
      <c r="V819" s="4"/>
      <c r="W819" s="4"/>
    </row>
    <row r="820" spans="1:206" x14ac:dyDescent="0.2">
      <c r="A820" s="4">
        <v>50</v>
      </c>
      <c r="B820" s="4">
        <v>0</v>
      </c>
      <c r="C820" s="4">
        <v>0</v>
      </c>
      <c r="D820" s="4">
        <v>1</v>
      </c>
      <c r="E820" s="4">
        <v>224</v>
      </c>
      <c r="F820" s="4">
        <f>ROUND(Source!AR792,O820)</f>
        <v>82487.69</v>
      </c>
      <c r="G820" s="4" t="s">
        <v>141</v>
      </c>
      <c r="H820" s="4" t="s">
        <v>142</v>
      </c>
      <c r="I820" s="4"/>
      <c r="J820" s="4"/>
      <c r="K820" s="4">
        <v>224</v>
      </c>
      <c r="L820" s="4">
        <v>27</v>
      </c>
      <c r="M820" s="4">
        <v>3</v>
      </c>
      <c r="N820" s="4" t="s">
        <v>3</v>
      </c>
      <c r="O820" s="4">
        <v>2</v>
      </c>
      <c r="P820" s="4"/>
      <c r="Q820" s="4"/>
      <c r="R820" s="4"/>
      <c r="S820" s="4"/>
      <c r="T820" s="4"/>
      <c r="U820" s="4"/>
      <c r="V820" s="4"/>
      <c r="W820" s="4"/>
    </row>
    <row r="821" spans="1:206" x14ac:dyDescent="0.2">
      <c r="A821" s="4">
        <v>50</v>
      </c>
      <c r="B821" s="4">
        <v>1</v>
      </c>
      <c r="C821" s="4">
        <v>0</v>
      </c>
      <c r="D821" s="4">
        <v>2</v>
      </c>
      <c r="E821" s="4">
        <v>0</v>
      </c>
      <c r="F821" s="4">
        <f>ROUND(F820*1.2,O821)</f>
        <v>98985.23</v>
      </c>
      <c r="G821" s="4" t="s">
        <v>15</v>
      </c>
      <c r="H821" s="4" t="s">
        <v>239</v>
      </c>
      <c r="I821" s="4"/>
      <c r="J821" s="4"/>
      <c r="K821" s="4">
        <v>212</v>
      </c>
      <c r="L821" s="4">
        <v>28</v>
      </c>
      <c r="M821" s="4">
        <v>0</v>
      </c>
      <c r="N821" s="4" t="s">
        <v>3</v>
      </c>
      <c r="O821" s="4">
        <v>2</v>
      </c>
      <c r="P821" s="4"/>
      <c r="Q821" s="4"/>
      <c r="R821" s="4"/>
      <c r="S821" s="4"/>
      <c r="T821" s="4"/>
      <c r="U821" s="4"/>
      <c r="V821" s="4"/>
      <c r="W821" s="4"/>
    </row>
    <row r="823" spans="1:206" x14ac:dyDescent="0.2">
      <c r="A823" s="1">
        <v>4</v>
      </c>
      <c r="B823" s="1">
        <v>1</v>
      </c>
      <c r="C823" s="1"/>
      <c r="D823" s="1">
        <f>ROW(A827)</f>
        <v>827</v>
      </c>
      <c r="E823" s="1"/>
      <c r="F823" s="1" t="s">
        <v>13</v>
      </c>
      <c r="G823" s="1" t="s">
        <v>489</v>
      </c>
      <c r="H823" s="1" t="s">
        <v>3</v>
      </c>
      <c r="I823" s="1">
        <v>0</v>
      </c>
      <c r="J823" s="1"/>
      <c r="K823" s="1">
        <v>0</v>
      </c>
      <c r="L823" s="1"/>
      <c r="M823" s="1"/>
      <c r="N823" s="1"/>
      <c r="O823" s="1"/>
      <c r="P823" s="1"/>
      <c r="Q823" s="1"/>
      <c r="R823" s="1"/>
      <c r="S823" s="1"/>
      <c r="T823" s="1"/>
      <c r="U823" s="1" t="s">
        <v>3</v>
      </c>
      <c r="V823" s="1">
        <v>0</v>
      </c>
      <c r="W823" s="1"/>
      <c r="X823" s="1"/>
      <c r="Y823" s="1"/>
      <c r="Z823" s="1"/>
      <c r="AA823" s="1"/>
      <c r="AB823" s="1" t="s">
        <v>3</v>
      </c>
      <c r="AC823" s="1" t="s">
        <v>3</v>
      </c>
      <c r="AD823" s="1" t="s">
        <v>3</v>
      </c>
      <c r="AE823" s="1" t="s">
        <v>3</v>
      </c>
      <c r="AF823" s="1" t="s">
        <v>3</v>
      </c>
      <c r="AG823" s="1" t="s">
        <v>3</v>
      </c>
      <c r="AH823" s="1"/>
      <c r="AI823" s="1"/>
      <c r="AJ823" s="1"/>
      <c r="AK823" s="1"/>
      <c r="AL823" s="1"/>
      <c r="AM823" s="1"/>
      <c r="AN823" s="1"/>
      <c r="AO823" s="1"/>
      <c r="AP823" s="1" t="s">
        <v>3</v>
      </c>
      <c r="AQ823" s="1" t="s">
        <v>3</v>
      </c>
      <c r="AR823" s="1" t="s">
        <v>3</v>
      </c>
      <c r="AS823" s="1"/>
      <c r="AT823" s="1"/>
      <c r="AU823" s="1"/>
      <c r="AV823" s="1"/>
      <c r="AW823" s="1"/>
      <c r="AX823" s="1"/>
      <c r="AY823" s="1"/>
      <c r="AZ823" s="1" t="s">
        <v>3</v>
      </c>
      <c r="BA823" s="1"/>
      <c r="BB823" s="1" t="s">
        <v>3</v>
      </c>
      <c r="BC823" s="1" t="s">
        <v>3</v>
      </c>
      <c r="BD823" s="1" t="s">
        <v>3</v>
      </c>
      <c r="BE823" s="1" t="s">
        <v>3</v>
      </c>
      <c r="BF823" s="1" t="s">
        <v>3</v>
      </c>
      <c r="BG823" s="1" t="s">
        <v>3</v>
      </c>
      <c r="BH823" s="1" t="s">
        <v>3</v>
      </c>
      <c r="BI823" s="1" t="s">
        <v>3</v>
      </c>
      <c r="BJ823" s="1" t="s">
        <v>3</v>
      </c>
      <c r="BK823" s="1" t="s">
        <v>3</v>
      </c>
      <c r="BL823" s="1" t="s">
        <v>3</v>
      </c>
      <c r="BM823" s="1" t="s">
        <v>3</v>
      </c>
      <c r="BN823" s="1" t="s">
        <v>3</v>
      </c>
      <c r="BO823" s="1" t="s">
        <v>3</v>
      </c>
      <c r="BP823" s="1" t="s">
        <v>3</v>
      </c>
      <c r="BQ823" s="1"/>
      <c r="BR823" s="1"/>
      <c r="BS823" s="1"/>
      <c r="BT823" s="1"/>
      <c r="BU823" s="1"/>
      <c r="BV823" s="1"/>
      <c r="BW823" s="1"/>
      <c r="BX823" s="1">
        <v>0</v>
      </c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>
        <v>0</v>
      </c>
    </row>
    <row r="825" spans="1:206" x14ac:dyDescent="0.2">
      <c r="A825" s="2">
        <v>52</v>
      </c>
      <c r="B825" s="2">
        <f t="shared" ref="B825:G825" si="659">B827</f>
        <v>1</v>
      </c>
      <c r="C825" s="2">
        <f t="shared" si="659"/>
        <v>4</v>
      </c>
      <c r="D825" s="2">
        <f t="shared" si="659"/>
        <v>823</v>
      </c>
      <c r="E825" s="2">
        <f t="shared" si="659"/>
        <v>0</v>
      </c>
      <c r="F825" s="2" t="str">
        <f t="shared" si="659"/>
        <v>Новый раздел</v>
      </c>
      <c r="G825" s="2" t="str">
        <f t="shared" si="659"/>
        <v>31.4. Накрывные элементы на подпорные стены (бетонные)</v>
      </c>
      <c r="H825" s="2"/>
      <c r="I825" s="2"/>
      <c r="J825" s="2"/>
      <c r="K825" s="2"/>
      <c r="L825" s="2"/>
      <c r="M825" s="2"/>
      <c r="N825" s="2"/>
      <c r="O825" s="2">
        <f t="shared" ref="O825:AT825" si="660">O827</f>
        <v>0</v>
      </c>
      <c r="P825" s="2">
        <f t="shared" si="660"/>
        <v>0</v>
      </c>
      <c r="Q825" s="2">
        <f t="shared" si="660"/>
        <v>0</v>
      </c>
      <c r="R825" s="2">
        <f t="shared" si="660"/>
        <v>0</v>
      </c>
      <c r="S825" s="2">
        <f t="shared" si="660"/>
        <v>0</v>
      </c>
      <c r="T825" s="2">
        <f t="shared" si="660"/>
        <v>0</v>
      </c>
      <c r="U825" s="2">
        <f t="shared" si="660"/>
        <v>0</v>
      </c>
      <c r="V825" s="2">
        <f t="shared" si="660"/>
        <v>0</v>
      </c>
      <c r="W825" s="2">
        <f t="shared" si="660"/>
        <v>0</v>
      </c>
      <c r="X825" s="2">
        <f t="shared" si="660"/>
        <v>0</v>
      </c>
      <c r="Y825" s="2">
        <f t="shared" si="660"/>
        <v>0</v>
      </c>
      <c r="Z825" s="2">
        <f t="shared" si="660"/>
        <v>0</v>
      </c>
      <c r="AA825" s="2">
        <f t="shared" si="660"/>
        <v>0</v>
      </c>
      <c r="AB825" s="2">
        <f t="shared" si="660"/>
        <v>0</v>
      </c>
      <c r="AC825" s="2">
        <f t="shared" si="660"/>
        <v>0</v>
      </c>
      <c r="AD825" s="2">
        <f t="shared" si="660"/>
        <v>0</v>
      </c>
      <c r="AE825" s="2">
        <f t="shared" si="660"/>
        <v>0</v>
      </c>
      <c r="AF825" s="2">
        <f t="shared" si="660"/>
        <v>0</v>
      </c>
      <c r="AG825" s="2">
        <f t="shared" si="660"/>
        <v>0</v>
      </c>
      <c r="AH825" s="2">
        <f t="shared" si="660"/>
        <v>0</v>
      </c>
      <c r="AI825" s="2">
        <f t="shared" si="660"/>
        <v>0</v>
      </c>
      <c r="AJ825" s="2">
        <f t="shared" si="660"/>
        <v>0</v>
      </c>
      <c r="AK825" s="2">
        <f t="shared" si="660"/>
        <v>0</v>
      </c>
      <c r="AL825" s="2">
        <f t="shared" si="660"/>
        <v>0</v>
      </c>
      <c r="AM825" s="2">
        <f t="shared" si="660"/>
        <v>0</v>
      </c>
      <c r="AN825" s="2">
        <f t="shared" si="660"/>
        <v>0</v>
      </c>
      <c r="AO825" s="2">
        <f t="shared" si="660"/>
        <v>0</v>
      </c>
      <c r="AP825" s="2">
        <f t="shared" si="660"/>
        <v>0</v>
      </c>
      <c r="AQ825" s="2">
        <f t="shared" si="660"/>
        <v>0</v>
      </c>
      <c r="AR825" s="2">
        <f t="shared" si="660"/>
        <v>0</v>
      </c>
      <c r="AS825" s="2">
        <f t="shared" si="660"/>
        <v>0</v>
      </c>
      <c r="AT825" s="2">
        <f t="shared" si="660"/>
        <v>0</v>
      </c>
      <c r="AU825" s="2">
        <f t="shared" ref="AU825:BZ825" si="661">AU827</f>
        <v>0</v>
      </c>
      <c r="AV825" s="2">
        <f t="shared" si="661"/>
        <v>0</v>
      </c>
      <c r="AW825" s="2">
        <f t="shared" si="661"/>
        <v>0</v>
      </c>
      <c r="AX825" s="2">
        <f t="shared" si="661"/>
        <v>0</v>
      </c>
      <c r="AY825" s="2">
        <f t="shared" si="661"/>
        <v>0</v>
      </c>
      <c r="AZ825" s="2">
        <f t="shared" si="661"/>
        <v>0</v>
      </c>
      <c r="BA825" s="2">
        <f t="shared" si="661"/>
        <v>0</v>
      </c>
      <c r="BB825" s="2">
        <f t="shared" si="661"/>
        <v>0</v>
      </c>
      <c r="BC825" s="2">
        <f t="shared" si="661"/>
        <v>0</v>
      </c>
      <c r="BD825" s="2">
        <f t="shared" si="661"/>
        <v>0</v>
      </c>
      <c r="BE825" s="2">
        <f t="shared" si="661"/>
        <v>0</v>
      </c>
      <c r="BF825" s="2">
        <f t="shared" si="661"/>
        <v>0</v>
      </c>
      <c r="BG825" s="2">
        <f t="shared" si="661"/>
        <v>0</v>
      </c>
      <c r="BH825" s="2">
        <f t="shared" si="661"/>
        <v>0</v>
      </c>
      <c r="BI825" s="2">
        <f t="shared" si="661"/>
        <v>0</v>
      </c>
      <c r="BJ825" s="2">
        <f t="shared" si="661"/>
        <v>0</v>
      </c>
      <c r="BK825" s="2">
        <f t="shared" si="661"/>
        <v>0</v>
      </c>
      <c r="BL825" s="2">
        <f t="shared" si="661"/>
        <v>0</v>
      </c>
      <c r="BM825" s="2">
        <f t="shared" si="661"/>
        <v>0</v>
      </c>
      <c r="BN825" s="2">
        <f t="shared" si="661"/>
        <v>0</v>
      </c>
      <c r="BO825" s="2">
        <f t="shared" si="661"/>
        <v>0</v>
      </c>
      <c r="BP825" s="2">
        <f t="shared" si="661"/>
        <v>0</v>
      </c>
      <c r="BQ825" s="2">
        <f t="shared" si="661"/>
        <v>0</v>
      </c>
      <c r="BR825" s="2">
        <f t="shared" si="661"/>
        <v>0</v>
      </c>
      <c r="BS825" s="2">
        <f t="shared" si="661"/>
        <v>0</v>
      </c>
      <c r="BT825" s="2">
        <f t="shared" si="661"/>
        <v>0</v>
      </c>
      <c r="BU825" s="2">
        <f t="shared" si="661"/>
        <v>0</v>
      </c>
      <c r="BV825" s="2">
        <f t="shared" si="661"/>
        <v>0</v>
      </c>
      <c r="BW825" s="2">
        <f t="shared" si="661"/>
        <v>0</v>
      </c>
      <c r="BX825" s="2">
        <f t="shared" si="661"/>
        <v>0</v>
      </c>
      <c r="BY825" s="2">
        <f t="shared" si="661"/>
        <v>0</v>
      </c>
      <c r="BZ825" s="2">
        <f t="shared" si="661"/>
        <v>0</v>
      </c>
      <c r="CA825" s="2">
        <f t="shared" ref="CA825:DF825" si="662">CA827</f>
        <v>0</v>
      </c>
      <c r="CB825" s="2">
        <f t="shared" si="662"/>
        <v>0</v>
      </c>
      <c r="CC825" s="2">
        <f t="shared" si="662"/>
        <v>0</v>
      </c>
      <c r="CD825" s="2">
        <f t="shared" si="662"/>
        <v>0</v>
      </c>
      <c r="CE825" s="2">
        <f t="shared" si="662"/>
        <v>0</v>
      </c>
      <c r="CF825" s="2">
        <f t="shared" si="662"/>
        <v>0</v>
      </c>
      <c r="CG825" s="2">
        <f t="shared" si="662"/>
        <v>0</v>
      </c>
      <c r="CH825" s="2">
        <f t="shared" si="662"/>
        <v>0</v>
      </c>
      <c r="CI825" s="2">
        <f t="shared" si="662"/>
        <v>0</v>
      </c>
      <c r="CJ825" s="2">
        <f t="shared" si="662"/>
        <v>0</v>
      </c>
      <c r="CK825" s="2">
        <f t="shared" si="662"/>
        <v>0</v>
      </c>
      <c r="CL825" s="2">
        <f t="shared" si="662"/>
        <v>0</v>
      </c>
      <c r="CM825" s="2">
        <f t="shared" si="662"/>
        <v>0</v>
      </c>
      <c r="CN825" s="2">
        <f t="shared" si="662"/>
        <v>0</v>
      </c>
      <c r="CO825" s="2">
        <f t="shared" si="662"/>
        <v>0</v>
      </c>
      <c r="CP825" s="2">
        <f t="shared" si="662"/>
        <v>0</v>
      </c>
      <c r="CQ825" s="2">
        <f t="shared" si="662"/>
        <v>0</v>
      </c>
      <c r="CR825" s="2">
        <f t="shared" si="662"/>
        <v>0</v>
      </c>
      <c r="CS825" s="2">
        <f t="shared" si="662"/>
        <v>0</v>
      </c>
      <c r="CT825" s="2">
        <f t="shared" si="662"/>
        <v>0</v>
      </c>
      <c r="CU825" s="2">
        <f t="shared" si="662"/>
        <v>0</v>
      </c>
      <c r="CV825" s="2">
        <f t="shared" si="662"/>
        <v>0</v>
      </c>
      <c r="CW825" s="2">
        <f t="shared" si="662"/>
        <v>0</v>
      </c>
      <c r="CX825" s="2">
        <f t="shared" si="662"/>
        <v>0</v>
      </c>
      <c r="CY825" s="2">
        <f t="shared" si="662"/>
        <v>0</v>
      </c>
      <c r="CZ825" s="2">
        <f t="shared" si="662"/>
        <v>0</v>
      </c>
      <c r="DA825" s="2">
        <f t="shared" si="662"/>
        <v>0</v>
      </c>
      <c r="DB825" s="2">
        <f t="shared" si="662"/>
        <v>0</v>
      </c>
      <c r="DC825" s="2">
        <f t="shared" si="662"/>
        <v>0</v>
      </c>
      <c r="DD825" s="2">
        <f t="shared" si="662"/>
        <v>0</v>
      </c>
      <c r="DE825" s="2">
        <f t="shared" si="662"/>
        <v>0</v>
      </c>
      <c r="DF825" s="2">
        <f t="shared" si="662"/>
        <v>0</v>
      </c>
      <c r="DG825" s="3">
        <f t="shared" ref="DG825:EL825" si="663">DG827</f>
        <v>0</v>
      </c>
      <c r="DH825" s="3">
        <f t="shared" si="663"/>
        <v>0</v>
      </c>
      <c r="DI825" s="3">
        <f t="shared" si="663"/>
        <v>0</v>
      </c>
      <c r="DJ825" s="3">
        <f t="shared" si="663"/>
        <v>0</v>
      </c>
      <c r="DK825" s="3">
        <f t="shared" si="663"/>
        <v>0</v>
      </c>
      <c r="DL825" s="3">
        <f t="shared" si="663"/>
        <v>0</v>
      </c>
      <c r="DM825" s="3">
        <f t="shared" si="663"/>
        <v>0</v>
      </c>
      <c r="DN825" s="3">
        <f t="shared" si="663"/>
        <v>0</v>
      </c>
      <c r="DO825" s="3">
        <f t="shared" si="663"/>
        <v>0</v>
      </c>
      <c r="DP825" s="3">
        <f t="shared" si="663"/>
        <v>0</v>
      </c>
      <c r="DQ825" s="3">
        <f t="shared" si="663"/>
        <v>0</v>
      </c>
      <c r="DR825" s="3">
        <f t="shared" si="663"/>
        <v>0</v>
      </c>
      <c r="DS825" s="3">
        <f t="shared" si="663"/>
        <v>0</v>
      </c>
      <c r="DT825" s="3">
        <f t="shared" si="663"/>
        <v>0</v>
      </c>
      <c r="DU825" s="3">
        <f t="shared" si="663"/>
        <v>0</v>
      </c>
      <c r="DV825" s="3">
        <f t="shared" si="663"/>
        <v>0</v>
      </c>
      <c r="DW825" s="3">
        <f t="shared" si="663"/>
        <v>0</v>
      </c>
      <c r="DX825" s="3">
        <f t="shared" si="663"/>
        <v>0</v>
      </c>
      <c r="DY825" s="3">
        <f t="shared" si="663"/>
        <v>0</v>
      </c>
      <c r="DZ825" s="3">
        <f t="shared" si="663"/>
        <v>0</v>
      </c>
      <c r="EA825" s="3">
        <f t="shared" si="663"/>
        <v>0</v>
      </c>
      <c r="EB825" s="3">
        <f t="shared" si="663"/>
        <v>0</v>
      </c>
      <c r="EC825" s="3">
        <f t="shared" si="663"/>
        <v>0</v>
      </c>
      <c r="ED825" s="3">
        <f t="shared" si="663"/>
        <v>0</v>
      </c>
      <c r="EE825" s="3">
        <f t="shared" si="663"/>
        <v>0</v>
      </c>
      <c r="EF825" s="3">
        <f t="shared" si="663"/>
        <v>0</v>
      </c>
      <c r="EG825" s="3">
        <f t="shared" si="663"/>
        <v>0</v>
      </c>
      <c r="EH825" s="3">
        <f t="shared" si="663"/>
        <v>0</v>
      </c>
      <c r="EI825" s="3">
        <f t="shared" si="663"/>
        <v>0</v>
      </c>
      <c r="EJ825" s="3">
        <f t="shared" si="663"/>
        <v>0</v>
      </c>
      <c r="EK825" s="3">
        <f t="shared" si="663"/>
        <v>0</v>
      </c>
      <c r="EL825" s="3">
        <f t="shared" si="663"/>
        <v>0</v>
      </c>
      <c r="EM825" s="3">
        <f t="shared" ref="EM825:FR825" si="664">EM827</f>
        <v>0</v>
      </c>
      <c r="EN825" s="3">
        <f t="shared" si="664"/>
        <v>0</v>
      </c>
      <c r="EO825" s="3">
        <f t="shared" si="664"/>
        <v>0</v>
      </c>
      <c r="EP825" s="3">
        <f t="shared" si="664"/>
        <v>0</v>
      </c>
      <c r="EQ825" s="3">
        <f t="shared" si="664"/>
        <v>0</v>
      </c>
      <c r="ER825" s="3">
        <f t="shared" si="664"/>
        <v>0</v>
      </c>
      <c r="ES825" s="3">
        <f t="shared" si="664"/>
        <v>0</v>
      </c>
      <c r="ET825" s="3">
        <f t="shared" si="664"/>
        <v>0</v>
      </c>
      <c r="EU825" s="3">
        <f t="shared" si="664"/>
        <v>0</v>
      </c>
      <c r="EV825" s="3">
        <f t="shared" si="664"/>
        <v>0</v>
      </c>
      <c r="EW825" s="3">
        <f t="shared" si="664"/>
        <v>0</v>
      </c>
      <c r="EX825" s="3">
        <f t="shared" si="664"/>
        <v>0</v>
      </c>
      <c r="EY825" s="3">
        <f t="shared" si="664"/>
        <v>0</v>
      </c>
      <c r="EZ825" s="3">
        <f t="shared" si="664"/>
        <v>0</v>
      </c>
      <c r="FA825" s="3">
        <f t="shared" si="664"/>
        <v>0</v>
      </c>
      <c r="FB825" s="3">
        <f t="shared" si="664"/>
        <v>0</v>
      </c>
      <c r="FC825" s="3">
        <f t="shared" si="664"/>
        <v>0</v>
      </c>
      <c r="FD825" s="3">
        <f t="shared" si="664"/>
        <v>0</v>
      </c>
      <c r="FE825" s="3">
        <f t="shared" si="664"/>
        <v>0</v>
      </c>
      <c r="FF825" s="3">
        <f t="shared" si="664"/>
        <v>0</v>
      </c>
      <c r="FG825" s="3">
        <f t="shared" si="664"/>
        <v>0</v>
      </c>
      <c r="FH825" s="3">
        <f t="shared" si="664"/>
        <v>0</v>
      </c>
      <c r="FI825" s="3">
        <f t="shared" si="664"/>
        <v>0</v>
      </c>
      <c r="FJ825" s="3">
        <f t="shared" si="664"/>
        <v>0</v>
      </c>
      <c r="FK825" s="3">
        <f t="shared" si="664"/>
        <v>0</v>
      </c>
      <c r="FL825" s="3">
        <f t="shared" si="664"/>
        <v>0</v>
      </c>
      <c r="FM825" s="3">
        <f t="shared" si="664"/>
        <v>0</v>
      </c>
      <c r="FN825" s="3">
        <f t="shared" si="664"/>
        <v>0</v>
      </c>
      <c r="FO825" s="3">
        <f t="shared" si="664"/>
        <v>0</v>
      </c>
      <c r="FP825" s="3">
        <f t="shared" si="664"/>
        <v>0</v>
      </c>
      <c r="FQ825" s="3">
        <f t="shared" si="664"/>
        <v>0</v>
      </c>
      <c r="FR825" s="3">
        <f t="shared" si="664"/>
        <v>0</v>
      </c>
      <c r="FS825" s="3">
        <f t="shared" ref="FS825:GX825" si="665">FS827</f>
        <v>0</v>
      </c>
      <c r="FT825" s="3">
        <f t="shared" si="665"/>
        <v>0</v>
      </c>
      <c r="FU825" s="3">
        <f t="shared" si="665"/>
        <v>0</v>
      </c>
      <c r="FV825" s="3">
        <f t="shared" si="665"/>
        <v>0</v>
      </c>
      <c r="FW825" s="3">
        <f t="shared" si="665"/>
        <v>0</v>
      </c>
      <c r="FX825" s="3">
        <f t="shared" si="665"/>
        <v>0</v>
      </c>
      <c r="FY825" s="3">
        <f t="shared" si="665"/>
        <v>0</v>
      </c>
      <c r="FZ825" s="3">
        <f t="shared" si="665"/>
        <v>0</v>
      </c>
      <c r="GA825" s="3">
        <f t="shared" si="665"/>
        <v>0</v>
      </c>
      <c r="GB825" s="3">
        <f t="shared" si="665"/>
        <v>0</v>
      </c>
      <c r="GC825" s="3">
        <f t="shared" si="665"/>
        <v>0</v>
      </c>
      <c r="GD825" s="3">
        <f t="shared" si="665"/>
        <v>0</v>
      </c>
      <c r="GE825" s="3">
        <f t="shared" si="665"/>
        <v>0</v>
      </c>
      <c r="GF825" s="3">
        <f t="shared" si="665"/>
        <v>0</v>
      </c>
      <c r="GG825" s="3">
        <f t="shared" si="665"/>
        <v>0</v>
      </c>
      <c r="GH825" s="3">
        <f t="shared" si="665"/>
        <v>0</v>
      </c>
      <c r="GI825" s="3">
        <f t="shared" si="665"/>
        <v>0</v>
      </c>
      <c r="GJ825" s="3">
        <f t="shared" si="665"/>
        <v>0</v>
      </c>
      <c r="GK825" s="3">
        <f t="shared" si="665"/>
        <v>0</v>
      </c>
      <c r="GL825" s="3">
        <f t="shared" si="665"/>
        <v>0</v>
      </c>
      <c r="GM825" s="3">
        <f t="shared" si="665"/>
        <v>0</v>
      </c>
      <c r="GN825" s="3">
        <f t="shared" si="665"/>
        <v>0</v>
      </c>
      <c r="GO825" s="3">
        <f t="shared" si="665"/>
        <v>0</v>
      </c>
      <c r="GP825" s="3">
        <f t="shared" si="665"/>
        <v>0</v>
      </c>
      <c r="GQ825" s="3">
        <f t="shared" si="665"/>
        <v>0</v>
      </c>
      <c r="GR825" s="3">
        <f t="shared" si="665"/>
        <v>0</v>
      </c>
      <c r="GS825" s="3">
        <f t="shared" si="665"/>
        <v>0</v>
      </c>
      <c r="GT825" s="3">
        <f t="shared" si="665"/>
        <v>0</v>
      </c>
      <c r="GU825" s="3">
        <f t="shared" si="665"/>
        <v>0</v>
      </c>
      <c r="GV825" s="3">
        <f t="shared" si="665"/>
        <v>0</v>
      </c>
      <c r="GW825" s="3">
        <f t="shared" si="665"/>
        <v>0</v>
      </c>
      <c r="GX825" s="3">
        <f t="shared" si="665"/>
        <v>0</v>
      </c>
    </row>
    <row r="827" spans="1:206" x14ac:dyDescent="0.2">
      <c r="A827" s="2">
        <v>51</v>
      </c>
      <c r="B827" s="2">
        <f>B823</f>
        <v>1</v>
      </c>
      <c r="C827" s="2">
        <f>A823</f>
        <v>4</v>
      </c>
      <c r="D827" s="2">
        <f>ROW(A823)</f>
        <v>823</v>
      </c>
      <c r="E827" s="2"/>
      <c r="F827" s="2" t="str">
        <f>IF(F823&lt;&gt;"",F823,"")</f>
        <v>Новый раздел</v>
      </c>
      <c r="G827" s="2" t="str">
        <f>IF(G823&lt;&gt;"",G823,"")</f>
        <v>31.4. Накрывные элементы на подпорные стены (бетонные)</v>
      </c>
      <c r="H827" s="2">
        <v>0</v>
      </c>
      <c r="I827" s="2"/>
      <c r="J827" s="2"/>
      <c r="K827" s="2"/>
      <c r="L827" s="2"/>
      <c r="M827" s="2"/>
      <c r="N827" s="2"/>
      <c r="O827" s="2">
        <f t="shared" ref="O827:T827" si="666">ROUND(AB827,2)</f>
        <v>0</v>
      </c>
      <c r="P827" s="2">
        <f t="shared" si="666"/>
        <v>0</v>
      </c>
      <c r="Q827" s="2">
        <f t="shared" si="666"/>
        <v>0</v>
      </c>
      <c r="R827" s="2">
        <f t="shared" si="666"/>
        <v>0</v>
      </c>
      <c r="S827" s="2">
        <f t="shared" si="666"/>
        <v>0</v>
      </c>
      <c r="T827" s="2">
        <f t="shared" si="666"/>
        <v>0</v>
      </c>
      <c r="U827" s="2">
        <f>AH827</f>
        <v>0</v>
      </c>
      <c r="V827" s="2">
        <f>AI827</f>
        <v>0</v>
      </c>
      <c r="W827" s="2">
        <f>ROUND(AJ827,2)</f>
        <v>0</v>
      </c>
      <c r="X827" s="2">
        <f>ROUND(AK827,2)</f>
        <v>0</v>
      </c>
      <c r="Y827" s="2">
        <f>ROUND(AL827,2)</f>
        <v>0</v>
      </c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>
        <f t="shared" ref="AO827:BD827" si="667">ROUND(BX827,2)</f>
        <v>0</v>
      </c>
      <c r="AP827" s="2">
        <f t="shared" si="667"/>
        <v>0</v>
      </c>
      <c r="AQ827" s="2">
        <f t="shared" si="667"/>
        <v>0</v>
      </c>
      <c r="AR827" s="2">
        <f t="shared" si="667"/>
        <v>0</v>
      </c>
      <c r="AS827" s="2">
        <f t="shared" si="667"/>
        <v>0</v>
      </c>
      <c r="AT827" s="2">
        <f t="shared" si="667"/>
        <v>0</v>
      </c>
      <c r="AU827" s="2">
        <f t="shared" si="667"/>
        <v>0</v>
      </c>
      <c r="AV827" s="2">
        <f t="shared" si="667"/>
        <v>0</v>
      </c>
      <c r="AW827" s="2">
        <f t="shared" si="667"/>
        <v>0</v>
      </c>
      <c r="AX827" s="2">
        <f t="shared" si="667"/>
        <v>0</v>
      </c>
      <c r="AY827" s="2">
        <f t="shared" si="667"/>
        <v>0</v>
      </c>
      <c r="AZ827" s="2">
        <f t="shared" si="667"/>
        <v>0</v>
      </c>
      <c r="BA827" s="2">
        <f t="shared" si="667"/>
        <v>0</v>
      </c>
      <c r="BB827" s="2">
        <f t="shared" si="667"/>
        <v>0</v>
      </c>
      <c r="BC827" s="2">
        <f t="shared" si="667"/>
        <v>0</v>
      </c>
      <c r="BD827" s="2">
        <f t="shared" si="667"/>
        <v>0</v>
      </c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  <c r="EY827" s="3"/>
      <c r="EZ827" s="3"/>
      <c r="FA827" s="3"/>
      <c r="FB827" s="3"/>
      <c r="FC827" s="3"/>
      <c r="FD827" s="3"/>
      <c r="FE827" s="3"/>
      <c r="FF827" s="3"/>
      <c r="FG827" s="3"/>
      <c r="FH827" s="3"/>
      <c r="FI827" s="3"/>
      <c r="FJ827" s="3"/>
      <c r="FK827" s="3"/>
      <c r="FL827" s="3"/>
      <c r="FM827" s="3"/>
      <c r="FN827" s="3"/>
      <c r="FO827" s="3"/>
      <c r="FP827" s="3"/>
      <c r="FQ827" s="3"/>
      <c r="FR827" s="3"/>
      <c r="FS827" s="3"/>
      <c r="FT827" s="3"/>
      <c r="FU827" s="3"/>
      <c r="FV827" s="3"/>
      <c r="FW827" s="3"/>
      <c r="FX827" s="3"/>
      <c r="FY827" s="3"/>
      <c r="FZ827" s="3"/>
      <c r="GA827" s="3"/>
      <c r="GB827" s="3"/>
      <c r="GC827" s="3"/>
      <c r="GD827" s="3"/>
      <c r="GE827" s="3"/>
      <c r="GF827" s="3"/>
      <c r="GG827" s="3"/>
      <c r="GH827" s="3"/>
      <c r="GI827" s="3"/>
      <c r="GJ827" s="3"/>
      <c r="GK827" s="3"/>
      <c r="GL827" s="3"/>
      <c r="GM827" s="3"/>
      <c r="GN827" s="3"/>
      <c r="GO827" s="3"/>
      <c r="GP827" s="3"/>
      <c r="GQ827" s="3"/>
      <c r="GR827" s="3"/>
      <c r="GS827" s="3"/>
      <c r="GT827" s="3"/>
      <c r="GU827" s="3"/>
      <c r="GV827" s="3"/>
      <c r="GW827" s="3"/>
      <c r="GX827" s="3">
        <v>0</v>
      </c>
    </row>
    <row r="829" spans="1:206" x14ac:dyDescent="0.2">
      <c r="A829" s="4">
        <v>50</v>
      </c>
      <c r="B829" s="4">
        <v>0</v>
      </c>
      <c r="C829" s="4">
        <v>0</v>
      </c>
      <c r="D829" s="4">
        <v>1</v>
      </c>
      <c r="E829" s="4">
        <v>201</v>
      </c>
      <c r="F829" s="4">
        <f>ROUND(Source!O827,O829)</f>
        <v>0</v>
      </c>
      <c r="G829" s="4" t="s">
        <v>89</v>
      </c>
      <c r="H829" s="4" t="s">
        <v>90</v>
      </c>
      <c r="I829" s="4"/>
      <c r="J829" s="4"/>
      <c r="K829" s="4">
        <v>201</v>
      </c>
      <c r="L829" s="4">
        <v>1</v>
      </c>
      <c r="M829" s="4">
        <v>3</v>
      </c>
      <c r="N829" s="4" t="s">
        <v>3</v>
      </c>
      <c r="O829" s="4">
        <v>2</v>
      </c>
      <c r="P829" s="4"/>
      <c r="Q829" s="4"/>
      <c r="R829" s="4"/>
      <c r="S829" s="4"/>
      <c r="T829" s="4"/>
      <c r="U829" s="4"/>
      <c r="V829" s="4"/>
      <c r="W829" s="4"/>
    </row>
    <row r="830" spans="1:206" x14ac:dyDescent="0.2">
      <c r="A830" s="4">
        <v>50</v>
      </c>
      <c r="B830" s="4">
        <v>0</v>
      </c>
      <c r="C830" s="4">
        <v>0</v>
      </c>
      <c r="D830" s="4">
        <v>1</v>
      </c>
      <c r="E830" s="4">
        <v>202</v>
      </c>
      <c r="F830" s="4">
        <f>ROUND(Source!P827,O830)</f>
        <v>0</v>
      </c>
      <c r="G830" s="4" t="s">
        <v>91</v>
      </c>
      <c r="H830" s="4" t="s">
        <v>92</v>
      </c>
      <c r="I830" s="4"/>
      <c r="J830" s="4"/>
      <c r="K830" s="4">
        <v>202</v>
      </c>
      <c r="L830" s="4">
        <v>2</v>
      </c>
      <c r="M830" s="4">
        <v>3</v>
      </c>
      <c r="N830" s="4" t="s">
        <v>3</v>
      </c>
      <c r="O830" s="4">
        <v>2</v>
      </c>
      <c r="P830" s="4"/>
      <c r="Q830" s="4"/>
      <c r="R830" s="4"/>
      <c r="S830" s="4"/>
      <c r="T830" s="4"/>
      <c r="U830" s="4"/>
      <c r="V830" s="4"/>
      <c r="W830" s="4"/>
    </row>
    <row r="831" spans="1:206" x14ac:dyDescent="0.2">
      <c r="A831" s="4">
        <v>50</v>
      </c>
      <c r="B831" s="4">
        <v>0</v>
      </c>
      <c r="C831" s="4">
        <v>0</v>
      </c>
      <c r="D831" s="4">
        <v>1</v>
      </c>
      <c r="E831" s="4">
        <v>222</v>
      </c>
      <c r="F831" s="4">
        <f>ROUND(Source!AO827,O831)</f>
        <v>0</v>
      </c>
      <c r="G831" s="4" t="s">
        <v>93</v>
      </c>
      <c r="H831" s="4" t="s">
        <v>94</v>
      </c>
      <c r="I831" s="4"/>
      <c r="J831" s="4"/>
      <c r="K831" s="4">
        <v>222</v>
      </c>
      <c r="L831" s="4">
        <v>3</v>
      </c>
      <c r="M831" s="4">
        <v>3</v>
      </c>
      <c r="N831" s="4" t="s">
        <v>3</v>
      </c>
      <c r="O831" s="4">
        <v>2</v>
      </c>
      <c r="P831" s="4"/>
      <c r="Q831" s="4"/>
      <c r="R831" s="4"/>
      <c r="S831" s="4"/>
      <c r="T831" s="4"/>
      <c r="U831" s="4"/>
      <c r="V831" s="4"/>
      <c r="W831" s="4"/>
    </row>
    <row r="832" spans="1:206" x14ac:dyDescent="0.2">
      <c r="A832" s="4">
        <v>50</v>
      </c>
      <c r="B832" s="4">
        <v>0</v>
      </c>
      <c r="C832" s="4">
        <v>0</v>
      </c>
      <c r="D832" s="4">
        <v>1</v>
      </c>
      <c r="E832" s="4">
        <v>225</v>
      </c>
      <c r="F832" s="4">
        <f>ROUND(Source!AV827,O832)</f>
        <v>0</v>
      </c>
      <c r="G832" s="4" t="s">
        <v>95</v>
      </c>
      <c r="H832" s="4" t="s">
        <v>96</v>
      </c>
      <c r="I832" s="4"/>
      <c r="J832" s="4"/>
      <c r="K832" s="4">
        <v>225</v>
      </c>
      <c r="L832" s="4">
        <v>4</v>
      </c>
      <c r="M832" s="4">
        <v>3</v>
      </c>
      <c r="N832" s="4" t="s">
        <v>3</v>
      </c>
      <c r="O832" s="4">
        <v>2</v>
      </c>
      <c r="P832" s="4"/>
      <c r="Q832" s="4"/>
      <c r="R832" s="4"/>
      <c r="S832" s="4"/>
      <c r="T832" s="4"/>
      <c r="U832" s="4"/>
      <c r="V832" s="4"/>
      <c r="W832" s="4"/>
    </row>
    <row r="833" spans="1:23" x14ac:dyDescent="0.2">
      <c r="A833" s="4">
        <v>50</v>
      </c>
      <c r="B833" s="4">
        <v>0</v>
      </c>
      <c r="C833" s="4">
        <v>0</v>
      </c>
      <c r="D833" s="4">
        <v>1</v>
      </c>
      <c r="E833" s="4">
        <v>226</v>
      </c>
      <c r="F833" s="4">
        <f>ROUND(Source!AW827,O833)</f>
        <v>0</v>
      </c>
      <c r="G833" s="4" t="s">
        <v>97</v>
      </c>
      <c r="H833" s="4" t="s">
        <v>98</v>
      </c>
      <c r="I833" s="4"/>
      <c r="J833" s="4"/>
      <c r="K833" s="4">
        <v>226</v>
      </c>
      <c r="L833" s="4">
        <v>5</v>
      </c>
      <c r="M833" s="4">
        <v>3</v>
      </c>
      <c r="N833" s="4" t="s">
        <v>3</v>
      </c>
      <c r="O833" s="4">
        <v>2</v>
      </c>
      <c r="P833" s="4"/>
      <c r="Q833" s="4"/>
      <c r="R833" s="4"/>
      <c r="S833" s="4"/>
      <c r="T833" s="4"/>
      <c r="U833" s="4"/>
      <c r="V833" s="4"/>
      <c r="W833" s="4"/>
    </row>
    <row r="834" spans="1:23" x14ac:dyDescent="0.2">
      <c r="A834" s="4">
        <v>50</v>
      </c>
      <c r="B834" s="4">
        <v>0</v>
      </c>
      <c r="C834" s="4">
        <v>0</v>
      </c>
      <c r="D834" s="4">
        <v>1</v>
      </c>
      <c r="E834" s="4">
        <v>227</v>
      </c>
      <c r="F834" s="4">
        <f>ROUND(Source!AX827,O834)</f>
        <v>0</v>
      </c>
      <c r="G834" s="4" t="s">
        <v>99</v>
      </c>
      <c r="H834" s="4" t="s">
        <v>100</v>
      </c>
      <c r="I834" s="4"/>
      <c r="J834" s="4"/>
      <c r="K834" s="4">
        <v>227</v>
      </c>
      <c r="L834" s="4">
        <v>6</v>
      </c>
      <c r="M834" s="4">
        <v>3</v>
      </c>
      <c r="N834" s="4" t="s">
        <v>3</v>
      </c>
      <c r="O834" s="4">
        <v>2</v>
      </c>
      <c r="P834" s="4"/>
      <c r="Q834" s="4"/>
      <c r="R834" s="4"/>
      <c r="S834" s="4"/>
      <c r="T834" s="4"/>
      <c r="U834" s="4"/>
      <c r="V834" s="4"/>
      <c r="W834" s="4"/>
    </row>
    <row r="835" spans="1:23" x14ac:dyDescent="0.2">
      <c r="A835" s="4">
        <v>50</v>
      </c>
      <c r="B835" s="4">
        <v>0</v>
      </c>
      <c r="C835" s="4">
        <v>0</v>
      </c>
      <c r="D835" s="4">
        <v>1</v>
      </c>
      <c r="E835" s="4">
        <v>228</v>
      </c>
      <c r="F835" s="4">
        <f>ROUND(Source!AY827,O835)</f>
        <v>0</v>
      </c>
      <c r="G835" s="4" t="s">
        <v>101</v>
      </c>
      <c r="H835" s="4" t="s">
        <v>102</v>
      </c>
      <c r="I835" s="4"/>
      <c r="J835" s="4"/>
      <c r="K835" s="4">
        <v>228</v>
      </c>
      <c r="L835" s="4">
        <v>7</v>
      </c>
      <c r="M835" s="4">
        <v>3</v>
      </c>
      <c r="N835" s="4" t="s">
        <v>3</v>
      </c>
      <c r="O835" s="4">
        <v>2</v>
      </c>
      <c r="P835" s="4"/>
      <c r="Q835" s="4"/>
      <c r="R835" s="4"/>
      <c r="S835" s="4"/>
      <c r="T835" s="4"/>
      <c r="U835" s="4"/>
      <c r="V835" s="4"/>
      <c r="W835" s="4"/>
    </row>
    <row r="836" spans="1:23" x14ac:dyDescent="0.2">
      <c r="A836" s="4">
        <v>50</v>
      </c>
      <c r="B836" s="4">
        <v>0</v>
      </c>
      <c r="C836" s="4">
        <v>0</v>
      </c>
      <c r="D836" s="4">
        <v>1</v>
      </c>
      <c r="E836" s="4">
        <v>216</v>
      </c>
      <c r="F836" s="4">
        <f>ROUND(Source!AP827,O836)</f>
        <v>0</v>
      </c>
      <c r="G836" s="4" t="s">
        <v>103</v>
      </c>
      <c r="H836" s="4" t="s">
        <v>104</v>
      </c>
      <c r="I836" s="4"/>
      <c r="J836" s="4"/>
      <c r="K836" s="4">
        <v>216</v>
      </c>
      <c r="L836" s="4">
        <v>8</v>
      </c>
      <c r="M836" s="4">
        <v>3</v>
      </c>
      <c r="N836" s="4" t="s">
        <v>3</v>
      </c>
      <c r="O836" s="4">
        <v>2</v>
      </c>
      <c r="P836" s="4"/>
      <c r="Q836" s="4"/>
      <c r="R836" s="4"/>
      <c r="S836" s="4"/>
      <c r="T836" s="4"/>
      <c r="U836" s="4"/>
      <c r="V836" s="4"/>
      <c r="W836" s="4"/>
    </row>
    <row r="837" spans="1:23" x14ac:dyDescent="0.2">
      <c r="A837" s="4">
        <v>50</v>
      </c>
      <c r="B837" s="4">
        <v>0</v>
      </c>
      <c r="C837" s="4">
        <v>0</v>
      </c>
      <c r="D837" s="4">
        <v>1</v>
      </c>
      <c r="E837" s="4">
        <v>223</v>
      </c>
      <c r="F837" s="4">
        <f>ROUND(Source!AQ827,O837)</f>
        <v>0</v>
      </c>
      <c r="G837" s="4" t="s">
        <v>105</v>
      </c>
      <c r="H837" s="4" t="s">
        <v>106</v>
      </c>
      <c r="I837" s="4"/>
      <c r="J837" s="4"/>
      <c r="K837" s="4">
        <v>223</v>
      </c>
      <c r="L837" s="4">
        <v>9</v>
      </c>
      <c r="M837" s="4">
        <v>3</v>
      </c>
      <c r="N837" s="4" t="s">
        <v>3</v>
      </c>
      <c r="O837" s="4">
        <v>2</v>
      </c>
      <c r="P837" s="4"/>
      <c r="Q837" s="4"/>
      <c r="R837" s="4"/>
      <c r="S837" s="4"/>
      <c r="T837" s="4"/>
      <c r="U837" s="4"/>
      <c r="V837" s="4"/>
      <c r="W837" s="4"/>
    </row>
    <row r="838" spans="1:23" x14ac:dyDescent="0.2">
      <c r="A838" s="4">
        <v>50</v>
      </c>
      <c r="B838" s="4">
        <v>0</v>
      </c>
      <c r="C838" s="4">
        <v>0</v>
      </c>
      <c r="D838" s="4">
        <v>1</v>
      </c>
      <c r="E838" s="4">
        <v>229</v>
      </c>
      <c r="F838" s="4">
        <f>ROUND(Source!AZ827,O838)</f>
        <v>0</v>
      </c>
      <c r="G838" s="4" t="s">
        <v>107</v>
      </c>
      <c r="H838" s="4" t="s">
        <v>108</v>
      </c>
      <c r="I838" s="4"/>
      <c r="J838" s="4"/>
      <c r="K838" s="4">
        <v>229</v>
      </c>
      <c r="L838" s="4">
        <v>10</v>
      </c>
      <c r="M838" s="4">
        <v>3</v>
      </c>
      <c r="N838" s="4" t="s">
        <v>3</v>
      </c>
      <c r="O838" s="4">
        <v>2</v>
      </c>
      <c r="P838" s="4"/>
      <c r="Q838" s="4"/>
      <c r="R838" s="4"/>
      <c r="S838" s="4"/>
      <c r="T838" s="4"/>
      <c r="U838" s="4"/>
      <c r="V838" s="4"/>
      <c r="W838" s="4"/>
    </row>
    <row r="839" spans="1:23" x14ac:dyDescent="0.2">
      <c r="A839" s="4">
        <v>50</v>
      </c>
      <c r="B839" s="4">
        <v>0</v>
      </c>
      <c r="C839" s="4">
        <v>0</v>
      </c>
      <c r="D839" s="4">
        <v>1</v>
      </c>
      <c r="E839" s="4">
        <v>203</v>
      </c>
      <c r="F839" s="4">
        <f>ROUND(Source!Q827,O839)</f>
        <v>0</v>
      </c>
      <c r="G839" s="4" t="s">
        <v>109</v>
      </c>
      <c r="H839" s="4" t="s">
        <v>110</v>
      </c>
      <c r="I839" s="4"/>
      <c r="J839" s="4"/>
      <c r="K839" s="4">
        <v>203</v>
      </c>
      <c r="L839" s="4">
        <v>11</v>
      </c>
      <c r="M839" s="4">
        <v>3</v>
      </c>
      <c r="N839" s="4" t="s">
        <v>3</v>
      </c>
      <c r="O839" s="4">
        <v>2</v>
      </c>
      <c r="P839" s="4"/>
      <c r="Q839" s="4"/>
      <c r="R839" s="4"/>
      <c r="S839" s="4"/>
      <c r="T839" s="4"/>
      <c r="U839" s="4"/>
      <c r="V839" s="4"/>
      <c r="W839" s="4"/>
    </row>
    <row r="840" spans="1:23" x14ac:dyDescent="0.2">
      <c r="A840" s="4">
        <v>50</v>
      </c>
      <c r="B840" s="4">
        <v>0</v>
      </c>
      <c r="C840" s="4">
        <v>0</v>
      </c>
      <c r="D840" s="4">
        <v>1</v>
      </c>
      <c r="E840" s="4">
        <v>231</v>
      </c>
      <c r="F840" s="4">
        <f>ROUND(Source!BB827,O840)</f>
        <v>0</v>
      </c>
      <c r="G840" s="4" t="s">
        <v>111</v>
      </c>
      <c r="H840" s="4" t="s">
        <v>112</v>
      </c>
      <c r="I840" s="4"/>
      <c r="J840" s="4"/>
      <c r="K840" s="4">
        <v>231</v>
      </c>
      <c r="L840" s="4">
        <v>12</v>
      </c>
      <c r="M840" s="4">
        <v>3</v>
      </c>
      <c r="N840" s="4" t="s">
        <v>3</v>
      </c>
      <c r="O840" s="4">
        <v>2</v>
      </c>
      <c r="P840" s="4"/>
      <c r="Q840" s="4"/>
      <c r="R840" s="4"/>
      <c r="S840" s="4"/>
      <c r="T840" s="4"/>
      <c r="U840" s="4"/>
      <c r="V840" s="4"/>
      <c r="W840" s="4"/>
    </row>
    <row r="841" spans="1:23" x14ac:dyDescent="0.2">
      <c r="A841" s="4">
        <v>50</v>
      </c>
      <c r="B841" s="4">
        <v>0</v>
      </c>
      <c r="C841" s="4">
        <v>0</v>
      </c>
      <c r="D841" s="4">
        <v>1</v>
      </c>
      <c r="E841" s="4">
        <v>204</v>
      </c>
      <c r="F841" s="4">
        <f>ROUND(Source!R827,O841)</f>
        <v>0</v>
      </c>
      <c r="G841" s="4" t="s">
        <v>113</v>
      </c>
      <c r="H841" s="4" t="s">
        <v>114</v>
      </c>
      <c r="I841" s="4"/>
      <c r="J841" s="4"/>
      <c r="K841" s="4">
        <v>204</v>
      </c>
      <c r="L841" s="4">
        <v>13</v>
      </c>
      <c r="M841" s="4">
        <v>3</v>
      </c>
      <c r="N841" s="4" t="s">
        <v>3</v>
      </c>
      <c r="O841" s="4">
        <v>2</v>
      </c>
      <c r="P841" s="4"/>
      <c r="Q841" s="4"/>
      <c r="R841" s="4"/>
      <c r="S841" s="4"/>
      <c r="T841" s="4"/>
      <c r="U841" s="4"/>
      <c r="V841" s="4"/>
      <c r="W841" s="4"/>
    </row>
    <row r="842" spans="1:23" x14ac:dyDescent="0.2">
      <c r="A842" s="4">
        <v>50</v>
      </c>
      <c r="B842" s="4">
        <v>0</v>
      </c>
      <c r="C842" s="4">
        <v>0</v>
      </c>
      <c r="D842" s="4">
        <v>1</v>
      </c>
      <c r="E842" s="4">
        <v>205</v>
      </c>
      <c r="F842" s="4">
        <f>ROUND(Source!S827,O842)</f>
        <v>0</v>
      </c>
      <c r="G842" s="4" t="s">
        <v>115</v>
      </c>
      <c r="H842" s="4" t="s">
        <v>116</v>
      </c>
      <c r="I842" s="4"/>
      <c r="J842" s="4"/>
      <c r="K842" s="4">
        <v>205</v>
      </c>
      <c r="L842" s="4">
        <v>14</v>
      </c>
      <c r="M842" s="4">
        <v>3</v>
      </c>
      <c r="N842" s="4" t="s">
        <v>3</v>
      </c>
      <c r="O842" s="4">
        <v>2</v>
      </c>
      <c r="P842" s="4"/>
      <c r="Q842" s="4"/>
      <c r="R842" s="4"/>
      <c r="S842" s="4"/>
      <c r="T842" s="4"/>
      <c r="U842" s="4"/>
      <c r="V842" s="4"/>
      <c r="W842" s="4"/>
    </row>
    <row r="843" spans="1:23" x14ac:dyDescent="0.2">
      <c r="A843" s="4">
        <v>50</v>
      </c>
      <c r="B843" s="4">
        <v>0</v>
      </c>
      <c r="C843" s="4">
        <v>0</v>
      </c>
      <c r="D843" s="4">
        <v>1</v>
      </c>
      <c r="E843" s="4">
        <v>232</v>
      </c>
      <c r="F843" s="4">
        <f>ROUND(Source!BC827,O843)</f>
        <v>0</v>
      </c>
      <c r="G843" s="4" t="s">
        <v>117</v>
      </c>
      <c r="H843" s="4" t="s">
        <v>118</v>
      </c>
      <c r="I843" s="4"/>
      <c r="J843" s="4"/>
      <c r="K843" s="4">
        <v>232</v>
      </c>
      <c r="L843" s="4">
        <v>15</v>
      </c>
      <c r="M843" s="4">
        <v>3</v>
      </c>
      <c r="N843" s="4" t="s">
        <v>3</v>
      </c>
      <c r="O843" s="4">
        <v>2</v>
      </c>
      <c r="P843" s="4"/>
      <c r="Q843" s="4"/>
      <c r="R843" s="4"/>
      <c r="S843" s="4"/>
      <c r="T843" s="4"/>
      <c r="U843" s="4"/>
      <c r="V843" s="4"/>
      <c r="W843" s="4"/>
    </row>
    <row r="844" spans="1:23" x14ac:dyDescent="0.2">
      <c r="A844" s="4">
        <v>50</v>
      </c>
      <c r="B844" s="4">
        <v>0</v>
      </c>
      <c r="C844" s="4">
        <v>0</v>
      </c>
      <c r="D844" s="4">
        <v>1</v>
      </c>
      <c r="E844" s="4">
        <v>214</v>
      </c>
      <c r="F844" s="4">
        <f>ROUND(Source!AS827,O844)</f>
        <v>0</v>
      </c>
      <c r="G844" s="4" t="s">
        <v>119</v>
      </c>
      <c r="H844" s="4" t="s">
        <v>120</v>
      </c>
      <c r="I844" s="4"/>
      <c r="J844" s="4"/>
      <c r="K844" s="4">
        <v>214</v>
      </c>
      <c r="L844" s="4">
        <v>16</v>
      </c>
      <c r="M844" s="4">
        <v>3</v>
      </c>
      <c r="N844" s="4" t="s">
        <v>3</v>
      </c>
      <c r="O844" s="4">
        <v>2</v>
      </c>
      <c r="P844" s="4"/>
      <c r="Q844" s="4"/>
      <c r="R844" s="4"/>
      <c r="S844" s="4"/>
      <c r="T844" s="4"/>
      <c r="U844" s="4"/>
      <c r="V844" s="4"/>
      <c r="W844" s="4"/>
    </row>
    <row r="845" spans="1:23" x14ac:dyDescent="0.2">
      <c r="A845" s="4">
        <v>50</v>
      </c>
      <c r="B845" s="4">
        <v>0</v>
      </c>
      <c r="C845" s="4">
        <v>0</v>
      </c>
      <c r="D845" s="4">
        <v>1</v>
      </c>
      <c r="E845" s="4">
        <v>215</v>
      </c>
      <c r="F845" s="4">
        <f>ROUND(Source!AT827,O845)</f>
        <v>0</v>
      </c>
      <c r="G845" s="4" t="s">
        <v>121</v>
      </c>
      <c r="H845" s="4" t="s">
        <v>122</v>
      </c>
      <c r="I845" s="4"/>
      <c r="J845" s="4"/>
      <c r="K845" s="4">
        <v>215</v>
      </c>
      <c r="L845" s="4">
        <v>17</v>
      </c>
      <c r="M845" s="4">
        <v>3</v>
      </c>
      <c r="N845" s="4" t="s">
        <v>3</v>
      </c>
      <c r="O845" s="4">
        <v>2</v>
      </c>
      <c r="P845" s="4"/>
      <c r="Q845" s="4"/>
      <c r="R845" s="4"/>
      <c r="S845" s="4"/>
      <c r="T845" s="4"/>
      <c r="U845" s="4"/>
      <c r="V845" s="4"/>
      <c r="W845" s="4"/>
    </row>
    <row r="846" spans="1:23" x14ac:dyDescent="0.2">
      <c r="A846" s="4">
        <v>50</v>
      </c>
      <c r="B846" s="4">
        <v>0</v>
      </c>
      <c r="C846" s="4">
        <v>0</v>
      </c>
      <c r="D846" s="4">
        <v>1</v>
      </c>
      <c r="E846" s="4">
        <v>217</v>
      </c>
      <c r="F846" s="4">
        <f>ROUND(Source!AU827,O846)</f>
        <v>0</v>
      </c>
      <c r="G846" s="4" t="s">
        <v>123</v>
      </c>
      <c r="H846" s="4" t="s">
        <v>124</v>
      </c>
      <c r="I846" s="4"/>
      <c r="J846" s="4"/>
      <c r="K846" s="4">
        <v>217</v>
      </c>
      <c r="L846" s="4">
        <v>18</v>
      </c>
      <c r="M846" s="4">
        <v>3</v>
      </c>
      <c r="N846" s="4" t="s">
        <v>3</v>
      </c>
      <c r="O846" s="4">
        <v>2</v>
      </c>
      <c r="P846" s="4"/>
      <c r="Q846" s="4"/>
      <c r="R846" s="4"/>
      <c r="S846" s="4"/>
      <c r="T846" s="4"/>
      <c r="U846" s="4"/>
      <c r="V846" s="4"/>
      <c r="W846" s="4"/>
    </row>
    <row r="847" spans="1:23" x14ac:dyDescent="0.2">
      <c r="A847" s="4">
        <v>50</v>
      </c>
      <c r="B847" s="4">
        <v>0</v>
      </c>
      <c r="C847" s="4">
        <v>0</v>
      </c>
      <c r="D847" s="4">
        <v>1</v>
      </c>
      <c r="E847" s="4">
        <v>230</v>
      </c>
      <c r="F847" s="4">
        <f>ROUND(Source!BA827,O847)</f>
        <v>0</v>
      </c>
      <c r="G847" s="4" t="s">
        <v>125</v>
      </c>
      <c r="H847" s="4" t="s">
        <v>126</v>
      </c>
      <c r="I847" s="4"/>
      <c r="J847" s="4"/>
      <c r="K847" s="4">
        <v>230</v>
      </c>
      <c r="L847" s="4">
        <v>19</v>
      </c>
      <c r="M847" s="4">
        <v>3</v>
      </c>
      <c r="N847" s="4" t="s">
        <v>3</v>
      </c>
      <c r="O847" s="4">
        <v>2</v>
      </c>
      <c r="P847" s="4"/>
      <c r="Q847" s="4"/>
      <c r="R847" s="4"/>
      <c r="S847" s="4"/>
      <c r="T847" s="4"/>
      <c r="U847" s="4"/>
      <c r="V847" s="4"/>
      <c r="W847" s="4"/>
    </row>
    <row r="848" spans="1:23" x14ac:dyDescent="0.2">
      <c r="A848" s="4">
        <v>50</v>
      </c>
      <c r="B848" s="4">
        <v>0</v>
      </c>
      <c r="C848" s="4">
        <v>0</v>
      </c>
      <c r="D848" s="4">
        <v>1</v>
      </c>
      <c r="E848" s="4">
        <v>206</v>
      </c>
      <c r="F848" s="4">
        <f>ROUND(Source!T827,O848)</f>
        <v>0</v>
      </c>
      <c r="G848" s="4" t="s">
        <v>127</v>
      </c>
      <c r="H848" s="4" t="s">
        <v>128</v>
      </c>
      <c r="I848" s="4"/>
      <c r="J848" s="4"/>
      <c r="K848" s="4">
        <v>206</v>
      </c>
      <c r="L848" s="4">
        <v>20</v>
      </c>
      <c r="M848" s="4">
        <v>3</v>
      </c>
      <c r="N848" s="4" t="s">
        <v>3</v>
      </c>
      <c r="O848" s="4">
        <v>2</v>
      </c>
      <c r="P848" s="4"/>
      <c r="Q848" s="4"/>
      <c r="R848" s="4"/>
      <c r="S848" s="4"/>
      <c r="T848" s="4"/>
      <c r="U848" s="4"/>
      <c r="V848" s="4"/>
      <c r="W848" s="4"/>
    </row>
    <row r="849" spans="1:245" x14ac:dyDescent="0.2">
      <c r="A849" s="4">
        <v>50</v>
      </c>
      <c r="B849" s="4">
        <v>0</v>
      </c>
      <c r="C849" s="4">
        <v>0</v>
      </c>
      <c r="D849" s="4">
        <v>1</v>
      </c>
      <c r="E849" s="4">
        <v>207</v>
      </c>
      <c r="F849" s="4">
        <f>Source!U827</f>
        <v>0</v>
      </c>
      <c r="G849" s="4" t="s">
        <v>129</v>
      </c>
      <c r="H849" s="4" t="s">
        <v>130</v>
      </c>
      <c r="I849" s="4"/>
      <c r="J849" s="4"/>
      <c r="K849" s="4">
        <v>207</v>
      </c>
      <c r="L849" s="4">
        <v>21</v>
      </c>
      <c r="M849" s="4">
        <v>3</v>
      </c>
      <c r="N849" s="4" t="s">
        <v>3</v>
      </c>
      <c r="O849" s="4">
        <v>-1</v>
      </c>
      <c r="P849" s="4"/>
      <c r="Q849" s="4"/>
      <c r="R849" s="4"/>
      <c r="S849" s="4"/>
      <c r="T849" s="4"/>
      <c r="U849" s="4"/>
      <c r="V849" s="4"/>
      <c r="W849" s="4"/>
    </row>
    <row r="850" spans="1:245" x14ac:dyDescent="0.2">
      <c r="A850" s="4">
        <v>50</v>
      </c>
      <c r="B850" s="4">
        <v>0</v>
      </c>
      <c r="C850" s="4">
        <v>0</v>
      </c>
      <c r="D850" s="4">
        <v>1</v>
      </c>
      <c r="E850" s="4">
        <v>208</v>
      </c>
      <c r="F850" s="4">
        <f>Source!V827</f>
        <v>0</v>
      </c>
      <c r="G850" s="4" t="s">
        <v>131</v>
      </c>
      <c r="H850" s="4" t="s">
        <v>132</v>
      </c>
      <c r="I850" s="4"/>
      <c r="J850" s="4"/>
      <c r="K850" s="4">
        <v>208</v>
      </c>
      <c r="L850" s="4">
        <v>22</v>
      </c>
      <c r="M850" s="4">
        <v>3</v>
      </c>
      <c r="N850" s="4" t="s">
        <v>3</v>
      </c>
      <c r="O850" s="4">
        <v>-1</v>
      </c>
      <c r="P850" s="4"/>
      <c r="Q850" s="4"/>
      <c r="R850" s="4"/>
      <c r="S850" s="4"/>
      <c r="T850" s="4"/>
      <c r="U850" s="4"/>
      <c r="V850" s="4"/>
      <c r="W850" s="4"/>
    </row>
    <row r="851" spans="1:245" x14ac:dyDescent="0.2">
      <c r="A851" s="4">
        <v>50</v>
      </c>
      <c r="B851" s="4">
        <v>0</v>
      </c>
      <c r="C851" s="4">
        <v>0</v>
      </c>
      <c r="D851" s="4">
        <v>1</v>
      </c>
      <c r="E851" s="4">
        <v>209</v>
      </c>
      <c r="F851" s="4">
        <f>ROUND(Source!W827,O851)</f>
        <v>0</v>
      </c>
      <c r="G851" s="4" t="s">
        <v>133</v>
      </c>
      <c r="H851" s="4" t="s">
        <v>134</v>
      </c>
      <c r="I851" s="4"/>
      <c r="J851" s="4"/>
      <c r="K851" s="4">
        <v>209</v>
      </c>
      <c r="L851" s="4">
        <v>23</v>
      </c>
      <c r="M851" s="4">
        <v>3</v>
      </c>
      <c r="N851" s="4" t="s">
        <v>3</v>
      </c>
      <c r="O851" s="4">
        <v>2</v>
      </c>
      <c r="P851" s="4"/>
      <c r="Q851" s="4"/>
      <c r="R851" s="4"/>
      <c r="S851" s="4"/>
      <c r="T851" s="4"/>
      <c r="U851" s="4"/>
      <c r="V851" s="4"/>
      <c r="W851" s="4"/>
    </row>
    <row r="852" spans="1:245" x14ac:dyDescent="0.2">
      <c r="A852" s="4">
        <v>50</v>
      </c>
      <c r="B852" s="4">
        <v>0</v>
      </c>
      <c r="C852" s="4">
        <v>0</v>
      </c>
      <c r="D852" s="4">
        <v>1</v>
      </c>
      <c r="E852" s="4">
        <v>233</v>
      </c>
      <c r="F852" s="4">
        <f>ROUND(Source!BD827,O852)</f>
        <v>0</v>
      </c>
      <c r="G852" s="4" t="s">
        <v>135</v>
      </c>
      <c r="H852" s="4" t="s">
        <v>136</v>
      </c>
      <c r="I852" s="4"/>
      <c r="J852" s="4"/>
      <c r="K852" s="4">
        <v>233</v>
      </c>
      <c r="L852" s="4">
        <v>24</v>
      </c>
      <c r="M852" s="4">
        <v>3</v>
      </c>
      <c r="N852" s="4" t="s">
        <v>3</v>
      </c>
      <c r="O852" s="4">
        <v>2</v>
      </c>
      <c r="P852" s="4"/>
      <c r="Q852" s="4"/>
      <c r="R852" s="4"/>
      <c r="S852" s="4"/>
      <c r="T852" s="4"/>
      <c r="U852" s="4"/>
      <c r="V852" s="4"/>
      <c r="W852" s="4"/>
    </row>
    <row r="853" spans="1:245" x14ac:dyDescent="0.2">
      <c r="A853" s="4">
        <v>50</v>
      </c>
      <c r="B853" s="4">
        <v>0</v>
      </c>
      <c r="C853" s="4">
        <v>0</v>
      </c>
      <c r="D853" s="4">
        <v>1</v>
      </c>
      <c r="E853" s="4">
        <v>210</v>
      </c>
      <c r="F853" s="4">
        <f>ROUND(Source!X827,O853)</f>
        <v>0</v>
      </c>
      <c r="G853" s="4" t="s">
        <v>137</v>
      </c>
      <c r="H853" s="4" t="s">
        <v>138</v>
      </c>
      <c r="I853" s="4"/>
      <c r="J853" s="4"/>
      <c r="K853" s="4">
        <v>210</v>
      </c>
      <c r="L853" s="4">
        <v>25</v>
      </c>
      <c r="M853" s="4">
        <v>3</v>
      </c>
      <c r="N853" s="4" t="s">
        <v>3</v>
      </c>
      <c r="O853" s="4">
        <v>2</v>
      </c>
      <c r="P853" s="4"/>
      <c r="Q853" s="4"/>
      <c r="R853" s="4"/>
      <c r="S853" s="4"/>
      <c r="T853" s="4"/>
      <c r="U853" s="4"/>
      <c r="V853" s="4"/>
      <c r="W853" s="4"/>
    </row>
    <row r="854" spans="1:245" x14ac:dyDescent="0.2">
      <c r="A854" s="4">
        <v>50</v>
      </c>
      <c r="B854" s="4">
        <v>0</v>
      </c>
      <c r="C854" s="4">
        <v>0</v>
      </c>
      <c r="D854" s="4">
        <v>1</v>
      </c>
      <c r="E854" s="4">
        <v>211</v>
      </c>
      <c r="F854" s="4">
        <f>ROUND(Source!Y827,O854)</f>
        <v>0</v>
      </c>
      <c r="G854" s="4" t="s">
        <v>139</v>
      </c>
      <c r="H854" s="4" t="s">
        <v>140</v>
      </c>
      <c r="I854" s="4"/>
      <c r="J854" s="4"/>
      <c r="K854" s="4">
        <v>211</v>
      </c>
      <c r="L854" s="4">
        <v>26</v>
      </c>
      <c r="M854" s="4">
        <v>3</v>
      </c>
      <c r="N854" s="4" t="s">
        <v>3</v>
      </c>
      <c r="O854" s="4">
        <v>2</v>
      </c>
      <c r="P854" s="4"/>
      <c r="Q854" s="4"/>
      <c r="R854" s="4"/>
      <c r="S854" s="4"/>
      <c r="T854" s="4"/>
      <c r="U854" s="4"/>
      <c r="V854" s="4"/>
      <c r="W854" s="4"/>
    </row>
    <row r="855" spans="1:245" x14ac:dyDescent="0.2">
      <c r="A855" s="4">
        <v>50</v>
      </c>
      <c r="B855" s="4">
        <v>0</v>
      </c>
      <c r="C855" s="4">
        <v>0</v>
      </c>
      <c r="D855" s="4">
        <v>1</v>
      </c>
      <c r="E855" s="4">
        <v>224</v>
      </c>
      <c r="F855" s="4">
        <f>ROUND(Source!AR827,O855)</f>
        <v>0</v>
      </c>
      <c r="G855" s="4" t="s">
        <v>141</v>
      </c>
      <c r="H855" s="4" t="s">
        <v>142</v>
      </c>
      <c r="I855" s="4"/>
      <c r="J855" s="4"/>
      <c r="K855" s="4">
        <v>224</v>
      </c>
      <c r="L855" s="4">
        <v>27</v>
      </c>
      <c r="M855" s="4">
        <v>3</v>
      </c>
      <c r="N855" s="4" t="s">
        <v>3</v>
      </c>
      <c r="O855" s="4">
        <v>2</v>
      </c>
      <c r="P855" s="4"/>
      <c r="Q855" s="4"/>
      <c r="R855" s="4"/>
      <c r="S855" s="4"/>
      <c r="T855" s="4"/>
      <c r="U855" s="4"/>
      <c r="V855" s="4"/>
      <c r="W855" s="4"/>
    </row>
    <row r="857" spans="1:245" x14ac:dyDescent="0.2">
      <c r="A857" s="1">
        <v>4</v>
      </c>
      <c r="B857" s="1">
        <v>1</v>
      </c>
      <c r="C857" s="1"/>
      <c r="D857" s="1">
        <f>ROW(A864)</f>
        <v>864</v>
      </c>
      <c r="E857" s="1"/>
      <c r="F857" s="1" t="s">
        <v>13</v>
      </c>
      <c r="G857" s="1" t="s">
        <v>490</v>
      </c>
      <c r="H857" s="1" t="s">
        <v>3</v>
      </c>
      <c r="I857" s="1">
        <v>0</v>
      </c>
      <c r="J857" s="1"/>
      <c r="K857" s="1">
        <v>0</v>
      </c>
      <c r="L857" s="1"/>
      <c r="M857" s="1"/>
      <c r="N857" s="1"/>
      <c r="O857" s="1"/>
      <c r="P857" s="1"/>
      <c r="Q857" s="1"/>
      <c r="R857" s="1"/>
      <c r="S857" s="1"/>
      <c r="T857" s="1"/>
      <c r="U857" s="1" t="s">
        <v>3</v>
      </c>
      <c r="V857" s="1">
        <v>0</v>
      </c>
      <c r="W857" s="1"/>
      <c r="X857" s="1"/>
      <c r="Y857" s="1"/>
      <c r="Z857" s="1"/>
      <c r="AA857" s="1"/>
      <c r="AB857" s="1" t="s">
        <v>3</v>
      </c>
      <c r="AC857" s="1" t="s">
        <v>3</v>
      </c>
      <c r="AD857" s="1" t="s">
        <v>3</v>
      </c>
      <c r="AE857" s="1" t="s">
        <v>3</v>
      </c>
      <c r="AF857" s="1" t="s">
        <v>3</v>
      </c>
      <c r="AG857" s="1" t="s">
        <v>3</v>
      </c>
      <c r="AH857" s="1"/>
      <c r="AI857" s="1"/>
      <c r="AJ857" s="1"/>
      <c r="AK857" s="1"/>
      <c r="AL857" s="1"/>
      <c r="AM857" s="1"/>
      <c r="AN857" s="1"/>
      <c r="AO857" s="1"/>
      <c r="AP857" s="1" t="s">
        <v>3</v>
      </c>
      <c r="AQ857" s="1" t="s">
        <v>3</v>
      </c>
      <c r="AR857" s="1" t="s">
        <v>3</v>
      </c>
      <c r="AS857" s="1"/>
      <c r="AT857" s="1"/>
      <c r="AU857" s="1"/>
      <c r="AV857" s="1"/>
      <c r="AW857" s="1"/>
      <c r="AX857" s="1"/>
      <c r="AY857" s="1"/>
      <c r="AZ857" s="1" t="s">
        <v>3</v>
      </c>
      <c r="BA857" s="1"/>
      <c r="BB857" s="1" t="s">
        <v>3</v>
      </c>
      <c r="BC857" s="1" t="s">
        <v>3</v>
      </c>
      <c r="BD857" s="1" t="s">
        <v>3</v>
      </c>
      <c r="BE857" s="1" t="s">
        <v>3</v>
      </c>
      <c r="BF857" s="1" t="s">
        <v>3</v>
      </c>
      <c r="BG857" s="1" t="s">
        <v>3</v>
      </c>
      <c r="BH857" s="1" t="s">
        <v>3</v>
      </c>
      <c r="BI857" s="1" t="s">
        <v>3</v>
      </c>
      <c r="BJ857" s="1" t="s">
        <v>3</v>
      </c>
      <c r="BK857" s="1" t="s">
        <v>3</v>
      </c>
      <c r="BL857" s="1" t="s">
        <v>3</v>
      </c>
      <c r="BM857" s="1" t="s">
        <v>3</v>
      </c>
      <c r="BN857" s="1" t="s">
        <v>3</v>
      </c>
      <c r="BO857" s="1" t="s">
        <v>3</v>
      </c>
      <c r="BP857" s="1" t="s">
        <v>3</v>
      </c>
      <c r="BQ857" s="1"/>
      <c r="BR857" s="1"/>
      <c r="BS857" s="1"/>
      <c r="BT857" s="1"/>
      <c r="BU857" s="1"/>
      <c r="BV857" s="1"/>
      <c r="BW857" s="1"/>
      <c r="BX857" s="1">
        <v>0</v>
      </c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>
        <v>0</v>
      </c>
    </row>
    <row r="859" spans="1:245" x14ac:dyDescent="0.2">
      <c r="A859" s="2">
        <v>52</v>
      </c>
      <c r="B859" s="2">
        <f t="shared" ref="B859:G859" si="668">B864</f>
        <v>1</v>
      </c>
      <c r="C859" s="2">
        <f t="shared" si="668"/>
        <v>4</v>
      </c>
      <c r="D859" s="2">
        <f t="shared" si="668"/>
        <v>857</v>
      </c>
      <c r="E859" s="2">
        <f t="shared" si="668"/>
        <v>0</v>
      </c>
      <c r="F859" s="2" t="str">
        <f t="shared" si="668"/>
        <v>Новый раздел</v>
      </c>
      <c r="G859" s="2" t="str">
        <f t="shared" si="668"/>
        <v>31.5. Накрывные элементы на подпорные стены (природный камень)</v>
      </c>
      <c r="H859" s="2"/>
      <c r="I859" s="2"/>
      <c r="J859" s="2"/>
      <c r="K859" s="2"/>
      <c r="L859" s="2"/>
      <c r="M859" s="2"/>
      <c r="N859" s="2"/>
      <c r="O859" s="2">
        <f t="shared" ref="O859:AT859" si="669">O864</f>
        <v>179513.12</v>
      </c>
      <c r="P859" s="2">
        <f t="shared" si="669"/>
        <v>170818.39</v>
      </c>
      <c r="Q859" s="2">
        <f t="shared" si="669"/>
        <v>937.36</v>
      </c>
      <c r="R859" s="2">
        <f t="shared" si="669"/>
        <v>544.32000000000005</v>
      </c>
      <c r="S859" s="2">
        <f t="shared" si="669"/>
        <v>7757.37</v>
      </c>
      <c r="T859" s="2">
        <f t="shared" si="669"/>
        <v>0</v>
      </c>
      <c r="U859" s="2">
        <f t="shared" si="669"/>
        <v>29.04</v>
      </c>
      <c r="V859" s="2">
        <f t="shared" si="669"/>
        <v>0</v>
      </c>
      <c r="W859" s="2">
        <f t="shared" si="669"/>
        <v>0</v>
      </c>
      <c r="X859" s="2">
        <f t="shared" si="669"/>
        <v>6748.91</v>
      </c>
      <c r="Y859" s="2">
        <f t="shared" si="669"/>
        <v>3180.52</v>
      </c>
      <c r="Z859" s="2">
        <f t="shared" si="669"/>
        <v>0</v>
      </c>
      <c r="AA859" s="2">
        <f t="shared" si="669"/>
        <v>0</v>
      </c>
      <c r="AB859" s="2">
        <f t="shared" si="669"/>
        <v>179513.12</v>
      </c>
      <c r="AC859" s="2">
        <f t="shared" si="669"/>
        <v>170818.39</v>
      </c>
      <c r="AD859" s="2">
        <f t="shared" si="669"/>
        <v>937.36</v>
      </c>
      <c r="AE859" s="2">
        <f t="shared" si="669"/>
        <v>544.32000000000005</v>
      </c>
      <c r="AF859" s="2">
        <f t="shared" si="669"/>
        <v>7757.37</v>
      </c>
      <c r="AG859" s="2">
        <f t="shared" si="669"/>
        <v>0</v>
      </c>
      <c r="AH859" s="2">
        <f t="shared" si="669"/>
        <v>29.04</v>
      </c>
      <c r="AI859" s="2">
        <f t="shared" si="669"/>
        <v>0</v>
      </c>
      <c r="AJ859" s="2">
        <f t="shared" si="669"/>
        <v>0</v>
      </c>
      <c r="AK859" s="2">
        <f t="shared" si="669"/>
        <v>6748.91</v>
      </c>
      <c r="AL859" s="2">
        <f t="shared" si="669"/>
        <v>3180.52</v>
      </c>
      <c r="AM859" s="2">
        <f t="shared" si="669"/>
        <v>0</v>
      </c>
      <c r="AN859" s="2">
        <f t="shared" si="669"/>
        <v>0</v>
      </c>
      <c r="AO859" s="2">
        <f t="shared" si="669"/>
        <v>0</v>
      </c>
      <c r="AP859" s="2">
        <f t="shared" si="669"/>
        <v>0</v>
      </c>
      <c r="AQ859" s="2">
        <f t="shared" si="669"/>
        <v>0</v>
      </c>
      <c r="AR859" s="2">
        <f t="shared" si="669"/>
        <v>190297.13</v>
      </c>
      <c r="AS859" s="2">
        <f t="shared" si="669"/>
        <v>190297.13</v>
      </c>
      <c r="AT859" s="2">
        <f t="shared" si="669"/>
        <v>0</v>
      </c>
      <c r="AU859" s="2">
        <f t="shared" ref="AU859:BZ859" si="670">AU864</f>
        <v>0</v>
      </c>
      <c r="AV859" s="2">
        <f t="shared" si="670"/>
        <v>170818.39</v>
      </c>
      <c r="AW859" s="2">
        <f t="shared" si="670"/>
        <v>170818.39</v>
      </c>
      <c r="AX859" s="2">
        <f t="shared" si="670"/>
        <v>0</v>
      </c>
      <c r="AY859" s="2">
        <f t="shared" si="670"/>
        <v>170818.39</v>
      </c>
      <c r="AZ859" s="2">
        <f t="shared" si="670"/>
        <v>0</v>
      </c>
      <c r="BA859" s="2">
        <f t="shared" si="670"/>
        <v>0</v>
      </c>
      <c r="BB859" s="2">
        <f t="shared" si="670"/>
        <v>0</v>
      </c>
      <c r="BC859" s="2">
        <f t="shared" si="670"/>
        <v>0</v>
      </c>
      <c r="BD859" s="2">
        <f t="shared" si="670"/>
        <v>0</v>
      </c>
      <c r="BE859" s="2">
        <f t="shared" si="670"/>
        <v>0</v>
      </c>
      <c r="BF859" s="2">
        <f t="shared" si="670"/>
        <v>0</v>
      </c>
      <c r="BG859" s="2">
        <f t="shared" si="670"/>
        <v>0</v>
      </c>
      <c r="BH859" s="2">
        <f t="shared" si="670"/>
        <v>0</v>
      </c>
      <c r="BI859" s="2">
        <f t="shared" si="670"/>
        <v>0</v>
      </c>
      <c r="BJ859" s="2">
        <f t="shared" si="670"/>
        <v>0</v>
      </c>
      <c r="BK859" s="2">
        <f t="shared" si="670"/>
        <v>0</v>
      </c>
      <c r="BL859" s="2">
        <f t="shared" si="670"/>
        <v>0</v>
      </c>
      <c r="BM859" s="2">
        <f t="shared" si="670"/>
        <v>0</v>
      </c>
      <c r="BN859" s="2">
        <f t="shared" si="670"/>
        <v>0</v>
      </c>
      <c r="BO859" s="2">
        <f t="shared" si="670"/>
        <v>0</v>
      </c>
      <c r="BP859" s="2">
        <f t="shared" si="670"/>
        <v>0</v>
      </c>
      <c r="BQ859" s="2">
        <f t="shared" si="670"/>
        <v>0</v>
      </c>
      <c r="BR859" s="2">
        <f t="shared" si="670"/>
        <v>0</v>
      </c>
      <c r="BS859" s="2">
        <f t="shared" si="670"/>
        <v>0</v>
      </c>
      <c r="BT859" s="2">
        <f t="shared" si="670"/>
        <v>0</v>
      </c>
      <c r="BU859" s="2">
        <f t="shared" si="670"/>
        <v>0</v>
      </c>
      <c r="BV859" s="2">
        <f t="shared" si="670"/>
        <v>0</v>
      </c>
      <c r="BW859" s="2">
        <f t="shared" si="670"/>
        <v>0</v>
      </c>
      <c r="BX859" s="2">
        <f t="shared" si="670"/>
        <v>0</v>
      </c>
      <c r="BY859" s="2">
        <f t="shared" si="670"/>
        <v>0</v>
      </c>
      <c r="BZ859" s="2">
        <f t="shared" si="670"/>
        <v>0</v>
      </c>
      <c r="CA859" s="2">
        <f t="shared" ref="CA859:DF859" si="671">CA864</f>
        <v>190297.13</v>
      </c>
      <c r="CB859" s="2">
        <f t="shared" si="671"/>
        <v>190297.13</v>
      </c>
      <c r="CC859" s="2">
        <f t="shared" si="671"/>
        <v>0</v>
      </c>
      <c r="CD859" s="2">
        <f t="shared" si="671"/>
        <v>0</v>
      </c>
      <c r="CE859" s="2">
        <f t="shared" si="671"/>
        <v>170818.39</v>
      </c>
      <c r="CF859" s="2">
        <f t="shared" si="671"/>
        <v>170818.39</v>
      </c>
      <c r="CG859" s="2">
        <f t="shared" si="671"/>
        <v>0</v>
      </c>
      <c r="CH859" s="2">
        <f t="shared" si="671"/>
        <v>170818.39</v>
      </c>
      <c r="CI859" s="2">
        <f t="shared" si="671"/>
        <v>0</v>
      </c>
      <c r="CJ859" s="2">
        <f t="shared" si="671"/>
        <v>0</v>
      </c>
      <c r="CK859" s="2">
        <f t="shared" si="671"/>
        <v>0</v>
      </c>
      <c r="CL859" s="2">
        <f t="shared" si="671"/>
        <v>0</v>
      </c>
      <c r="CM859" s="2">
        <f t="shared" si="671"/>
        <v>0</v>
      </c>
      <c r="CN859" s="2">
        <f t="shared" si="671"/>
        <v>0</v>
      </c>
      <c r="CO859" s="2">
        <f t="shared" si="671"/>
        <v>0</v>
      </c>
      <c r="CP859" s="2">
        <f t="shared" si="671"/>
        <v>0</v>
      </c>
      <c r="CQ859" s="2">
        <f t="shared" si="671"/>
        <v>0</v>
      </c>
      <c r="CR859" s="2">
        <f t="shared" si="671"/>
        <v>0</v>
      </c>
      <c r="CS859" s="2">
        <f t="shared" si="671"/>
        <v>0</v>
      </c>
      <c r="CT859" s="2">
        <f t="shared" si="671"/>
        <v>0</v>
      </c>
      <c r="CU859" s="2">
        <f t="shared" si="671"/>
        <v>0</v>
      </c>
      <c r="CV859" s="2">
        <f t="shared" si="671"/>
        <v>0</v>
      </c>
      <c r="CW859" s="2">
        <f t="shared" si="671"/>
        <v>0</v>
      </c>
      <c r="CX859" s="2">
        <f t="shared" si="671"/>
        <v>0</v>
      </c>
      <c r="CY859" s="2">
        <f t="shared" si="671"/>
        <v>0</v>
      </c>
      <c r="CZ859" s="2">
        <f t="shared" si="671"/>
        <v>0</v>
      </c>
      <c r="DA859" s="2">
        <f t="shared" si="671"/>
        <v>0</v>
      </c>
      <c r="DB859" s="2">
        <f t="shared" si="671"/>
        <v>0</v>
      </c>
      <c r="DC859" s="2">
        <f t="shared" si="671"/>
        <v>0</v>
      </c>
      <c r="DD859" s="2">
        <f t="shared" si="671"/>
        <v>0</v>
      </c>
      <c r="DE859" s="2">
        <f t="shared" si="671"/>
        <v>0</v>
      </c>
      <c r="DF859" s="2">
        <f t="shared" si="671"/>
        <v>0</v>
      </c>
      <c r="DG859" s="3">
        <f t="shared" ref="DG859:EL859" si="672">DG864</f>
        <v>0</v>
      </c>
      <c r="DH859" s="3">
        <f t="shared" si="672"/>
        <v>0</v>
      </c>
      <c r="DI859" s="3">
        <f t="shared" si="672"/>
        <v>0</v>
      </c>
      <c r="DJ859" s="3">
        <f t="shared" si="672"/>
        <v>0</v>
      </c>
      <c r="DK859" s="3">
        <f t="shared" si="672"/>
        <v>0</v>
      </c>
      <c r="DL859" s="3">
        <f t="shared" si="672"/>
        <v>0</v>
      </c>
      <c r="DM859" s="3">
        <f t="shared" si="672"/>
        <v>0</v>
      </c>
      <c r="DN859" s="3">
        <f t="shared" si="672"/>
        <v>0</v>
      </c>
      <c r="DO859" s="3">
        <f t="shared" si="672"/>
        <v>0</v>
      </c>
      <c r="DP859" s="3">
        <f t="shared" si="672"/>
        <v>0</v>
      </c>
      <c r="DQ859" s="3">
        <f t="shared" si="672"/>
        <v>0</v>
      </c>
      <c r="DR859" s="3">
        <f t="shared" si="672"/>
        <v>0</v>
      </c>
      <c r="DS859" s="3">
        <f t="shared" si="672"/>
        <v>0</v>
      </c>
      <c r="DT859" s="3">
        <f t="shared" si="672"/>
        <v>0</v>
      </c>
      <c r="DU859" s="3">
        <f t="shared" si="672"/>
        <v>0</v>
      </c>
      <c r="DV859" s="3">
        <f t="shared" si="672"/>
        <v>0</v>
      </c>
      <c r="DW859" s="3">
        <f t="shared" si="672"/>
        <v>0</v>
      </c>
      <c r="DX859" s="3">
        <f t="shared" si="672"/>
        <v>0</v>
      </c>
      <c r="DY859" s="3">
        <f t="shared" si="672"/>
        <v>0</v>
      </c>
      <c r="DZ859" s="3">
        <f t="shared" si="672"/>
        <v>0</v>
      </c>
      <c r="EA859" s="3">
        <f t="shared" si="672"/>
        <v>0</v>
      </c>
      <c r="EB859" s="3">
        <f t="shared" si="672"/>
        <v>0</v>
      </c>
      <c r="EC859" s="3">
        <f t="shared" si="672"/>
        <v>0</v>
      </c>
      <c r="ED859" s="3">
        <f t="shared" si="672"/>
        <v>0</v>
      </c>
      <c r="EE859" s="3">
        <f t="shared" si="672"/>
        <v>0</v>
      </c>
      <c r="EF859" s="3">
        <f t="shared" si="672"/>
        <v>0</v>
      </c>
      <c r="EG859" s="3">
        <f t="shared" si="672"/>
        <v>0</v>
      </c>
      <c r="EH859" s="3">
        <f t="shared" si="672"/>
        <v>0</v>
      </c>
      <c r="EI859" s="3">
        <f t="shared" si="672"/>
        <v>0</v>
      </c>
      <c r="EJ859" s="3">
        <f t="shared" si="672"/>
        <v>0</v>
      </c>
      <c r="EK859" s="3">
        <f t="shared" si="672"/>
        <v>0</v>
      </c>
      <c r="EL859" s="3">
        <f t="shared" si="672"/>
        <v>0</v>
      </c>
      <c r="EM859" s="3">
        <f t="shared" ref="EM859:FR859" si="673">EM864</f>
        <v>0</v>
      </c>
      <c r="EN859" s="3">
        <f t="shared" si="673"/>
        <v>0</v>
      </c>
      <c r="EO859" s="3">
        <f t="shared" si="673"/>
        <v>0</v>
      </c>
      <c r="EP859" s="3">
        <f t="shared" si="673"/>
        <v>0</v>
      </c>
      <c r="EQ859" s="3">
        <f t="shared" si="673"/>
        <v>0</v>
      </c>
      <c r="ER859" s="3">
        <f t="shared" si="673"/>
        <v>0</v>
      </c>
      <c r="ES859" s="3">
        <f t="shared" si="673"/>
        <v>0</v>
      </c>
      <c r="ET859" s="3">
        <f t="shared" si="673"/>
        <v>0</v>
      </c>
      <c r="EU859" s="3">
        <f t="shared" si="673"/>
        <v>0</v>
      </c>
      <c r="EV859" s="3">
        <f t="shared" si="673"/>
        <v>0</v>
      </c>
      <c r="EW859" s="3">
        <f t="shared" si="673"/>
        <v>0</v>
      </c>
      <c r="EX859" s="3">
        <f t="shared" si="673"/>
        <v>0</v>
      </c>
      <c r="EY859" s="3">
        <f t="shared" si="673"/>
        <v>0</v>
      </c>
      <c r="EZ859" s="3">
        <f t="shared" si="673"/>
        <v>0</v>
      </c>
      <c r="FA859" s="3">
        <f t="shared" si="673"/>
        <v>0</v>
      </c>
      <c r="FB859" s="3">
        <f t="shared" si="673"/>
        <v>0</v>
      </c>
      <c r="FC859" s="3">
        <f t="shared" si="673"/>
        <v>0</v>
      </c>
      <c r="FD859" s="3">
        <f t="shared" si="673"/>
        <v>0</v>
      </c>
      <c r="FE859" s="3">
        <f t="shared" si="673"/>
        <v>0</v>
      </c>
      <c r="FF859" s="3">
        <f t="shared" si="673"/>
        <v>0</v>
      </c>
      <c r="FG859" s="3">
        <f t="shared" si="673"/>
        <v>0</v>
      </c>
      <c r="FH859" s="3">
        <f t="shared" si="673"/>
        <v>0</v>
      </c>
      <c r="FI859" s="3">
        <f t="shared" si="673"/>
        <v>0</v>
      </c>
      <c r="FJ859" s="3">
        <f t="shared" si="673"/>
        <v>0</v>
      </c>
      <c r="FK859" s="3">
        <f t="shared" si="673"/>
        <v>0</v>
      </c>
      <c r="FL859" s="3">
        <f t="shared" si="673"/>
        <v>0</v>
      </c>
      <c r="FM859" s="3">
        <f t="shared" si="673"/>
        <v>0</v>
      </c>
      <c r="FN859" s="3">
        <f t="shared" si="673"/>
        <v>0</v>
      </c>
      <c r="FO859" s="3">
        <f t="shared" si="673"/>
        <v>0</v>
      </c>
      <c r="FP859" s="3">
        <f t="shared" si="673"/>
        <v>0</v>
      </c>
      <c r="FQ859" s="3">
        <f t="shared" si="673"/>
        <v>0</v>
      </c>
      <c r="FR859" s="3">
        <f t="shared" si="673"/>
        <v>0</v>
      </c>
      <c r="FS859" s="3">
        <f t="shared" ref="FS859:GX859" si="674">FS864</f>
        <v>0</v>
      </c>
      <c r="FT859" s="3">
        <f t="shared" si="674"/>
        <v>0</v>
      </c>
      <c r="FU859" s="3">
        <f t="shared" si="674"/>
        <v>0</v>
      </c>
      <c r="FV859" s="3">
        <f t="shared" si="674"/>
        <v>0</v>
      </c>
      <c r="FW859" s="3">
        <f t="shared" si="674"/>
        <v>0</v>
      </c>
      <c r="FX859" s="3">
        <f t="shared" si="674"/>
        <v>0</v>
      </c>
      <c r="FY859" s="3">
        <f t="shared" si="674"/>
        <v>0</v>
      </c>
      <c r="FZ859" s="3">
        <f t="shared" si="674"/>
        <v>0</v>
      </c>
      <c r="GA859" s="3">
        <f t="shared" si="674"/>
        <v>0</v>
      </c>
      <c r="GB859" s="3">
        <f t="shared" si="674"/>
        <v>0</v>
      </c>
      <c r="GC859" s="3">
        <f t="shared" si="674"/>
        <v>0</v>
      </c>
      <c r="GD859" s="3">
        <f t="shared" si="674"/>
        <v>0</v>
      </c>
      <c r="GE859" s="3">
        <f t="shared" si="674"/>
        <v>0</v>
      </c>
      <c r="GF859" s="3">
        <f t="shared" si="674"/>
        <v>0</v>
      </c>
      <c r="GG859" s="3">
        <f t="shared" si="674"/>
        <v>0</v>
      </c>
      <c r="GH859" s="3">
        <f t="shared" si="674"/>
        <v>0</v>
      </c>
      <c r="GI859" s="3">
        <f t="shared" si="674"/>
        <v>0</v>
      </c>
      <c r="GJ859" s="3">
        <f t="shared" si="674"/>
        <v>0</v>
      </c>
      <c r="GK859" s="3">
        <f t="shared" si="674"/>
        <v>0</v>
      </c>
      <c r="GL859" s="3">
        <f t="shared" si="674"/>
        <v>0</v>
      </c>
      <c r="GM859" s="3">
        <f t="shared" si="674"/>
        <v>0</v>
      </c>
      <c r="GN859" s="3">
        <f t="shared" si="674"/>
        <v>0</v>
      </c>
      <c r="GO859" s="3">
        <f t="shared" si="674"/>
        <v>0</v>
      </c>
      <c r="GP859" s="3">
        <f t="shared" si="674"/>
        <v>0</v>
      </c>
      <c r="GQ859" s="3">
        <f t="shared" si="674"/>
        <v>0</v>
      </c>
      <c r="GR859" s="3">
        <f t="shared" si="674"/>
        <v>0</v>
      </c>
      <c r="GS859" s="3">
        <f t="shared" si="674"/>
        <v>0</v>
      </c>
      <c r="GT859" s="3">
        <f t="shared" si="674"/>
        <v>0</v>
      </c>
      <c r="GU859" s="3">
        <f t="shared" si="674"/>
        <v>0</v>
      </c>
      <c r="GV859" s="3">
        <f t="shared" si="674"/>
        <v>0</v>
      </c>
      <c r="GW859" s="3">
        <f t="shared" si="674"/>
        <v>0</v>
      </c>
      <c r="GX859" s="3">
        <f t="shared" si="674"/>
        <v>0</v>
      </c>
    </row>
    <row r="861" spans="1:245" x14ac:dyDescent="0.2">
      <c r="A861">
        <v>17</v>
      </c>
      <c r="B861">
        <v>1</v>
      </c>
      <c r="C861">
        <f>ROW(SmtRes!A304)</f>
        <v>304</v>
      </c>
      <c r="D861">
        <f>ROW(EtalonRes!A305)</f>
        <v>305</v>
      </c>
      <c r="E861" t="s">
        <v>491</v>
      </c>
      <c r="F861" t="s">
        <v>492</v>
      </c>
      <c r="G861" t="s">
        <v>493</v>
      </c>
      <c r="H861" t="s">
        <v>75</v>
      </c>
      <c r="I861">
        <f>ROUND(40/100,9)</f>
        <v>0.4</v>
      </c>
      <c r="J861">
        <v>0</v>
      </c>
      <c r="O861">
        <f>ROUND(CP861,2)</f>
        <v>11585.02</v>
      </c>
      <c r="P861">
        <f>ROUND((ROUND((AC861*AW861*I861),2)*BC861),2)</f>
        <v>2890.29</v>
      </c>
      <c r="Q861">
        <f>(ROUND((ROUND(((ET861)*AV861*I861),2)*BB861),2)+ROUND((ROUND(((AE861-(EU861))*AV861*I861),2)*BS861),2))</f>
        <v>937.36</v>
      </c>
      <c r="R861">
        <f>ROUND((ROUND((AE861*AV861*I861),2)*BS861),2)</f>
        <v>544.32000000000005</v>
      </c>
      <c r="S861">
        <f>ROUND((ROUND((AF861*AV861*I861),2)*BA861),2)</f>
        <v>7757.37</v>
      </c>
      <c r="T861">
        <f>ROUND(CU861*I861,2)</f>
        <v>0</v>
      </c>
      <c r="U861">
        <f>CV861*I861</f>
        <v>29.04</v>
      </c>
      <c r="V861">
        <f>CW861*I861</f>
        <v>0</v>
      </c>
      <c r="W861">
        <f>ROUND(CX861*I861,2)</f>
        <v>0</v>
      </c>
      <c r="X861">
        <f>ROUND(CY861,2)</f>
        <v>6748.91</v>
      </c>
      <c r="Y861">
        <f>ROUND(CZ861,2)</f>
        <v>3180.52</v>
      </c>
      <c r="AA861">
        <v>33989672</v>
      </c>
      <c r="AB861">
        <f>ROUND((AC861+AD861+AF861),6)</f>
        <v>2035.51</v>
      </c>
      <c r="AC861">
        <f>ROUND((ES861),6)</f>
        <v>1016.28</v>
      </c>
      <c r="AD861">
        <f>ROUND((((ET861)-(EU861))+AE861),6)</f>
        <v>228.62</v>
      </c>
      <c r="AE861">
        <f>ROUND((EU861),6)</f>
        <v>55.48</v>
      </c>
      <c r="AF861">
        <f>ROUND((EV861),6)</f>
        <v>790.61</v>
      </c>
      <c r="AG861">
        <f>ROUND((AP861),6)</f>
        <v>0</v>
      </c>
      <c r="AH861">
        <f>(EW861)</f>
        <v>72.599999999999994</v>
      </c>
      <c r="AI861">
        <f>(EX861)</f>
        <v>0</v>
      </c>
      <c r="AJ861">
        <f>(AS861)</f>
        <v>0</v>
      </c>
      <c r="AK861">
        <v>2035.51</v>
      </c>
      <c r="AL861">
        <v>1016.28</v>
      </c>
      <c r="AM861">
        <v>228.62</v>
      </c>
      <c r="AN861">
        <v>55.48</v>
      </c>
      <c r="AO861">
        <v>790.61</v>
      </c>
      <c r="AP861">
        <v>0</v>
      </c>
      <c r="AQ861">
        <v>72.599999999999994</v>
      </c>
      <c r="AR861">
        <v>0</v>
      </c>
      <c r="AS861">
        <v>0</v>
      </c>
      <c r="AT861">
        <v>87</v>
      </c>
      <c r="AU861">
        <v>41</v>
      </c>
      <c r="AV861">
        <v>1</v>
      </c>
      <c r="AW861">
        <v>1</v>
      </c>
      <c r="AZ861">
        <v>1</v>
      </c>
      <c r="BA861">
        <v>24.53</v>
      </c>
      <c r="BB861">
        <v>10.25</v>
      </c>
      <c r="BC861">
        <v>7.11</v>
      </c>
      <c r="BD861" t="s">
        <v>3</v>
      </c>
      <c r="BE861" t="s">
        <v>3</v>
      </c>
      <c r="BF861" t="s">
        <v>3</v>
      </c>
      <c r="BG861" t="s">
        <v>3</v>
      </c>
      <c r="BH861">
        <v>0</v>
      </c>
      <c r="BI861">
        <v>1</v>
      </c>
      <c r="BJ861" t="s">
        <v>494</v>
      </c>
      <c r="BM861">
        <v>91</v>
      </c>
      <c r="BN861">
        <v>0</v>
      </c>
      <c r="BO861" t="s">
        <v>492</v>
      </c>
      <c r="BP861">
        <v>1</v>
      </c>
      <c r="BQ861">
        <v>30</v>
      </c>
      <c r="BR861">
        <v>0</v>
      </c>
      <c r="BS861">
        <v>24.53</v>
      </c>
      <c r="BT861">
        <v>1</v>
      </c>
      <c r="BU861">
        <v>1</v>
      </c>
      <c r="BV861">
        <v>1</v>
      </c>
      <c r="BW861">
        <v>1</v>
      </c>
      <c r="BX861">
        <v>1</v>
      </c>
      <c r="BY861" t="s">
        <v>3</v>
      </c>
      <c r="BZ861">
        <v>87</v>
      </c>
      <c r="CA861">
        <v>41</v>
      </c>
      <c r="CE861">
        <v>30</v>
      </c>
      <c r="CF861">
        <v>0</v>
      </c>
      <c r="CG861">
        <v>0</v>
      </c>
      <c r="CM861">
        <v>0</v>
      </c>
      <c r="CN861" t="s">
        <v>3</v>
      </c>
      <c r="CO861">
        <v>0</v>
      </c>
      <c r="CP861">
        <f>(P861+Q861+S861)</f>
        <v>11585.02</v>
      </c>
      <c r="CQ861">
        <f>ROUND((ROUND((AC861*AW861*1),2)*BC861),2)</f>
        <v>7225.75</v>
      </c>
      <c r="CR861">
        <f>(ROUND((ROUND(((ET861)*AV861*1),2)*BB861),2)+ROUND((ROUND(((AE861-(EU861))*AV861*1),2)*BS861),2))</f>
        <v>2343.36</v>
      </c>
      <c r="CS861">
        <f>ROUND((ROUND((AE861*AV861*1),2)*BS861),2)</f>
        <v>1360.92</v>
      </c>
      <c r="CT861">
        <f>ROUND((ROUND((AF861*AV861*1),2)*BA861),2)</f>
        <v>19393.66</v>
      </c>
      <c r="CU861">
        <f>AG861</f>
        <v>0</v>
      </c>
      <c r="CV861">
        <f>(AH861*AV861)</f>
        <v>72.599999999999994</v>
      </c>
      <c r="CW861">
        <f>AI861</f>
        <v>0</v>
      </c>
      <c r="CX861">
        <f>AJ861</f>
        <v>0</v>
      </c>
      <c r="CY861">
        <f>S861*(BZ861/100)</f>
        <v>6748.9119000000001</v>
      </c>
      <c r="CZ861">
        <f>S861*(CA861/100)</f>
        <v>3180.5216999999998</v>
      </c>
      <c r="DC861" t="s">
        <v>3</v>
      </c>
      <c r="DD861" t="s">
        <v>3</v>
      </c>
      <c r="DE861" t="s">
        <v>3</v>
      </c>
      <c r="DF861" t="s">
        <v>3</v>
      </c>
      <c r="DG861" t="s">
        <v>3</v>
      </c>
      <c r="DH861" t="s">
        <v>3</v>
      </c>
      <c r="DI861" t="s">
        <v>3</v>
      </c>
      <c r="DJ861" t="s">
        <v>3</v>
      </c>
      <c r="DK861" t="s">
        <v>3</v>
      </c>
      <c r="DL861" t="s">
        <v>3</v>
      </c>
      <c r="DM861" t="s">
        <v>3</v>
      </c>
      <c r="DN861">
        <v>120</v>
      </c>
      <c r="DO861">
        <v>84</v>
      </c>
      <c r="DP861">
        <v>1</v>
      </c>
      <c r="DQ861">
        <v>1</v>
      </c>
      <c r="DU861">
        <v>1013</v>
      </c>
      <c r="DV861" t="s">
        <v>75</v>
      </c>
      <c r="DW861" t="s">
        <v>75</v>
      </c>
      <c r="DX861">
        <v>1</v>
      </c>
      <c r="EE861">
        <v>33797676</v>
      </c>
      <c r="EF861">
        <v>30</v>
      </c>
      <c r="EG861" t="s">
        <v>77</v>
      </c>
      <c r="EH861">
        <v>0</v>
      </c>
      <c r="EI861" t="s">
        <v>3</v>
      </c>
      <c r="EJ861">
        <v>1</v>
      </c>
      <c r="EK861">
        <v>91</v>
      </c>
      <c r="EL861" t="s">
        <v>495</v>
      </c>
      <c r="EM861" t="s">
        <v>496</v>
      </c>
      <c r="EO861" t="s">
        <v>3</v>
      </c>
      <c r="EQ861">
        <v>131072</v>
      </c>
      <c r="ER861">
        <v>2035.51</v>
      </c>
      <c r="ES861">
        <v>1016.28</v>
      </c>
      <c r="ET861">
        <v>228.62</v>
      </c>
      <c r="EU861">
        <v>55.48</v>
      </c>
      <c r="EV861">
        <v>790.61</v>
      </c>
      <c r="EW861">
        <v>72.599999999999994</v>
      </c>
      <c r="EX861">
        <v>0</v>
      </c>
      <c r="EY861">
        <v>0</v>
      </c>
      <c r="FQ861">
        <v>0</v>
      </c>
      <c r="FR861">
        <f>ROUND(IF(AND(BH861=3,BI861=3),P861,0),2)</f>
        <v>0</v>
      </c>
      <c r="FS861">
        <v>0</v>
      </c>
      <c r="FX861">
        <v>120</v>
      </c>
      <c r="FY861">
        <v>84</v>
      </c>
      <c r="GA861" t="s">
        <v>3</v>
      </c>
      <c r="GD861">
        <v>0</v>
      </c>
      <c r="GF861">
        <v>300004536</v>
      </c>
      <c r="GG861">
        <v>2</v>
      </c>
      <c r="GH861">
        <v>1</v>
      </c>
      <c r="GI861">
        <v>2</v>
      </c>
      <c r="GJ861">
        <v>0</v>
      </c>
      <c r="GK861">
        <f>ROUND(R861*(R12)/100,2)</f>
        <v>854.58</v>
      </c>
      <c r="GL861">
        <f>ROUND(IF(AND(BH861=3,BI861=3,FS861&lt;&gt;0),P861,0),2)</f>
        <v>0</v>
      </c>
      <c r="GM861">
        <f>ROUND(O861+X861+Y861+GK861,2)+GX861</f>
        <v>22369.03</v>
      </c>
      <c r="GN861">
        <f>IF(OR(BI861=0,BI861=1),ROUND(O861+X861+Y861+GK861,2),0)</f>
        <v>22369.03</v>
      </c>
      <c r="GO861">
        <f>IF(BI861=2,ROUND(O861+X861+Y861+GK861,2),0)</f>
        <v>0</v>
      </c>
      <c r="GP861">
        <f>IF(BI861=4,ROUND(O861+X861+Y861+GK861,2)+GX861,0)</f>
        <v>0</v>
      </c>
      <c r="GR861">
        <v>0</v>
      </c>
      <c r="GS861">
        <v>3</v>
      </c>
      <c r="GT861">
        <v>0</v>
      </c>
      <c r="GU861" t="s">
        <v>3</v>
      </c>
      <c r="GV861">
        <f>ROUND((GT861),6)</f>
        <v>0</v>
      </c>
      <c r="GW861">
        <v>1</v>
      </c>
      <c r="GX861">
        <f>ROUND(HC861*I861,2)</f>
        <v>0</v>
      </c>
      <c r="HA861">
        <v>0</v>
      </c>
      <c r="HB861">
        <v>0</v>
      </c>
      <c r="HC861">
        <f>GV861*GW861</f>
        <v>0</v>
      </c>
      <c r="IK861">
        <v>0</v>
      </c>
    </row>
    <row r="862" spans="1:245" x14ac:dyDescent="0.2">
      <c r="A862">
        <v>18</v>
      </c>
      <c r="B862">
        <v>1</v>
      </c>
      <c r="C862">
        <v>302</v>
      </c>
      <c r="E862" t="s">
        <v>497</v>
      </c>
      <c r="F862" t="s">
        <v>498</v>
      </c>
      <c r="G862" t="s">
        <v>499</v>
      </c>
      <c r="H862" t="s">
        <v>411</v>
      </c>
      <c r="I862">
        <f>I861*J862</f>
        <v>40</v>
      </c>
      <c r="J862">
        <v>100</v>
      </c>
      <c r="O862">
        <f>ROUND(CP862,2)</f>
        <v>167928.1</v>
      </c>
      <c r="P862">
        <f>ROUND((ROUND((AC862*AW862*I862),2)*BC862),2)</f>
        <v>167928.1</v>
      </c>
      <c r="Q862">
        <f>(ROUND((ROUND(((ET862)*AV862*I862),2)*BB862),2)+ROUND((ROUND(((AE862-(EU862))*AV862*I862),2)*BS862),2))</f>
        <v>0</v>
      </c>
      <c r="R862">
        <f>ROUND((ROUND((AE862*AV862*I862),2)*BS862),2)</f>
        <v>0</v>
      </c>
      <c r="S862">
        <f>ROUND((ROUND((AF862*AV862*I862),2)*BA862),2)</f>
        <v>0</v>
      </c>
      <c r="T862">
        <f>ROUND(CU862*I862,2)</f>
        <v>0</v>
      </c>
      <c r="U862">
        <f>CV862*I862</f>
        <v>0</v>
      </c>
      <c r="V862">
        <f>CW862*I862</f>
        <v>0</v>
      </c>
      <c r="W862">
        <f>ROUND(CX862*I862,2)</f>
        <v>0</v>
      </c>
      <c r="X862">
        <f>ROUND(CY862,2)</f>
        <v>0</v>
      </c>
      <c r="Y862">
        <f>ROUND(CZ862,2)</f>
        <v>0</v>
      </c>
      <c r="AA862">
        <v>33989672</v>
      </c>
      <c r="AB862">
        <f>ROUND((AC862+AD862+AF862),6)</f>
        <v>1206.3800000000001</v>
      </c>
      <c r="AC862">
        <f>ROUND((ES862),6)</f>
        <v>1206.3800000000001</v>
      </c>
      <c r="AD862">
        <f>ROUND((((ET862)-(EU862))+AE862),6)</f>
        <v>0</v>
      </c>
      <c r="AE862">
        <f>ROUND((EU862),6)</f>
        <v>0</v>
      </c>
      <c r="AF862">
        <f>ROUND((EV862),6)</f>
        <v>0</v>
      </c>
      <c r="AG862">
        <f>ROUND((AP862),6)</f>
        <v>0</v>
      </c>
      <c r="AH862">
        <f>(EW862)</f>
        <v>0</v>
      </c>
      <c r="AI862">
        <f>(EX862)</f>
        <v>0</v>
      </c>
      <c r="AJ862">
        <f>(AS862)</f>
        <v>0</v>
      </c>
      <c r="AK862">
        <v>1206.3800000000001</v>
      </c>
      <c r="AL862">
        <v>1206.3800000000001</v>
      </c>
      <c r="AM862">
        <v>0</v>
      </c>
      <c r="AN862">
        <v>0</v>
      </c>
      <c r="AO862">
        <v>0</v>
      </c>
      <c r="AP862">
        <v>0</v>
      </c>
      <c r="AQ862">
        <v>0</v>
      </c>
      <c r="AR862">
        <v>0</v>
      </c>
      <c r="AS862">
        <v>0</v>
      </c>
      <c r="AT862">
        <v>0</v>
      </c>
      <c r="AU862">
        <v>0</v>
      </c>
      <c r="AV862">
        <v>1</v>
      </c>
      <c r="AW862">
        <v>1</v>
      </c>
      <c r="AZ862">
        <v>1</v>
      </c>
      <c r="BA862">
        <v>1</v>
      </c>
      <c r="BB862">
        <v>1</v>
      </c>
      <c r="BC862">
        <v>3.48</v>
      </c>
      <c r="BD862" t="s">
        <v>3</v>
      </c>
      <c r="BE862" t="s">
        <v>3</v>
      </c>
      <c r="BF862" t="s">
        <v>3</v>
      </c>
      <c r="BG862" t="s">
        <v>3</v>
      </c>
      <c r="BH862">
        <v>3</v>
      </c>
      <c r="BI862">
        <v>1</v>
      </c>
      <c r="BJ862" t="s">
        <v>500</v>
      </c>
      <c r="BM862">
        <v>91</v>
      </c>
      <c r="BN862">
        <v>0</v>
      </c>
      <c r="BO862" t="s">
        <v>498</v>
      </c>
      <c r="BP862">
        <v>1</v>
      </c>
      <c r="BQ862">
        <v>30</v>
      </c>
      <c r="BR862">
        <v>0</v>
      </c>
      <c r="BS862">
        <v>1</v>
      </c>
      <c r="BT862">
        <v>1</v>
      </c>
      <c r="BU862">
        <v>1</v>
      </c>
      <c r="BV862">
        <v>1</v>
      </c>
      <c r="BW862">
        <v>1</v>
      </c>
      <c r="BX862">
        <v>1</v>
      </c>
      <c r="BY862" t="s">
        <v>3</v>
      </c>
      <c r="BZ862">
        <v>0</v>
      </c>
      <c r="CA862">
        <v>0</v>
      </c>
      <c r="CE862">
        <v>30</v>
      </c>
      <c r="CF862">
        <v>0</v>
      </c>
      <c r="CG862">
        <v>0</v>
      </c>
      <c r="CM862">
        <v>0</v>
      </c>
      <c r="CN862" t="s">
        <v>3</v>
      </c>
      <c r="CO862">
        <v>0</v>
      </c>
      <c r="CP862">
        <f>(P862+Q862+S862)</f>
        <v>167928.1</v>
      </c>
      <c r="CQ862">
        <f>ROUND((ROUND((AC862*AW862*1),2)*BC862),2)</f>
        <v>4198.2</v>
      </c>
      <c r="CR862">
        <f>(ROUND((ROUND(((ET862)*AV862*1),2)*BB862),2)+ROUND((ROUND(((AE862-(EU862))*AV862*1),2)*BS862),2))</f>
        <v>0</v>
      </c>
      <c r="CS862">
        <f>ROUND((ROUND((AE862*AV862*1),2)*BS862),2)</f>
        <v>0</v>
      </c>
      <c r="CT862">
        <f>ROUND((ROUND((AF862*AV862*1),2)*BA862),2)</f>
        <v>0</v>
      </c>
      <c r="CU862">
        <f>AG862</f>
        <v>0</v>
      </c>
      <c r="CV862">
        <f>(AH862*AV862)</f>
        <v>0</v>
      </c>
      <c r="CW862">
        <f>AI862</f>
        <v>0</v>
      </c>
      <c r="CX862">
        <f>AJ862</f>
        <v>0</v>
      </c>
      <c r="CY862">
        <f>S862*(BZ862/100)</f>
        <v>0</v>
      </c>
      <c r="CZ862">
        <f>S862*(CA862/100)</f>
        <v>0</v>
      </c>
      <c r="DC862" t="s">
        <v>3</v>
      </c>
      <c r="DD862" t="s">
        <v>3</v>
      </c>
      <c r="DE862" t="s">
        <v>3</v>
      </c>
      <c r="DF862" t="s">
        <v>3</v>
      </c>
      <c r="DG862" t="s">
        <v>3</v>
      </c>
      <c r="DH862" t="s">
        <v>3</v>
      </c>
      <c r="DI862" t="s">
        <v>3</v>
      </c>
      <c r="DJ862" t="s">
        <v>3</v>
      </c>
      <c r="DK862" t="s">
        <v>3</v>
      </c>
      <c r="DL862" t="s">
        <v>3</v>
      </c>
      <c r="DM862" t="s">
        <v>3</v>
      </c>
      <c r="DN862">
        <v>120</v>
      </c>
      <c r="DO862">
        <v>84</v>
      </c>
      <c r="DP862">
        <v>1</v>
      </c>
      <c r="DQ862">
        <v>1</v>
      </c>
      <c r="DU862">
        <v>1005</v>
      </c>
      <c r="DV862" t="s">
        <v>411</v>
      </c>
      <c r="DW862" t="s">
        <v>411</v>
      </c>
      <c r="DX862">
        <v>1</v>
      </c>
      <c r="EE862">
        <v>33797676</v>
      </c>
      <c r="EF862">
        <v>30</v>
      </c>
      <c r="EG862" t="s">
        <v>77</v>
      </c>
      <c r="EH862">
        <v>0</v>
      </c>
      <c r="EI862" t="s">
        <v>3</v>
      </c>
      <c r="EJ862">
        <v>1</v>
      </c>
      <c r="EK862">
        <v>91</v>
      </c>
      <c r="EL862" t="s">
        <v>495</v>
      </c>
      <c r="EM862" t="s">
        <v>496</v>
      </c>
      <c r="EO862" t="s">
        <v>3</v>
      </c>
      <c r="EQ862">
        <v>0</v>
      </c>
      <c r="ER862">
        <v>1206.3800000000001</v>
      </c>
      <c r="ES862">
        <v>1206.3800000000001</v>
      </c>
      <c r="ET862">
        <v>0</v>
      </c>
      <c r="EU862">
        <v>0</v>
      </c>
      <c r="EV862">
        <v>0</v>
      </c>
      <c r="EW862">
        <v>0</v>
      </c>
      <c r="EX862">
        <v>0</v>
      </c>
      <c r="FQ862">
        <v>0</v>
      </c>
      <c r="FR862">
        <f>ROUND(IF(AND(BH862=3,BI862=3),P862,0),2)</f>
        <v>0</v>
      </c>
      <c r="FS862">
        <v>0</v>
      </c>
      <c r="FX862">
        <v>120</v>
      </c>
      <c r="FY862">
        <v>84</v>
      </c>
      <c r="GA862" t="s">
        <v>3</v>
      </c>
      <c r="GD862">
        <v>0</v>
      </c>
      <c r="GF862">
        <v>321713354</v>
      </c>
      <c r="GG862">
        <v>2</v>
      </c>
      <c r="GH862">
        <v>1</v>
      </c>
      <c r="GI862">
        <v>2</v>
      </c>
      <c r="GJ862">
        <v>0</v>
      </c>
      <c r="GK862">
        <f>ROUND(R862*(R12)/100,2)</f>
        <v>0</v>
      </c>
      <c r="GL862">
        <f>ROUND(IF(AND(BH862=3,BI862=3,FS862&lt;&gt;0),P862,0),2)</f>
        <v>0</v>
      </c>
      <c r="GM862">
        <f>ROUND(O862+X862+Y862+GK862,2)+GX862</f>
        <v>167928.1</v>
      </c>
      <c r="GN862">
        <f>IF(OR(BI862=0,BI862=1),ROUND(O862+X862+Y862+GK862,2),0)</f>
        <v>167928.1</v>
      </c>
      <c r="GO862">
        <f>IF(BI862=2,ROUND(O862+X862+Y862+GK862,2),0)</f>
        <v>0</v>
      </c>
      <c r="GP862">
        <f>IF(BI862=4,ROUND(O862+X862+Y862+GK862,2)+GX862,0)</f>
        <v>0</v>
      </c>
      <c r="GR862">
        <v>0</v>
      </c>
      <c r="GS862">
        <v>3</v>
      </c>
      <c r="GT862">
        <v>0</v>
      </c>
      <c r="GU862" t="s">
        <v>3</v>
      </c>
      <c r="GV862">
        <f>ROUND((GT862),6)</f>
        <v>0</v>
      </c>
      <c r="GW862">
        <v>1</v>
      </c>
      <c r="GX862">
        <f>ROUND(HC862*I862,2)</f>
        <v>0</v>
      </c>
      <c r="HA862">
        <v>0</v>
      </c>
      <c r="HB862">
        <v>0</v>
      </c>
      <c r="HC862">
        <f>GV862*GW862</f>
        <v>0</v>
      </c>
      <c r="IK862">
        <v>0</v>
      </c>
    </row>
    <row r="864" spans="1:245" x14ac:dyDescent="0.2">
      <c r="A864" s="2">
        <v>51</v>
      </c>
      <c r="B864" s="2">
        <f>B857</f>
        <v>1</v>
      </c>
      <c r="C864" s="2">
        <f>A857</f>
        <v>4</v>
      </c>
      <c r="D864" s="2">
        <f>ROW(A857)</f>
        <v>857</v>
      </c>
      <c r="E864" s="2"/>
      <c r="F864" s="2" t="str">
        <f>IF(F857&lt;&gt;"",F857,"")</f>
        <v>Новый раздел</v>
      </c>
      <c r="G864" s="2" t="str">
        <f>IF(G857&lt;&gt;"",G857,"")</f>
        <v>31.5. Накрывные элементы на подпорные стены (природный камень)</v>
      </c>
      <c r="H864" s="2">
        <v>0</v>
      </c>
      <c r="I864" s="2"/>
      <c r="J864" s="2"/>
      <c r="K864" s="2"/>
      <c r="L864" s="2"/>
      <c r="M864" s="2"/>
      <c r="N864" s="2"/>
      <c r="O864" s="2">
        <f t="shared" ref="O864:T864" si="675">ROUND(AB864,2)</f>
        <v>179513.12</v>
      </c>
      <c r="P864" s="2">
        <f t="shared" si="675"/>
        <v>170818.39</v>
      </c>
      <c r="Q864" s="2">
        <f t="shared" si="675"/>
        <v>937.36</v>
      </c>
      <c r="R864" s="2">
        <f t="shared" si="675"/>
        <v>544.32000000000005</v>
      </c>
      <c r="S864" s="2">
        <f t="shared" si="675"/>
        <v>7757.37</v>
      </c>
      <c r="T864" s="2">
        <f t="shared" si="675"/>
        <v>0</v>
      </c>
      <c r="U864" s="2">
        <f>AH864</f>
        <v>29.04</v>
      </c>
      <c r="V864" s="2">
        <f>AI864</f>
        <v>0</v>
      </c>
      <c r="W864" s="2">
        <f>ROUND(AJ864,2)</f>
        <v>0</v>
      </c>
      <c r="X864" s="2">
        <f>ROUND(AK864,2)</f>
        <v>6748.91</v>
      </c>
      <c r="Y864" s="2">
        <f>ROUND(AL864,2)</f>
        <v>3180.52</v>
      </c>
      <c r="Z864" s="2"/>
      <c r="AA864" s="2"/>
      <c r="AB864" s="2">
        <f>ROUND(SUMIF(AA861:AA862,"=33989672",O861:O862),2)</f>
        <v>179513.12</v>
      </c>
      <c r="AC864" s="2">
        <f>ROUND(SUMIF(AA861:AA862,"=33989672",P861:P862),2)</f>
        <v>170818.39</v>
      </c>
      <c r="AD864" s="2">
        <f>ROUND(SUMIF(AA861:AA862,"=33989672",Q861:Q862),2)</f>
        <v>937.36</v>
      </c>
      <c r="AE864" s="2">
        <f>ROUND(SUMIF(AA861:AA862,"=33989672",R861:R862),2)</f>
        <v>544.32000000000005</v>
      </c>
      <c r="AF864" s="2">
        <f>ROUND(SUMIF(AA861:AA862,"=33989672",S861:S862),2)</f>
        <v>7757.37</v>
      </c>
      <c r="AG864" s="2">
        <f>ROUND(SUMIF(AA861:AA862,"=33989672",T861:T862),2)</f>
        <v>0</v>
      </c>
      <c r="AH864" s="2">
        <f>SUMIF(AA861:AA862,"=33989672",U861:U862)</f>
        <v>29.04</v>
      </c>
      <c r="AI864" s="2">
        <f>SUMIF(AA861:AA862,"=33989672",V861:V862)</f>
        <v>0</v>
      </c>
      <c r="AJ864" s="2">
        <f>ROUND(SUMIF(AA861:AA862,"=33989672",W861:W862),2)</f>
        <v>0</v>
      </c>
      <c r="AK864" s="2">
        <f>ROUND(SUMIF(AA861:AA862,"=33989672",X861:X862),2)</f>
        <v>6748.91</v>
      </c>
      <c r="AL864" s="2">
        <f>ROUND(SUMIF(AA861:AA862,"=33989672",Y861:Y862),2)</f>
        <v>3180.52</v>
      </c>
      <c r="AM864" s="2"/>
      <c r="AN864" s="2"/>
      <c r="AO864" s="2">
        <f t="shared" ref="AO864:BD864" si="676">ROUND(BX864,2)</f>
        <v>0</v>
      </c>
      <c r="AP864" s="2">
        <f t="shared" si="676"/>
        <v>0</v>
      </c>
      <c r="AQ864" s="2">
        <f t="shared" si="676"/>
        <v>0</v>
      </c>
      <c r="AR864" s="2">
        <f t="shared" si="676"/>
        <v>190297.13</v>
      </c>
      <c r="AS864" s="2">
        <f t="shared" si="676"/>
        <v>190297.13</v>
      </c>
      <c r="AT864" s="2">
        <f t="shared" si="676"/>
        <v>0</v>
      </c>
      <c r="AU864" s="2">
        <f t="shared" si="676"/>
        <v>0</v>
      </c>
      <c r="AV864" s="2">
        <f t="shared" si="676"/>
        <v>170818.39</v>
      </c>
      <c r="AW864" s="2">
        <f t="shared" si="676"/>
        <v>170818.39</v>
      </c>
      <c r="AX864" s="2">
        <f t="shared" si="676"/>
        <v>0</v>
      </c>
      <c r="AY864" s="2">
        <f t="shared" si="676"/>
        <v>170818.39</v>
      </c>
      <c r="AZ864" s="2">
        <f t="shared" si="676"/>
        <v>0</v>
      </c>
      <c r="BA864" s="2">
        <f t="shared" si="676"/>
        <v>0</v>
      </c>
      <c r="BB864" s="2">
        <f t="shared" si="676"/>
        <v>0</v>
      </c>
      <c r="BC864" s="2">
        <f t="shared" si="676"/>
        <v>0</v>
      </c>
      <c r="BD864" s="2">
        <f t="shared" si="676"/>
        <v>0</v>
      </c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>
        <f>ROUND(SUMIF(AA861:AA862,"=33989672",FQ861:FQ862),2)</f>
        <v>0</v>
      </c>
      <c r="BY864" s="2">
        <f>ROUND(SUMIF(AA861:AA862,"=33989672",FR861:FR862),2)</f>
        <v>0</v>
      </c>
      <c r="BZ864" s="2">
        <f>ROUND(SUMIF(AA861:AA862,"=33989672",GL861:GL862),2)</f>
        <v>0</v>
      </c>
      <c r="CA864" s="2">
        <f>ROUND(SUMIF(AA861:AA862,"=33989672",GM861:GM862),2)</f>
        <v>190297.13</v>
      </c>
      <c r="CB864" s="2">
        <f>ROUND(SUMIF(AA861:AA862,"=33989672",GN861:GN862),2)</f>
        <v>190297.13</v>
      </c>
      <c r="CC864" s="2">
        <f>ROUND(SUMIF(AA861:AA862,"=33989672",GO861:GO862),2)</f>
        <v>0</v>
      </c>
      <c r="CD864" s="2">
        <f>ROUND(SUMIF(AA861:AA862,"=33989672",GP861:GP862),2)</f>
        <v>0</v>
      </c>
      <c r="CE864" s="2">
        <f>AC864-BX864</f>
        <v>170818.39</v>
      </c>
      <c r="CF864" s="2">
        <f>AC864-BY864</f>
        <v>170818.39</v>
      </c>
      <c r="CG864" s="2">
        <f>BX864-BZ864</f>
        <v>0</v>
      </c>
      <c r="CH864" s="2">
        <f>AC864-BX864-BY864+BZ864</f>
        <v>170818.39</v>
      </c>
      <c r="CI864" s="2">
        <f>BY864-BZ864</f>
        <v>0</v>
      </c>
      <c r="CJ864" s="2">
        <f>ROUND(SUMIF(AA861:AA862,"=33989672",GX861:GX862),2)</f>
        <v>0</v>
      </c>
      <c r="CK864" s="2">
        <f>ROUND(SUMIF(AA861:AA862,"=33989672",GY861:GY862),2)</f>
        <v>0</v>
      </c>
      <c r="CL864" s="2">
        <f>ROUND(SUMIF(AA861:AA862,"=33989672",GZ861:GZ862),2)</f>
        <v>0</v>
      </c>
      <c r="CM864" s="2">
        <f>ROUND(SUMIF(AA861:AA862,"=33989672",HD861:HD862),2)</f>
        <v>0</v>
      </c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  <c r="EP864" s="3"/>
      <c r="EQ864" s="3"/>
      <c r="ER864" s="3"/>
      <c r="ES864" s="3"/>
      <c r="ET864" s="3"/>
      <c r="EU864" s="3"/>
      <c r="EV864" s="3"/>
      <c r="EW864" s="3"/>
      <c r="EX864" s="3"/>
      <c r="EY864" s="3"/>
      <c r="EZ864" s="3"/>
      <c r="FA864" s="3"/>
      <c r="FB864" s="3"/>
      <c r="FC864" s="3"/>
      <c r="FD864" s="3"/>
      <c r="FE864" s="3"/>
      <c r="FF864" s="3"/>
      <c r="FG864" s="3"/>
      <c r="FH864" s="3"/>
      <c r="FI864" s="3"/>
      <c r="FJ864" s="3"/>
      <c r="FK864" s="3"/>
      <c r="FL864" s="3"/>
      <c r="FM864" s="3"/>
      <c r="FN864" s="3"/>
      <c r="FO864" s="3"/>
      <c r="FP864" s="3"/>
      <c r="FQ864" s="3"/>
      <c r="FR864" s="3"/>
      <c r="FS864" s="3"/>
      <c r="FT864" s="3"/>
      <c r="FU864" s="3"/>
      <c r="FV864" s="3"/>
      <c r="FW864" s="3"/>
      <c r="FX864" s="3"/>
      <c r="FY864" s="3"/>
      <c r="FZ864" s="3"/>
      <c r="GA864" s="3"/>
      <c r="GB864" s="3"/>
      <c r="GC864" s="3"/>
      <c r="GD864" s="3"/>
      <c r="GE864" s="3"/>
      <c r="GF864" s="3"/>
      <c r="GG864" s="3"/>
      <c r="GH864" s="3"/>
      <c r="GI864" s="3"/>
      <c r="GJ864" s="3"/>
      <c r="GK864" s="3"/>
      <c r="GL864" s="3"/>
      <c r="GM864" s="3"/>
      <c r="GN864" s="3"/>
      <c r="GO864" s="3"/>
      <c r="GP864" s="3"/>
      <c r="GQ864" s="3"/>
      <c r="GR864" s="3"/>
      <c r="GS864" s="3"/>
      <c r="GT864" s="3"/>
      <c r="GU864" s="3"/>
      <c r="GV864" s="3"/>
      <c r="GW864" s="3"/>
      <c r="GX864" s="3">
        <v>0</v>
      </c>
    </row>
    <row r="866" spans="1:23" x14ac:dyDescent="0.2">
      <c r="A866" s="4">
        <v>50</v>
      </c>
      <c r="B866" s="4">
        <v>0</v>
      </c>
      <c r="C866" s="4">
        <v>0</v>
      </c>
      <c r="D866" s="4">
        <v>1</v>
      </c>
      <c r="E866" s="4">
        <v>201</v>
      </c>
      <c r="F866" s="4">
        <f>ROUND(Source!O864,O866)</f>
        <v>179513.12</v>
      </c>
      <c r="G866" s="4" t="s">
        <v>89</v>
      </c>
      <c r="H866" s="4" t="s">
        <v>90</v>
      </c>
      <c r="I866" s="4"/>
      <c r="J866" s="4"/>
      <c r="K866" s="4">
        <v>201</v>
      </c>
      <c r="L866" s="4">
        <v>1</v>
      </c>
      <c r="M866" s="4">
        <v>3</v>
      </c>
      <c r="N866" s="4" t="s">
        <v>3</v>
      </c>
      <c r="O866" s="4">
        <v>2</v>
      </c>
      <c r="P866" s="4"/>
      <c r="Q866" s="4"/>
      <c r="R866" s="4"/>
      <c r="S866" s="4"/>
      <c r="T866" s="4"/>
      <c r="U866" s="4"/>
      <c r="V866" s="4"/>
      <c r="W866" s="4"/>
    </row>
    <row r="867" spans="1:23" x14ac:dyDescent="0.2">
      <c r="A867" s="4">
        <v>50</v>
      </c>
      <c r="B867" s="4">
        <v>0</v>
      </c>
      <c r="C867" s="4">
        <v>0</v>
      </c>
      <c r="D867" s="4">
        <v>1</v>
      </c>
      <c r="E867" s="4">
        <v>202</v>
      </c>
      <c r="F867" s="4">
        <f>ROUND(Source!P864,O867)</f>
        <v>170818.39</v>
      </c>
      <c r="G867" s="4" t="s">
        <v>91</v>
      </c>
      <c r="H867" s="4" t="s">
        <v>92</v>
      </c>
      <c r="I867" s="4"/>
      <c r="J867" s="4"/>
      <c r="K867" s="4">
        <v>202</v>
      </c>
      <c r="L867" s="4">
        <v>2</v>
      </c>
      <c r="M867" s="4">
        <v>3</v>
      </c>
      <c r="N867" s="4" t="s">
        <v>3</v>
      </c>
      <c r="O867" s="4">
        <v>2</v>
      </c>
      <c r="P867" s="4"/>
      <c r="Q867" s="4"/>
      <c r="R867" s="4"/>
      <c r="S867" s="4"/>
      <c r="T867" s="4"/>
      <c r="U867" s="4"/>
      <c r="V867" s="4"/>
      <c r="W867" s="4"/>
    </row>
    <row r="868" spans="1:23" x14ac:dyDescent="0.2">
      <c r="A868" s="4">
        <v>50</v>
      </c>
      <c r="B868" s="4">
        <v>0</v>
      </c>
      <c r="C868" s="4">
        <v>0</v>
      </c>
      <c r="D868" s="4">
        <v>1</v>
      </c>
      <c r="E868" s="4">
        <v>222</v>
      </c>
      <c r="F868" s="4">
        <f>ROUND(Source!AO864,O868)</f>
        <v>0</v>
      </c>
      <c r="G868" s="4" t="s">
        <v>93</v>
      </c>
      <c r="H868" s="4" t="s">
        <v>94</v>
      </c>
      <c r="I868" s="4"/>
      <c r="J868" s="4"/>
      <c r="K868" s="4">
        <v>222</v>
      </c>
      <c r="L868" s="4">
        <v>3</v>
      </c>
      <c r="M868" s="4">
        <v>3</v>
      </c>
      <c r="N868" s="4" t="s">
        <v>3</v>
      </c>
      <c r="O868" s="4">
        <v>2</v>
      </c>
      <c r="P868" s="4"/>
      <c r="Q868" s="4"/>
      <c r="R868" s="4"/>
      <c r="S868" s="4"/>
      <c r="T868" s="4"/>
      <c r="U868" s="4"/>
      <c r="V868" s="4"/>
      <c r="W868" s="4"/>
    </row>
    <row r="869" spans="1:23" x14ac:dyDescent="0.2">
      <c r="A869" s="4">
        <v>50</v>
      </c>
      <c r="B869" s="4">
        <v>0</v>
      </c>
      <c r="C869" s="4">
        <v>0</v>
      </c>
      <c r="D869" s="4">
        <v>1</v>
      </c>
      <c r="E869" s="4">
        <v>225</v>
      </c>
      <c r="F869" s="4">
        <f>ROUND(Source!AV864,O869)</f>
        <v>170818.39</v>
      </c>
      <c r="G869" s="4" t="s">
        <v>95</v>
      </c>
      <c r="H869" s="4" t="s">
        <v>96</v>
      </c>
      <c r="I869" s="4"/>
      <c r="J869" s="4"/>
      <c r="K869" s="4">
        <v>225</v>
      </c>
      <c r="L869" s="4">
        <v>4</v>
      </c>
      <c r="M869" s="4">
        <v>3</v>
      </c>
      <c r="N869" s="4" t="s">
        <v>3</v>
      </c>
      <c r="O869" s="4">
        <v>2</v>
      </c>
      <c r="P869" s="4"/>
      <c r="Q869" s="4"/>
      <c r="R869" s="4"/>
      <c r="S869" s="4"/>
      <c r="T869" s="4"/>
      <c r="U869" s="4"/>
      <c r="V869" s="4"/>
      <c r="W869" s="4"/>
    </row>
    <row r="870" spans="1:23" x14ac:dyDescent="0.2">
      <c r="A870" s="4">
        <v>50</v>
      </c>
      <c r="B870" s="4">
        <v>0</v>
      </c>
      <c r="C870" s="4">
        <v>0</v>
      </c>
      <c r="D870" s="4">
        <v>1</v>
      </c>
      <c r="E870" s="4">
        <v>226</v>
      </c>
      <c r="F870" s="4">
        <f>ROUND(Source!AW864,O870)</f>
        <v>170818.39</v>
      </c>
      <c r="G870" s="4" t="s">
        <v>97</v>
      </c>
      <c r="H870" s="4" t="s">
        <v>98</v>
      </c>
      <c r="I870" s="4"/>
      <c r="J870" s="4"/>
      <c r="K870" s="4">
        <v>226</v>
      </c>
      <c r="L870" s="4">
        <v>5</v>
      </c>
      <c r="M870" s="4">
        <v>3</v>
      </c>
      <c r="N870" s="4" t="s">
        <v>3</v>
      </c>
      <c r="O870" s="4">
        <v>2</v>
      </c>
      <c r="P870" s="4"/>
      <c r="Q870" s="4"/>
      <c r="R870" s="4"/>
      <c r="S870" s="4"/>
      <c r="T870" s="4"/>
      <c r="U870" s="4"/>
      <c r="V870" s="4"/>
      <c r="W870" s="4"/>
    </row>
    <row r="871" spans="1:23" x14ac:dyDescent="0.2">
      <c r="A871" s="4">
        <v>50</v>
      </c>
      <c r="B871" s="4">
        <v>0</v>
      </c>
      <c r="C871" s="4">
        <v>0</v>
      </c>
      <c r="D871" s="4">
        <v>1</v>
      </c>
      <c r="E871" s="4">
        <v>227</v>
      </c>
      <c r="F871" s="4">
        <f>ROUND(Source!AX864,O871)</f>
        <v>0</v>
      </c>
      <c r="G871" s="4" t="s">
        <v>99</v>
      </c>
      <c r="H871" s="4" t="s">
        <v>100</v>
      </c>
      <c r="I871" s="4"/>
      <c r="J871" s="4"/>
      <c r="K871" s="4">
        <v>227</v>
      </c>
      <c r="L871" s="4">
        <v>6</v>
      </c>
      <c r="M871" s="4">
        <v>3</v>
      </c>
      <c r="N871" s="4" t="s">
        <v>3</v>
      </c>
      <c r="O871" s="4">
        <v>2</v>
      </c>
      <c r="P871" s="4"/>
      <c r="Q871" s="4"/>
      <c r="R871" s="4"/>
      <c r="S871" s="4"/>
      <c r="T871" s="4"/>
      <c r="U871" s="4"/>
      <c r="V871" s="4"/>
      <c r="W871" s="4"/>
    </row>
    <row r="872" spans="1:23" x14ac:dyDescent="0.2">
      <c r="A872" s="4">
        <v>50</v>
      </c>
      <c r="B872" s="4">
        <v>0</v>
      </c>
      <c r="C872" s="4">
        <v>0</v>
      </c>
      <c r="D872" s="4">
        <v>1</v>
      </c>
      <c r="E872" s="4">
        <v>228</v>
      </c>
      <c r="F872" s="4">
        <f>ROUND(Source!AY864,O872)</f>
        <v>170818.39</v>
      </c>
      <c r="G872" s="4" t="s">
        <v>101</v>
      </c>
      <c r="H872" s="4" t="s">
        <v>102</v>
      </c>
      <c r="I872" s="4"/>
      <c r="J872" s="4"/>
      <c r="K872" s="4">
        <v>228</v>
      </c>
      <c r="L872" s="4">
        <v>7</v>
      </c>
      <c r="M872" s="4">
        <v>3</v>
      </c>
      <c r="N872" s="4" t="s">
        <v>3</v>
      </c>
      <c r="O872" s="4">
        <v>2</v>
      </c>
      <c r="P872" s="4"/>
      <c r="Q872" s="4"/>
      <c r="R872" s="4"/>
      <c r="S872" s="4"/>
      <c r="T872" s="4"/>
      <c r="U872" s="4"/>
      <c r="V872" s="4"/>
      <c r="W872" s="4"/>
    </row>
    <row r="873" spans="1:23" x14ac:dyDescent="0.2">
      <c r="A873" s="4">
        <v>50</v>
      </c>
      <c r="B873" s="4">
        <v>0</v>
      </c>
      <c r="C873" s="4">
        <v>0</v>
      </c>
      <c r="D873" s="4">
        <v>1</v>
      </c>
      <c r="E873" s="4">
        <v>216</v>
      </c>
      <c r="F873" s="4">
        <f>ROUND(Source!AP864,O873)</f>
        <v>0</v>
      </c>
      <c r="G873" s="4" t="s">
        <v>103</v>
      </c>
      <c r="H873" s="4" t="s">
        <v>104</v>
      </c>
      <c r="I873" s="4"/>
      <c r="J873" s="4"/>
      <c r="K873" s="4">
        <v>216</v>
      </c>
      <c r="L873" s="4">
        <v>8</v>
      </c>
      <c r="M873" s="4">
        <v>3</v>
      </c>
      <c r="N873" s="4" t="s">
        <v>3</v>
      </c>
      <c r="O873" s="4">
        <v>2</v>
      </c>
      <c r="P873" s="4"/>
      <c r="Q873" s="4"/>
      <c r="R873" s="4"/>
      <c r="S873" s="4"/>
      <c r="T873" s="4"/>
      <c r="U873" s="4"/>
      <c r="V873" s="4"/>
      <c r="W873" s="4"/>
    </row>
    <row r="874" spans="1:23" x14ac:dyDescent="0.2">
      <c r="A874" s="4">
        <v>50</v>
      </c>
      <c r="B874" s="4">
        <v>0</v>
      </c>
      <c r="C874" s="4">
        <v>0</v>
      </c>
      <c r="D874" s="4">
        <v>1</v>
      </c>
      <c r="E874" s="4">
        <v>223</v>
      </c>
      <c r="F874" s="4">
        <f>ROUND(Source!AQ864,O874)</f>
        <v>0</v>
      </c>
      <c r="G874" s="4" t="s">
        <v>105</v>
      </c>
      <c r="H874" s="4" t="s">
        <v>106</v>
      </c>
      <c r="I874" s="4"/>
      <c r="J874" s="4"/>
      <c r="K874" s="4">
        <v>223</v>
      </c>
      <c r="L874" s="4">
        <v>9</v>
      </c>
      <c r="M874" s="4">
        <v>3</v>
      </c>
      <c r="N874" s="4" t="s">
        <v>3</v>
      </c>
      <c r="O874" s="4">
        <v>2</v>
      </c>
      <c r="P874" s="4"/>
      <c r="Q874" s="4"/>
      <c r="R874" s="4"/>
      <c r="S874" s="4"/>
      <c r="T874" s="4"/>
      <c r="U874" s="4"/>
      <c r="V874" s="4"/>
      <c r="W874" s="4"/>
    </row>
    <row r="875" spans="1:23" x14ac:dyDescent="0.2">
      <c r="A875" s="4">
        <v>50</v>
      </c>
      <c r="B875" s="4">
        <v>0</v>
      </c>
      <c r="C875" s="4">
        <v>0</v>
      </c>
      <c r="D875" s="4">
        <v>1</v>
      </c>
      <c r="E875" s="4">
        <v>229</v>
      </c>
      <c r="F875" s="4">
        <f>ROUND(Source!AZ864,O875)</f>
        <v>0</v>
      </c>
      <c r="G875" s="4" t="s">
        <v>107</v>
      </c>
      <c r="H875" s="4" t="s">
        <v>108</v>
      </c>
      <c r="I875" s="4"/>
      <c r="J875" s="4"/>
      <c r="K875" s="4">
        <v>229</v>
      </c>
      <c r="L875" s="4">
        <v>10</v>
      </c>
      <c r="M875" s="4">
        <v>3</v>
      </c>
      <c r="N875" s="4" t="s">
        <v>3</v>
      </c>
      <c r="O875" s="4">
        <v>2</v>
      </c>
      <c r="P875" s="4"/>
      <c r="Q875" s="4"/>
      <c r="R875" s="4"/>
      <c r="S875" s="4"/>
      <c r="T875" s="4"/>
      <c r="U875" s="4"/>
      <c r="V875" s="4"/>
      <c r="W875" s="4"/>
    </row>
    <row r="876" spans="1:23" x14ac:dyDescent="0.2">
      <c r="A876" s="4">
        <v>50</v>
      </c>
      <c r="B876" s="4">
        <v>0</v>
      </c>
      <c r="C876" s="4">
        <v>0</v>
      </c>
      <c r="D876" s="4">
        <v>1</v>
      </c>
      <c r="E876" s="4">
        <v>203</v>
      </c>
      <c r="F876" s="4">
        <f>ROUND(Source!Q864,O876)</f>
        <v>937.36</v>
      </c>
      <c r="G876" s="4" t="s">
        <v>109</v>
      </c>
      <c r="H876" s="4" t="s">
        <v>110</v>
      </c>
      <c r="I876" s="4"/>
      <c r="J876" s="4"/>
      <c r="K876" s="4">
        <v>203</v>
      </c>
      <c r="L876" s="4">
        <v>11</v>
      </c>
      <c r="M876" s="4">
        <v>3</v>
      </c>
      <c r="N876" s="4" t="s">
        <v>3</v>
      </c>
      <c r="O876" s="4">
        <v>2</v>
      </c>
      <c r="P876" s="4"/>
      <c r="Q876" s="4"/>
      <c r="R876" s="4"/>
      <c r="S876" s="4"/>
      <c r="T876" s="4"/>
      <c r="U876" s="4"/>
      <c r="V876" s="4"/>
      <c r="W876" s="4"/>
    </row>
    <row r="877" spans="1:23" x14ac:dyDescent="0.2">
      <c r="A877" s="4">
        <v>50</v>
      </c>
      <c r="B877" s="4">
        <v>0</v>
      </c>
      <c r="C877" s="4">
        <v>0</v>
      </c>
      <c r="D877" s="4">
        <v>1</v>
      </c>
      <c r="E877" s="4">
        <v>231</v>
      </c>
      <c r="F877" s="4">
        <f>ROUND(Source!BB864,O877)</f>
        <v>0</v>
      </c>
      <c r="G877" s="4" t="s">
        <v>111</v>
      </c>
      <c r="H877" s="4" t="s">
        <v>112</v>
      </c>
      <c r="I877" s="4"/>
      <c r="J877" s="4"/>
      <c r="K877" s="4">
        <v>231</v>
      </c>
      <c r="L877" s="4">
        <v>12</v>
      </c>
      <c r="M877" s="4">
        <v>3</v>
      </c>
      <c r="N877" s="4" t="s">
        <v>3</v>
      </c>
      <c r="O877" s="4">
        <v>2</v>
      </c>
      <c r="P877" s="4"/>
      <c r="Q877" s="4"/>
      <c r="R877" s="4"/>
      <c r="S877" s="4"/>
      <c r="T877" s="4"/>
      <c r="U877" s="4"/>
      <c r="V877" s="4"/>
      <c r="W877" s="4"/>
    </row>
    <row r="878" spans="1:23" x14ac:dyDescent="0.2">
      <c r="A878" s="4">
        <v>50</v>
      </c>
      <c r="B878" s="4">
        <v>0</v>
      </c>
      <c r="C878" s="4">
        <v>0</v>
      </c>
      <c r="D878" s="4">
        <v>1</v>
      </c>
      <c r="E878" s="4">
        <v>204</v>
      </c>
      <c r="F878" s="4">
        <f>ROUND(Source!R864,O878)</f>
        <v>544.32000000000005</v>
      </c>
      <c r="G878" s="4" t="s">
        <v>113</v>
      </c>
      <c r="H878" s="4" t="s">
        <v>114</v>
      </c>
      <c r="I878" s="4"/>
      <c r="J878" s="4"/>
      <c r="K878" s="4">
        <v>204</v>
      </c>
      <c r="L878" s="4">
        <v>13</v>
      </c>
      <c r="M878" s="4">
        <v>3</v>
      </c>
      <c r="N878" s="4" t="s">
        <v>3</v>
      </c>
      <c r="O878" s="4">
        <v>2</v>
      </c>
      <c r="P878" s="4"/>
      <c r="Q878" s="4"/>
      <c r="R878" s="4"/>
      <c r="S878" s="4"/>
      <c r="T878" s="4"/>
      <c r="U878" s="4"/>
      <c r="V878" s="4"/>
      <c r="W878" s="4"/>
    </row>
    <row r="879" spans="1:23" x14ac:dyDescent="0.2">
      <c r="A879" s="4">
        <v>50</v>
      </c>
      <c r="B879" s="4">
        <v>0</v>
      </c>
      <c r="C879" s="4">
        <v>0</v>
      </c>
      <c r="D879" s="4">
        <v>1</v>
      </c>
      <c r="E879" s="4">
        <v>205</v>
      </c>
      <c r="F879" s="4">
        <f>ROUND(Source!S864,O879)</f>
        <v>7757.37</v>
      </c>
      <c r="G879" s="4" t="s">
        <v>115</v>
      </c>
      <c r="H879" s="4" t="s">
        <v>116</v>
      </c>
      <c r="I879" s="4"/>
      <c r="J879" s="4"/>
      <c r="K879" s="4">
        <v>205</v>
      </c>
      <c r="L879" s="4">
        <v>14</v>
      </c>
      <c r="M879" s="4">
        <v>3</v>
      </c>
      <c r="N879" s="4" t="s">
        <v>3</v>
      </c>
      <c r="O879" s="4">
        <v>2</v>
      </c>
      <c r="P879" s="4"/>
      <c r="Q879" s="4"/>
      <c r="R879" s="4"/>
      <c r="S879" s="4"/>
      <c r="T879" s="4"/>
      <c r="U879" s="4"/>
      <c r="V879" s="4"/>
      <c r="W879" s="4"/>
    </row>
    <row r="880" spans="1:23" x14ac:dyDescent="0.2">
      <c r="A880" s="4">
        <v>50</v>
      </c>
      <c r="B880" s="4">
        <v>0</v>
      </c>
      <c r="C880" s="4">
        <v>0</v>
      </c>
      <c r="D880" s="4">
        <v>1</v>
      </c>
      <c r="E880" s="4">
        <v>232</v>
      </c>
      <c r="F880" s="4">
        <f>ROUND(Source!BC864,O880)</f>
        <v>0</v>
      </c>
      <c r="G880" s="4" t="s">
        <v>117</v>
      </c>
      <c r="H880" s="4" t="s">
        <v>118</v>
      </c>
      <c r="I880" s="4"/>
      <c r="J880" s="4"/>
      <c r="K880" s="4">
        <v>232</v>
      </c>
      <c r="L880" s="4">
        <v>15</v>
      </c>
      <c r="M880" s="4">
        <v>3</v>
      </c>
      <c r="N880" s="4" t="s">
        <v>3</v>
      </c>
      <c r="O880" s="4">
        <v>2</v>
      </c>
      <c r="P880" s="4"/>
      <c r="Q880" s="4"/>
      <c r="R880" s="4"/>
      <c r="S880" s="4"/>
      <c r="T880" s="4"/>
      <c r="U880" s="4"/>
      <c r="V880" s="4"/>
      <c r="W880" s="4"/>
    </row>
    <row r="881" spans="1:88" x14ac:dyDescent="0.2">
      <c r="A881" s="4">
        <v>50</v>
      </c>
      <c r="B881" s="4">
        <v>0</v>
      </c>
      <c r="C881" s="4">
        <v>0</v>
      </c>
      <c r="D881" s="4">
        <v>1</v>
      </c>
      <c r="E881" s="4">
        <v>214</v>
      </c>
      <c r="F881" s="4">
        <f>ROUND(Source!AS864,O881)</f>
        <v>190297.13</v>
      </c>
      <c r="G881" s="4" t="s">
        <v>119</v>
      </c>
      <c r="H881" s="4" t="s">
        <v>120</v>
      </c>
      <c r="I881" s="4"/>
      <c r="J881" s="4"/>
      <c r="K881" s="4">
        <v>214</v>
      </c>
      <c r="L881" s="4">
        <v>16</v>
      </c>
      <c r="M881" s="4">
        <v>3</v>
      </c>
      <c r="N881" s="4" t="s">
        <v>3</v>
      </c>
      <c r="O881" s="4">
        <v>2</v>
      </c>
      <c r="P881" s="4"/>
      <c r="Q881" s="4"/>
      <c r="R881" s="4"/>
      <c r="S881" s="4"/>
      <c r="T881" s="4"/>
      <c r="U881" s="4"/>
      <c r="V881" s="4"/>
      <c r="W881" s="4"/>
    </row>
    <row r="882" spans="1:88" x14ac:dyDescent="0.2">
      <c r="A882" s="4">
        <v>50</v>
      </c>
      <c r="B882" s="4">
        <v>0</v>
      </c>
      <c r="C882" s="4">
        <v>0</v>
      </c>
      <c r="D882" s="4">
        <v>1</v>
      </c>
      <c r="E882" s="4">
        <v>215</v>
      </c>
      <c r="F882" s="4">
        <f>ROUND(Source!AT864,O882)</f>
        <v>0</v>
      </c>
      <c r="G882" s="4" t="s">
        <v>121</v>
      </c>
      <c r="H882" s="4" t="s">
        <v>122</v>
      </c>
      <c r="I882" s="4"/>
      <c r="J882" s="4"/>
      <c r="K882" s="4">
        <v>215</v>
      </c>
      <c r="L882" s="4">
        <v>17</v>
      </c>
      <c r="M882" s="4">
        <v>3</v>
      </c>
      <c r="N882" s="4" t="s">
        <v>3</v>
      </c>
      <c r="O882" s="4">
        <v>2</v>
      </c>
      <c r="P882" s="4"/>
      <c r="Q882" s="4"/>
      <c r="R882" s="4"/>
      <c r="S882" s="4"/>
      <c r="T882" s="4"/>
      <c r="U882" s="4"/>
      <c r="V882" s="4"/>
      <c r="W882" s="4"/>
    </row>
    <row r="883" spans="1:88" x14ac:dyDescent="0.2">
      <c r="A883" s="4">
        <v>50</v>
      </c>
      <c r="B883" s="4">
        <v>0</v>
      </c>
      <c r="C883" s="4">
        <v>0</v>
      </c>
      <c r="D883" s="4">
        <v>1</v>
      </c>
      <c r="E883" s="4">
        <v>217</v>
      </c>
      <c r="F883" s="4">
        <f>ROUND(Source!AU864,O883)</f>
        <v>0</v>
      </c>
      <c r="G883" s="4" t="s">
        <v>123</v>
      </c>
      <c r="H883" s="4" t="s">
        <v>124</v>
      </c>
      <c r="I883" s="4"/>
      <c r="J883" s="4"/>
      <c r="K883" s="4">
        <v>217</v>
      </c>
      <c r="L883" s="4">
        <v>18</v>
      </c>
      <c r="M883" s="4">
        <v>3</v>
      </c>
      <c r="N883" s="4" t="s">
        <v>3</v>
      </c>
      <c r="O883" s="4">
        <v>2</v>
      </c>
      <c r="P883" s="4"/>
      <c r="Q883" s="4"/>
      <c r="R883" s="4"/>
      <c r="S883" s="4"/>
      <c r="T883" s="4"/>
      <c r="U883" s="4"/>
      <c r="V883" s="4"/>
      <c r="W883" s="4"/>
    </row>
    <row r="884" spans="1:88" x14ac:dyDescent="0.2">
      <c r="A884" s="4">
        <v>50</v>
      </c>
      <c r="B884" s="4">
        <v>0</v>
      </c>
      <c r="C884" s="4">
        <v>0</v>
      </c>
      <c r="D884" s="4">
        <v>1</v>
      </c>
      <c r="E884" s="4">
        <v>230</v>
      </c>
      <c r="F884" s="4">
        <f>ROUND(Source!BA864,O884)</f>
        <v>0</v>
      </c>
      <c r="G884" s="4" t="s">
        <v>125</v>
      </c>
      <c r="H884" s="4" t="s">
        <v>126</v>
      </c>
      <c r="I884" s="4"/>
      <c r="J884" s="4"/>
      <c r="K884" s="4">
        <v>230</v>
      </c>
      <c r="L884" s="4">
        <v>19</v>
      </c>
      <c r="M884" s="4">
        <v>3</v>
      </c>
      <c r="N884" s="4" t="s">
        <v>3</v>
      </c>
      <c r="O884" s="4">
        <v>2</v>
      </c>
      <c r="P884" s="4"/>
      <c r="Q884" s="4"/>
      <c r="R884" s="4"/>
      <c r="S884" s="4"/>
      <c r="T884" s="4"/>
      <c r="U884" s="4"/>
      <c r="V884" s="4"/>
      <c r="W884" s="4"/>
    </row>
    <row r="885" spans="1:88" x14ac:dyDescent="0.2">
      <c r="A885" s="4">
        <v>50</v>
      </c>
      <c r="B885" s="4">
        <v>0</v>
      </c>
      <c r="C885" s="4">
        <v>0</v>
      </c>
      <c r="D885" s="4">
        <v>1</v>
      </c>
      <c r="E885" s="4">
        <v>206</v>
      </c>
      <c r="F885" s="4">
        <f>ROUND(Source!T864,O885)</f>
        <v>0</v>
      </c>
      <c r="G885" s="4" t="s">
        <v>127</v>
      </c>
      <c r="H885" s="4" t="s">
        <v>128</v>
      </c>
      <c r="I885" s="4"/>
      <c r="J885" s="4"/>
      <c r="K885" s="4">
        <v>206</v>
      </c>
      <c r="L885" s="4">
        <v>20</v>
      </c>
      <c r="M885" s="4">
        <v>3</v>
      </c>
      <c r="N885" s="4" t="s">
        <v>3</v>
      </c>
      <c r="O885" s="4">
        <v>2</v>
      </c>
      <c r="P885" s="4"/>
      <c r="Q885" s="4"/>
      <c r="R885" s="4"/>
      <c r="S885" s="4"/>
      <c r="T885" s="4"/>
      <c r="U885" s="4"/>
      <c r="V885" s="4"/>
      <c r="W885" s="4"/>
    </row>
    <row r="886" spans="1:88" x14ac:dyDescent="0.2">
      <c r="A886" s="4">
        <v>50</v>
      </c>
      <c r="B886" s="4">
        <v>0</v>
      </c>
      <c r="C886" s="4">
        <v>0</v>
      </c>
      <c r="D886" s="4">
        <v>1</v>
      </c>
      <c r="E886" s="4">
        <v>207</v>
      </c>
      <c r="F886" s="4">
        <f>Source!U864</f>
        <v>29.04</v>
      </c>
      <c r="G886" s="4" t="s">
        <v>129</v>
      </c>
      <c r="H886" s="4" t="s">
        <v>130</v>
      </c>
      <c r="I886" s="4"/>
      <c r="J886" s="4"/>
      <c r="K886" s="4">
        <v>207</v>
      </c>
      <c r="L886" s="4">
        <v>21</v>
      </c>
      <c r="M886" s="4">
        <v>3</v>
      </c>
      <c r="N886" s="4" t="s">
        <v>3</v>
      </c>
      <c r="O886" s="4">
        <v>-1</v>
      </c>
      <c r="P886" s="4"/>
      <c r="Q886" s="4"/>
      <c r="R886" s="4"/>
      <c r="S886" s="4"/>
      <c r="T886" s="4"/>
      <c r="U886" s="4"/>
      <c r="V886" s="4"/>
      <c r="W886" s="4"/>
    </row>
    <row r="887" spans="1:88" x14ac:dyDescent="0.2">
      <c r="A887" s="4">
        <v>50</v>
      </c>
      <c r="B887" s="4">
        <v>0</v>
      </c>
      <c r="C887" s="4">
        <v>0</v>
      </c>
      <c r="D887" s="4">
        <v>1</v>
      </c>
      <c r="E887" s="4">
        <v>208</v>
      </c>
      <c r="F887" s="4">
        <f>Source!V864</f>
        <v>0</v>
      </c>
      <c r="G887" s="4" t="s">
        <v>131</v>
      </c>
      <c r="H887" s="4" t="s">
        <v>132</v>
      </c>
      <c r="I887" s="4"/>
      <c r="J887" s="4"/>
      <c r="K887" s="4">
        <v>208</v>
      </c>
      <c r="L887" s="4">
        <v>22</v>
      </c>
      <c r="M887" s="4">
        <v>3</v>
      </c>
      <c r="N887" s="4" t="s">
        <v>3</v>
      </c>
      <c r="O887" s="4">
        <v>-1</v>
      </c>
      <c r="P887" s="4"/>
      <c r="Q887" s="4"/>
      <c r="R887" s="4"/>
      <c r="S887" s="4"/>
      <c r="T887" s="4"/>
      <c r="U887" s="4"/>
      <c r="V887" s="4"/>
      <c r="W887" s="4"/>
    </row>
    <row r="888" spans="1:88" x14ac:dyDescent="0.2">
      <c r="A888" s="4">
        <v>50</v>
      </c>
      <c r="B888" s="4">
        <v>0</v>
      </c>
      <c r="C888" s="4">
        <v>0</v>
      </c>
      <c r="D888" s="4">
        <v>1</v>
      </c>
      <c r="E888" s="4">
        <v>209</v>
      </c>
      <c r="F888" s="4">
        <f>ROUND(Source!W864,O888)</f>
        <v>0</v>
      </c>
      <c r="G888" s="4" t="s">
        <v>133</v>
      </c>
      <c r="H888" s="4" t="s">
        <v>134</v>
      </c>
      <c r="I888" s="4"/>
      <c r="J888" s="4"/>
      <c r="K888" s="4">
        <v>209</v>
      </c>
      <c r="L888" s="4">
        <v>23</v>
      </c>
      <c r="M888" s="4">
        <v>3</v>
      </c>
      <c r="N888" s="4" t="s">
        <v>3</v>
      </c>
      <c r="O888" s="4">
        <v>2</v>
      </c>
      <c r="P888" s="4"/>
      <c r="Q888" s="4"/>
      <c r="R888" s="4"/>
      <c r="S888" s="4"/>
      <c r="T888" s="4"/>
      <c r="U888" s="4"/>
      <c r="V888" s="4"/>
      <c r="W888" s="4"/>
    </row>
    <row r="889" spans="1:88" x14ac:dyDescent="0.2">
      <c r="A889" s="4">
        <v>50</v>
      </c>
      <c r="B889" s="4">
        <v>0</v>
      </c>
      <c r="C889" s="4">
        <v>0</v>
      </c>
      <c r="D889" s="4">
        <v>1</v>
      </c>
      <c r="E889" s="4">
        <v>233</v>
      </c>
      <c r="F889" s="4">
        <f>ROUND(Source!BD864,O889)</f>
        <v>0</v>
      </c>
      <c r="G889" s="4" t="s">
        <v>135</v>
      </c>
      <c r="H889" s="4" t="s">
        <v>136</v>
      </c>
      <c r="I889" s="4"/>
      <c r="J889" s="4"/>
      <c r="K889" s="4">
        <v>233</v>
      </c>
      <c r="L889" s="4">
        <v>24</v>
      </c>
      <c r="M889" s="4">
        <v>3</v>
      </c>
      <c r="N889" s="4" t="s">
        <v>3</v>
      </c>
      <c r="O889" s="4">
        <v>2</v>
      </c>
      <c r="P889" s="4"/>
      <c r="Q889" s="4"/>
      <c r="R889" s="4"/>
      <c r="S889" s="4"/>
      <c r="T889" s="4"/>
      <c r="U889" s="4"/>
      <c r="V889" s="4"/>
      <c r="W889" s="4"/>
    </row>
    <row r="890" spans="1:88" x14ac:dyDescent="0.2">
      <c r="A890" s="4">
        <v>50</v>
      </c>
      <c r="B890" s="4">
        <v>0</v>
      </c>
      <c r="C890" s="4">
        <v>0</v>
      </c>
      <c r="D890" s="4">
        <v>1</v>
      </c>
      <c r="E890" s="4">
        <v>210</v>
      </c>
      <c r="F890" s="4">
        <f>ROUND(Source!X864,O890)</f>
        <v>6748.91</v>
      </c>
      <c r="G890" s="4" t="s">
        <v>137</v>
      </c>
      <c r="H890" s="4" t="s">
        <v>138</v>
      </c>
      <c r="I890" s="4"/>
      <c r="J890" s="4"/>
      <c r="K890" s="4">
        <v>210</v>
      </c>
      <c r="L890" s="4">
        <v>25</v>
      </c>
      <c r="M890" s="4">
        <v>3</v>
      </c>
      <c r="N890" s="4" t="s">
        <v>3</v>
      </c>
      <c r="O890" s="4">
        <v>2</v>
      </c>
      <c r="P890" s="4"/>
      <c r="Q890" s="4"/>
      <c r="R890" s="4"/>
      <c r="S890" s="4"/>
      <c r="T890" s="4"/>
      <c r="U890" s="4"/>
      <c r="V890" s="4"/>
      <c r="W890" s="4"/>
    </row>
    <row r="891" spans="1:88" x14ac:dyDescent="0.2">
      <c r="A891" s="4">
        <v>50</v>
      </c>
      <c r="B891" s="4">
        <v>0</v>
      </c>
      <c r="C891" s="4">
        <v>0</v>
      </c>
      <c r="D891" s="4">
        <v>1</v>
      </c>
      <c r="E891" s="4">
        <v>211</v>
      </c>
      <c r="F891" s="4">
        <f>ROUND(Source!Y864,O891)</f>
        <v>3180.52</v>
      </c>
      <c r="G891" s="4" t="s">
        <v>139</v>
      </c>
      <c r="H891" s="4" t="s">
        <v>140</v>
      </c>
      <c r="I891" s="4"/>
      <c r="J891" s="4"/>
      <c r="K891" s="4">
        <v>211</v>
      </c>
      <c r="L891" s="4">
        <v>26</v>
      </c>
      <c r="M891" s="4">
        <v>3</v>
      </c>
      <c r="N891" s="4" t="s">
        <v>3</v>
      </c>
      <c r="O891" s="4">
        <v>2</v>
      </c>
      <c r="P891" s="4"/>
      <c r="Q891" s="4"/>
      <c r="R891" s="4"/>
      <c r="S891" s="4"/>
      <c r="T891" s="4"/>
      <c r="U891" s="4"/>
      <c r="V891" s="4"/>
      <c r="W891" s="4"/>
    </row>
    <row r="892" spans="1:88" x14ac:dyDescent="0.2">
      <c r="A892" s="4">
        <v>50</v>
      </c>
      <c r="B892" s="4">
        <v>0</v>
      </c>
      <c r="C892" s="4">
        <v>0</v>
      </c>
      <c r="D892" s="4">
        <v>1</v>
      </c>
      <c r="E892" s="4">
        <v>224</v>
      </c>
      <c r="F892" s="4">
        <f>ROUND(Source!AR864,O892)</f>
        <v>190297.13</v>
      </c>
      <c r="G892" s="4" t="s">
        <v>141</v>
      </c>
      <c r="H892" s="4" t="s">
        <v>142</v>
      </c>
      <c r="I892" s="4"/>
      <c r="J892" s="4"/>
      <c r="K892" s="4">
        <v>224</v>
      </c>
      <c r="L892" s="4">
        <v>27</v>
      </c>
      <c r="M892" s="4">
        <v>3</v>
      </c>
      <c r="N892" s="4" t="s">
        <v>3</v>
      </c>
      <c r="O892" s="4">
        <v>2</v>
      </c>
      <c r="P892" s="4"/>
      <c r="Q892" s="4"/>
      <c r="R892" s="4"/>
      <c r="S892" s="4"/>
      <c r="T892" s="4"/>
      <c r="U892" s="4"/>
      <c r="V892" s="4"/>
      <c r="W892" s="4"/>
    </row>
    <row r="893" spans="1:88" x14ac:dyDescent="0.2">
      <c r="A893" s="4">
        <v>50</v>
      </c>
      <c r="B893" s="4">
        <v>1</v>
      </c>
      <c r="C893" s="4">
        <v>0</v>
      </c>
      <c r="D893" s="4">
        <v>2</v>
      </c>
      <c r="E893" s="4">
        <v>0</v>
      </c>
      <c r="F893" s="4">
        <f>ROUND(F892*1.2,O893)</f>
        <v>228356.56</v>
      </c>
      <c r="G893" s="4" t="s">
        <v>15</v>
      </c>
      <c r="H893" s="4" t="s">
        <v>239</v>
      </c>
      <c r="I893" s="4"/>
      <c r="J893" s="4"/>
      <c r="K893" s="4">
        <v>212</v>
      </c>
      <c r="L893" s="4">
        <v>28</v>
      </c>
      <c r="M893" s="4">
        <v>0</v>
      </c>
      <c r="N893" s="4" t="s">
        <v>3</v>
      </c>
      <c r="O893" s="4">
        <v>2</v>
      </c>
      <c r="P893" s="4"/>
      <c r="Q893" s="4"/>
      <c r="R893" s="4"/>
      <c r="S893" s="4"/>
      <c r="T893" s="4"/>
      <c r="U893" s="4"/>
      <c r="V893" s="4"/>
      <c r="W893" s="4"/>
    </row>
    <row r="895" spans="1:88" x14ac:dyDescent="0.2">
      <c r="A895" s="1">
        <v>4</v>
      </c>
      <c r="B895" s="1">
        <v>1</v>
      </c>
      <c r="C895" s="1"/>
      <c r="D895" s="1">
        <f>ROW(A899)</f>
        <v>899</v>
      </c>
      <c r="E895" s="1"/>
      <c r="F895" s="1" t="s">
        <v>13</v>
      </c>
      <c r="G895" s="1" t="s">
        <v>501</v>
      </c>
      <c r="H895" s="1" t="s">
        <v>3</v>
      </c>
      <c r="I895" s="1">
        <v>0</v>
      </c>
      <c r="J895" s="1"/>
      <c r="K895" s="1">
        <v>0</v>
      </c>
      <c r="L895" s="1"/>
      <c r="M895" s="1"/>
      <c r="N895" s="1"/>
      <c r="O895" s="1"/>
      <c r="P895" s="1"/>
      <c r="Q895" s="1"/>
      <c r="R895" s="1"/>
      <c r="S895" s="1"/>
      <c r="T895" s="1"/>
      <c r="U895" s="1" t="s">
        <v>3</v>
      </c>
      <c r="V895" s="1">
        <v>0</v>
      </c>
      <c r="W895" s="1"/>
      <c r="X895" s="1"/>
      <c r="Y895" s="1"/>
      <c r="Z895" s="1"/>
      <c r="AA895" s="1"/>
      <c r="AB895" s="1" t="s">
        <v>3</v>
      </c>
      <c r="AC895" s="1" t="s">
        <v>3</v>
      </c>
      <c r="AD895" s="1" t="s">
        <v>3</v>
      </c>
      <c r="AE895" s="1" t="s">
        <v>3</v>
      </c>
      <c r="AF895" s="1" t="s">
        <v>3</v>
      </c>
      <c r="AG895" s="1" t="s">
        <v>3</v>
      </c>
      <c r="AH895" s="1"/>
      <c r="AI895" s="1"/>
      <c r="AJ895" s="1"/>
      <c r="AK895" s="1"/>
      <c r="AL895" s="1"/>
      <c r="AM895" s="1"/>
      <c r="AN895" s="1"/>
      <c r="AO895" s="1"/>
      <c r="AP895" s="1" t="s">
        <v>3</v>
      </c>
      <c r="AQ895" s="1" t="s">
        <v>3</v>
      </c>
      <c r="AR895" s="1" t="s">
        <v>3</v>
      </c>
      <c r="AS895" s="1"/>
      <c r="AT895" s="1"/>
      <c r="AU895" s="1"/>
      <c r="AV895" s="1"/>
      <c r="AW895" s="1"/>
      <c r="AX895" s="1"/>
      <c r="AY895" s="1"/>
      <c r="AZ895" s="1" t="s">
        <v>3</v>
      </c>
      <c r="BA895" s="1"/>
      <c r="BB895" s="1" t="s">
        <v>3</v>
      </c>
      <c r="BC895" s="1" t="s">
        <v>3</v>
      </c>
      <c r="BD895" s="1" t="s">
        <v>3</v>
      </c>
      <c r="BE895" s="1" t="s">
        <v>3</v>
      </c>
      <c r="BF895" s="1" t="s">
        <v>3</v>
      </c>
      <c r="BG895" s="1" t="s">
        <v>3</v>
      </c>
      <c r="BH895" s="1" t="s">
        <v>3</v>
      </c>
      <c r="BI895" s="1" t="s">
        <v>3</v>
      </c>
      <c r="BJ895" s="1" t="s">
        <v>3</v>
      </c>
      <c r="BK895" s="1" t="s">
        <v>3</v>
      </c>
      <c r="BL895" s="1" t="s">
        <v>3</v>
      </c>
      <c r="BM895" s="1" t="s">
        <v>3</v>
      </c>
      <c r="BN895" s="1" t="s">
        <v>3</v>
      </c>
      <c r="BO895" s="1" t="s">
        <v>3</v>
      </c>
      <c r="BP895" s="1" t="s">
        <v>3</v>
      </c>
      <c r="BQ895" s="1"/>
      <c r="BR895" s="1"/>
      <c r="BS895" s="1"/>
      <c r="BT895" s="1"/>
      <c r="BU895" s="1"/>
      <c r="BV895" s="1"/>
      <c r="BW895" s="1"/>
      <c r="BX895" s="1">
        <v>0</v>
      </c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>
        <v>0</v>
      </c>
    </row>
    <row r="897" spans="1:206" x14ac:dyDescent="0.2">
      <c r="A897" s="2">
        <v>52</v>
      </c>
      <c r="B897" s="2">
        <f t="shared" ref="B897:G897" si="677">B899</f>
        <v>1</v>
      </c>
      <c r="C897" s="2">
        <f t="shared" si="677"/>
        <v>4</v>
      </c>
      <c r="D897" s="2">
        <f t="shared" si="677"/>
        <v>895</v>
      </c>
      <c r="E897" s="2">
        <f t="shared" si="677"/>
        <v>0</v>
      </c>
      <c r="F897" s="2" t="str">
        <f t="shared" si="677"/>
        <v>Новый раздел</v>
      </c>
      <c r="G897" s="2" t="str">
        <f t="shared" si="677"/>
        <v>33. Устройство подпорной стенки (облицовочная плитка)</v>
      </c>
      <c r="H897" s="2"/>
      <c r="I897" s="2"/>
      <c r="J897" s="2"/>
      <c r="K897" s="2"/>
      <c r="L897" s="2"/>
      <c r="M897" s="2"/>
      <c r="N897" s="2"/>
      <c r="O897" s="2">
        <f t="shared" ref="O897:AT897" si="678">O899</f>
        <v>0</v>
      </c>
      <c r="P897" s="2">
        <f t="shared" si="678"/>
        <v>0</v>
      </c>
      <c r="Q897" s="2">
        <f t="shared" si="678"/>
        <v>0</v>
      </c>
      <c r="R897" s="2">
        <f t="shared" si="678"/>
        <v>0</v>
      </c>
      <c r="S897" s="2">
        <f t="shared" si="678"/>
        <v>0</v>
      </c>
      <c r="T897" s="2">
        <f t="shared" si="678"/>
        <v>0</v>
      </c>
      <c r="U897" s="2">
        <f t="shared" si="678"/>
        <v>0</v>
      </c>
      <c r="V897" s="2">
        <f t="shared" si="678"/>
        <v>0</v>
      </c>
      <c r="W897" s="2">
        <f t="shared" si="678"/>
        <v>0</v>
      </c>
      <c r="X897" s="2">
        <f t="shared" si="678"/>
        <v>0</v>
      </c>
      <c r="Y897" s="2">
        <f t="shared" si="678"/>
        <v>0</v>
      </c>
      <c r="Z897" s="2">
        <f t="shared" si="678"/>
        <v>0</v>
      </c>
      <c r="AA897" s="2">
        <f t="shared" si="678"/>
        <v>0</v>
      </c>
      <c r="AB897" s="2">
        <f t="shared" si="678"/>
        <v>0</v>
      </c>
      <c r="AC897" s="2">
        <f t="shared" si="678"/>
        <v>0</v>
      </c>
      <c r="AD897" s="2">
        <f t="shared" si="678"/>
        <v>0</v>
      </c>
      <c r="AE897" s="2">
        <f t="shared" si="678"/>
        <v>0</v>
      </c>
      <c r="AF897" s="2">
        <f t="shared" si="678"/>
        <v>0</v>
      </c>
      <c r="AG897" s="2">
        <f t="shared" si="678"/>
        <v>0</v>
      </c>
      <c r="AH897" s="2">
        <f t="shared" si="678"/>
        <v>0</v>
      </c>
      <c r="AI897" s="2">
        <f t="shared" si="678"/>
        <v>0</v>
      </c>
      <c r="AJ897" s="2">
        <f t="shared" si="678"/>
        <v>0</v>
      </c>
      <c r="AK897" s="2">
        <f t="shared" si="678"/>
        <v>0</v>
      </c>
      <c r="AL897" s="2">
        <f t="shared" si="678"/>
        <v>0</v>
      </c>
      <c r="AM897" s="2">
        <f t="shared" si="678"/>
        <v>0</v>
      </c>
      <c r="AN897" s="2">
        <f t="shared" si="678"/>
        <v>0</v>
      </c>
      <c r="AO897" s="2">
        <f t="shared" si="678"/>
        <v>0</v>
      </c>
      <c r="AP897" s="2">
        <f t="shared" si="678"/>
        <v>0</v>
      </c>
      <c r="AQ897" s="2">
        <f t="shared" si="678"/>
        <v>0</v>
      </c>
      <c r="AR897" s="2">
        <f t="shared" si="678"/>
        <v>0</v>
      </c>
      <c r="AS897" s="2">
        <f t="shared" si="678"/>
        <v>0</v>
      </c>
      <c r="AT897" s="2">
        <f t="shared" si="678"/>
        <v>0</v>
      </c>
      <c r="AU897" s="2">
        <f t="shared" ref="AU897:BZ897" si="679">AU899</f>
        <v>0</v>
      </c>
      <c r="AV897" s="2">
        <f t="shared" si="679"/>
        <v>0</v>
      </c>
      <c r="AW897" s="2">
        <f t="shared" si="679"/>
        <v>0</v>
      </c>
      <c r="AX897" s="2">
        <f t="shared" si="679"/>
        <v>0</v>
      </c>
      <c r="AY897" s="2">
        <f t="shared" si="679"/>
        <v>0</v>
      </c>
      <c r="AZ897" s="2">
        <f t="shared" si="679"/>
        <v>0</v>
      </c>
      <c r="BA897" s="2">
        <f t="shared" si="679"/>
        <v>0</v>
      </c>
      <c r="BB897" s="2">
        <f t="shared" si="679"/>
        <v>0</v>
      </c>
      <c r="BC897" s="2">
        <f t="shared" si="679"/>
        <v>0</v>
      </c>
      <c r="BD897" s="2">
        <f t="shared" si="679"/>
        <v>0</v>
      </c>
      <c r="BE897" s="2">
        <f t="shared" si="679"/>
        <v>0</v>
      </c>
      <c r="BF897" s="2">
        <f t="shared" si="679"/>
        <v>0</v>
      </c>
      <c r="BG897" s="2">
        <f t="shared" si="679"/>
        <v>0</v>
      </c>
      <c r="BH897" s="2">
        <f t="shared" si="679"/>
        <v>0</v>
      </c>
      <c r="BI897" s="2">
        <f t="shared" si="679"/>
        <v>0</v>
      </c>
      <c r="BJ897" s="2">
        <f t="shared" si="679"/>
        <v>0</v>
      </c>
      <c r="BK897" s="2">
        <f t="shared" si="679"/>
        <v>0</v>
      </c>
      <c r="BL897" s="2">
        <f t="shared" si="679"/>
        <v>0</v>
      </c>
      <c r="BM897" s="2">
        <f t="shared" si="679"/>
        <v>0</v>
      </c>
      <c r="BN897" s="2">
        <f t="shared" si="679"/>
        <v>0</v>
      </c>
      <c r="BO897" s="2">
        <f t="shared" si="679"/>
        <v>0</v>
      </c>
      <c r="BP897" s="2">
        <f t="shared" si="679"/>
        <v>0</v>
      </c>
      <c r="BQ897" s="2">
        <f t="shared" si="679"/>
        <v>0</v>
      </c>
      <c r="BR897" s="2">
        <f t="shared" si="679"/>
        <v>0</v>
      </c>
      <c r="BS897" s="2">
        <f t="shared" si="679"/>
        <v>0</v>
      </c>
      <c r="BT897" s="2">
        <f t="shared" si="679"/>
        <v>0</v>
      </c>
      <c r="BU897" s="2">
        <f t="shared" si="679"/>
        <v>0</v>
      </c>
      <c r="BV897" s="2">
        <f t="shared" si="679"/>
        <v>0</v>
      </c>
      <c r="BW897" s="2">
        <f t="shared" si="679"/>
        <v>0</v>
      </c>
      <c r="BX897" s="2">
        <f t="shared" si="679"/>
        <v>0</v>
      </c>
      <c r="BY897" s="2">
        <f t="shared" si="679"/>
        <v>0</v>
      </c>
      <c r="BZ897" s="2">
        <f t="shared" si="679"/>
        <v>0</v>
      </c>
      <c r="CA897" s="2">
        <f t="shared" ref="CA897:DF897" si="680">CA899</f>
        <v>0</v>
      </c>
      <c r="CB897" s="2">
        <f t="shared" si="680"/>
        <v>0</v>
      </c>
      <c r="CC897" s="2">
        <f t="shared" si="680"/>
        <v>0</v>
      </c>
      <c r="CD897" s="2">
        <f t="shared" si="680"/>
        <v>0</v>
      </c>
      <c r="CE897" s="2">
        <f t="shared" si="680"/>
        <v>0</v>
      </c>
      <c r="CF897" s="2">
        <f t="shared" si="680"/>
        <v>0</v>
      </c>
      <c r="CG897" s="2">
        <f t="shared" si="680"/>
        <v>0</v>
      </c>
      <c r="CH897" s="2">
        <f t="shared" si="680"/>
        <v>0</v>
      </c>
      <c r="CI897" s="2">
        <f t="shared" si="680"/>
        <v>0</v>
      </c>
      <c r="CJ897" s="2">
        <f t="shared" si="680"/>
        <v>0</v>
      </c>
      <c r="CK897" s="2">
        <f t="shared" si="680"/>
        <v>0</v>
      </c>
      <c r="CL897" s="2">
        <f t="shared" si="680"/>
        <v>0</v>
      </c>
      <c r="CM897" s="2">
        <f t="shared" si="680"/>
        <v>0</v>
      </c>
      <c r="CN897" s="2">
        <f t="shared" si="680"/>
        <v>0</v>
      </c>
      <c r="CO897" s="2">
        <f t="shared" si="680"/>
        <v>0</v>
      </c>
      <c r="CP897" s="2">
        <f t="shared" si="680"/>
        <v>0</v>
      </c>
      <c r="CQ897" s="2">
        <f t="shared" si="680"/>
        <v>0</v>
      </c>
      <c r="CR897" s="2">
        <f t="shared" si="680"/>
        <v>0</v>
      </c>
      <c r="CS897" s="2">
        <f t="shared" si="680"/>
        <v>0</v>
      </c>
      <c r="CT897" s="2">
        <f t="shared" si="680"/>
        <v>0</v>
      </c>
      <c r="CU897" s="2">
        <f t="shared" si="680"/>
        <v>0</v>
      </c>
      <c r="CV897" s="2">
        <f t="shared" si="680"/>
        <v>0</v>
      </c>
      <c r="CW897" s="2">
        <f t="shared" si="680"/>
        <v>0</v>
      </c>
      <c r="CX897" s="2">
        <f t="shared" si="680"/>
        <v>0</v>
      </c>
      <c r="CY897" s="2">
        <f t="shared" si="680"/>
        <v>0</v>
      </c>
      <c r="CZ897" s="2">
        <f t="shared" si="680"/>
        <v>0</v>
      </c>
      <c r="DA897" s="2">
        <f t="shared" si="680"/>
        <v>0</v>
      </c>
      <c r="DB897" s="2">
        <f t="shared" si="680"/>
        <v>0</v>
      </c>
      <c r="DC897" s="2">
        <f t="shared" si="680"/>
        <v>0</v>
      </c>
      <c r="DD897" s="2">
        <f t="shared" si="680"/>
        <v>0</v>
      </c>
      <c r="DE897" s="2">
        <f t="shared" si="680"/>
        <v>0</v>
      </c>
      <c r="DF897" s="2">
        <f t="shared" si="680"/>
        <v>0</v>
      </c>
      <c r="DG897" s="3">
        <f t="shared" ref="DG897:EL897" si="681">DG899</f>
        <v>0</v>
      </c>
      <c r="DH897" s="3">
        <f t="shared" si="681"/>
        <v>0</v>
      </c>
      <c r="DI897" s="3">
        <f t="shared" si="681"/>
        <v>0</v>
      </c>
      <c r="DJ897" s="3">
        <f t="shared" si="681"/>
        <v>0</v>
      </c>
      <c r="DK897" s="3">
        <f t="shared" si="681"/>
        <v>0</v>
      </c>
      <c r="DL897" s="3">
        <f t="shared" si="681"/>
        <v>0</v>
      </c>
      <c r="DM897" s="3">
        <f t="shared" si="681"/>
        <v>0</v>
      </c>
      <c r="DN897" s="3">
        <f t="shared" si="681"/>
        <v>0</v>
      </c>
      <c r="DO897" s="3">
        <f t="shared" si="681"/>
        <v>0</v>
      </c>
      <c r="DP897" s="3">
        <f t="shared" si="681"/>
        <v>0</v>
      </c>
      <c r="DQ897" s="3">
        <f t="shared" si="681"/>
        <v>0</v>
      </c>
      <c r="DR897" s="3">
        <f t="shared" si="681"/>
        <v>0</v>
      </c>
      <c r="DS897" s="3">
        <f t="shared" si="681"/>
        <v>0</v>
      </c>
      <c r="DT897" s="3">
        <f t="shared" si="681"/>
        <v>0</v>
      </c>
      <c r="DU897" s="3">
        <f t="shared" si="681"/>
        <v>0</v>
      </c>
      <c r="DV897" s="3">
        <f t="shared" si="681"/>
        <v>0</v>
      </c>
      <c r="DW897" s="3">
        <f t="shared" si="681"/>
        <v>0</v>
      </c>
      <c r="DX897" s="3">
        <f t="shared" si="681"/>
        <v>0</v>
      </c>
      <c r="DY897" s="3">
        <f t="shared" si="681"/>
        <v>0</v>
      </c>
      <c r="DZ897" s="3">
        <f t="shared" si="681"/>
        <v>0</v>
      </c>
      <c r="EA897" s="3">
        <f t="shared" si="681"/>
        <v>0</v>
      </c>
      <c r="EB897" s="3">
        <f t="shared" si="681"/>
        <v>0</v>
      </c>
      <c r="EC897" s="3">
        <f t="shared" si="681"/>
        <v>0</v>
      </c>
      <c r="ED897" s="3">
        <f t="shared" si="681"/>
        <v>0</v>
      </c>
      <c r="EE897" s="3">
        <f t="shared" si="681"/>
        <v>0</v>
      </c>
      <c r="EF897" s="3">
        <f t="shared" si="681"/>
        <v>0</v>
      </c>
      <c r="EG897" s="3">
        <f t="shared" si="681"/>
        <v>0</v>
      </c>
      <c r="EH897" s="3">
        <f t="shared" si="681"/>
        <v>0</v>
      </c>
      <c r="EI897" s="3">
        <f t="shared" si="681"/>
        <v>0</v>
      </c>
      <c r="EJ897" s="3">
        <f t="shared" si="681"/>
        <v>0</v>
      </c>
      <c r="EK897" s="3">
        <f t="shared" si="681"/>
        <v>0</v>
      </c>
      <c r="EL897" s="3">
        <f t="shared" si="681"/>
        <v>0</v>
      </c>
      <c r="EM897" s="3">
        <f t="shared" ref="EM897:FR897" si="682">EM899</f>
        <v>0</v>
      </c>
      <c r="EN897" s="3">
        <f t="shared" si="682"/>
        <v>0</v>
      </c>
      <c r="EO897" s="3">
        <f t="shared" si="682"/>
        <v>0</v>
      </c>
      <c r="EP897" s="3">
        <f t="shared" si="682"/>
        <v>0</v>
      </c>
      <c r="EQ897" s="3">
        <f t="shared" si="682"/>
        <v>0</v>
      </c>
      <c r="ER897" s="3">
        <f t="shared" si="682"/>
        <v>0</v>
      </c>
      <c r="ES897" s="3">
        <f t="shared" si="682"/>
        <v>0</v>
      </c>
      <c r="ET897" s="3">
        <f t="shared" si="682"/>
        <v>0</v>
      </c>
      <c r="EU897" s="3">
        <f t="shared" si="682"/>
        <v>0</v>
      </c>
      <c r="EV897" s="3">
        <f t="shared" si="682"/>
        <v>0</v>
      </c>
      <c r="EW897" s="3">
        <f t="shared" si="682"/>
        <v>0</v>
      </c>
      <c r="EX897" s="3">
        <f t="shared" si="682"/>
        <v>0</v>
      </c>
      <c r="EY897" s="3">
        <f t="shared" si="682"/>
        <v>0</v>
      </c>
      <c r="EZ897" s="3">
        <f t="shared" si="682"/>
        <v>0</v>
      </c>
      <c r="FA897" s="3">
        <f t="shared" si="682"/>
        <v>0</v>
      </c>
      <c r="FB897" s="3">
        <f t="shared" si="682"/>
        <v>0</v>
      </c>
      <c r="FC897" s="3">
        <f t="shared" si="682"/>
        <v>0</v>
      </c>
      <c r="FD897" s="3">
        <f t="shared" si="682"/>
        <v>0</v>
      </c>
      <c r="FE897" s="3">
        <f t="shared" si="682"/>
        <v>0</v>
      </c>
      <c r="FF897" s="3">
        <f t="shared" si="682"/>
        <v>0</v>
      </c>
      <c r="FG897" s="3">
        <f t="shared" si="682"/>
        <v>0</v>
      </c>
      <c r="FH897" s="3">
        <f t="shared" si="682"/>
        <v>0</v>
      </c>
      <c r="FI897" s="3">
        <f t="shared" si="682"/>
        <v>0</v>
      </c>
      <c r="FJ897" s="3">
        <f t="shared" si="682"/>
        <v>0</v>
      </c>
      <c r="FK897" s="3">
        <f t="shared" si="682"/>
        <v>0</v>
      </c>
      <c r="FL897" s="3">
        <f t="shared" si="682"/>
        <v>0</v>
      </c>
      <c r="FM897" s="3">
        <f t="shared" si="682"/>
        <v>0</v>
      </c>
      <c r="FN897" s="3">
        <f t="shared" si="682"/>
        <v>0</v>
      </c>
      <c r="FO897" s="3">
        <f t="shared" si="682"/>
        <v>0</v>
      </c>
      <c r="FP897" s="3">
        <f t="shared" si="682"/>
        <v>0</v>
      </c>
      <c r="FQ897" s="3">
        <f t="shared" si="682"/>
        <v>0</v>
      </c>
      <c r="FR897" s="3">
        <f t="shared" si="682"/>
        <v>0</v>
      </c>
      <c r="FS897" s="3">
        <f t="shared" ref="FS897:GX897" si="683">FS899</f>
        <v>0</v>
      </c>
      <c r="FT897" s="3">
        <f t="shared" si="683"/>
        <v>0</v>
      </c>
      <c r="FU897" s="3">
        <f t="shared" si="683"/>
        <v>0</v>
      </c>
      <c r="FV897" s="3">
        <f t="shared" si="683"/>
        <v>0</v>
      </c>
      <c r="FW897" s="3">
        <f t="shared" si="683"/>
        <v>0</v>
      </c>
      <c r="FX897" s="3">
        <f t="shared" si="683"/>
        <v>0</v>
      </c>
      <c r="FY897" s="3">
        <f t="shared" si="683"/>
        <v>0</v>
      </c>
      <c r="FZ897" s="3">
        <f t="shared" si="683"/>
        <v>0</v>
      </c>
      <c r="GA897" s="3">
        <f t="shared" si="683"/>
        <v>0</v>
      </c>
      <c r="GB897" s="3">
        <f t="shared" si="683"/>
        <v>0</v>
      </c>
      <c r="GC897" s="3">
        <f t="shared" si="683"/>
        <v>0</v>
      </c>
      <c r="GD897" s="3">
        <f t="shared" si="683"/>
        <v>0</v>
      </c>
      <c r="GE897" s="3">
        <f t="shared" si="683"/>
        <v>0</v>
      </c>
      <c r="GF897" s="3">
        <f t="shared" si="683"/>
        <v>0</v>
      </c>
      <c r="GG897" s="3">
        <f t="shared" si="683"/>
        <v>0</v>
      </c>
      <c r="GH897" s="3">
        <f t="shared" si="683"/>
        <v>0</v>
      </c>
      <c r="GI897" s="3">
        <f t="shared" si="683"/>
        <v>0</v>
      </c>
      <c r="GJ897" s="3">
        <f t="shared" si="683"/>
        <v>0</v>
      </c>
      <c r="GK897" s="3">
        <f t="shared" si="683"/>
        <v>0</v>
      </c>
      <c r="GL897" s="3">
        <f t="shared" si="683"/>
        <v>0</v>
      </c>
      <c r="GM897" s="3">
        <f t="shared" si="683"/>
        <v>0</v>
      </c>
      <c r="GN897" s="3">
        <f t="shared" si="683"/>
        <v>0</v>
      </c>
      <c r="GO897" s="3">
        <f t="shared" si="683"/>
        <v>0</v>
      </c>
      <c r="GP897" s="3">
        <f t="shared" si="683"/>
        <v>0</v>
      </c>
      <c r="GQ897" s="3">
        <f t="shared" si="683"/>
        <v>0</v>
      </c>
      <c r="GR897" s="3">
        <f t="shared" si="683"/>
        <v>0</v>
      </c>
      <c r="GS897" s="3">
        <f t="shared" si="683"/>
        <v>0</v>
      </c>
      <c r="GT897" s="3">
        <f t="shared" si="683"/>
        <v>0</v>
      </c>
      <c r="GU897" s="3">
        <f t="shared" si="683"/>
        <v>0</v>
      </c>
      <c r="GV897" s="3">
        <f t="shared" si="683"/>
        <v>0</v>
      </c>
      <c r="GW897" s="3">
        <f t="shared" si="683"/>
        <v>0</v>
      </c>
      <c r="GX897" s="3">
        <f t="shared" si="683"/>
        <v>0</v>
      </c>
    </row>
    <row r="899" spans="1:206" x14ac:dyDescent="0.2">
      <c r="A899" s="2">
        <v>51</v>
      </c>
      <c r="B899" s="2">
        <f>B895</f>
        <v>1</v>
      </c>
      <c r="C899" s="2">
        <f>A895</f>
        <v>4</v>
      </c>
      <c r="D899" s="2">
        <f>ROW(A895)</f>
        <v>895</v>
      </c>
      <c r="E899" s="2"/>
      <c r="F899" s="2" t="str">
        <f>IF(F895&lt;&gt;"",F895,"")</f>
        <v>Новый раздел</v>
      </c>
      <c r="G899" s="2" t="str">
        <f>IF(G895&lt;&gt;"",G895,"")</f>
        <v>33. Устройство подпорной стенки (облицовочная плитка)</v>
      </c>
      <c r="H899" s="2">
        <v>0</v>
      </c>
      <c r="I899" s="2"/>
      <c r="J899" s="2"/>
      <c r="K899" s="2"/>
      <c r="L899" s="2"/>
      <c r="M899" s="2"/>
      <c r="N899" s="2"/>
      <c r="O899" s="2">
        <f t="shared" ref="O899:T899" si="684">ROUND(AB899,2)</f>
        <v>0</v>
      </c>
      <c r="P899" s="2">
        <f t="shared" si="684"/>
        <v>0</v>
      </c>
      <c r="Q899" s="2">
        <f t="shared" si="684"/>
        <v>0</v>
      </c>
      <c r="R899" s="2">
        <f t="shared" si="684"/>
        <v>0</v>
      </c>
      <c r="S899" s="2">
        <f t="shared" si="684"/>
        <v>0</v>
      </c>
      <c r="T899" s="2">
        <f t="shared" si="684"/>
        <v>0</v>
      </c>
      <c r="U899" s="2">
        <f>AH899</f>
        <v>0</v>
      </c>
      <c r="V899" s="2">
        <f>AI899</f>
        <v>0</v>
      </c>
      <c r="W899" s="2">
        <f>ROUND(AJ899,2)</f>
        <v>0</v>
      </c>
      <c r="X899" s="2">
        <f>ROUND(AK899,2)</f>
        <v>0</v>
      </c>
      <c r="Y899" s="2">
        <f>ROUND(AL899,2)</f>
        <v>0</v>
      </c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>
        <f t="shared" ref="AO899:BD899" si="685">ROUND(BX899,2)</f>
        <v>0</v>
      </c>
      <c r="AP899" s="2">
        <f t="shared" si="685"/>
        <v>0</v>
      </c>
      <c r="AQ899" s="2">
        <f t="shared" si="685"/>
        <v>0</v>
      </c>
      <c r="AR899" s="2">
        <f t="shared" si="685"/>
        <v>0</v>
      </c>
      <c r="AS899" s="2">
        <f t="shared" si="685"/>
        <v>0</v>
      </c>
      <c r="AT899" s="2">
        <f t="shared" si="685"/>
        <v>0</v>
      </c>
      <c r="AU899" s="2">
        <f t="shared" si="685"/>
        <v>0</v>
      </c>
      <c r="AV899" s="2">
        <f t="shared" si="685"/>
        <v>0</v>
      </c>
      <c r="AW899" s="2">
        <f t="shared" si="685"/>
        <v>0</v>
      </c>
      <c r="AX899" s="2">
        <f t="shared" si="685"/>
        <v>0</v>
      </c>
      <c r="AY899" s="2">
        <f t="shared" si="685"/>
        <v>0</v>
      </c>
      <c r="AZ899" s="2">
        <f t="shared" si="685"/>
        <v>0</v>
      </c>
      <c r="BA899" s="2">
        <f t="shared" si="685"/>
        <v>0</v>
      </c>
      <c r="BB899" s="2">
        <f t="shared" si="685"/>
        <v>0</v>
      </c>
      <c r="BC899" s="2">
        <f t="shared" si="685"/>
        <v>0</v>
      </c>
      <c r="BD899" s="2">
        <f t="shared" si="685"/>
        <v>0</v>
      </c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3"/>
      <c r="DY899" s="3"/>
      <c r="DZ899" s="3"/>
      <c r="EA899" s="3"/>
      <c r="EB899" s="3"/>
      <c r="EC899" s="3"/>
      <c r="ED899" s="3"/>
      <c r="EE899" s="3"/>
      <c r="EF899" s="3"/>
      <c r="EG899" s="3"/>
      <c r="EH899" s="3"/>
      <c r="EI899" s="3"/>
      <c r="EJ899" s="3"/>
      <c r="EK899" s="3"/>
      <c r="EL899" s="3"/>
      <c r="EM899" s="3"/>
      <c r="EN899" s="3"/>
      <c r="EO899" s="3"/>
      <c r="EP899" s="3"/>
      <c r="EQ899" s="3"/>
      <c r="ER899" s="3"/>
      <c r="ES899" s="3"/>
      <c r="ET899" s="3"/>
      <c r="EU899" s="3"/>
      <c r="EV899" s="3"/>
      <c r="EW899" s="3"/>
      <c r="EX899" s="3"/>
      <c r="EY899" s="3"/>
      <c r="EZ899" s="3"/>
      <c r="FA899" s="3"/>
      <c r="FB899" s="3"/>
      <c r="FC899" s="3"/>
      <c r="FD899" s="3"/>
      <c r="FE899" s="3"/>
      <c r="FF899" s="3"/>
      <c r="FG899" s="3"/>
      <c r="FH899" s="3"/>
      <c r="FI899" s="3"/>
      <c r="FJ899" s="3"/>
      <c r="FK899" s="3"/>
      <c r="FL899" s="3"/>
      <c r="FM899" s="3"/>
      <c r="FN899" s="3"/>
      <c r="FO899" s="3"/>
      <c r="FP899" s="3"/>
      <c r="FQ899" s="3"/>
      <c r="FR899" s="3"/>
      <c r="FS899" s="3"/>
      <c r="FT899" s="3"/>
      <c r="FU899" s="3"/>
      <c r="FV899" s="3"/>
      <c r="FW899" s="3"/>
      <c r="FX899" s="3"/>
      <c r="FY899" s="3"/>
      <c r="FZ899" s="3"/>
      <c r="GA899" s="3"/>
      <c r="GB899" s="3"/>
      <c r="GC899" s="3"/>
      <c r="GD899" s="3"/>
      <c r="GE899" s="3"/>
      <c r="GF899" s="3"/>
      <c r="GG899" s="3"/>
      <c r="GH899" s="3"/>
      <c r="GI899" s="3"/>
      <c r="GJ899" s="3"/>
      <c r="GK899" s="3"/>
      <c r="GL899" s="3"/>
      <c r="GM899" s="3"/>
      <c r="GN899" s="3"/>
      <c r="GO899" s="3"/>
      <c r="GP899" s="3"/>
      <c r="GQ899" s="3"/>
      <c r="GR899" s="3"/>
      <c r="GS899" s="3"/>
      <c r="GT899" s="3"/>
      <c r="GU899" s="3"/>
      <c r="GV899" s="3"/>
      <c r="GW899" s="3"/>
      <c r="GX899" s="3">
        <v>0</v>
      </c>
    </row>
    <row r="901" spans="1:206" x14ac:dyDescent="0.2">
      <c r="A901" s="4">
        <v>50</v>
      </c>
      <c r="B901" s="4">
        <v>0</v>
      </c>
      <c r="C901" s="4">
        <v>0</v>
      </c>
      <c r="D901" s="4">
        <v>1</v>
      </c>
      <c r="E901" s="4">
        <v>201</v>
      </c>
      <c r="F901" s="4">
        <f>ROUND(Source!O899,O901)</f>
        <v>0</v>
      </c>
      <c r="G901" s="4" t="s">
        <v>89</v>
      </c>
      <c r="H901" s="4" t="s">
        <v>90</v>
      </c>
      <c r="I901" s="4"/>
      <c r="J901" s="4"/>
      <c r="K901" s="4">
        <v>201</v>
      </c>
      <c r="L901" s="4">
        <v>1</v>
      </c>
      <c r="M901" s="4">
        <v>3</v>
      </c>
      <c r="N901" s="4" t="s">
        <v>3</v>
      </c>
      <c r="O901" s="4">
        <v>2</v>
      </c>
      <c r="P901" s="4"/>
      <c r="Q901" s="4"/>
      <c r="R901" s="4"/>
      <c r="S901" s="4"/>
      <c r="T901" s="4"/>
      <c r="U901" s="4"/>
      <c r="V901" s="4"/>
      <c r="W901" s="4"/>
    </row>
    <row r="902" spans="1:206" x14ac:dyDescent="0.2">
      <c r="A902" s="4">
        <v>50</v>
      </c>
      <c r="B902" s="4">
        <v>0</v>
      </c>
      <c r="C902" s="4">
        <v>0</v>
      </c>
      <c r="D902" s="4">
        <v>1</v>
      </c>
      <c r="E902" s="4">
        <v>202</v>
      </c>
      <c r="F902" s="4">
        <f>ROUND(Source!P899,O902)</f>
        <v>0</v>
      </c>
      <c r="G902" s="4" t="s">
        <v>91</v>
      </c>
      <c r="H902" s="4" t="s">
        <v>92</v>
      </c>
      <c r="I902" s="4"/>
      <c r="J902" s="4"/>
      <c r="K902" s="4">
        <v>202</v>
      </c>
      <c r="L902" s="4">
        <v>2</v>
      </c>
      <c r="M902" s="4">
        <v>3</v>
      </c>
      <c r="N902" s="4" t="s">
        <v>3</v>
      </c>
      <c r="O902" s="4">
        <v>2</v>
      </c>
      <c r="P902" s="4"/>
      <c r="Q902" s="4"/>
      <c r="R902" s="4"/>
      <c r="S902" s="4"/>
      <c r="T902" s="4"/>
      <c r="U902" s="4"/>
      <c r="V902" s="4"/>
      <c r="W902" s="4"/>
    </row>
    <row r="903" spans="1:206" x14ac:dyDescent="0.2">
      <c r="A903" s="4">
        <v>50</v>
      </c>
      <c r="B903" s="4">
        <v>0</v>
      </c>
      <c r="C903" s="4">
        <v>0</v>
      </c>
      <c r="D903" s="4">
        <v>1</v>
      </c>
      <c r="E903" s="4">
        <v>222</v>
      </c>
      <c r="F903" s="4">
        <f>ROUND(Source!AO899,O903)</f>
        <v>0</v>
      </c>
      <c r="G903" s="4" t="s">
        <v>93</v>
      </c>
      <c r="H903" s="4" t="s">
        <v>94</v>
      </c>
      <c r="I903" s="4"/>
      <c r="J903" s="4"/>
      <c r="K903" s="4">
        <v>222</v>
      </c>
      <c r="L903" s="4">
        <v>3</v>
      </c>
      <c r="M903" s="4">
        <v>3</v>
      </c>
      <c r="N903" s="4" t="s">
        <v>3</v>
      </c>
      <c r="O903" s="4">
        <v>2</v>
      </c>
      <c r="P903" s="4"/>
      <c r="Q903" s="4"/>
      <c r="R903" s="4"/>
      <c r="S903" s="4"/>
      <c r="T903" s="4"/>
      <c r="U903" s="4"/>
      <c r="V903" s="4"/>
      <c r="W903" s="4"/>
    </row>
    <row r="904" spans="1:206" x14ac:dyDescent="0.2">
      <c r="A904" s="4">
        <v>50</v>
      </c>
      <c r="B904" s="4">
        <v>0</v>
      </c>
      <c r="C904" s="4">
        <v>0</v>
      </c>
      <c r="D904" s="4">
        <v>1</v>
      </c>
      <c r="E904" s="4">
        <v>225</v>
      </c>
      <c r="F904" s="4">
        <f>ROUND(Source!AV899,O904)</f>
        <v>0</v>
      </c>
      <c r="G904" s="4" t="s">
        <v>95</v>
      </c>
      <c r="H904" s="4" t="s">
        <v>96</v>
      </c>
      <c r="I904" s="4"/>
      <c r="J904" s="4"/>
      <c r="K904" s="4">
        <v>225</v>
      </c>
      <c r="L904" s="4">
        <v>4</v>
      </c>
      <c r="M904" s="4">
        <v>3</v>
      </c>
      <c r="N904" s="4" t="s">
        <v>3</v>
      </c>
      <c r="O904" s="4">
        <v>2</v>
      </c>
      <c r="P904" s="4"/>
      <c r="Q904" s="4"/>
      <c r="R904" s="4"/>
      <c r="S904" s="4"/>
      <c r="T904" s="4"/>
      <c r="U904" s="4"/>
      <c r="V904" s="4"/>
      <c r="W904" s="4"/>
    </row>
    <row r="905" spans="1:206" x14ac:dyDescent="0.2">
      <c r="A905" s="4">
        <v>50</v>
      </c>
      <c r="B905" s="4">
        <v>0</v>
      </c>
      <c r="C905" s="4">
        <v>0</v>
      </c>
      <c r="D905" s="4">
        <v>1</v>
      </c>
      <c r="E905" s="4">
        <v>226</v>
      </c>
      <c r="F905" s="4">
        <f>ROUND(Source!AW899,O905)</f>
        <v>0</v>
      </c>
      <c r="G905" s="4" t="s">
        <v>97</v>
      </c>
      <c r="H905" s="4" t="s">
        <v>98</v>
      </c>
      <c r="I905" s="4"/>
      <c r="J905" s="4"/>
      <c r="K905" s="4">
        <v>226</v>
      </c>
      <c r="L905" s="4">
        <v>5</v>
      </c>
      <c r="M905" s="4">
        <v>3</v>
      </c>
      <c r="N905" s="4" t="s">
        <v>3</v>
      </c>
      <c r="O905" s="4">
        <v>2</v>
      </c>
      <c r="P905" s="4"/>
      <c r="Q905" s="4"/>
      <c r="R905" s="4"/>
      <c r="S905" s="4"/>
      <c r="T905" s="4"/>
      <c r="U905" s="4"/>
      <c r="V905" s="4"/>
      <c r="W905" s="4"/>
    </row>
    <row r="906" spans="1:206" x14ac:dyDescent="0.2">
      <c r="A906" s="4">
        <v>50</v>
      </c>
      <c r="B906" s="4">
        <v>0</v>
      </c>
      <c r="C906" s="4">
        <v>0</v>
      </c>
      <c r="D906" s="4">
        <v>1</v>
      </c>
      <c r="E906" s="4">
        <v>227</v>
      </c>
      <c r="F906" s="4">
        <f>ROUND(Source!AX899,O906)</f>
        <v>0</v>
      </c>
      <c r="G906" s="4" t="s">
        <v>99</v>
      </c>
      <c r="H906" s="4" t="s">
        <v>100</v>
      </c>
      <c r="I906" s="4"/>
      <c r="J906" s="4"/>
      <c r="K906" s="4">
        <v>227</v>
      </c>
      <c r="L906" s="4">
        <v>6</v>
      </c>
      <c r="M906" s="4">
        <v>3</v>
      </c>
      <c r="N906" s="4" t="s">
        <v>3</v>
      </c>
      <c r="O906" s="4">
        <v>2</v>
      </c>
      <c r="P906" s="4"/>
      <c r="Q906" s="4"/>
      <c r="R906" s="4"/>
      <c r="S906" s="4"/>
      <c r="T906" s="4"/>
      <c r="U906" s="4"/>
      <c r="V906" s="4"/>
      <c r="W906" s="4"/>
    </row>
    <row r="907" spans="1:206" x14ac:dyDescent="0.2">
      <c r="A907" s="4">
        <v>50</v>
      </c>
      <c r="B907" s="4">
        <v>0</v>
      </c>
      <c r="C907" s="4">
        <v>0</v>
      </c>
      <c r="D907" s="4">
        <v>1</v>
      </c>
      <c r="E907" s="4">
        <v>228</v>
      </c>
      <c r="F907" s="4">
        <f>ROUND(Source!AY899,O907)</f>
        <v>0</v>
      </c>
      <c r="G907" s="4" t="s">
        <v>101</v>
      </c>
      <c r="H907" s="4" t="s">
        <v>102</v>
      </c>
      <c r="I907" s="4"/>
      <c r="J907" s="4"/>
      <c r="K907" s="4">
        <v>228</v>
      </c>
      <c r="L907" s="4">
        <v>7</v>
      </c>
      <c r="M907" s="4">
        <v>3</v>
      </c>
      <c r="N907" s="4" t="s">
        <v>3</v>
      </c>
      <c r="O907" s="4">
        <v>2</v>
      </c>
      <c r="P907" s="4"/>
      <c r="Q907" s="4"/>
      <c r="R907" s="4"/>
      <c r="S907" s="4"/>
      <c r="T907" s="4"/>
      <c r="U907" s="4"/>
      <c r="V907" s="4"/>
      <c r="W907" s="4"/>
    </row>
    <row r="908" spans="1:206" x14ac:dyDescent="0.2">
      <c r="A908" s="4">
        <v>50</v>
      </c>
      <c r="B908" s="4">
        <v>0</v>
      </c>
      <c r="C908" s="4">
        <v>0</v>
      </c>
      <c r="D908" s="4">
        <v>1</v>
      </c>
      <c r="E908" s="4">
        <v>216</v>
      </c>
      <c r="F908" s="4">
        <f>ROUND(Source!AP899,O908)</f>
        <v>0</v>
      </c>
      <c r="G908" s="4" t="s">
        <v>103</v>
      </c>
      <c r="H908" s="4" t="s">
        <v>104</v>
      </c>
      <c r="I908" s="4"/>
      <c r="J908" s="4"/>
      <c r="K908" s="4">
        <v>216</v>
      </c>
      <c r="L908" s="4">
        <v>8</v>
      </c>
      <c r="M908" s="4">
        <v>3</v>
      </c>
      <c r="N908" s="4" t="s">
        <v>3</v>
      </c>
      <c r="O908" s="4">
        <v>2</v>
      </c>
      <c r="P908" s="4"/>
      <c r="Q908" s="4"/>
      <c r="R908" s="4"/>
      <c r="S908" s="4"/>
      <c r="T908" s="4"/>
      <c r="U908" s="4"/>
      <c r="V908" s="4"/>
      <c r="W908" s="4"/>
    </row>
    <row r="909" spans="1:206" x14ac:dyDescent="0.2">
      <c r="A909" s="4">
        <v>50</v>
      </c>
      <c r="B909" s="4">
        <v>0</v>
      </c>
      <c r="C909" s="4">
        <v>0</v>
      </c>
      <c r="D909" s="4">
        <v>1</v>
      </c>
      <c r="E909" s="4">
        <v>223</v>
      </c>
      <c r="F909" s="4">
        <f>ROUND(Source!AQ899,O909)</f>
        <v>0</v>
      </c>
      <c r="G909" s="4" t="s">
        <v>105</v>
      </c>
      <c r="H909" s="4" t="s">
        <v>106</v>
      </c>
      <c r="I909" s="4"/>
      <c r="J909" s="4"/>
      <c r="K909" s="4">
        <v>223</v>
      </c>
      <c r="L909" s="4">
        <v>9</v>
      </c>
      <c r="M909" s="4">
        <v>3</v>
      </c>
      <c r="N909" s="4" t="s">
        <v>3</v>
      </c>
      <c r="O909" s="4">
        <v>2</v>
      </c>
      <c r="P909" s="4"/>
      <c r="Q909" s="4"/>
      <c r="R909" s="4"/>
      <c r="S909" s="4"/>
      <c r="T909" s="4"/>
      <c r="U909" s="4"/>
      <c r="V909" s="4"/>
      <c r="W909" s="4"/>
    </row>
    <row r="910" spans="1:206" x14ac:dyDescent="0.2">
      <c r="A910" s="4">
        <v>50</v>
      </c>
      <c r="B910" s="4">
        <v>0</v>
      </c>
      <c r="C910" s="4">
        <v>0</v>
      </c>
      <c r="D910" s="4">
        <v>1</v>
      </c>
      <c r="E910" s="4">
        <v>229</v>
      </c>
      <c r="F910" s="4">
        <f>ROUND(Source!AZ899,O910)</f>
        <v>0</v>
      </c>
      <c r="G910" s="4" t="s">
        <v>107</v>
      </c>
      <c r="H910" s="4" t="s">
        <v>108</v>
      </c>
      <c r="I910" s="4"/>
      <c r="J910" s="4"/>
      <c r="K910" s="4">
        <v>229</v>
      </c>
      <c r="L910" s="4">
        <v>10</v>
      </c>
      <c r="M910" s="4">
        <v>3</v>
      </c>
      <c r="N910" s="4" t="s">
        <v>3</v>
      </c>
      <c r="O910" s="4">
        <v>2</v>
      </c>
      <c r="P910" s="4"/>
      <c r="Q910" s="4"/>
      <c r="R910" s="4"/>
      <c r="S910" s="4"/>
      <c r="T910" s="4"/>
      <c r="U910" s="4"/>
      <c r="V910" s="4"/>
      <c r="W910" s="4"/>
    </row>
    <row r="911" spans="1:206" x14ac:dyDescent="0.2">
      <c r="A911" s="4">
        <v>50</v>
      </c>
      <c r="B911" s="4">
        <v>0</v>
      </c>
      <c r="C911" s="4">
        <v>0</v>
      </c>
      <c r="D911" s="4">
        <v>1</v>
      </c>
      <c r="E911" s="4">
        <v>203</v>
      </c>
      <c r="F911" s="4">
        <f>ROUND(Source!Q899,O911)</f>
        <v>0</v>
      </c>
      <c r="G911" s="4" t="s">
        <v>109</v>
      </c>
      <c r="H911" s="4" t="s">
        <v>110</v>
      </c>
      <c r="I911" s="4"/>
      <c r="J911" s="4"/>
      <c r="K911" s="4">
        <v>203</v>
      </c>
      <c r="L911" s="4">
        <v>11</v>
      </c>
      <c r="M911" s="4">
        <v>3</v>
      </c>
      <c r="N911" s="4" t="s">
        <v>3</v>
      </c>
      <c r="O911" s="4">
        <v>2</v>
      </c>
      <c r="P911" s="4"/>
      <c r="Q911" s="4"/>
      <c r="R911" s="4"/>
      <c r="S911" s="4"/>
      <c r="T911" s="4"/>
      <c r="U911" s="4"/>
      <c r="V911" s="4"/>
      <c r="W911" s="4"/>
    </row>
    <row r="912" spans="1:206" x14ac:dyDescent="0.2">
      <c r="A912" s="4">
        <v>50</v>
      </c>
      <c r="B912" s="4">
        <v>0</v>
      </c>
      <c r="C912" s="4">
        <v>0</v>
      </c>
      <c r="D912" s="4">
        <v>1</v>
      </c>
      <c r="E912" s="4">
        <v>231</v>
      </c>
      <c r="F912" s="4">
        <f>ROUND(Source!BB899,O912)</f>
        <v>0</v>
      </c>
      <c r="G912" s="4" t="s">
        <v>111</v>
      </c>
      <c r="H912" s="4" t="s">
        <v>112</v>
      </c>
      <c r="I912" s="4"/>
      <c r="J912" s="4"/>
      <c r="K912" s="4">
        <v>231</v>
      </c>
      <c r="L912" s="4">
        <v>12</v>
      </c>
      <c r="M912" s="4">
        <v>3</v>
      </c>
      <c r="N912" s="4" t="s">
        <v>3</v>
      </c>
      <c r="O912" s="4">
        <v>2</v>
      </c>
      <c r="P912" s="4"/>
      <c r="Q912" s="4"/>
      <c r="R912" s="4"/>
      <c r="S912" s="4"/>
      <c r="T912" s="4"/>
      <c r="U912" s="4"/>
      <c r="V912" s="4"/>
      <c r="W912" s="4"/>
    </row>
    <row r="913" spans="1:23" x14ac:dyDescent="0.2">
      <c r="A913" s="4">
        <v>50</v>
      </c>
      <c r="B913" s="4">
        <v>0</v>
      </c>
      <c r="C913" s="4">
        <v>0</v>
      </c>
      <c r="D913" s="4">
        <v>1</v>
      </c>
      <c r="E913" s="4">
        <v>204</v>
      </c>
      <c r="F913" s="4">
        <f>ROUND(Source!R899,O913)</f>
        <v>0</v>
      </c>
      <c r="G913" s="4" t="s">
        <v>113</v>
      </c>
      <c r="H913" s="4" t="s">
        <v>114</v>
      </c>
      <c r="I913" s="4"/>
      <c r="J913" s="4"/>
      <c r="K913" s="4">
        <v>204</v>
      </c>
      <c r="L913" s="4">
        <v>13</v>
      </c>
      <c r="M913" s="4">
        <v>3</v>
      </c>
      <c r="N913" s="4" t="s">
        <v>3</v>
      </c>
      <c r="O913" s="4">
        <v>2</v>
      </c>
      <c r="P913" s="4"/>
      <c r="Q913" s="4"/>
      <c r="R913" s="4"/>
      <c r="S913" s="4"/>
      <c r="T913" s="4"/>
      <c r="U913" s="4"/>
      <c r="V913" s="4"/>
      <c r="W913" s="4"/>
    </row>
    <row r="914" spans="1:23" x14ac:dyDescent="0.2">
      <c r="A914" s="4">
        <v>50</v>
      </c>
      <c r="B914" s="4">
        <v>0</v>
      </c>
      <c r="C914" s="4">
        <v>0</v>
      </c>
      <c r="D914" s="4">
        <v>1</v>
      </c>
      <c r="E914" s="4">
        <v>205</v>
      </c>
      <c r="F914" s="4">
        <f>ROUND(Source!S899,O914)</f>
        <v>0</v>
      </c>
      <c r="G914" s="4" t="s">
        <v>115</v>
      </c>
      <c r="H914" s="4" t="s">
        <v>116</v>
      </c>
      <c r="I914" s="4"/>
      <c r="J914" s="4"/>
      <c r="K914" s="4">
        <v>205</v>
      </c>
      <c r="L914" s="4">
        <v>14</v>
      </c>
      <c r="M914" s="4">
        <v>3</v>
      </c>
      <c r="N914" s="4" t="s">
        <v>3</v>
      </c>
      <c r="O914" s="4">
        <v>2</v>
      </c>
      <c r="P914" s="4"/>
      <c r="Q914" s="4"/>
      <c r="R914" s="4"/>
      <c r="S914" s="4"/>
      <c r="T914" s="4"/>
      <c r="U914" s="4"/>
      <c r="V914" s="4"/>
      <c r="W914" s="4"/>
    </row>
    <row r="915" spans="1:23" x14ac:dyDescent="0.2">
      <c r="A915" s="4">
        <v>50</v>
      </c>
      <c r="B915" s="4">
        <v>0</v>
      </c>
      <c r="C915" s="4">
        <v>0</v>
      </c>
      <c r="D915" s="4">
        <v>1</v>
      </c>
      <c r="E915" s="4">
        <v>232</v>
      </c>
      <c r="F915" s="4">
        <f>ROUND(Source!BC899,O915)</f>
        <v>0</v>
      </c>
      <c r="G915" s="4" t="s">
        <v>117</v>
      </c>
      <c r="H915" s="4" t="s">
        <v>118</v>
      </c>
      <c r="I915" s="4"/>
      <c r="J915" s="4"/>
      <c r="K915" s="4">
        <v>232</v>
      </c>
      <c r="L915" s="4">
        <v>15</v>
      </c>
      <c r="M915" s="4">
        <v>3</v>
      </c>
      <c r="N915" s="4" t="s">
        <v>3</v>
      </c>
      <c r="O915" s="4">
        <v>2</v>
      </c>
      <c r="P915" s="4"/>
      <c r="Q915" s="4"/>
      <c r="R915" s="4"/>
      <c r="S915" s="4"/>
      <c r="T915" s="4"/>
      <c r="U915" s="4"/>
      <c r="V915" s="4"/>
      <c r="W915" s="4"/>
    </row>
    <row r="916" spans="1:23" x14ac:dyDescent="0.2">
      <c r="A916" s="4">
        <v>50</v>
      </c>
      <c r="B916" s="4">
        <v>0</v>
      </c>
      <c r="C916" s="4">
        <v>0</v>
      </c>
      <c r="D916" s="4">
        <v>1</v>
      </c>
      <c r="E916" s="4">
        <v>214</v>
      </c>
      <c r="F916" s="4">
        <f>ROUND(Source!AS899,O916)</f>
        <v>0</v>
      </c>
      <c r="G916" s="4" t="s">
        <v>119</v>
      </c>
      <c r="H916" s="4" t="s">
        <v>120</v>
      </c>
      <c r="I916" s="4"/>
      <c r="J916" s="4"/>
      <c r="K916" s="4">
        <v>214</v>
      </c>
      <c r="L916" s="4">
        <v>16</v>
      </c>
      <c r="M916" s="4">
        <v>3</v>
      </c>
      <c r="N916" s="4" t="s">
        <v>3</v>
      </c>
      <c r="O916" s="4">
        <v>2</v>
      </c>
      <c r="P916" s="4"/>
      <c r="Q916" s="4"/>
      <c r="R916" s="4"/>
      <c r="S916" s="4"/>
      <c r="T916" s="4"/>
      <c r="U916" s="4"/>
      <c r="V916" s="4"/>
      <c r="W916" s="4"/>
    </row>
    <row r="917" spans="1:23" x14ac:dyDescent="0.2">
      <c r="A917" s="4">
        <v>50</v>
      </c>
      <c r="B917" s="4">
        <v>0</v>
      </c>
      <c r="C917" s="4">
        <v>0</v>
      </c>
      <c r="D917" s="4">
        <v>1</v>
      </c>
      <c r="E917" s="4">
        <v>215</v>
      </c>
      <c r="F917" s="4">
        <f>ROUND(Source!AT899,O917)</f>
        <v>0</v>
      </c>
      <c r="G917" s="4" t="s">
        <v>121</v>
      </c>
      <c r="H917" s="4" t="s">
        <v>122</v>
      </c>
      <c r="I917" s="4"/>
      <c r="J917" s="4"/>
      <c r="K917" s="4">
        <v>215</v>
      </c>
      <c r="L917" s="4">
        <v>17</v>
      </c>
      <c r="M917" s="4">
        <v>3</v>
      </c>
      <c r="N917" s="4" t="s">
        <v>3</v>
      </c>
      <c r="O917" s="4">
        <v>2</v>
      </c>
      <c r="P917" s="4"/>
      <c r="Q917" s="4"/>
      <c r="R917" s="4"/>
      <c r="S917" s="4"/>
      <c r="T917" s="4"/>
      <c r="U917" s="4"/>
      <c r="V917" s="4"/>
      <c r="W917" s="4"/>
    </row>
    <row r="918" spans="1:23" x14ac:dyDescent="0.2">
      <c r="A918" s="4">
        <v>50</v>
      </c>
      <c r="B918" s="4">
        <v>0</v>
      </c>
      <c r="C918" s="4">
        <v>0</v>
      </c>
      <c r="D918" s="4">
        <v>1</v>
      </c>
      <c r="E918" s="4">
        <v>217</v>
      </c>
      <c r="F918" s="4">
        <f>ROUND(Source!AU899,O918)</f>
        <v>0</v>
      </c>
      <c r="G918" s="4" t="s">
        <v>123</v>
      </c>
      <c r="H918" s="4" t="s">
        <v>124</v>
      </c>
      <c r="I918" s="4"/>
      <c r="J918" s="4"/>
      <c r="K918" s="4">
        <v>217</v>
      </c>
      <c r="L918" s="4">
        <v>18</v>
      </c>
      <c r="M918" s="4">
        <v>3</v>
      </c>
      <c r="N918" s="4" t="s">
        <v>3</v>
      </c>
      <c r="O918" s="4">
        <v>2</v>
      </c>
      <c r="P918" s="4"/>
      <c r="Q918" s="4"/>
      <c r="R918" s="4"/>
      <c r="S918" s="4"/>
      <c r="T918" s="4"/>
      <c r="U918" s="4"/>
      <c r="V918" s="4"/>
      <c r="W918" s="4"/>
    </row>
    <row r="919" spans="1:23" x14ac:dyDescent="0.2">
      <c r="A919" s="4">
        <v>50</v>
      </c>
      <c r="B919" s="4">
        <v>0</v>
      </c>
      <c r="C919" s="4">
        <v>0</v>
      </c>
      <c r="D919" s="4">
        <v>1</v>
      </c>
      <c r="E919" s="4">
        <v>230</v>
      </c>
      <c r="F919" s="4">
        <f>ROUND(Source!BA899,O919)</f>
        <v>0</v>
      </c>
      <c r="G919" s="4" t="s">
        <v>125</v>
      </c>
      <c r="H919" s="4" t="s">
        <v>126</v>
      </c>
      <c r="I919" s="4"/>
      <c r="J919" s="4"/>
      <c r="K919" s="4">
        <v>230</v>
      </c>
      <c r="L919" s="4">
        <v>19</v>
      </c>
      <c r="M919" s="4">
        <v>3</v>
      </c>
      <c r="N919" s="4" t="s">
        <v>3</v>
      </c>
      <c r="O919" s="4">
        <v>2</v>
      </c>
      <c r="P919" s="4"/>
      <c r="Q919" s="4"/>
      <c r="R919" s="4"/>
      <c r="S919" s="4"/>
      <c r="T919" s="4"/>
      <c r="U919" s="4"/>
      <c r="V919" s="4"/>
      <c r="W919" s="4"/>
    </row>
    <row r="920" spans="1:23" x14ac:dyDescent="0.2">
      <c r="A920" s="4">
        <v>50</v>
      </c>
      <c r="B920" s="4">
        <v>0</v>
      </c>
      <c r="C920" s="4">
        <v>0</v>
      </c>
      <c r="D920" s="4">
        <v>1</v>
      </c>
      <c r="E920" s="4">
        <v>206</v>
      </c>
      <c r="F920" s="4">
        <f>ROUND(Source!T899,O920)</f>
        <v>0</v>
      </c>
      <c r="G920" s="4" t="s">
        <v>127</v>
      </c>
      <c r="H920" s="4" t="s">
        <v>128</v>
      </c>
      <c r="I920" s="4"/>
      <c r="J920" s="4"/>
      <c r="K920" s="4">
        <v>206</v>
      </c>
      <c r="L920" s="4">
        <v>20</v>
      </c>
      <c r="M920" s="4">
        <v>3</v>
      </c>
      <c r="N920" s="4" t="s">
        <v>3</v>
      </c>
      <c r="O920" s="4">
        <v>2</v>
      </c>
      <c r="P920" s="4"/>
      <c r="Q920" s="4"/>
      <c r="R920" s="4"/>
      <c r="S920" s="4"/>
      <c r="T920" s="4"/>
      <c r="U920" s="4"/>
      <c r="V920" s="4"/>
      <c r="W920" s="4"/>
    </row>
    <row r="921" spans="1:23" x14ac:dyDescent="0.2">
      <c r="A921" s="4">
        <v>50</v>
      </c>
      <c r="B921" s="4">
        <v>0</v>
      </c>
      <c r="C921" s="4">
        <v>0</v>
      </c>
      <c r="D921" s="4">
        <v>1</v>
      </c>
      <c r="E921" s="4">
        <v>207</v>
      </c>
      <c r="F921" s="4">
        <f>Source!U899</f>
        <v>0</v>
      </c>
      <c r="G921" s="4" t="s">
        <v>129</v>
      </c>
      <c r="H921" s="4" t="s">
        <v>130</v>
      </c>
      <c r="I921" s="4"/>
      <c r="J921" s="4"/>
      <c r="K921" s="4">
        <v>207</v>
      </c>
      <c r="L921" s="4">
        <v>21</v>
      </c>
      <c r="M921" s="4">
        <v>3</v>
      </c>
      <c r="N921" s="4" t="s">
        <v>3</v>
      </c>
      <c r="O921" s="4">
        <v>-1</v>
      </c>
      <c r="P921" s="4"/>
      <c r="Q921" s="4"/>
      <c r="R921" s="4"/>
      <c r="S921" s="4"/>
      <c r="T921" s="4"/>
      <c r="U921" s="4"/>
      <c r="V921" s="4"/>
      <c r="W921" s="4"/>
    </row>
    <row r="922" spans="1:23" x14ac:dyDescent="0.2">
      <c r="A922" s="4">
        <v>50</v>
      </c>
      <c r="B922" s="4">
        <v>0</v>
      </c>
      <c r="C922" s="4">
        <v>0</v>
      </c>
      <c r="D922" s="4">
        <v>1</v>
      </c>
      <c r="E922" s="4">
        <v>208</v>
      </c>
      <c r="F922" s="4">
        <f>Source!V899</f>
        <v>0</v>
      </c>
      <c r="G922" s="4" t="s">
        <v>131</v>
      </c>
      <c r="H922" s="4" t="s">
        <v>132</v>
      </c>
      <c r="I922" s="4"/>
      <c r="J922" s="4"/>
      <c r="K922" s="4">
        <v>208</v>
      </c>
      <c r="L922" s="4">
        <v>22</v>
      </c>
      <c r="M922" s="4">
        <v>3</v>
      </c>
      <c r="N922" s="4" t="s">
        <v>3</v>
      </c>
      <c r="O922" s="4">
        <v>-1</v>
      </c>
      <c r="P922" s="4"/>
      <c r="Q922" s="4"/>
      <c r="R922" s="4"/>
      <c r="S922" s="4"/>
      <c r="T922" s="4"/>
      <c r="U922" s="4"/>
      <c r="V922" s="4"/>
      <c r="W922" s="4"/>
    </row>
    <row r="923" spans="1:23" x14ac:dyDescent="0.2">
      <c r="A923" s="4">
        <v>50</v>
      </c>
      <c r="B923" s="4">
        <v>0</v>
      </c>
      <c r="C923" s="4">
        <v>0</v>
      </c>
      <c r="D923" s="4">
        <v>1</v>
      </c>
      <c r="E923" s="4">
        <v>209</v>
      </c>
      <c r="F923" s="4">
        <f>ROUND(Source!W899,O923)</f>
        <v>0</v>
      </c>
      <c r="G923" s="4" t="s">
        <v>133</v>
      </c>
      <c r="H923" s="4" t="s">
        <v>134</v>
      </c>
      <c r="I923" s="4"/>
      <c r="J923" s="4"/>
      <c r="K923" s="4">
        <v>209</v>
      </c>
      <c r="L923" s="4">
        <v>23</v>
      </c>
      <c r="M923" s="4">
        <v>3</v>
      </c>
      <c r="N923" s="4" t="s">
        <v>3</v>
      </c>
      <c r="O923" s="4">
        <v>2</v>
      </c>
      <c r="P923" s="4"/>
      <c r="Q923" s="4"/>
      <c r="R923" s="4"/>
      <c r="S923" s="4"/>
      <c r="T923" s="4"/>
      <c r="U923" s="4"/>
      <c r="V923" s="4"/>
      <c r="W923" s="4"/>
    </row>
    <row r="924" spans="1:23" x14ac:dyDescent="0.2">
      <c r="A924" s="4">
        <v>50</v>
      </c>
      <c r="B924" s="4">
        <v>0</v>
      </c>
      <c r="C924" s="4">
        <v>0</v>
      </c>
      <c r="D924" s="4">
        <v>1</v>
      </c>
      <c r="E924" s="4">
        <v>233</v>
      </c>
      <c r="F924" s="4">
        <f>ROUND(Source!BD899,O924)</f>
        <v>0</v>
      </c>
      <c r="G924" s="4" t="s">
        <v>135</v>
      </c>
      <c r="H924" s="4" t="s">
        <v>136</v>
      </c>
      <c r="I924" s="4"/>
      <c r="J924" s="4"/>
      <c r="K924" s="4">
        <v>233</v>
      </c>
      <c r="L924" s="4">
        <v>24</v>
      </c>
      <c r="M924" s="4">
        <v>3</v>
      </c>
      <c r="N924" s="4" t="s">
        <v>3</v>
      </c>
      <c r="O924" s="4">
        <v>2</v>
      </c>
      <c r="P924" s="4"/>
      <c r="Q924" s="4"/>
      <c r="R924" s="4"/>
      <c r="S924" s="4"/>
      <c r="T924" s="4"/>
      <c r="U924" s="4"/>
      <c r="V924" s="4"/>
      <c r="W924" s="4"/>
    </row>
    <row r="925" spans="1:23" x14ac:dyDescent="0.2">
      <c r="A925" s="4">
        <v>50</v>
      </c>
      <c r="B925" s="4">
        <v>0</v>
      </c>
      <c r="C925" s="4">
        <v>0</v>
      </c>
      <c r="D925" s="4">
        <v>1</v>
      </c>
      <c r="E925" s="4">
        <v>210</v>
      </c>
      <c r="F925" s="4">
        <f>ROUND(Source!X899,O925)</f>
        <v>0</v>
      </c>
      <c r="G925" s="4" t="s">
        <v>137</v>
      </c>
      <c r="H925" s="4" t="s">
        <v>138</v>
      </c>
      <c r="I925" s="4"/>
      <c r="J925" s="4"/>
      <c r="K925" s="4">
        <v>210</v>
      </c>
      <c r="L925" s="4">
        <v>25</v>
      </c>
      <c r="M925" s="4">
        <v>3</v>
      </c>
      <c r="N925" s="4" t="s">
        <v>3</v>
      </c>
      <c r="O925" s="4">
        <v>2</v>
      </c>
      <c r="P925" s="4"/>
      <c r="Q925" s="4"/>
      <c r="R925" s="4"/>
      <c r="S925" s="4"/>
      <c r="T925" s="4"/>
      <c r="U925" s="4"/>
      <c r="V925" s="4"/>
      <c r="W925" s="4"/>
    </row>
    <row r="926" spans="1:23" x14ac:dyDescent="0.2">
      <c r="A926" s="4">
        <v>50</v>
      </c>
      <c r="B926" s="4">
        <v>0</v>
      </c>
      <c r="C926" s="4">
        <v>0</v>
      </c>
      <c r="D926" s="4">
        <v>1</v>
      </c>
      <c r="E926" s="4">
        <v>211</v>
      </c>
      <c r="F926" s="4">
        <f>ROUND(Source!Y899,O926)</f>
        <v>0</v>
      </c>
      <c r="G926" s="4" t="s">
        <v>139</v>
      </c>
      <c r="H926" s="4" t="s">
        <v>140</v>
      </c>
      <c r="I926" s="4"/>
      <c r="J926" s="4"/>
      <c r="K926" s="4">
        <v>211</v>
      </c>
      <c r="L926" s="4">
        <v>26</v>
      </c>
      <c r="M926" s="4">
        <v>3</v>
      </c>
      <c r="N926" s="4" t="s">
        <v>3</v>
      </c>
      <c r="O926" s="4">
        <v>2</v>
      </c>
      <c r="P926" s="4"/>
      <c r="Q926" s="4"/>
      <c r="R926" s="4"/>
      <c r="S926" s="4"/>
      <c r="T926" s="4"/>
      <c r="U926" s="4"/>
      <c r="V926" s="4"/>
      <c r="W926" s="4"/>
    </row>
    <row r="927" spans="1:23" x14ac:dyDescent="0.2">
      <c r="A927" s="4">
        <v>50</v>
      </c>
      <c r="B927" s="4">
        <v>0</v>
      </c>
      <c r="C927" s="4">
        <v>0</v>
      </c>
      <c r="D927" s="4">
        <v>1</v>
      </c>
      <c r="E927" s="4">
        <v>224</v>
      </c>
      <c r="F927" s="4">
        <f>ROUND(Source!AR899,O927)</f>
        <v>0</v>
      </c>
      <c r="G927" s="4" t="s">
        <v>141</v>
      </c>
      <c r="H927" s="4" t="s">
        <v>142</v>
      </c>
      <c r="I927" s="4"/>
      <c r="J927" s="4"/>
      <c r="K927" s="4">
        <v>224</v>
      </c>
      <c r="L927" s="4">
        <v>27</v>
      </c>
      <c r="M927" s="4">
        <v>3</v>
      </c>
      <c r="N927" s="4" t="s">
        <v>3</v>
      </c>
      <c r="O927" s="4">
        <v>2</v>
      </c>
      <c r="P927" s="4"/>
      <c r="Q927" s="4"/>
      <c r="R927" s="4"/>
      <c r="S927" s="4"/>
      <c r="T927" s="4"/>
      <c r="U927" s="4"/>
      <c r="V927" s="4"/>
      <c r="W927" s="4"/>
    </row>
    <row r="929" spans="1:206" x14ac:dyDescent="0.2">
      <c r="A929" s="1">
        <v>4</v>
      </c>
      <c r="B929" s="1">
        <v>1</v>
      </c>
      <c r="C929" s="1"/>
      <c r="D929" s="1">
        <f>ROW(A933)</f>
        <v>933</v>
      </c>
      <c r="E929" s="1"/>
      <c r="F929" s="1" t="s">
        <v>13</v>
      </c>
      <c r="G929" s="1" t="s">
        <v>502</v>
      </c>
      <c r="H929" s="1" t="s">
        <v>3</v>
      </c>
      <c r="I929" s="1">
        <v>0</v>
      </c>
      <c r="J929" s="1"/>
      <c r="K929" s="1">
        <v>0</v>
      </c>
      <c r="L929" s="1"/>
      <c r="M929" s="1"/>
      <c r="N929" s="1"/>
      <c r="O929" s="1"/>
      <c r="P929" s="1"/>
      <c r="Q929" s="1"/>
      <c r="R929" s="1"/>
      <c r="S929" s="1"/>
      <c r="T929" s="1"/>
      <c r="U929" s="1" t="s">
        <v>3</v>
      </c>
      <c r="V929" s="1">
        <v>0</v>
      </c>
      <c r="W929" s="1"/>
      <c r="X929" s="1"/>
      <c r="Y929" s="1"/>
      <c r="Z929" s="1"/>
      <c r="AA929" s="1"/>
      <c r="AB929" s="1" t="s">
        <v>3</v>
      </c>
      <c r="AC929" s="1" t="s">
        <v>3</v>
      </c>
      <c r="AD929" s="1" t="s">
        <v>3</v>
      </c>
      <c r="AE929" s="1" t="s">
        <v>3</v>
      </c>
      <c r="AF929" s="1" t="s">
        <v>3</v>
      </c>
      <c r="AG929" s="1" t="s">
        <v>3</v>
      </c>
      <c r="AH929" s="1"/>
      <c r="AI929" s="1"/>
      <c r="AJ929" s="1"/>
      <c r="AK929" s="1"/>
      <c r="AL929" s="1"/>
      <c r="AM929" s="1"/>
      <c r="AN929" s="1"/>
      <c r="AO929" s="1"/>
      <c r="AP929" s="1" t="s">
        <v>3</v>
      </c>
      <c r="AQ929" s="1" t="s">
        <v>3</v>
      </c>
      <c r="AR929" s="1" t="s">
        <v>3</v>
      </c>
      <c r="AS929" s="1"/>
      <c r="AT929" s="1"/>
      <c r="AU929" s="1"/>
      <c r="AV929" s="1"/>
      <c r="AW929" s="1"/>
      <c r="AX929" s="1"/>
      <c r="AY929" s="1"/>
      <c r="AZ929" s="1" t="s">
        <v>3</v>
      </c>
      <c r="BA929" s="1"/>
      <c r="BB929" s="1" t="s">
        <v>3</v>
      </c>
      <c r="BC929" s="1" t="s">
        <v>3</v>
      </c>
      <c r="BD929" s="1" t="s">
        <v>3</v>
      </c>
      <c r="BE929" s="1" t="s">
        <v>3</v>
      </c>
      <c r="BF929" s="1" t="s">
        <v>3</v>
      </c>
      <c r="BG929" s="1" t="s">
        <v>3</v>
      </c>
      <c r="BH929" s="1" t="s">
        <v>3</v>
      </c>
      <c r="BI929" s="1" t="s">
        <v>3</v>
      </c>
      <c r="BJ929" s="1" t="s">
        <v>3</v>
      </c>
      <c r="BK929" s="1" t="s">
        <v>3</v>
      </c>
      <c r="BL929" s="1" t="s">
        <v>3</v>
      </c>
      <c r="BM929" s="1" t="s">
        <v>3</v>
      </c>
      <c r="BN929" s="1" t="s">
        <v>3</v>
      </c>
      <c r="BO929" s="1" t="s">
        <v>3</v>
      </c>
      <c r="BP929" s="1" t="s">
        <v>3</v>
      </c>
      <c r="BQ929" s="1"/>
      <c r="BR929" s="1"/>
      <c r="BS929" s="1"/>
      <c r="BT929" s="1"/>
      <c r="BU929" s="1"/>
      <c r="BV929" s="1"/>
      <c r="BW929" s="1"/>
      <c r="BX929" s="1">
        <v>0</v>
      </c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>
        <v>0</v>
      </c>
    </row>
    <row r="931" spans="1:206" x14ac:dyDescent="0.2">
      <c r="A931" s="2">
        <v>52</v>
      </c>
      <c r="B931" s="2">
        <f t="shared" ref="B931:G931" si="686">B933</f>
        <v>1</v>
      </c>
      <c r="C931" s="2">
        <f t="shared" si="686"/>
        <v>4</v>
      </c>
      <c r="D931" s="2">
        <f t="shared" si="686"/>
        <v>929</v>
      </c>
      <c r="E931" s="2">
        <f t="shared" si="686"/>
        <v>0</v>
      </c>
      <c r="F931" s="2" t="str">
        <f t="shared" si="686"/>
        <v>Новый раздел</v>
      </c>
      <c r="G931" s="2" t="str">
        <f t="shared" si="686"/>
        <v>34. Устройство лестничных маршей</v>
      </c>
      <c r="H931" s="2"/>
      <c r="I931" s="2"/>
      <c r="J931" s="2"/>
      <c r="K931" s="2"/>
      <c r="L931" s="2"/>
      <c r="M931" s="2"/>
      <c r="N931" s="2"/>
      <c r="O931" s="2">
        <f t="shared" ref="O931:AT931" si="687">O933</f>
        <v>0</v>
      </c>
      <c r="P931" s="2">
        <f t="shared" si="687"/>
        <v>0</v>
      </c>
      <c r="Q931" s="2">
        <f t="shared" si="687"/>
        <v>0</v>
      </c>
      <c r="R931" s="2">
        <f t="shared" si="687"/>
        <v>0</v>
      </c>
      <c r="S931" s="2">
        <f t="shared" si="687"/>
        <v>0</v>
      </c>
      <c r="T931" s="2">
        <f t="shared" si="687"/>
        <v>0</v>
      </c>
      <c r="U931" s="2">
        <f t="shared" si="687"/>
        <v>0</v>
      </c>
      <c r="V931" s="2">
        <f t="shared" si="687"/>
        <v>0</v>
      </c>
      <c r="W931" s="2">
        <f t="shared" si="687"/>
        <v>0</v>
      </c>
      <c r="X931" s="2">
        <f t="shared" si="687"/>
        <v>0</v>
      </c>
      <c r="Y931" s="2">
        <f t="shared" si="687"/>
        <v>0</v>
      </c>
      <c r="Z931" s="2">
        <f t="shared" si="687"/>
        <v>0</v>
      </c>
      <c r="AA931" s="2">
        <f t="shared" si="687"/>
        <v>0</v>
      </c>
      <c r="AB931" s="2">
        <f t="shared" si="687"/>
        <v>0</v>
      </c>
      <c r="AC931" s="2">
        <f t="shared" si="687"/>
        <v>0</v>
      </c>
      <c r="AD931" s="2">
        <f t="shared" si="687"/>
        <v>0</v>
      </c>
      <c r="AE931" s="2">
        <f t="shared" si="687"/>
        <v>0</v>
      </c>
      <c r="AF931" s="2">
        <f t="shared" si="687"/>
        <v>0</v>
      </c>
      <c r="AG931" s="2">
        <f t="shared" si="687"/>
        <v>0</v>
      </c>
      <c r="AH931" s="2">
        <f t="shared" si="687"/>
        <v>0</v>
      </c>
      <c r="AI931" s="2">
        <f t="shared" si="687"/>
        <v>0</v>
      </c>
      <c r="AJ931" s="2">
        <f t="shared" si="687"/>
        <v>0</v>
      </c>
      <c r="AK931" s="2">
        <f t="shared" si="687"/>
        <v>0</v>
      </c>
      <c r="AL931" s="2">
        <f t="shared" si="687"/>
        <v>0</v>
      </c>
      <c r="AM931" s="2">
        <f t="shared" si="687"/>
        <v>0</v>
      </c>
      <c r="AN931" s="2">
        <f t="shared" si="687"/>
        <v>0</v>
      </c>
      <c r="AO931" s="2">
        <f t="shared" si="687"/>
        <v>0</v>
      </c>
      <c r="AP931" s="2">
        <f t="shared" si="687"/>
        <v>0</v>
      </c>
      <c r="AQ931" s="2">
        <f t="shared" si="687"/>
        <v>0</v>
      </c>
      <c r="AR931" s="2">
        <f t="shared" si="687"/>
        <v>0</v>
      </c>
      <c r="AS931" s="2">
        <f t="shared" si="687"/>
        <v>0</v>
      </c>
      <c r="AT931" s="2">
        <f t="shared" si="687"/>
        <v>0</v>
      </c>
      <c r="AU931" s="2">
        <f t="shared" ref="AU931:BZ931" si="688">AU933</f>
        <v>0</v>
      </c>
      <c r="AV931" s="2">
        <f t="shared" si="688"/>
        <v>0</v>
      </c>
      <c r="AW931" s="2">
        <f t="shared" si="688"/>
        <v>0</v>
      </c>
      <c r="AX931" s="2">
        <f t="shared" si="688"/>
        <v>0</v>
      </c>
      <c r="AY931" s="2">
        <f t="shared" si="688"/>
        <v>0</v>
      </c>
      <c r="AZ931" s="2">
        <f t="shared" si="688"/>
        <v>0</v>
      </c>
      <c r="BA931" s="2">
        <f t="shared" si="688"/>
        <v>0</v>
      </c>
      <c r="BB931" s="2">
        <f t="shared" si="688"/>
        <v>0</v>
      </c>
      <c r="BC931" s="2">
        <f t="shared" si="688"/>
        <v>0</v>
      </c>
      <c r="BD931" s="2">
        <f t="shared" si="688"/>
        <v>0</v>
      </c>
      <c r="BE931" s="2">
        <f t="shared" si="688"/>
        <v>0</v>
      </c>
      <c r="BF931" s="2">
        <f t="shared" si="688"/>
        <v>0</v>
      </c>
      <c r="BG931" s="2">
        <f t="shared" si="688"/>
        <v>0</v>
      </c>
      <c r="BH931" s="2">
        <f t="shared" si="688"/>
        <v>0</v>
      </c>
      <c r="BI931" s="2">
        <f t="shared" si="688"/>
        <v>0</v>
      </c>
      <c r="BJ931" s="2">
        <f t="shared" si="688"/>
        <v>0</v>
      </c>
      <c r="BK931" s="2">
        <f t="shared" si="688"/>
        <v>0</v>
      </c>
      <c r="BL931" s="2">
        <f t="shared" si="688"/>
        <v>0</v>
      </c>
      <c r="BM931" s="2">
        <f t="shared" si="688"/>
        <v>0</v>
      </c>
      <c r="BN931" s="2">
        <f t="shared" si="688"/>
        <v>0</v>
      </c>
      <c r="BO931" s="2">
        <f t="shared" si="688"/>
        <v>0</v>
      </c>
      <c r="BP931" s="2">
        <f t="shared" si="688"/>
        <v>0</v>
      </c>
      <c r="BQ931" s="2">
        <f t="shared" si="688"/>
        <v>0</v>
      </c>
      <c r="BR931" s="2">
        <f t="shared" si="688"/>
        <v>0</v>
      </c>
      <c r="BS931" s="2">
        <f t="shared" si="688"/>
        <v>0</v>
      </c>
      <c r="BT931" s="2">
        <f t="shared" si="688"/>
        <v>0</v>
      </c>
      <c r="BU931" s="2">
        <f t="shared" si="688"/>
        <v>0</v>
      </c>
      <c r="BV931" s="2">
        <f t="shared" si="688"/>
        <v>0</v>
      </c>
      <c r="BW931" s="2">
        <f t="shared" si="688"/>
        <v>0</v>
      </c>
      <c r="BX931" s="2">
        <f t="shared" si="688"/>
        <v>0</v>
      </c>
      <c r="BY931" s="2">
        <f t="shared" si="688"/>
        <v>0</v>
      </c>
      <c r="BZ931" s="2">
        <f t="shared" si="688"/>
        <v>0</v>
      </c>
      <c r="CA931" s="2">
        <f t="shared" ref="CA931:DF931" si="689">CA933</f>
        <v>0</v>
      </c>
      <c r="CB931" s="2">
        <f t="shared" si="689"/>
        <v>0</v>
      </c>
      <c r="CC931" s="2">
        <f t="shared" si="689"/>
        <v>0</v>
      </c>
      <c r="CD931" s="2">
        <f t="shared" si="689"/>
        <v>0</v>
      </c>
      <c r="CE931" s="2">
        <f t="shared" si="689"/>
        <v>0</v>
      </c>
      <c r="CF931" s="2">
        <f t="shared" si="689"/>
        <v>0</v>
      </c>
      <c r="CG931" s="2">
        <f t="shared" si="689"/>
        <v>0</v>
      </c>
      <c r="CH931" s="2">
        <f t="shared" si="689"/>
        <v>0</v>
      </c>
      <c r="CI931" s="2">
        <f t="shared" si="689"/>
        <v>0</v>
      </c>
      <c r="CJ931" s="2">
        <f t="shared" si="689"/>
        <v>0</v>
      </c>
      <c r="CK931" s="2">
        <f t="shared" si="689"/>
        <v>0</v>
      </c>
      <c r="CL931" s="2">
        <f t="shared" si="689"/>
        <v>0</v>
      </c>
      <c r="CM931" s="2">
        <f t="shared" si="689"/>
        <v>0</v>
      </c>
      <c r="CN931" s="2">
        <f t="shared" si="689"/>
        <v>0</v>
      </c>
      <c r="CO931" s="2">
        <f t="shared" si="689"/>
        <v>0</v>
      </c>
      <c r="CP931" s="2">
        <f t="shared" si="689"/>
        <v>0</v>
      </c>
      <c r="CQ931" s="2">
        <f t="shared" si="689"/>
        <v>0</v>
      </c>
      <c r="CR931" s="2">
        <f t="shared" si="689"/>
        <v>0</v>
      </c>
      <c r="CS931" s="2">
        <f t="shared" si="689"/>
        <v>0</v>
      </c>
      <c r="CT931" s="2">
        <f t="shared" si="689"/>
        <v>0</v>
      </c>
      <c r="CU931" s="2">
        <f t="shared" si="689"/>
        <v>0</v>
      </c>
      <c r="CV931" s="2">
        <f t="shared" si="689"/>
        <v>0</v>
      </c>
      <c r="CW931" s="2">
        <f t="shared" si="689"/>
        <v>0</v>
      </c>
      <c r="CX931" s="2">
        <f t="shared" si="689"/>
        <v>0</v>
      </c>
      <c r="CY931" s="2">
        <f t="shared" si="689"/>
        <v>0</v>
      </c>
      <c r="CZ931" s="2">
        <f t="shared" si="689"/>
        <v>0</v>
      </c>
      <c r="DA931" s="2">
        <f t="shared" si="689"/>
        <v>0</v>
      </c>
      <c r="DB931" s="2">
        <f t="shared" si="689"/>
        <v>0</v>
      </c>
      <c r="DC931" s="2">
        <f t="shared" si="689"/>
        <v>0</v>
      </c>
      <c r="DD931" s="2">
        <f t="shared" si="689"/>
        <v>0</v>
      </c>
      <c r="DE931" s="2">
        <f t="shared" si="689"/>
        <v>0</v>
      </c>
      <c r="DF931" s="2">
        <f t="shared" si="689"/>
        <v>0</v>
      </c>
      <c r="DG931" s="3">
        <f t="shared" ref="DG931:EL931" si="690">DG933</f>
        <v>0</v>
      </c>
      <c r="DH931" s="3">
        <f t="shared" si="690"/>
        <v>0</v>
      </c>
      <c r="DI931" s="3">
        <f t="shared" si="690"/>
        <v>0</v>
      </c>
      <c r="DJ931" s="3">
        <f t="shared" si="690"/>
        <v>0</v>
      </c>
      <c r="DK931" s="3">
        <f t="shared" si="690"/>
        <v>0</v>
      </c>
      <c r="DL931" s="3">
        <f t="shared" si="690"/>
        <v>0</v>
      </c>
      <c r="DM931" s="3">
        <f t="shared" si="690"/>
        <v>0</v>
      </c>
      <c r="DN931" s="3">
        <f t="shared" si="690"/>
        <v>0</v>
      </c>
      <c r="DO931" s="3">
        <f t="shared" si="690"/>
        <v>0</v>
      </c>
      <c r="DP931" s="3">
        <f t="shared" si="690"/>
        <v>0</v>
      </c>
      <c r="DQ931" s="3">
        <f t="shared" si="690"/>
        <v>0</v>
      </c>
      <c r="DR931" s="3">
        <f t="shared" si="690"/>
        <v>0</v>
      </c>
      <c r="DS931" s="3">
        <f t="shared" si="690"/>
        <v>0</v>
      </c>
      <c r="DT931" s="3">
        <f t="shared" si="690"/>
        <v>0</v>
      </c>
      <c r="DU931" s="3">
        <f t="shared" si="690"/>
        <v>0</v>
      </c>
      <c r="DV931" s="3">
        <f t="shared" si="690"/>
        <v>0</v>
      </c>
      <c r="DW931" s="3">
        <f t="shared" si="690"/>
        <v>0</v>
      </c>
      <c r="DX931" s="3">
        <f t="shared" si="690"/>
        <v>0</v>
      </c>
      <c r="DY931" s="3">
        <f t="shared" si="690"/>
        <v>0</v>
      </c>
      <c r="DZ931" s="3">
        <f t="shared" si="690"/>
        <v>0</v>
      </c>
      <c r="EA931" s="3">
        <f t="shared" si="690"/>
        <v>0</v>
      </c>
      <c r="EB931" s="3">
        <f t="shared" si="690"/>
        <v>0</v>
      </c>
      <c r="EC931" s="3">
        <f t="shared" si="690"/>
        <v>0</v>
      </c>
      <c r="ED931" s="3">
        <f t="shared" si="690"/>
        <v>0</v>
      </c>
      <c r="EE931" s="3">
        <f t="shared" si="690"/>
        <v>0</v>
      </c>
      <c r="EF931" s="3">
        <f t="shared" si="690"/>
        <v>0</v>
      </c>
      <c r="EG931" s="3">
        <f t="shared" si="690"/>
        <v>0</v>
      </c>
      <c r="EH931" s="3">
        <f t="shared" si="690"/>
        <v>0</v>
      </c>
      <c r="EI931" s="3">
        <f t="shared" si="690"/>
        <v>0</v>
      </c>
      <c r="EJ931" s="3">
        <f t="shared" si="690"/>
        <v>0</v>
      </c>
      <c r="EK931" s="3">
        <f t="shared" si="690"/>
        <v>0</v>
      </c>
      <c r="EL931" s="3">
        <f t="shared" si="690"/>
        <v>0</v>
      </c>
      <c r="EM931" s="3">
        <f t="shared" ref="EM931:FR931" si="691">EM933</f>
        <v>0</v>
      </c>
      <c r="EN931" s="3">
        <f t="shared" si="691"/>
        <v>0</v>
      </c>
      <c r="EO931" s="3">
        <f t="shared" si="691"/>
        <v>0</v>
      </c>
      <c r="EP931" s="3">
        <f t="shared" si="691"/>
        <v>0</v>
      </c>
      <c r="EQ931" s="3">
        <f t="shared" si="691"/>
        <v>0</v>
      </c>
      <c r="ER931" s="3">
        <f t="shared" si="691"/>
        <v>0</v>
      </c>
      <c r="ES931" s="3">
        <f t="shared" si="691"/>
        <v>0</v>
      </c>
      <c r="ET931" s="3">
        <f t="shared" si="691"/>
        <v>0</v>
      </c>
      <c r="EU931" s="3">
        <f t="shared" si="691"/>
        <v>0</v>
      </c>
      <c r="EV931" s="3">
        <f t="shared" si="691"/>
        <v>0</v>
      </c>
      <c r="EW931" s="3">
        <f t="shared" si="691"/>
        <v>0</v>
      </c>
      <c r="EX931" s="3">
        <f t="shared" si="691"/>
        <v>0</v>
      </c>
      <c r="EY931" s="3">
        <f t="shared" si="691"/>
        <v>0</v>
      </c>
      <c r="EZ931" s="3">
        <f t="shared" si="691"/>
        <v>0</v>
      </c>
      <c r="FA931" s="3">
        <f t="shared" si="691"/>
        <v>0</v>
      </c>
      <c r="FB931" s="3">
        <f t="shared" si="691"/>
        <v>0</v>
      </c>
      <c r="FC931" s="3">
        <f t="shared" si="691"/>
        <v>0</v>
      </c>
      <c r="FD931" s="3">
        <f t="shared" si="691"/>
        <v>0</v>
      </c>
      <c r="FE931" s="3">
        <f t="shared" si="691"/>
        <v>0</v>
      </c>
      <c r="FF931" s="3">
        <f t="shared" si="691"/>
        <v>0</v>
      </c>
      <c r="FG931" s="3">
        <f t="shared" si="691"/>
        <v>0</v>
      </c>
      <c r="FH931" s="3">
        <f t="shared" si="691"/>
        <v>0</v>
      </c>
      <c r="FI931" s="3">
        <f t="shared" si="691"/>
        <v>0</v>
      </c>
      <c r="FJ931" s="3">
        <f t="shared" si="691"/>
        <v>0</v>
      </c>
      <c r="FK931" s="3">
        <f t="shared" si="691"/>
        <v>0</v>
      </c>
      <c r="FL931" s="3">
        <f t="shared" si="691"/>
        <v>0</v>
      </c>
      <c r="FM931" s="3">
        <f t="shared" si="691"/>
        <v>0</v>
      </c>
      <c r="FN931" s="3">
        <f t="shared" si="691"/>
        <v>0</v>
      </c>
      <c r="FO931" s="3">
        <f t="shared" si="691"/>
        <v>0</v>
      </c>
      <c r="FP931" s="3">
        <f t="shared" si="691"/>
        <v>0</v>
      </c>
      <c r="FQ931" s="3">
        <f t="shared" si="691"/>
        <v>0</v>
      </c>
      <c r="FR931" s="3">
        <f t="shared" si="691"/>
        <v>0</v>
      </c>
      <c r="FS931" s="3">
        <f t="shared" ref="FS931:GX931" si="692">FS933</f>
        <v>0</v>
      </c>
      <c r="FT931" s="3">
        <f t="shared" si="692"/>
        <v>0</v>
      </c>
      <c r="FU931" s="3">
        <f t="shared" si="692"/>
        <v>0</v>
      </c>
      <c r="FV931" s="3">
        <f t="shared" si="692"/>
        <v>0</v>
      </c>
      <c r="FW931" s="3">
        <f t="shared" si="692"/>
        <v>0</v>
      </c>
      <c r="FX931" s="3">
        <f t="shared" si="692"/>
        <v>0</v>
      </c>
      <c r="FY931" s="3">
        <f t="shared" si="692"/>
        <v>0</v>
      </c>
      <c r="FZ931" s="3">
        <f t="shared" si="692"/>
        <v>0</v>
      </c>
      <c r="GA931" s="3">
        <f t="shared" si="692"/>
        <v>0</v>
      </c>
      <c r="GB931" s="3">
        <f t="shared" si="692"/>
        <v>0</v>
      </c>
      <c r="GC931" s="3">
        <f t="shared" si="692"/>
        <v>0</v>
      </c>
      <c r="GD931" s="3">
        <f t="shared" si="692"/>
        <v>0</v>
      </c>
      <c r="GE931" s="3">
        <f t="shared" si="692"/>
        <v>0</v>
      </c>
      <c r="GF931" s="3">
        <f t="shared" si="692"/>
        <v>0</v>
      </c>
      <c r="GG931" s="3">
        <f t="shared" si="692"/>
        <v>0</v>
      </c>
      <c r="GH931" s="3">
        <f t="shared" si="692"/>
        <v>0</v>
      </c>
      <c r="GI931" s="3">
        <f t="shared" si="692"/>
        <v>0</v>
      </c>
      <c r="GJ931" s="3">
        <f t="shared" si="692"/>
        <v>0</v>
      </c>
      <c r="GK931" s="3">
        <f t="shared" si="692"/>
        <v>0</v>
      </c>
      <c r="GL931" s="3">
        <f t="shared" si="692"/>
        <v>0</v>
      </c>
      <c r="GM931" s="3">
        <f t="shared" si="692"/>
        <v>0</v>
      </c>
      <c r="GN931" s="3">
        <f t="shared" si="692"/>
        <v>0</v>
      </c>
      <c r="GO931" s="3">
        <f t="shared" si="692"/>
        <v>0</v>
      </c>
      <c r="GP931" s="3">
        <f t="shared" si="692"/>
        <v>0</v>
      </c>
      <c r="GQ931" s="3">
        <f t="shared" si="692"/>
        <v>0</v>
      </c>
      <c r="GR931" s="3">
        <f t="shared" si="692"/>
        <v>0</v>
      </c>
      <c r="GS931" s="3">
        <f t="shared" si="692"/>
        <v>0</v>
      </c>
      <c r="GT931" s="3">
        <f t="shared" si="692"/>
        <v>0</v>
      </c>
      <c r="GU931" s="3">
        <f t="shared" si="692"/>
        <v>0</v>
      </c>
      <c r="GV931" s="3">
        <f t="shared" si="692"/>
        <v>0</v>
      </c>
      <c r="GW931" s="3">
        <f t="shared" si="692"/>
        <v>0</v>
      </c>
      <c r="GX931" s="3">
        <f t="shared" si="692"/>
        <v>0</v>
      </c>
    </row>
    <row r="933" spans="1:206" x14ac:dyDescent="0.2">
      <c r="A933" s="2">
        <v>51</v>
      </c>
      <c r="B933" s="2">
        <f>B929</f>
        <v>1</v>
      </c>
      <c r="C933" s="2">
        <f>A929</f>
        <v>4</v>
      </c>
      <c r="D933" s="2">
        <f>ROW(A929)</f>
        <v>929</v>
      </c>
      <c r="E933" s="2"/>
      <c r="F933" s="2" t="str">
        <f>IF(F929&lt;&gt;"",F929,"")</f>
        <v>Новый раздел</v>
      </c>
      <c r="G933" s="2" t="str">
        <f>IF(G929&lt;&gt;"",G929,"")</f>
        <v>34. Устройство лестничных маршей</v>
      </c>
      <c r="H933" s="2">
        <v>0</v>
      </c>
      <c r="I933" s="2"/>
      <c r="J933" s="2"/>
      <c r="K933" s="2"/>
      <c r="L933" s="2"/>
      <c r="M933" s="2"/>
      <c r="N933" s="2"/>
      <c r="O933" s="2">
        <f t="shared" ref="O933:T933" si="693">ROUND(AB933,2)</f>
        <v>0</v>
      </c>
      <c r="P933" s="2">
        <f t="shared" si="693"/>
        <v>0</v>
      </c>
      <c r="Q933" s="2">
        <f t="shared" si="693"/>
        <v>0</v>
      </c>
      <c r="R933" s="2">
        <f t="shared" si="693"/>
        <v>0</v>
      </c>
      <c r="S933" s="2">
        <f t="shared" si="693"/>
        <v>0</v>
      </c>
      <c r="T933" s="2">
        <f t="shared" si="693"/>
        <v>0</v>
      </c>
      <c r="U933" s="2">
        <f>AH933</f>
        <v>0</v>
      </c>
      <c r="V933" s="2">
        <f>AI933</f>
        <v>0</v>
      </c>
      <c r="W933" s="2">
        <f>ROUND(AJ933,2)</f>
        <v>0</v>
      </c>
      <c r="X933" s="2">
        <f>ROUND(AK933,2)</f>
        <v>0</v>
      </c>
      <c r="Y933" s="2">
        <f>ROUND(AL933,2)</f>
        <v>0</v>
      </c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>
        <f t="shared" ref="AO933:BD933" si="694">ROUND(BX933,2)</f>
        <v>0</v>
      </c>
      <c r="AP933" s="2">
        <f t="shared" si="694"/>
        <v>0</v>
      </c>
      <c r="AQ933" s="2">
        <f t="shared" si="694"/>
        <v>0</v>
      </c>
      <c r="AR933" s="2">
        <f t="shared" si="694"/>
        <v>0</v>
      </c>
      <c r="AS933" s="2">
        <f t="shared" si="694"/>
        <v>0</v>
      </c>
      <c r="AT933" s="2">
        <f t="shared" si="694"/>
        <v>0</v>
      </c>
      <c r="AU933" s="2">
        <f t="shared" si="694"/>
        <v>0</v>
      </c>
      <c r="AV933" s="2">
        <f t="shared" si="694"/>
        <v>0</v>
      </c>
      <c r="AW933" s="2">
        <f t="shared" si="694"/>
        <v>0</v>
      </c>
      <c r="AX933" s="2">
        <f t="shared" si="694"/>
        <v>0</v>
      </c>
      <c r="AY933" s="2">
        <f t="shared" si="694"/>
        <v>0</v>
      </c>
      <c r="AZ933" s="2">
        <f t="shared" si="694"/>
        <v>0</v>
      </c>
      <c r="BA933" s="2">
        <f t="shared" si="694"/>
        <v>0</v>
      </c>
      <c r="BB933" s="2">
        <f t="shared" si="694"/>
        <v>0</v>
      </c>
      <c r="BC933" s="2">
        <f t="shared" si="694"/>
        <v>0</v>
      </c>
      <c r="BD933" s="2">
        <f t="shared" si="694"/>
        <v>0</v>
      </c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  <c r="EA933" s="3"/>
      <c r="EB933" s="3"/>
      <c r="EC933" s="3"/>
      <c r="ED933" s="3"/>
      <c r="EE933" s="3"/>
      <c r="EF933" s="3"/>
      <c r="EG933" s="3"/>
      <c r="EH933" s="3"/>
      <c r="EI933" s="3"/>
      <c r="EJ933" s="3"/>
      <c r="EK933" s="3"/>
      <c r="EL933" s="3"/>
      <c r="EM933" s="3"/>
      <c r="EN933" s="3"/>
      <c r="EO933" s="3"/>
      <c r="EP933" s="3"/>
      <c r="EQ933" s="3"/>
      <c r="ER933" s="3"/>
      <c r="ES933" s="3"/>
      <c r="ET933" s="3"/>
      <c r="EU933" s="3"/>
      <c r="EV933" s="3"/>
      <c r="EW933" s="3"/>
      <c r="EX933" s="3"/>
      <c r="EY933" s="3"/>
      <c r="EZ933" s="3"/>
      <c r="FA933" s="3"/>
      <c r="FB933" s="3"/>
      <c r="FC933" s="3"/>
      <c r="FD933" s="3"/>
      <c r="FE933" s="3"/>
      <c r="FF933" s="3"/>
      <c r="FG933" s="3"/>
      <c r="FH933" s="3"/>
      <c r="FI933" s="3"/>
      <c r="FJ933" s="3"/>
      <c r="FK933" s="3"/>
      <c r="FL933" s="3"/>
      <c r="FM933" s="3"/>
      <c r="FN933" s="3"/>
      <c r="FO933" s="3"/>
      <c r="FP933" s="3"/>
      <c r="FQ933" s="3"/>
      <c r="FR933" s="3"/>
      <c r="FS933" s="3"/>
      <c r="FT933" s="3"/>
      <c r="FU933" s="3"/>
      <c r="FV933" s="3"/>
      <c r="FW933" s="3"/>
      <c r="FX933" s="3"/>
      <c r="FY933" s="3"/>
      <c r="FZ933" s="3"/>
      <c r="GA933" s="3"/>
      <c r="GB933" s="3"/>
      <c r="GC933" s="3"/>
      <c r="GD933" s="3"/>
      <c r="GE933" s="3"/>
      <c r="GF933" s="3"/>
      <c r="GG933" s="3"/>
      <c r="GH933" s="3"/>
      <c r="GI933" s="3"/>
      <c r="GJ933" s="3"/>
      <c r="GK933" s="3"/>
      <c r="GL933" s="3"/>
      <c r="GM933" s="3"/>
      <c r="GN933" s="3"/>
      <c r="GO933" s="3"/>
      <c r="GP933" s="3"/>
      <c r="GQ933" s="3"/>
      <c r="GR933" s="3"/>
      <c r="GS933" s="3"/>
      <c r="GT933" s="3"/>
      <c r="GU933" s="3"/>
      <c r="GV933" s="3"/>
      <c r="GW933" s="3"/>
      <c r="GX933" s="3">
        <v>0</v>
      </c>
    </row>
    <row r="935" spans="1:206" x14ac:dyDescent="0.2">
      <c r="A935" s="4">
        <v>50</v>
      </c>
      <c r="B935" s="4">
        <v>0</v>
      </c>
      <c r="C935" s="4">
        <v>0</v>
      </c>
      <c r="D935" s="4">
        <v>1</v>
      </c>
      <c r="E935" s="4">
        <v>201</v>
      </c>
      <c r="F935" s="4">
        <f>ROUND(Source!O933,O935)</f>
        <v>0</v>
      </c>
      <c r="G935" s="4" t="s">
        <v>89</v>
      </c>
      <c r="H935" s="4" t="s">
        <v>90</v>
      </c>
      <c r="I935" s="4"/>
      <c r="J935" s="4"/>
      <c r="K935" s="4">
        <v>201</v>
      </c>
      <c r="L935" s="4">
        <v>1</v>
      </c>
      <c r="M935" s="4">
        <v>3</v>
      </c>
      <c r="N935" s="4" t="s">
        <v>3</v>
      </c>
      <c r="O935" s="4">
        <v>2</v>
      </c>
      <c r="P935" s="4"/>
      <c r="Q935" s="4"/>
      <c r="R935" s="4"/>
      <c r="S935" s="4"/>
      <c r="T935" s="4"/>
      <c r="U935" s="4"/>
      <c r="V935" s="4"/>
      <c r="W935" s="4"/>
    </row>
    <row r="936" spans="1:206" x14ac:dyDescent="0.2">
      <c r="A936" s="4">
        <v>50</v>
      </c>
      <c r="B936" s="4">
        <v>0</v>
      </c>
      <c r="C936" s="4">
        <v>0</v>
      </c>
      <c r="D936" s="4">
        <v>1</v>
      </c>
      <c r="E936" s="4">
        <v>202</v>
      </c>
      <c r="F936" s="4">
        <f>ROUND(Source!P933,O936)</f>
        <v>0</v>
      </c>
      <c r="G936" s="4" t="s">
        <v>91</v>
      </c>
      <c r="H936" s="4" t="s">
        <v>92</v>
      </c>
      <c r="I936" s="4"/>
      <c r="J936" s="4"/>
      <c r="K936" s="4">
        <v>202</v>
      </c>
      <c r="L936" s="4">
        <v>2</v>
      </c>
      <c r="M936" s="4">
        <v>3</v>
      </c>
      <c r="N936" s="4" t="s">
        <v>3</v>
      </c>
      <c r="O936" s="4">
        <v>2</v>
      </c>
      <c r="P936" s="4"/>
      <c r="Q936" s="4"/>
      <c r="R936" s="4"/>
      <c r="S936" s="4"/>
      <c r="T936" s="4"/>
      <c r="U936" s="4"/>
      <c r="V936" s="4"/>
      <c r="W936" s="4"/>
    </row>
    <row r="937" spans="1:206" x14ac:dyDescent="0.2">
      <c r="A937" s="4">
        <v>50</v>
      </c>
      <c r="B937" s="4">
        <v>0</v>
      </c>
      <c r="C937" s="4">
        <v>0</v>
      </c>
      <c r="D937" s="4">
        <v>1</v>
      </c>
      <c r="E937" s="4">
        <v>222</v>
      </c>
      <c r="F937" s="4">
        <f>ROUND(Source!AO933,O937)</f>
        <v>0</v>
      </c>
      <c r="G937" s="4" t="s">
        <v>93</v>
      </c>
      <c r="H937" s="4" t="s">
        <v>94</v>
      </c>
      <c r="I937" s="4"/>
      <c r="J937" s="4"/>
      <c r="K937" s="4">
        <v>222</v>
      </c>
      <c r="L937" s="4">
        <v>3</v>
      </c>
      <c r="M937" s="4">
        <v>3</v>
      </c>
      <c r="N937" s="4" t="s">
        <v>3</v>
      </c>
      <c r="O937" s="4">
        <v>2</v>
      </c>
      <c r="P937" s="4"/>
      <c r="Q937" s="4"/>
      <c r="R937" s="4"/>
      <c r="S937" s="4"/>
      <c r="T937" s="4"/>
      <c r="U937" s="4"/>
      <c r="V937" s="4"/>
      <c r="W937" s="4"/>
    </row>
    <row r="938" spans="1:206" x14ac:dyDescent="0.2">
      <c r="A938" s="4">
        <v>50</v>
      </c>
      <c r="B938" s="4">
        <v>0</v>
      </c>
      <c r="C938" s="4">
        <v>0</v>
      </c>
      <c r="D938" s="4">
        <v>1</v>
      </c>
      <c r="E938" s="4">
        <v>225</v>
      </c>
      <c r="F938" s="4">
        <f>ROUND(Source!AV933,O938)</f>
        <v>0</v>
      </c>
      <c r="G938" s="4" t="s">
        <v>95</v>
      </c>
      <c r="H938" s="4" t="s">
        <v>96</v>
      </c>
      <c r="I938" s="4"/>
      <c r="J938" s="4"/>
      <c r="K938" s="4">
        <v>225</v>
      </c>
      <c r="L938" s="4">
        <v>4</v>
      </c>
      <c r="M938" s="4">
        <v>3</v>
      </c>
      <c r="N938" s="4" t="s">
        <v>3</v>
      </c>
      <c r="O938" s="4">
        <v>2</v>
      </c>
      <c r="P938" s="4"/>
      <c r="Q938" s="4"/>
      <c r="R938" s="4"/>
      <c r="S938" s="4"/>
      <c r="T938" s="4"/>
      <c r="U938" s="4"/>
      <c r="V938" s="4"/>
      <c r="W938" s="4"/>
    </row>
    <row r="939" spans="1:206" x14ac:dyDescent="0.2">
      <c r="A939" s="4">
        <v>50</v>
      </c>
      <c r="B939" s="4">
        <v>0</v>
      </c>
      <c r="C939" s="4">
        <v>0</v>
      </c>
      <c r="D939" s="4">
        <v>1</v>
      </c>
      <c r="E939" s="4">
        <v>226</v>
      </c>
      <c r="F939" s="4">
        <f>ROUND(Source!AW933,O939)</f>
        <v>0</v>
      </c>
      <c r="G939" s="4" t="s">
        <v>97</v>
      </c>
      <c r="H939" s="4" t="s">
        <v>98</v>
      </c>
      <c r="I939" s="4"/>
      <c r="J939" s="4"/>
      <c r="K939" s="4">
        <v>226</v>
      </c>
      <c r="L939" s="4">
        <v>5</v>
      </c>
      <c r="M939" s="4">
        <v>3</v>
      </c>
      <c r="N939" s="4" t="s">
        <v>3</v>
      </c>
      <c r="O939" s="4">
        <v>2</v>
      </c>
      <c r="P939" s="4"/>
      <c r="Q939" s="4"/>
      <c r="R939" s="4"/>
      <c r="S939" s="4"/>
      <c r="T939" s="4"/>
      <c r="U939" s="4"/>
      <c r="V939" s="4"/>
      <c r="W939" s="4"/>
    </row>
    <row r="940" spans="1:206" x14ac:dyDescent="0.2">
      <c r="A940" s="4">
        <v>50</v>
      </c>
      <c r="B940" s="4">
        <v>0</v>
      </c>
      <c r="C940" s="4">
        <v>0</v>
      </c>
      <c r="D940" s="4">
        <v>1</v>
      </c>
      <c r="E940" s="4">
        <v>227</v>
      </c>
      <c r="F940" s="4">
        <f>ROUND(Source!AX933,O940)</f>
        <v>0</v>
      </c>
      <c r="G940" s="4" t="s">
        <v>99</v>
      </c>
      <c r="H940" s="4" t="s">
        <v>100</v>
      </c>
      <c r="I940" s="4"/>
      <c r="J940" s="4"/>
      <c r="K940" s="4">
        <v>227</v>
      </c>
      <c r="L940" s="4">
        <v>6</v>
      </c>
      <c r="M940" s="4">
        <v>3</v>
      </c>
      <c r="N940" s="4" t="s">
        <v>3</v>
      </c>
      <c r="O940" s="4">
        <v>2</v>
      </c>
      <c r="P940" s="4"/>
      <c r="Q940" s="4"/>
      <c r="R940" s="4"/>
      <c r="S940" s="4"/>
      <c r="T940" s="4"/>
      <c r="U940" s="4"/>
      <c r="V940" s="4"/>
      <c r="W940" s="4"/>
    </row>
    <row r="941" spans="1:206" x14ac:dyDescent="0.2">
      <c r="A941" s="4">
        <v>50</v>
      </c>
      <c r="B941" s="4">
        <v>0</v>
      </c>
      <c r="C941" s="4">
        <v>0</v>
      </c>
      <c r="D941" s="4">
        <v>1</v>
      </c>
      <c r="E941" s="4">
        <v>228</v>
      </c>
      <c r="F941" s="4">
        <f>ROUND(Source!AY933,O941)</f>
        <v>0</v>
      </c>
      <c r="G941" s="4" t="s">
        <v>101</v>
      </c>
      <c r="H941" s="4" t="s">
        <v>102</v>
      </c>
      <c r="I941" s="4"/>
      <c r="J941" s="4"/>
      <c r="K941" s="4">
        <v>228</v>
      </c>
      <c r="L941" s="4">
        <v>7</v>
      </c>
      <c r="M941" s="4">
        <v>3</v>
      </c>
      <c r="N941" s="4" t="s">
        <v>3</v>
      </c>
      <c r="O941" s="4">
        <v>2</v>
      </c>
      <c r="P941" s="4"/>
      <c r="Q941" s="4"/>
      <c r="R941" s="4"/>
      <c r="S941" s="4"/>
      <c r="T941" s="4"/>
      <c r="U941" s="4"/>
      <c r="V941" s="4"/>
      <c r="W941" s="4"/>
    </row>
    <row r="942" spans="1:206" x14ac:dyDescent="0.2">
      <c r="A942" s="4">
        <v>50</v>
      </c>
      <c r="B942" s="4">
        <v>0</v>
      </c>
      <c r="C942" s="4">
        <v>0</v>
      </c>
      <c r="D942" s="4">
        <v>1</v>
      </c>
      <c r="E942" s="4">
        <v>216</v>
      </c>
      <c r="F942" s="4">
        <f>ROUND(Source!AP933,O942)</f>
        <v>0</v>
      </c>
      <c r="G942" s="4" t="s">
        <v>103</v>
      </c>
      <c r="H942" s="4" t="s">
        <v>104</v>
      </c>
      <c r="I942" s="4"/>
      <c r="J942" s="4"/>
      <c r="K942" s="4">
        <v>216</v>
      </c>
      <c r="L942" s="4">
        <v>8</v>
      </c>
      <c r="M942" s="4">
        <v>3</v>
      </c>
      <c r="N942" s="4" t="s">
        <v>3</v>
      </c>
      <c r="O942" s="4">
        <v>2</v>
      </c>
      <c r="P942" s="4"/>
      <c r="Q942" s="4"/>
      <c r="R942" s="4"/>
      <c r="S942" s="4"/>
      <c r="T942" s="4"/>
      <c r="U942" s="4"/>
      <c r="V942" s="4"/>
      <c r="W942" s="4"/>
    </row>
    <row r="943" spans="1:206" x14ac:dyDescent="0.2">
      <c r="A943" s="4">
        <v>50</v>
      </c>
      <c r="B943" s="4">
        <v>0</v>
      </c>
      <c r="C943" s="4">
        <v>0</v>
      </c>
      <c r="D943" s="4">
        <v>1</v>
      </c>
      <c r="E943" s="4">
        <v>223</v>
      </c>
      <c r="F943" s="4">
        <f>ROUND(Source!AQ933,O943)</f>
        <v>0</v>
      </c>
      <c r="G943" s="4" t="s">
        <v>105</v>
      </c>
      <c r="H943" s="4" t="s">
        <v>106</v>
      </c>
      <c r="I943" s="4"/>
      <c r="J943" s="4"/>
      <c r="K943" s="4">
        <v>223</v>
      </c>
      <c r="L943" s="4">
        <v>9</v>
      </c>
      <c r="M943" s="4">
        <v>3</v>
      </c>
      <c r="N943" s="4" t="s">
        <v>3</v>
      </c>
      <c r="O943" s="4">
        <v>2</v>
      </c>
      <c r="P943" s="4"/>
      <c r="Q943" s="4"/>
      <c r="R943" s="4"/>
      <c r="S943" s="4"/>
      <c r="T943" s="4"/>
      <c r="U943" s="4"/>
      <c r="V943" s="4"/>
      <c r="W943" s="4"/>
    </row>
    <row r="944" spans="1:206" x14ac:dyDescent="0.2">
      <c r="A944" s="4">
        <v>50</v>
      </c>
      <c r="B944" s="4">
        <v>0</v>
      </c>
      <c r="C944" s="4">
        <v>0</v>
      </c>
      <c r="D944" s="4">
        <v>1</v>
      </c>
      <c r="E944" s="4">
        <v>229</v>
      </c>
      <c r="F944" s="4">
        <f>ROUND(Source!AZ933,O944)</f>
        <v>0</v>
      </c>
      <c r="G944" s="4" t="s">
        <v>107</v>
      </c>
      <c r="H944" s="4" t="s">
        <v>108</v>
      </c>
      <c r="I944" s="4"/>
      <c r="J944" s="4"/>
      <c r="K944" s="4">
        <v>229</v>
      </c>
      <c r="L944" s="4">
        <v>10</v>
      </c>
      <c r="M944" s="4">
        <v>3</v>
      </c>
      <c r="N944" s="4" t="s">
        <v>3</v>
      </c>
      <c r="O944" s="4">
        <v>2</v>
      </c>
      <c r="P944" s="4"/>
      <c r="Q944" s="4"/>
      <c r="R944" s="4"/>
      <c r="S944" s="4"/>
      <c r="T944" s="4"/>
      <c r="U944" s="4"/>
      <c r="V944" s="4"/>
      <c r="W944" s="4"/>
    </row>
    <row r="945" spans="1:23" x14ac:dyDescent="0.2">
      <c r="A945" s="4">
        <v>50</v>
      </c>
      <c r="B945" s="4">
        <v>0</v>
      </c>
      <c r="C945" s="4">
        <v>0</v>
      </c>
      <c r="D945" s="4">
        <v>1</v>
      </c>
      <c r="E945" s="4">
        <v>203</v>
      </c>
      <c r="F945" s="4">
        <f>ROUND(Source!Q933,O945)</f>
        <v>0</v>
      </c>
      <c r="G945" s="4" t="s">
        <v>109</v>
      </c>
      <c r="H945" s="4" t="s">
        <v>110</v>
      </c>
      <c r="I945" s="4"/>
      <c r="J945" s="4"/>
      <c r="K945" s="4">
        <v>203</v>
      </c>
      <c r="L945" s="4">
        <v>11</v>
      </c>
      <c r="M945" s="4">
        <v>3</v>
      </c>
      <c r="N945" s="4" t="s">
        <v>3</v>
      </c>
      <c r="O945" s="4">
        <v>2</v>
      </c>
      <c r="P945" s="4"/>
      <c r="Q945" s="4"/>
      <c r="R945" s="4"/>
      <c r="S945" s="4"/>
      <c r="T945" s="4"/>
      <c r="U945" s="4"/>
      <c r="V945" s="4"/>
      <c r="W945" s="4"/>
    </row>
    <row r="946" spans="1:23" x14ac:dyDescent="0.2">
      <c r="A946" s="4">
        <v>50</v>
      </c>
      <c r="B946" s="4">
        <v>0</v>
      </c>
      <c r="C946" s="4">
        <v>0</v>
      </c>
      <c r="D946" s="4">
        <v>1</v>
      </c>
      <c r="E946" s="4">
        <v>231</v>
      </c>
      <c r="F946" s="4">
        <f>ROUND(Source!BB933,O946)</f>
        <v>0</v>
      </c>
      <c r="G946" s="4" t="s">
        <v>111</v>
      </c>
      <c r="H946" s="4" t="s">
        <v>112</v>
      </c>
      <c r="I946" s="4"/>
      <c r="J946" s="4"/>
      <c r="K946" s="4">
        <v>231</v>
      </c>
      <c r="L946" s="4">
        <v>12</v>
      </c>
      <c r="M946" s="4">
        <v>3</v>
      </c>
      <c r="N946" s="4" t="s">
        <v>3</v>
      </c>
      <c r="O946" s="4">
        <v>2</v>
      </c>
      <c r="P946" s="4"/>
      <c r="Q946" s="4"/>
      <c r="R946" s="4"/>
      <c r="S946" s="4"/>
      <c r="T946" s="4"/>
      <c r="U946" s="4"/>
      <c r="V946" s="4"/>
      <c r="W946" s="4"/>
    </row>
    <row r="947" spans="1:23" x14ac:dyDescent="0.2">
      <c r="A947" s="4">
        <v>50</v>
      </c>
      <c r="B947" s="4">
        <v>0</v>
      </c>
      <c r="C947" s="4">
        <v>0</v>
      </c>
      <c r="D947" s="4">
        <v>1</v>
      </c>
      <c r="E947" s="4">
        <v>204</v>
      </c>
      <c r="F947" s="4">
        <f>ROUND(Source!R933,O947)</f>
        <v>0</v>
      </c>
      <c r="G947" s="4" t="s">
        <v>113</v>
      </c>
      <c r="H947" s="4" t="s">
        <v>114</v>
      </c>
      <c r="I947" s="4"/>
      <c r="J947" s="4"/>
      <c r="K947" s="4">
        <v>204</v>
      </c>
      <c r="L947" s="4">
        <v>13</v>
      </c>
      <c r="M947" s="4">
        <v>3</v>
      </c>
      <c r="N947" s="4" t="s">
        <v>3</v>
      </c>
      <c r="O947" s="4">
        <v>2</v>
      </c>
      <c r="P947" s="4"/>
      <c r="Q947" s="4"/>
      <c r="R947" s="4"/>
      <c r="S947" s="4"/>
      <c r="T947" s="4"/>
      <c r="U947" s="4"/>
      <c r="V947" s="4"/>
      <c r="W947" s="4"/>
    </row>
    <row r="948" spans="1:23" x14ac:dyDescent="0.2">
      <c r="A948" s="4">
        <v>50</v>
      </c>
      <c r="B948" s="4">
        <v>0</v>
      </c>
      <c r="C948" s="4">
        <v>0</v>
      </c>
      <c r="D948" s="4">
        <v>1</v>
      </c>
      <c r="E948" s="4">
        <v>205</v>
      </c>
      <c r="F948" s="4">
        <f>ROUND(Source!S933,O948)</f>
        <v>0</v>
      </c>
      <c r="G948" s="4" t="s">
        <v>115</v>
      </c>
      <c r="H948" s="4" t="s">
        <v>116</v>
      </c>
      <c r="I948" s="4"/>
      <c r="J948" s="4"/>
      <c r="K948" s="4">
        <v>205</v>
      </c>
      <c r="L948" s="4">
        <v>14</v>
      </c>
      <c r="M948" s="4">
        <v>3</v>
      </c>
      <c r="N948" s="4" t="s">
        <v>3</v>
      </c>
      <c r="O948" s="4">
        <v>2</v>
      </c>
      <c r="P948" s="4"/>
      <c r="Q948" s="4"/>
      <c r="R948" s="4"/>
      <c r="S948" s="4"/>
      <c r="T948" s="4"/>
      <c r="U948" s="4"/>
      <c r="V948" s="4"/>
      <c r="W948" s="4"/>
    </row>
    <row r="949" spans="1:23" x14ac:dyDescent="0.2">
      <c r="A949" s="4">
        <v>50</v>
      </c>
      <c r="B949" s="4">
        <v>0</v>
      </c>
      <c r="C949" s="4">
        <v>0</v>
      </c>
      <c r="D949" s="4">
        <v>1</v>
      </c>
      <c r="E949" s="4">
        <v>232</v>
      </c>
      <c r="F949" s="4">
        <f>ROUND(Source!BC933,O949)</f>
        <v>0</v>
      </c>
      <c r="G949" s="4" t="s">
        <v>117</v>
      </c>
      <c r="H949" s="4" t="s">
        <v>118</v>
      </c>
      <c r="I949" s="4"/>
      <c r="J949" s="4"/>
      <c r="K949" s="4">
        <v>232</v>
      </c>
      <c r="L949" s="4">
        <v>15</v>
      </c>
      <c r="M949" s="4">
        <v>3</v>
      </c>
      <c r="N949" s="4" t="s">
        <v>3</v>
      </c>
      <c r="O949" s="4">
        <v>2</v>
      </c>
      <c r="P949" s="4"/>
      <c r="Q949" s="4"/>
      <c r="R949" s="4"/>
      <c r="S949" s="4"/>
      <c r="T949" s="4"/>
      <c r="U949" s="4"/>
      <c r="V949" s="4"/>
      <c r="W949" s="4"/>
    </row>
    <row r="950" spans="1:23" x14ac:dyDescent="0.2">
      <c r="A950" s="4">
        <v>50</v>
      </c>
      <c r="B950" s="4">
        <v>0</v>
      </c>
      <c r="C950" s="4">
        <v>0</v>
      </c>
      <c r="D950" s="4">
        <v>1</v>
      </c>
      <c r="E950" s="4">
        <v>214</v>
      </c>
      <c r="F950" s="4">
        <f>ROUND(Source!AS933,O950)</f>
        <v>0</v>
      </c>
      <c r="G950" s="4" t="s">
        <v>119</v>
      </c>
      <c r="H950" s="4" t="s">
        <v>120</v>
      </c>
      <c r="I950" s="4"/>
      <c r="J950" s="4"/>
      <c r="K950" s="4">
        <v>214</v>
      </c>
      <c r="L950" s="4">
        <v>16</v>
      </c>
      <c r="M950" s="4">
        <v>3</v>
      </c>
      <c r="N950" s="4" t="s">
        <v>3</v>
      </c>
      <c r="O950" s="4">
        <v>2</v>
      </c>
      <c r="P950" s="4"/>
      <c r="Q950" s="4"/>
      <c r="R950" s="4"/>
      <c r="S950" s="4"/>
      <c r="T950" s="4"/>
      <c r="U950" s="4"/>
      <c r="V950" s="4"/>
      <c r="W950" s="4"/>
    </row>
    <row r="951" spans="1:23" x14ac:dyDescent="0.2">
      <c r="A951" s="4">
        <v>50</v>
      </c>
      <c r="B951" s="4">
        <v>0</v>
      </c>
      <c r="C951" s="4">
        <v>0</v>
      </c>
      <c r="D951" s="4">
        <v>1</v>
      </c>
      <c r="E951" s="4">
        <v>215</v>
      </c>
      <c r="F951" s="4">
        <f>ROUND(Source!AT933,O951)</f>
        <v>0</v>
      </c>
      <c r="G951" s="4" t="s">
        <v>121</v>
      </c>
      <c r="H951" s="4" t="s">
        <v>122</v>
      </c>
      <c r="I951" s="4"/>
      <c r="J951" s="4"/>
      <c r="K951" s="4">
        <v>215</v>
      </c>
      <c r="L951" s="4">
        <v>17</v>
      </c>
      <c r="M951" s="4">
        <v>3</v>
      </c>
      <c r="N951" s="4" t="s">
        <v>3</v>
      </c>
      <c r="O951" s="4">
        <v>2</v>
      </c>
      <c r="P951" s="4"/>
      <c r="Q951" s="4"/>
      <c r="R951" s="4"/>
      <c r="S951" s="4"/>
      <c r="T951" s="4"/>
      <c r="U951" s="4"/>
      <c r="V951" s="4"/>
      <c r="W951" s="4"/>
    </row>
    <row r="952" spans="1:23" x14ac:dyDescent="0.2">
      <c r="A952" s="4">
        <v>50</v>
      </c>
      <c r="B952" s="4">
        <v>0</v>
      </c>
      <c r="C952" s="4">
        <v>0</v>
      </c>
      <c r="D952" s="4">
        <v>1</v>
      </c>
      <c r="E952" s="4">
        <v>217</v>
      </c>
      <c r="F952" s="4">
        <f>ROUND(Source!AU933,O952)</f>
        <v>0</v>
      </c>
      <c r="G952" s="4" t="s">
        <v>123</v>
      </c>
      <c r="H952" s="4" t="s">
        <v>124</v>
      </c>
      <c r="I952" s="4"/>
      <c r="J952" s="4"/>
      <c r="K952" s="4">
        <v>217</v>
      </c>
      <c r="L952" s="4">
        <v>18</v>
      </c>
      <c r="M952" s="4">
        <v>3</v>
      </c>
      <c r="N952" s="4" t="s">
        <v>3</v>
      </c>
      <c r="O952" s="4">
        <v>2</v>
      </c>
      <c r="P952" s="4"/>
      <c r="Q952" s="4"/>
      <c r="R952" s="4"/>
      <c r="S952" s="4"/>
      <c r="T952" s="4"/>
      <c r="U952" s="4"/>
      <c r="V952" s="4"/>
      <c r="W952" s="4"/>
    </row>
    <row r="953" spans="1:23" x14ac:dyDescent="0.2">
      <c r="A953" s="4">
        <v>50</v>
      </c>
      <c r="B953" s="4">
        <v>0</v>
      </c>
      <c r="C953" s="4">
        <v>0</v>
      </c>
      <c r="D953" s="4">
        <v>1</v>
      </c>
      <c r="E953" s="4">
        <v>230</v>
      </c>
      <c r="F953" s="4">
        <f>ROUND(Source!BA933,O953)</f>
        <v>0</v>
      </c>
      <c r="G953" s="4" t="s">
        <v>125</v>
      </c>
      <c r="H953" s="4" t="s">
        <v>126</v>
      </c>
      <c r="I953" s="4"/>
      <c r="J953" s="4"/>
      <c r="K953" s="4">
        <v>230</v>
      </c>
      <c r="L953" s="4">
        <v>19</v>
      </c>
      <c r="M953" s="4">
        <v>3</v>
      </c>
      <c r="N953" s="4" t="s">
        <v>3</v>
      </c>
      <c r="O953" s="4">
        <v>2</v>
      </c>
      <c r="P953" s="4"/>
      <c r="Q953" s="4"/>
      <c r="R953" s="4"/>
      <c r="S953" s="4"/>
      <c r="T953" s="4"/>
      <c r="U953" s="4"/>
      <c r="V953" s="4"/>
      <c r="W953" s="4"/>
    </row>
    <row r="954" spans="1:23" x14ac:dyDescent="0.2">
      <c r="A954" s="4">
        <v>50</v>
      </c>
      <c r="B954" s="4">
        <v>0</v>
      </c>
      <c r="C954" s="4">
        <v>0</v>
      </c>
      <c r="D954" s="4">
        <v>1</v>
      </c>
      <c r="E954" s="4">
        <v>206</v>
      </c>
      <c r="F954" s="4">
        <f>ROUND(Source!T933,O954)</f>
        <v>0</v>
      </c>
      <c r="G954" s="4" t="s">
        <v>127</v>
      </c>
      <c r="H954" s="4" t="s">
        <v>128</v>
      </c>
      <c r="I954" s="4"/>
      <c r="J954" s="4"/>
      <c r="K954" s="4">
        <v>206</v>
      </c>
      <c r="L954" s="4">
        <v>20</v>
      </c>
      <c r="M954" s="4">
        <v>3</v>
      </c>
      <c r="N954" s="4" t="s">
        <v>3</v>
      </c>
      <c r="O954" s="4">
        <v>2</v>
      </c>
      <c r="P954" s="4"/>
      <c r="Q954" s="4"/>
      <c r="R954" s="4"/>
      <c r="S954" s="4"/>
      <c r="T954" s="4"/>
      <c r="U954" s="4"/>
      <c r="V954" s="4"/>
      <c r="W954" s="4"/>
    </row>
    <row r="955" spans="1:23" x14ac:dyDescent="0.2">
      <c r="A955" s="4">
        <v>50</v>
      </c>
      <c r="B955" s="4">
        <v>0</v>
      </c>
      <c r="C955" s="4">
        <v>0</v>
      </c>
      <c r="D955" s="4">
        <v>1</v>
      </c>
      <c r="E955" s="4">
        <v>207</v>
      </c>
      <c r="F955" s="4">
        <f>Source!U933</f>
        <v>0</v>
      </c>
      <c r="G955" s="4" t="s">
        <v>129</v>
      </c>
      <c r="H955" s="4" t="s">
        <v>130</v>
      </c>
      <c r="I955" s="4"/>
      <c r="J955" s="4"/>
      <c r="K955" s="4">
        <v>207</v>
      </c>
      <c r="L955" s="4">
        <v>21</v>
      </c>
      <c r="M955" s="4">
        <v>3</v>
      </c>
      <c r="N955" s="4" t="s">
        <v>3</v>
      </c>
      <c r="O955" s="4">
        <v>-1</v>
      </c>
      <c r="P955" s="4"/>
      <c r="Q955" s="4"/>
      <c r="R955" s="4"/>
      <c r="S955" s="4"/>
      <c r="T955" s="4"/>
      <c r="U955" s="4"/>
      <c r="V955" s="4"/>
      <c r="W955" s="4"/>
    </row>
    <row r="956" spans="1:23" x14ac:dyDescent="0.2">
      <c r="A956" s="4">
        <v>50</v>
      </c>
      <c r="B956" s="4">
        <v>0</v>
      </c>
      <c r="C956" s="4">
        <v>0</v>
      </c>
      <c r="D956" s="4">
        <v>1</v>
      </c>
      <c r="E956" s="4">
        <v>208</v>
      </c>
      <c r="F956" s="4">
        <f>Source!V933</f>
        <v>0</v>
      </c>
      <c r="G956" s="4" t="s">
        <v>131</v>
      </c>
      <c r="H956" s="4" t="s">
        <v>132</v>
      </c>
      <c r="I956" s="4"/>
      <c r="J956" s="4"/>
      <c r="K956" s="4">
        <v>208</v>
      </c>
      <c r="L956" s="4">
        <v>22</v>
      </c>
      <c r="M956" s="4">
        <v>3</v>
      </c>
      <c r="N956" s="4" t="s">
        <v>3</v>
      </c>
      <c r="O956" s="4">
        <v>-1</v>
      </c>
      <c r="P956" s="4"/>
      <c r="Q956" s="4"/>
      <c r="R956" s="4"/>
      <c r="S956" s="4"/>
      <c r="T956" s="4"/>
      <c r="U956" s="4"/>
      <c r="V956" s="4"/>
      <c r="W956" s="4"/>
    </row>
    <row r="957" spans="1:23" x14ac:dyDescent="0.2">
      <c r="A957" s="4">
        <v>50</v>
      </c>
      <c r="B957" s="4">
        <v>0</v>
      </c>
      <c r="C957" s="4">
        <v>0</v>
      </c>
      <c r="D957" s="4">
        <v>1</v>
      </c>
      <c r="E957" s="4">
        <v>209</v>
      </c>
      <c r="F957" s="4">
        <f>ROUND(Source!W933,O957)</f>
        <v>0</v>
      </c>
      <c r="G957" s="4" t="s">
        <v>133</v>
      </c>
      <c r="H957" s="4" t="s">
        <v>134</v>
      </c>
      <c r="I957" s="4"/>
      <c r="J957" s="4"/>
      <c r="K957" s="4">
        <v>209</v>
      </c>
      <c r="L957" s="4">
        <v>23</v>
      </c>
      <c r="M957" s="4">
        <v>3</v>
      </c>
      <c r="N957" s="4" t="s">
        <v>3</v>
      </c>
      <c r="O957" s="4">
        <v>2</v>
      </c>
      <c r="P957" s="4"/>
      <c r="Q957" s="4"/>
      <c r="R957" s="4"/>
      <c r="S957" s="4"/>
      <c r="T957" s="4"/>
      <c r="U957" s="4"/>
      <c r="V957" s="4"/>
      <c r="W957" s="4"/>
    </row>
    <row r="958" spans="1:23" x14ac:dyDescent="0.2">
      <c r="A958" s="4">
        <v>50</v>
      </c>
      <c r="B958" s="4">
        <v>0</v>
      </c>
      <c r="C958" s="4">
        <v>0</v>
      </c>
      <c r="D958" s="4">
        <v>1</v>
      </c>
      <c r="E958" s="4">
        <v>233</v>
      </c>
      <c r="F958" s="4">
        <f>ROUND(Source!BD933,O958)</f>
        <v>0</v>
      </c>
      <c r="G958" s="4" t="s">
        <v>135</v>
      </c>
      <c r="H958" s="4" t="s">
        <v>136</v>
      </c>
      <c r="I958" s="4"/>
      <c r="J958" s="4"/>
      <c r="K958" s="4">
        <v>233</v>
      </c>
      <c r="L958" s="4">
        <v>24</v>
      </c>
      <c r="M958" s="4">
        <v>3</v>
      </c>
      <c r="N958" s="4" t="s">
        <v>3</v>
      </c>
      <c r="O958" s="4">
        <v>2</v>
      </c>
      <c r="P958" s="4"/>
      <c r="Q958" s="4"/>
      <c r="R958" s="4"/>
      <c r="S958" s="4"/>
      <c r="T958" s="4"/>
      <c r="U958" s="4"/>
      <c r="V958" s="4"/>
      <c r="W958" s="4"/>
    </row>
    <row r="959" spans="1:23" x14ac:dyDescent="0.2">
      <c r="A959" s="4">
        <v>50</v>
      </c>
      <c r="B959" s="4">
        <v>0</v>
      </c>
      <c r="C959" s="4">
        <v>0</v>
      </c>
      <c r="D959" s="4">
        <v>1</v>
      </c>
      <c r="E959" s="4">
        <v>210</v>
      </c>
      <c r="F959" s="4">
        <f>ROUND(Source!X933,O959)</f>
        <v>0</v>
      </c>
      <c r="G959" s="4" t="s">
        <v>137</v>
      </c>
      <c r="H959" s="4" t="s">
        <v>138</v>
      </c>
      <c r="I959" s="4"/>
      <c r="J959" s="4"/>
      <c r="K959" s="4">
        <v>210</v>
      </c>
      <c r="L959" s="4">
        <v>25</v>
      </c>
      <c r="M959" s="4">
        <v>3</v>
      </c>
      <c r="N959" s="4" t="s">
        <v>3</v>
      </c>
      <c r="O959" s="4">
        <v>2</v>
      </c>
      <c r="P959" s="4"/>
      <c r="Q959" s="4"/>
      <c r="R959" s="4"/>
      <c r="S959" s="4"/>
      <c r="T959" s="4"/>
      <c r="U959" s="4"/>
      <c r="V959" s="4"/>
      <c r="W959" s="4"/>
    </row>
    <row r="960" spans="1:23" x14ac:dyDescent="0.2">
      <c r="A960" s="4">
        <v>50</v>
      </c>
      <c r="B960" s="4">
        <v>0</v>
      </c>
      <c r="C960" s="4">
        <v>0</v>
      </c>
      <c r="D960" s="4">
        <v>1</v>
      </c>
      <c r="E960" s="4">
        <v>211</v>
      </c>
      <c r="F960" s="4">
        <f>ROUND(Source!Y933,O960)</f>
        <v>0</v>
      </c>
      <c r="G960" s="4" t="s">
        <v>139</v>
      </c>
      <c r="H960" s="4" t="s">
        <v>140</v>
      </c>
      <c r="I960" s="4"/>
      <c r="J960" s="4"/>
      <c r="K960" s="4">
        <v>211</v>
      </c>
      <c r="L960" s="4">
        <v>26</v>
      </c>
      <c r="M960" s="4">
        <v>3</v>
      </c>
      <c r="N960" s="4" t="s">
        <v>3</v>
      </c>
      <c r="O960" s="4">
        <v>2</v>
      </c>
      <c r="P960" s="4"/>
      <c r="Q960" s="4"/>
      <c r="R960" s="4"/>
      <c r="S960" s="4"/>
      <c r="T960" s="4"/>
      <c r="U960" s="4"/>
      <c r="V960" s="4"/>
      <c r="W960" s="4"/>
    </row>
    <row r="961" spans="1:206" x14ac:dyDescent="0.2">
      <c r="A961" s="4">
        <v>50</v>
      </c>
      <c r="B961" s="4">
        <v>0</v>
      </c>
      <c r="C961" s="4">
        <v>0</v>
      </c>
      <c r="D961" s="4">
        <v>1</v>
      </c>
      <c r="E961" s="4">
        <v>224</v>
      </c>
      <c r="F961" s="4">
        <f>ROUND(Source!AR933,O961)</f>
        <v>0</v>
      </c>
      <c r="G961" s="4" t="s">
        <v>141</v>
      </c>
      <c r="H961" s="4" t="s">
        <v>142</v>
      </c>
      <c r="I961" s="4"/>
      <c r="J961" s="4"/>
      <c r="K961" s="4">
        <v>224</v>
      </c>
      <c r="L961" s="4">
        <v>27</v>
      </c>
      <c r="M961" s="4">
        <v>3</v>
      </c>
      <c r="N961" s="4" t="s">
        <v>3</v>
      </c>
      <c r="O961" s="4">
        <v>2</v>
      </c>
      <c r="P961" s="4"/>
      <c r="Q961" s="4"/>
      <c r="R961" s="4"/>
      <c r="S961" s="4"/>
      <c r="T961" s="4"/>
      <c r="U961" s="4"/>
      <c r="V961" s="4"/>
      <c r="W961" s="4"/>
    </row>
    <row r="963" spans="1:206" x14ac:dyDescent="0.2">
      <c r="A963" s="1">
        <v>4</v>
      </c>
      <c r="B963" s="1">
        <v>1</v>
      </c>
      <c r="C963" s="1"/>
      <c r="D963" s="1">
        <f>ROW(A967)</f>
        <v>967</v>
      </c>
      <c r="E963" s="1"/>
      <c r="F963" s="1" t="s">
        <v>13</v>
      </c>
      <c r="G963" s="1" t="s">
        <v>503</v>
      </c>
      <c r="H963" s="1" t="s">
        <v>3</v>
      </c>
      <c r="I963" s="1">
        <v>0</v>
      </c>
      <c r="J963" s="1"/>
      <c r="K963" s="1">
        <v>0</v>
      </c>
      <c r="L963" s="1"/>
      <c r="M963" s="1"/>
      <c r="N963" s="1"/>
      <c r="O963" s="1"/>
      <c r="P963" s="1"/>
      <c r="Q963" s="1"/>
      <c r="R963" s="1"/>
      <c r="S963" s="1"/>
      <c r="T963" s="1"/>
      <c r="U963" s="1" t="s">
        <v>3</v>
      </c>
      <c r="V963" s="1">
        <v>0</v>
      </c>
      <c r="W963" s="1"/>
      <c r="X963" s="1"/>
      <c r="Y963" s="1"/>
      <c r="Z963" s="1"/>
      <c r="AA963" s="1"/>
      <c r="AB963" s="1" t="s">
        <v>3</v>
      </c>
      <c r="AC963" s="1" t="s">
        <v>3</v>
      </c>
      <c r="AD963" s="1" t="s">
        <v>3</v>
      </c>
      <c r="AE963" s="1" t="s">
        <v>3</v>
      </c>
      <c r="AF963" s="1" t="s">
        <v>3</v>
      </c>
      <c r="AG963" s="1" t="s">
        <v>3</v>
      </c>
      <c r="AH963" s="1"/>
      <c r="AI963" s="1"/>
      <c r="AJ963" s="1"/>
      <c r="AK963" s="1"/>
      <c r="AL963" s="1"/>
      <c r="AM963" s="1"/>
      <c r="AN963" s="1"/>
      <c r="AO963" s="1"/>
      <c r="AP963" s="1" t="s">
        <v>3</v>
      </c>
      <c r="AQ963" s="1" t="s">
        <v>3</v>
      </c>
      <c r="AR963" s="1" t="s">
        <v>3</v>
      </c>
      <c r="AS963" s="1"/>
      <c r="AT963" s="1"/>
      <c r="AU963" s="1"/>
      <c r="AV963" s="1"/>
      <c r="AW963" s="1"/>
      <c r="AX963" s="1"/>
      <c r="AY963" s="1"/>
      <c r="AZ963" s="1" t="s">
        <v>3</v>
      </c>
      <c r="BA963" s="1"/>
      <c r="BB963" s="1" t="s">
        <v>3</v>
      </c>
      <c r="BC963" s="1" t="s">
        <v>3</v>
      </c>
      <c r="BD963" s="1" t="s">
        <v>3</v>
      </c>
      <c r="BE963" s="1" t="s">
        <v>3</v>
      </c>
      <c r="BF963" s="1" t="s">
        <v>3</v>
      </c>
      <c r="BG963" s="1" t="s">
        <v>3</v>
      </c>
      <c r="BH963" s="1" t="s">
        <v>3</v>
      </c>
      <c r="BI963" s="1" t="s">
        <v>3</v>
      </c>
      <c r="BJ963" s="1" t="s">
        <v>3</v>
      </c>
      <c r="BK963" s="1" t="s">
        <v>3</v>
      </c>
      <c r="BL963" s="1" t="s">
        <v>3</v>
      </c>
      <c r="BM963" s="1" t="s">
        <v>3</v>
      </c>
      <c r="BN963" s="1" t="s">
        <v>3</v>
      </c>
      <c r="BO963" s="1" t="s">
        <v>3</v>
      </c>
      <c r="BP963" s="1" t="s">
        <v>3</v>
      </c>
      <c r="BQ963" s="1"/>
      <c r="BR963" s="1"/>
      <c r="BS963" s="1"/>
      <c r="BT963" s="1"/>
      <c r="BU963" s="1"/>
      <c r="BV963" s="1"/>
      <c r="BW963" s="1"/>
      <c r="BX963" s="1">
        <v>0</v>
      </c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>
        <v>0</v>
      </c>
    </row>
    <row r="965" spans="1:206" x14ac:dyDescent="0.2">
      <c r="A965" s="2">
        <v>52</v>
      </c>
      <c r="B965" s="2">
        <f t="shared" ref="B965:G965" si="695">B967</f>
        <v>1</v>
      </c>
      <c r="C965" s="2">
        <f t="shared" si="695"/>
        <v>4</v>
      </c>
      <c r="D965" s="2">
        <f t="shared" si="695"/>
        <v>963</v>
      </c>
      <c r="E965" s="2">
        <f t="shared" si="695"/>
        <v>0</v>
      </c>
      <c r="F965" s="2" t="str">
        <f t="shared" si="695"/>
        <v>Новый раздел</v>
      </c>
      <c r="G965" s="2" t="str">
        <f t="shared" si="695"/>
        <v>35. Установка ограждения газонного высотой 0,7 м</v>
      </c>
      <c r="H965" s="2"/>
      <c r="I965" s="2"/>
      <c r="J965" s="2"/>
      <c r="K965" s="2"/>
      <c r="L965" s="2"/>
      <c r="M965" s="2"/>
      <c r="N965" s="2"/>
      <c r="O965" s="2">
        <f t="shared" ref="O965:AT965" si="696">O967</f>
        <v>0</v>
      </c>
      <c r="P965" s="2">
        <f t="shared" si="696"/>
        <v>0</v>
      </c>
      <c r="Q965" s="2">
        <f t="shared" si="696"/>
        <v>0</v>
      </c>
      <c r="R965" s="2">
        <f t="shared" si="696"/>
        <v>0</v>
      </c>
      <c r="S965" s="2">
        <f t="shared" si="696"/>
        <v>0</v>
      </c>
      <c r="T965" s="2">
        <f t="shared" si="696"/>
        <v>0</v>
      </c>
      <c r="U965" s="2">
        <f t="shared" si="696"/>
        <v>0</v>
      </c>
      <c r="V965" s="2">
        <f t="shared" si="696"/>
        <v>0</v>
      </c>
      <c r="W965" s="2">
        <f t="shared" si="696"/>
        <v>0</v>
      </c>
      <c r="X965" s="2">
        <f t="shared" si="696"/>
        <v>0</v>
      </c>
      <c r="Y965" s="2">
        <f t="shared" si="696"/>
        <v>0</v>
      </c>
      <c r="Z965" s="2">
        <f t="shared" si="696"/>
        <v>0</v>
      </c>
      <c r="AA965" s="2">
        <f t="shared" si="696"/>
        <v>0</v>
      </c>
      <c r="AB965" s="2">
        <f t="shared" si="696"/>
        <v>0</v>
      </c>
      <c r="AC965" s="2">
        <f t="shared" si="696"/>
        <v>0</v>
      </c>
      <c r="AD965" s="2">
        <f t="shared" si="696"/>
        <v>0</v>
      </c>
      <c r="AE965" s="2">
        <f t="shared" si="696"/>
        <v>0</v>
      </c>
      <c r="AF965" s="2">
        <f t="shared" si="696"/>
        <v>0</v>
      </c>
      <c r="AG965" s="2">
        <f t="shared" si="696"/>
        <v>0</v>
      </c>
      <c r="AH965" s="2">
        <f t="shared" si="696"/>
        <v>0</v>
      </c>
      <c r="AI965" s="2">
        <f t="shared" si="696"/>
        <v>0</v>
      </c>
      <c r="AJ965" s="2">
        <f t="shared" si="696"/>
        <v>0</v>
      </c>
      <c r="AK965" s="2">
        <f t="shared" si="696"/>
        <v>0</v>
      </c>
      <c r="AL965" s="2">
        <f t="shared" si="696"/>
        <v>0</v>
      </c>
      <c r="AM965" s="2">
        <f t="shared" si="696"/>
        <v>0</v>
      </c>
      <c r="AN965" s="2">
        <f t="shared" si="696"/>
        <v>0</v>
      </c>
      <c r="AO965" s="2">
        <f t="shared" si="696"/>
        <v>0</v>
      </c>
      <c r="AP965" s="2">
        <f t="shared" si="696"/>
        <v>0</v>
      </c>
      <c r="AQ965" s="2">
        <f t="shared" si="696"/>
        <v>0</v>
      </c>
      <c r="AR965" s="2">
        <f t="shared" si="696"/>
        <v>0</v>
      </c>
      <c r="AS965" s="2">
        <f t="shared" si="696"/>
        <v>0</v>
      </c>
      <c r="AT965" s="2">
        <f t="shared" si="696"/>
        <v>0</v>
      </c>
      <c r="AU965" s="2">
        <f t="shared" ref="AU965:BZ965" si="697">AU967</f>
        <v>0</v>
      </c>
      <c r="AV965" s="2">
        <f t="shared" si="697"/>
        <v>0</v>
      </c>
      <c r="AW965" s="2">
        <f t="shared" si="697"/>
        <v>0</v>
      </c>
      <c r="AX965" s="2">
        <f t="shared" si="697"/>
        <v>0</v>
      </c>
      <c r="AY965" s="2">
        <f t="shared" si="697"/>
        <v>0</v>
      </c>
      <c r="AZ965" s="2">
        <f t="shared" si="697"/>
        <v>0</v>
      </c>
      <c r="BA965" s="2">
        <f t="shared" si="697"/>
        <v>0</v>
      </c>
      <c r="BB965" s="2">
        <f t="shared" si="697"/>
        <v>0</v>
      </c>
      <c r="BC965" s="2">
        <f t="shared" si="697"/>
        <v>0</v>
      </c>
      <c r="BD965" s="2">
        <f t="shared" si="697"/>
        <v>0</v>
      </c>
      <c r="BE965" s="2">
        <f t="shared" si="697"/>
        <v>0</v>
      </c>
      <c r="BF965" s="2">
        <f t="shared" si="697"/>
        <v>0</v>
      </c>
      <c r="BG965" s="2">
        <f t="shared" si="697"/>
        <v>0</v>
      </c>
      <c r="BH965" s="2">
        <f t="shared" si="697"/>
        <v>0</v>
      </c>
      <c r="BI965" s="2">
        <f t="shared" si="697"/>
        <v>0</v>
      </c>
      <c r="BJ965" s="2">
        <f t="shared" si="697"/>
        <v>0</v>
      </c>
      <c r="BK965" s="2">
        <f t="shared" si="697"/>
        <v>0</v>
      </c>
      <c r="BL965" s="2">
        <f t="shared" si="697"/>
        <v>0</v>
      </c>
      <c r="BM965" s="2">
        <f t="shared" si="697"/>
        <v>0</v>
      </c>
      <c r="BN965" s="2">
        <f t="shared" si="697"/>
        <v>0</v>
      </c>
      <c r="BO965" s="2">
        <f t="shared" si="697"/>
        <v>0</v>
      </c>
      <c r="BP965" s="2">
        <f t="shared" si="697"/>
        <v>0</v>
      </c>
      <c r="BQ965" s="2">
        <f t="shared" si="697"/>
        <v>0</v>
      </c>
      <c r="BR965" s="2">
        <f t="shared" si="697"/>
        <v>0</v>
      </c>
      <c r="BS965" s="2">
        <f t="shared" si="697"/>
        <v>0</v>
      </c>
      <c r="BT965" s="2">
        <f t="shared" si="697"/>
        <v>0</v>
      </c>
      <c r="BU965" s="2">
        <f t="shared" si="697"/>
        <v>0</v>
      </c>
      <c r="BV965" s="2">
        <f t="shared" si="697"/>
        <v>0</v>
      </c>
      <c r="BW965" s="2">
        <f t="shared" si="697"/>
        <v>0</v>
      </c>
      <c r="BX965" s="2">
        <f t="shared" si="697"/>
        <v>0</v>
      </c>
      <c r="BY965" s="2">
        <f t="shared" si="697"/>
        <v>0</v>
      </c>
      <c r="BZ965" s="2">
        <f t="shared" si="697"/>
        <v>0</v>
      </c>
      <c r="CA965" s="2">
        <f t="shared" ref="CA965:DF965" si="698">CA967</f>
        <v>0</v>
      </c>
      <c r="CB965" s="2">
        <f t="shared" si="698"/>
        <v>0</v>
      </c>
      <c r="CC965" s="2">
        <f t="shared" si="698"/>
        <v>0</v>
      </c>
      <c r="CD965" s="2">
        <f t="shared" si="698"/>
        <v>0</v>
      </c>
      <c r="CE965" s="2">
        <f t="shared" si="698"/>
        <v>0</v>
      </c>
      <c r="CF965" s="2">
        <f t="shared" si="698"/>
        <v>0</v>
      </c>
      <c r="CG965" s="2">
        <f t="shared" si="698"/>
        <v>0</v>
      </c>
      <c r="CH965" s="2">
        <f t="shared" si="698"/>
        <v>0</v>
      </c>
      <c r="CI965" s="2">
        <f t="shared" si="698"/>
        <v>0</v>
      </c>
      <c r="CJ965" s="2">
        <f t="shared" si="698"/>
        <v>0</v>
      </c>
      <c r="CK965" s="2">
        <f t="shared" si="698"/>
        <v>0</v>
      </c>
      <c r="CL965" s="2">
        <f t="shared" si="698"/>
        <v>0</v>
      </c>
      <c r="CM965" s="2">
        <f t="shared" si="698"/>
        <v>0</v>
      </c>
      <c r="CN965" s="2">
        <f t="shared" si="698"/>
        <v>0</v>
      </c>
      <c r="CO965" s="2">
        <f t="shared" si="698"/>
        <v>0</v>
      </c>
      <c r="CP965" s="2">
        <f t="shared" si="698"/>
        <v>0</v>
      </c>
      <c r="CQ965" s="2">
        <f t="shared" si="698"/>
        <v>0</v>
      </c>
      <c r="CR965" s="2">
        <f t="shared" si="698"/>
        <v>0</v>
      </c>
      <c r="CS965" s="2">
        <f t="shared" si="698"/>
        <v>0</v>
      </c>
      <c r="CT965" s="2">
        <f t="shared" si="698"/>
        <v>0</v>
      </c>
      <c r="CU965" s="2">
        <f t="shared" si="698"/>
        <v>0</v>
      </c>
      <c r="CV965" s="2">
        <f t="shared" si="698"/>
        <v>0</v>
      </c>
      <c r="CW965" s="2">
        <f t="shared" si="698"/>
        <v>0</v>
      </c>
      <c r="CX965" s="2">
        <f t="shared" si="698"/>
        <v>0</v>
      </c>
      <c r="CY965" s="2">
        <f t="shared" si="698"/>
        <v>0</v>
      </c>
      <c r="CZ965" s="2">
        <f t="shared" si="698"/>
        <v>0</v>
      </c>
      <c r="DA965" s="2">
        <f t="shared" si="698"/>
        <v>0</v>
      </c>
      <c r="DB965" s="2">
        <f t="shared" si="698"/>
        <v>0</v>
      </c>
      <c r="DC965" s="2">
        <f t="shared" si="698"/>
        <v>0</v>
      </c>
      <c r="DD965" s="2">
        <f t="shared" si="698"/>
        <v>0</v>
      </c>
      <c r="DE965" s="2">
        <f t="shared" si="698"/>
        <v>0</v>
      </c>
      <c r="DF965" s="2">
        <f t="shared" si="698"/>
        <v>0</v>
      </c>
      <c r="DG965" s="3">
        <f t="shared" ref="DG965:EL965" si="699">DG967</f>
        <v>0</v>
      </c>
      <c r="DH965" s="3">
        <f t="shared" si="699"/>
        <v>0</v>
      </c>
      <c r="DI965" s="3">
        <f t="shared" si="699"/>
        <v>0</v>
      </c>
      <c r="DJ965" s="3">
        <f t="shared" si="699"/>
        <v>0</v>
      </c>
      <c r="DK965" s="3">
        <f t="shared" si="699"/>
        <v>0</v>
      </c>
      <c r="DL965" s="3">
        <f t="shared" si="699"/>
        <v>0</v>
      </c>
      <c r="DM965" s="3">
        <f t="shared" si="699"/>
        <v>0</v>
      </c>
      <c r="DN965" s="3">
        <f t="shared" si="699"/>
        <v>0</v>
      </c>
      <c r="DO965" s="3">
        <f t="shared" si="699"/>
        <v>0</v>
      </c>
      <c r="DP965" s="3">
        <f t="shared" si="699"/>
        <v>0</v>
      </c>
      <c r="DQ965" s="3">
        <f t="shared" si="699"/>
        <v>0</v>
      </c>
      <c r="DR965" s="3">
        <f t="shared" si="699"/>
        <v>0</v>
      </c>
      <c r="DS965" s="3">
        <f t="shared" si="699"/>
        <v>0</v>
      </c>
      <c r="DT965" s="3">
        <f t="shared" si="699"/>
        <v>0</v>
      </c>
      <c r="DU965" s="3">
        <f t="shared" si="699"/>
        <v>0</v>
      </c>
      <c r="DV965" s="3">
        <f t="shared" si="699"/>
        <v>0</v>
      </c>
      <c r="DW965" s="3">
        <f t="shared" si="699"/>
        <v>0</v>
      </c>
      <c r="DX965" s="3">
        <f t="shared" si="699"/>
        <v>0</v>
      </c>
      <c r="DY965" s="3">
        <f t="shared" si="699"/>
        <v>0</v>
      </c>
      <c r="DZ965" s="3">
        <f t="shared" si="699"/>
        <v>0</v>
      </c>
      <c r="EA965" s="3">
        <f t="shared" si="699"/>
        <v>0</v>
      </c>
      <c r="EB965" s="3">
        <f t="shared" si="699"/>
        <v>0</v>
      </c>
      <c r="EC965" s="3">
        <f t="shared" si="699"/>
        <v>0</v>
      </c>
      <c r="ED965" s="3">
        <f t="shared" si="699"/>
        <v>0</v>
      </c>
      <c r="EE965" s="3">
        <f t="shared" si="699"/>
        <v>0</v>
      </c>
      <c r="EF965" s="3">
        <f t="shared" si="699"/>
        <v>0</v>
      </c>
      <c r="EG965" s="3">
        <f t="shared" si="699"/>
        <v>0</v>
      </c>
      <c r="EH965" s="3">
        <f t="shared" si="699"/>
        <v>0</v>
      </c>
      <c r="EI965" s="3">
        <f t="shared" si="699"/>
        <v>0</v>
      </c>
      <c r="EJ965" s="3">
        <f t="shared" si="699"/>
        <v>0</v>
      </c>
      <c r="EK965" s="3">
        <f t="shared" si="699"/>
        <v>0</v>
      </c>
      <c r="EL965" s="3">
        <f t="shared" si="699"/>
        <v>0</v>
      </c>
      <c r="EM965" s="3">
        <f t="shared" ref="EM965:FR965" si="700">EM967</f>
        <v>0</v>
      </c>
      <c r="EN965" s="3">
        <f t="shared" si="700"/>
        <v>0</v>
      </c>
      <c r="EO965" s="3">
        <f t="shared" si="700"/>
        <v>0</v>
      </c>
      <c r="EP965" s="3">
        <f t="shared" si="700"/>
        <v>0</v>
      </c>
      <c r="EQ965" s="3">
        <f t="shared" si="700"/>
        <v>0</v>
      </c>
      <c r="ER965" s="3">
        <f t="shared" si="700"/>
        <v>0</v>
      </c>
      <c r="ES965" s="3">
        <f t="shared" si="700"/>
        <v>0</v>
      </c>
      <c r="ET965" s="3">
        <f t="shared" si="700"/>
        <v>0</v>
      </c>
      <c r="EU965" s="3">
        <f t="shared" si="700"/>
        <v>0</v>
      </c>
      <c r="EV965" s="3">
        <f t="shared" si="700"/>
        <v>0</v>
      </c>
      <c r="EW965" s="3">
        <f t="shared" si="700"/>
        <v>0</v>
      </c>
      <c r="EX965" s="3">
        <f t="shared" si="700"/>
        <v>0</v>
      </c>
      <c r="EY965" s="3">
        <f t="shared" si="700"/>
        <v>0</v>
      </c>
      <c r="EZ965" s="3">
        <f t="shared" si="700"/>
        <v>0</v>
      </c>
      <c r="FA965" s="3">
        <f t="shared" si="700"/>
        <v>0</v>
      </c>
      <c r="FB965" s="3">
        <f t="shared" si="700"/>
        <v>0</v>
      </c>
      <c r="FC965" s="3">
        <f t="shared" si="700"/>
        <v>0</v>
      </c>
      <c r="FD965" s="3">
        <f t="shared" si="700"/>
        <v>0</v>
      </c>
      <c r="FE965" s="3">
        <f t="shared" si="700"/>
        <v>0</v>
      </c>
      <c r="FF965" s="3">
        <f t="shared" si="700"/>
        <v>0</v>
      </c>
      <c r="FG965" s="3">
        <f t="shared" si="700"/>
        <v>0</v>
      </c>
      <c r="FH965" s="3">
        <f t="shared" si="700"/>
        <v>0</v>
      </c>
      <c r="FI965" s="3">
        <f t="shared" si="700"/>
        <v>0</v>
      </c>
      <c r="FJ965" s="3">
        <f t="shared" si="700"/>
        <v>0</v>
      </c>
      <c r="FK965" s="3">
        <f t="shared" si="700"/>
        <v>0</v>
      </c>
      <c r="FL965" s="3">
        <f t="shared" si="700"/>
        <v>0</v>
      </c>
      <c r="FM965" s="3">
        <f t="shared" si="700"/>
        <v>0</v>
      </c>
      <c r="FN965" s="3">
        <f t="shared" si="700"/>
        <v>0</v>
      </c>
      <c r="FO965" s="3">
        <f t="shared" si="700"/>
        <v>0</v>
      </c>
      <c r="FP965" s="3">
        <f t="shared" si="700"/>
        <v>0</v>
      </c>
      <c r="FQ965" s="3">
        <f t="shared" si="700"/>
        <v>0</v>
      </c>
      <c r="FR965" s="3">
        <f t="shared" si="700"/>
        <v>0</v>
      </c>
      <c r="FS965" s="3">
        <f t="shared" ref="FS965:GX965" si="701">FS967</f>
        <v>0</v>
      </c>
      <c r="FT965" s="3">
        <f t="shared" si="701"/>
        <v>0</v>
      </c>
      <c r="FU965" s="3">
        <f t="shared" si="701"/>
        <v>0</v>
      </c>
      <c r="FV965" s="3">
        <f t="shared" si="701"/>
        <v>0</v>
      </c>
      <c r="FW965" s="3">
        <f t="shared" si="701"/>
        <v>0</v>
      </c>
      <c r="FX965" s="3">
        <f t="shared" si="701"/>
        <v>0</v>
      </c>
      <c r="FY965" s="3">
        <f t="shared" si="701"/>
        <v>0</v>
      </c>
      <c r="FZ965" s="3">
        <f t="shared" si="701"/>
        <v>0</v>
      </c>
      <c r="GA965" s="3">
        <f t="shared" si="701"/>
        <v>0</v>
      </c>
      <c r="GB965" s="3">
        <f t="shared" si="701"/>
        <v>0</v>
      </c>
      <c r="GC965" s="3">
        <f t="shared" si="701"/>
        <v>0</v>
      </c>
      <c r="GD965" s="3">
        <f t="shared" si="701"/>
        <v>0</v>
      </c>
      <c r="GE965" s="3">
        <f t="shared" si="701"/>
        <v>0</v>
      </c>
      <c r="GF965" s="3">
        <f t="shared" si="701"/>
        <v>0</v>
      </c>
      <c r="GG965" s="3">
        <f t="shared" si="701"/>
        <v>0</v>
      </c>
      <c r="GH965" s="3">
        <f t="shared" si="701"/>
        <v>0</v>
      </c>
      <c r="GI965" s="3">
        <f t="shared" si="701"/>
        <v>0</v>
      </c>
      <c r="GJ965" s="3">
        <f t="shared" si="701"/>
        <v>0</v>
      </c>
      <c r="GK965" s="3">
        <f t="shared" si="701"/>
        <v>0</v>
      </c>
      <c r="GL965" s="3">
        <f t="shared" si="701"/>
        <v>0</v>
      </c>
      <c r="GM965" s="3">
        <f t="shared" si="701"/>
        <v>0</v>
      </c>
      <c r="GN965" s="3">
        <f t="shared" si="701"/>
        <v>0</v>
      </c>
      <c r="GO965" s="3">
        <f t="shared" si="701"/>
        <v>0</v>
      </c>
      <c r="GP965" s="3">
        <f t="shared" si="701"/>
        <v>0</v>
      </c>
      <c r="GQ965" s="3">
        <f t="shared" si="701"/>
        <v>0</v>
      </c>
      <c r="GR965" s="3">
        <f t="shared" si="701"/>
        <v>0</v>
      </c>
      <c r="GS965" s="3">
        <f t="shared" si="701"/>
        <v>0</v>
      </c>
      <c r="GT965" s="3">
        <f t="shared" si="701"/>
        <v>0</v>
      </c>
      <c r="GU965" s="3">
        <f t="shared" si="701"/>
        <v>0</v>
      </c>
      <c r="GV965" s="3">
        <f t="shared" si="701"/>
        <v>0</v>
      </c>
      <c r="GW965" s="3">
        <f t="shared" si="701"/>
        <v>0</v>
      </c>
      <c r="GX965" s="3">
        <f t="shared" si="701"/>
        <v>0</v>
      </c>
    </row>
    <row r="967" spans="1:206" x14ac:dyDescent="0.2">
      <c r="A967" s="2">
        <v>51</v>
      </c>
      <c r="B967" s="2">
        <f>B963</f>
        <v>1</v>
      </c>
      <c r="C967" s="2">
        <f>A963</f>
        <v>4</v>
      </c>
      <c r="D967" s="2">
        <f>ROW(A963)</f>
        <v>963</v>
      </c>
      <c r="E967" s="2"/>
      <c r="F967" s="2" t="str">
        <f>IF(F963&lt;&gt;"",F963,"")</f>
        <v>Новый раздел</v>
      </c>
      <c r="G967" s="2" t="str">
        <f>IF(G963&lt;&gt;"",G963,"")</f>
        <v>35. Установка ограждения газонного высотой 0,7 м</v>
      </c>
      <c r="H967" s="2">
        <v>0</v>
      </c>
      <c r="I967" s="2"/>
      <c r="J967" s="2"/>
      <c r="K967" s="2"/>
      <c r="L967" s="2"/>
      <c r="M967" s="2"/>
      <c r="N967" s="2"/>
      <c r="O967" s="2">
        <f t="shared" ref="O967:T967" si="702">ROUND(AB967,2)</f>
        <v>0</v>
      </c>
      <c r="P967" s="2">
        <f t="shared" si="702"/>
        <v>0</v>
      </c>
      <c r="Q967" s="2">
        <f t="shared" si="702"/>
        <v>0</v>
      </c>
      <c r="R967" s="2">
        <f t="shared" si="702"/>
        <v>0</v>
      </c>
      <c r="S967" s="2">
        <f t="shared" si="702"/>
        <v>0</v>
      </c>
      <c r="T967" s="2">
        <f t="shared" si="702"/>
        <v>0</v>
      </c>
      <c r="U967" s="2">
        <f>AH967</f>
        <v>0</v>
      </c>
      <c r="V967" s="2">
        <f>AI967</f>
        <v>0</v>
      </c>
      <c r="W967" s="2">
        <f>ROUND(AJ967,2)</f>
        <v>0</v>
      </c>
      <c r="X967" s="2">
        <f>ROUND(AK967,2)</f>
        <v>0</v>
      </c>
      <c r="Y967" s="2">
        <f>ROUND(AL967,2)</f>
        <v>0</v>
      </c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>
        <f t="shared" ref="AO967:BD967" si="703">ROUND(BX967,2)</f>
        <v>0</v>
      </c>
      <c r="AP967" s="2">
        <f t="shared" si="703"/>
        <v>0</v>
      </c>
      <c r="AQ967" s="2">
        <f t="shared" si="703"/>
        <v>0</v>
      </c>
      <c r="AR967" s="2">
        <f t="shared" si="703"/>
        <v>0</v>
      </c>
      <c r="AS967" s="2">
        <f t="shared" si="703"/>
        <v>0</v>
      </c>
      <c r="AT967" s="2">
        <f t="shared" si="703"/>
        <v>0</v>
      </c>
      <c r="AU967" s="2">
        <f t="shared" si="703"/>
        <v>0</v>
      </c>
      <c r="AV967" s="2">
        <f t="shared" si="703"/>
        <v>0</v>
      </c>
      <c r="AW967" s="2">
        <f t="shared" si="703"/>
        <v>0</v>
      </c>
      <c r="AX967" s="2">
        <f t="shared" si="703"/>
        <v>0</v>
      </c>
      <c r="AY967" s="2">
        <f t="shared" si="703"/>
        <v>0</v>
      </c>
      <c r="AZ967" s="2">
        <f t="shared" si="703"/>
        <v>0</v>
      </c>
      <c r="BA967" s="2">
        <f t="shared" si="703"/>
        <v>0</v>
      </c>
      <c r="BB967" s="2">
        <f t="shared" si="703"/>
        <v>0</v>
      </c>
      <c r="BC967" s="2">
        <f t="shared" si="703"/>
        <v>0</v>
      </c>
      <c r="BD967" s="2">
        <f t="shared" si="703"/>
        <v>0</v>
      </c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3"/>
      <c r="DY967" s="3"/>
      <c r="DZ967" s="3"/>
      <c r="EA967" s="3"/>
      <c r="EB967" s="3"/>
      <c r="EC967" s="3"/>
      <c r="ED967" s="3"/>
      <c r="EE967" s="3"/>
      <c r="EF967" s="3"/>
      <c r="EG967" s="3"/>
      <c r="EH967" s="3"/>
      <c r="EI967" s="3"/>
      <c r="EJ967" s="3"/>
      <c r="EK967" s="3"/>
      <c r="EL967" s="3"/>
      <c r="EM967" s="3"/>
      <c r="EN967" s="3"/>
      <c r="EO967" s="3"/>
      <c r="EP967" s="3"/>
      <c r="EQ967" s="3"/>
      <c r="ER967" s="3"/>
      <c r="ES967" s="3"/>
      <c r="ET967" s="3"/>
      <c r="EU967" s="3"/>
      <c r="EV967" s="3"/>
      <c r="EW967" s="3"/>
      <c r="EX967" s="3"/>
      <c r="EY967" s="3"/>
      <c r="EZ967" s="3"/>
      <c r="FA967" s="3"/>
      <c r="FB967" s="3"/>
      <c r="FC967" s="3"/>
      <c r="FD967" s="3"/>
      <c r="FE967" s="3"/>
      <c r="FF967" s="3"/>
      <c r="FG967" s="3"/>
      <c r="FH967" s="3"/>
      <c r="FI967" s="3"/>
      <c r="FJ967" s="3"/>
      <c r="FK967" s="3"/>
      <c r="FL967" s="3"/>
      <c r="FM967" s="3"/>
      <c r="FN967" s="3"/>
      <c r="FO967" s="3"/>
      <c r="FP967" s="3"/>
      <c r="FQ967" s="3"/>
      <c r="FR967" s="3"/>
      <c r="FS967" s="3"/>
      <c r="FT967" s="3"/>
      <c r="FU967" s="3"/>
      <c r="FV967" s="3"/>
      <c r="FW967" s="3"/>
      <c r="FX967" s="3"/>
      <c r="FY967" s="3"/>
      <c r="FZ967" s="3"/>
      <c r="GA967" s="3"/>
      <c r="GB967" s="3"/>
      <c r="GC967" s="3"/>
      <c r="GD967" s="3"/>
      <c r="GE967" s="3"/>
      <c r="GF967" s="3"/>
      <c r="GG967" s="3"/>
      <c r="GH967" s="3"/>
      <c r="GI967" s="3"/>
      <c r="GJ967" s="3"/>
      <c r="GK967" s="3"/>
      <c r="GL967" s="3"/>
      <c r="GM967" s="3"/>
      <c r="GN967" s="3"/>
      <c r="GO967" s="3"/>
      <c r="GP967" s="3"/>
      <c r="GQ967" s="3"/>
      <c r="GR967" s="3"/>
      <c r="GS967" s="3"/>
      <c r="GT967" s="3"/>
      <c r="GU967" s="3"/>
      <c r="GV967" s="3"/>
      <c r="GW967" s="3"/>
      <c r="GX967" s="3">
        <v>0</v>
      </c>
    </row>
    <row r="969" spans="1:206" x14ac:dyDescent="0.2">
      <c r="A969" s="4">
        <v>50</v>
      </c>
      <c r="B969" s="4">
        <v>0</v>
      </c>
      <c r="C969" s="4">
        <v>0</v>
      </c>
      <c r="D969" s="4">
        <v>1</v>
      </c>
      <c r="E969" s="4">
        <v>201</v>
      </c>
      <c r="F969" s="4">
        <f>ROUND(Source!O967,O969)</f>
        <v>0</v>
      </c>
      <c r="G969" s="4" t="s">
        <v>89</v>
      </c>
      <c r="H969" s="4" t="s">
        <v>90</v>
      </c>
      <c r="I969" s="4"/>
      <c r="J969" s="4"/>
      <c r="K969" s="4">
        <v>201</v>
      </c>
      <c r="L969" s="4">
        <v>1</v>
      </c>
      <c r="M969" s="4">
        <v>3</v>
      </c>
      <c r="N969" s="4" t="s">
        <v>3</v>
      </c>
      <c r="O969" s="4">
        <v>2</v>
      </c>
      <c r="P969" s="4"/>
      <c r="Q969" s="4"/>
      <c r="R969" s="4"/>
      <c r="S969" s="4"/>
      <c r="T969" s="4"/>
      <c r="U969" s="4"/>
      <c r="V969" s="4"/>
      <c r="W969" s="4"/>
    </row>
    <row r="970" spans="1:206" x14ac:dyDescent="0.2">
      <c r="A970" s="4">
        <v>50</v>
      </c>
      <c r="B970" s="4">
        <v>0</v>
      </c>
      <c r="C970" s="4">
        <v>0</v>
      </c>
      <c r="D970" s="4">
        <v>1</v>
      </c>
      <c r="E970" s="4">
        <v>202</v>
      </c>
      <c r="F970" s="4">
        <f>ROUND(Source!P967,O970)</f>
        <v>0</v>
      </c>
      <c r="G970" s="4" t="s">
        <v>91</v>
      </c>
      <c r="H970" s="4" t="s">
        <v>92</v>
      </c>
      <c r="I970" s="4"/>
      <c r="J970" s="4"/>
      <c r="K970" s="4">
        <v>202</v>
      </c>
      <c r="L970" s="4">
        <v>2</v>
      </c>
      <c r="M970" s="4">
        <v>3</v>
      </c>
      <c r="N970" s="4" t="s">
        <v>3</v>
      </c>
      <c r="O970" s="4">
        <v>2</v>
      </c>
      <c r="P970" s="4"/>
      <c r="Q970" s="4"/>
      <c r="R970" s="4"/>
      <c r="S970" s="4"/>
      <c r="T970" s="4"/>
      <c r="U970" s="4"/>
      <c r="V970" s="4"/>
      <c r="W970" s="4"/>
    </row>
    <row r="971" spans="1:206" x14ac:dyDescent="0.2">
      <c r="A971" s="4">
        <v>50</v>
      </c>
      <c r="B971" s="4">
        <v>0</v>
      </c>
      <c r="C971" s="4">
        <v>0</v>
      </c>
      <c r="D971" s="4">
        <v>1</v>
      </c>
      <c r="E971" s="4">
        <v>222</v>
      </c>
      <c r="F971" s="4">
        <f>ROUND(Source!AO967,O971)</f>
        <v>0</v>
      </c>
      <c r="G971" s="4" t="s">
        <v>93</v>
      </c>
      <c r="H971" s="4" t="s">
        <v>94</v>
      </c>
      <c r="I971" s="4"/>
      <c r="J971" s="4"/>
      <c r="K971" s="4">
        <v>222</v>
      </c>
      <c r="L971" s="4">
        <v>3</v>
      </c>
      <c r="M971" s="4">
        <v>3</v>
      </c>
      <c r="N971" s="4" t="s">
        <v>3</v>
      </c>
      <c r="O971" s="4">
        <v>2</v>
      </c>
      <c r="P971" s="4"/>
      <c r="Q971" s="4"/>
      <c r="R971" s="4"/>
      <c r="S971" s="4"/>
      <c r="T971" s="4"/>
      <c r="U971" s="4"/>
      <c r="V971" s="4"/>
      <c r="W971" s="4"/>
    </row>
    <row r="972" spans="1:206" x14ac:dyDescent="0.2">
      <c r="A972" s="4">
        <v>50</v>
      </c>
      <c r="B972" s="4">
        <v>0</v>
      </c>
      <c r="C972" s="4">
        <v>0</v>
      </c>
      <c r="D972" s="4">
        <v>1</v>
      </c>
      <c r="E972" s="4">
        <v>225</v>
      </c>
      <c r="F972" s="4">
        <f>ROUND(Source!AV967,O972)</f>
        <v>0</v>
      </c>
      <c r="G972" s="4" t="s">
        <v>95</v>
      </c>
      <c r="H972" s="4" t="s">
        <v>96</v>
      </c>
      <c r="I972" s="4"/>
      <c r="J972" s="4"/>
      <c r="K972" s="4">
        <v>225</v>
      </c>
      <c r="L972" s="4">
        <v>4</v>
      </c>
      <c r="M972" s="4">
        <v>3</v>
      </c>
      <c r="N972" s="4" t="s">
        <v>3</v>
      </c>
      <c r="O972" s="4">
        <v>2</v>
      </c>
      <c r="P972" s="4"/>
      <c r="Q972" s="4"/>
      <c r="R972" s="4"/>
      <c r="S972" s="4"/>
      <c r="T972" s="4"/>
      <c r="U972" s="4"/>
      <c r="V972" s="4"/>
      <c r="W972" s="4"/>
    </row>
    <row r="973" spans="1:206" x14ac:dyDescent="0.2">
      <c r="A973" s="4">
        <v>50</v>
      </c>
      <c r="B973" s="4">
        <v>0</v>
      </c>
      <c r="C973" s="4">
        <v>0</v>
      </c>
      <c r="D973" s="4">
        <v>1</v>
      </c>
      <c r="E973" s="4">
        <v>226</v>
      </c>
      <c r="F973" s="4">
        <f>ROUND(Source!AW967,O973)</f>
        <v>0</v>
      </c>
      <c r="G973" s="4" t="s">
        <v>97</v>
      </c>
      <c r="H973" s="4" t="s">
        <v>98</v>
      </c>
      <c r="I973" s="4"/>
      <c r="J973" s="4"/>
      <c r="K973" s="4">
        <v>226</v>
      </c>
      <c r="L973" s="4">
        <v>5</v>
      </c>
      <c r="M973" s="4">
        <v>3</v>
      </c>
      <c r="N973" s="4" t="s">
        <v>3</v>
      </c>
      <c r="O973" s="4">
        <v>2</v>
      </c>
      <c r="P973" s="4"/>
      <c r="Q973" s="4"/>
      <c r="R973" s="4"/>
      <c r="S973" s="4"/>
      <c r="T973" s="4"/>
      <c r="U973" s="4"/>
      <c r="V973" s="4"/>
      <c r="W973" s="4"/>
    </row>
    <row r="974" spans="1:206" x14ac:dyDescent="0.2">
      <c r="A974" s="4">
        <v>50</v>
      </c>
      <c r="B974" s="4">
        <v>0</v>
      </c>
      <c r="C974" s="4">
        <v>0</v>
      </c>
      <c r="D974" s="4">
        <v>1</v>
      </c>
      <c r="E974" s="4">
        <v>227</v>
      </c>
      <c r="F974" s="4">
        <f>ROUND(Source!AX967,O974)</f>
        <v>0</v>
      </c>
      <c r="G974" s="4" t="s">
        <v>99</v>
      </c>
      <c r="H974" s="4" t="s">
        <v>100</v>
      </c>
      <c r="I974" s="4"/>
      <c r="J974" s="4"/>
      <c r="K974" s="4">
        <v>227</v>
      </c>
      <c r="L974" s="4">
        <v>6</v>
      </c>
      <c r="M974" s="4">
        <v>3</v>
      </c>
      <c r="N974" s="4" t="s">
        <v>3</v>
      </c>
      <c r="O974" s="4">
        <v>2</v>
      </c>
      <c r="P974" s="4"/>
      <c r="Q974" s="4"/>
      <c r="R974" s="4"/>
      <c r="S974" s="4"/>
      <c r="T974" s="4"/>
      <c r="U974" s="4"/>
      <c r="V974" s="4"/>
      <c r="W974" s="4"/>
    </row>
    <row r="975" spans="1:206" x14ac:dyDescent="0.2">
      <c r="A975" s="4">
        <v>50</v>
      </c>
      <c r="B975" s="4">
        <v>0</v>
      </c>
      <c r="C975" s="4">
        <v>0</v>
      </c>
      <c r="D975" s="4">
        <v>1</v>
      </c>
      <c r="E975" s="4">
        <v>228</v>
      </c>
      <c r="F975" s="4">
        <f>ROUND(Source!AY967,O975)</f>
        <v>0</v>
      </c>
      <c r="G975" s="4" t="s">
        <v>101</v>
      </c>
      <c r="H975" s="4" t="s">
        <v>102</v>
      </c>
      <c r="I975" s="4"/>
      <c r="J975" s="4"/>
      <c r="K975" s="4">
        <v>228</v>
      </c>
      <c r="L975" s="4">
        <v>7</v>
      </c>
      <c r="M975" s="4">
        <v>3</v>
      </c>
      <c r="N975" s="4" t="s">
        <v>3</v>
      </c>
      <c r="O975" s="4">
        <v>2</v>
      </c>
      <c r="P975" s="4"/>
      <c r="Q975" s="4"/>
      <c r="R975" s="4"/>
      <c r="S975" s="4"/>
      <c r="T975" s="4"/>
      <c r="U975" s="4"/>
      <c r="V975" s="4"/>
      <c r="W975" s="4"/>
    </row>
    <row r="976" spans="1:206" x14ac:dyDescent="0.2">
      <c r="A976" s="4">
        <v>50</v>
      </c>
      <c r="B976" s="4">
        <v>0</v>
      </c>
      <c r="C976" s="4">
        <v>0</v>
      </c>
      <c r="D976" s="4">
        <v>1</v>
      </c>
      <c r="E976" s="4">
        <v>216</v>
      </c>
      <c r="F976" s="4">
        <f>ROUND(Source!AP967,O976)</f>
        <v>0</v>
      </c>
      <c r="G976" s="4" t="s">
        <v>103</v>
      </c>
      <c r="H976" s="4" t="s">
        <v>104</v>
      </c>
      <c r="I976" s="4"/>
      <c r="J976" s="4"/>
      <c r="K976" s="4">
        <v>216</v>
      </c>
      <c r="L976" s="4">
        <v>8</v>
      </c>
      <c r="M976" s="4">
        <v>3</v>
      </c>
      <c r="N976" s="4" t="s">
        <v>3</v>
      </c>
      <c r="O976" s="4">
        <v>2</v>
      </c>
      <c r="P976" s="4"/>
      <c r="Q976" s="4"/>
      <c r="R976" s="4"/>
      <c r="S976" s="4"/>
      <c r="T976" s="4"/>
      <c r="U976" s="4"/>
      <c r="V976" s="4"/>
      <c r="W976" s="4"/>
    </row>
    <row r="977" spans="1:23" x14ac:dyDescent="0.2">
      <c r="A977" s="4">
        <v>50</v>
      </c>
      <c r="B977" s="4">
        <v>0</v>
      </c>
      <c r="C977" s="4">
        <v>0</v>
      </c>
      <c r="D977" s="4">
        <v>1</v>
      </c>
      <c r="E977" s="4">
        <v>223</v>
      </c>
      <c r="F977" s="4">
        <f>ROUND(Source!AQ967,O977)</f>
        <v>0</v>
      </c>
      <c r="G977" s="4" t="s">
        <v>105</v>
      </c>
      <c r="H977" s="4" t="s">
        <v>106</v>
      </c>
      <c r="I977" s="4"/>
      <c r="J977" s="4"/>
      <c r="K977" s="4">
        <v>223</v>
      </c>
      <c r="L977" s="4">
        <v>9</v>
      </c>
      <c r="M977" s="4">
        <v>3</v>
      </c>
      <c r="N977" s="4" t="s">
        <v>3</v>
      </c>
      <c r="O977" s="4">
        <v>2</v>
      </c>
      <c r="P977" s="4"/>
      <c r="Q977" s="4"/>
      <c r="R977" s="4"/>
      <c r="S977" s="4"/>
      <c r="T977" s="4"/>
      <c r="U977" s="4"/>
      <c r="V977" s="4"/>
      <c r="W977" s="4"/>
    </row>
    <row r="978" spans="1:23" x14ac:dyDescent="0.2">
      <c r="A978" s="4">
        <v>50</v>
      </c>
      <c r="B978" s="4">
        <v>0</v>
      </c>
      <c r="C978" s="4">
        <v>0</v>
      </c>
      <c r="D978" s="4">
        <v>1</v>
      </c>
      <c r="E978" s="4">
        <v>229</v>
      </c>
      <c r="F978" s="4">
        <f>ROUND(Source!AZ967,O978)</f>
        <v>0</v>
      </c>
      <c r="G978" s="4" t="s">
        <v>107</v>
      </c>
      <c r="H978" s="4" t="s">
        <v>108</v>
      </c>
      <c r="I978" s="4"/>
      <c r="J978" s="4"/>
      <c r="K978" s="4">
        <v>229</v>
      </c>
      <c r="L978" s="4">
        <v>10</v>
      </c>
      <c r="M978" s="4">
        <v>3</v>
      </c>
      <c r="N978" s="4" t="s">
        <v>3</v>
      </c>
      <c r="O978" s="4">
        <v>2</v>
      </c>
      <c r="P978" s="4"/>
      <c r="Q978" s="4"/>
      <c r="R978" s="4"/>
      <c r="S978" s="4"/>
      <c r="T978" s="4"/>
      <c r="U978" s="4"/>
      <c r="V978" s="4"/>
      <c r="W978" s="4"/>
    </row>
    <row r="979" spans="1:23" x14ac:dyDescent="0.2">
      <c r="A979" s="4">
        <v>50</v>
      </c>
      <c r="B979" s="4">
        <v>0</v>
      </c>
      <c r="C979" s="4">
        <v>0</v>
      </c>
      <c r="D979" s="4">
        <v>1</v>
      </c>
      <c r="E979" s="4">
        <v>203</v>
      </c>
      <c r="F979" s="4">
        <f>ROUND(Source!Q967,O979)</f>
        <v>0</v>
      </c>
      <c r="G979" s="4" t="s">
        <v>109</v>
      </c>
      <c r="H979" s="4" t="s">
        <v>110</v>
      </c>
      <c r="I979" s="4"/>
      <c r="J979" s="4"/>
      <c r="K979" s="4">
        <v>203</v>
      </c>
      <c r="L979" s="4">
        <v>11</v>
      </c>
      <c r="M979" s="4">
        <v>3</v>
      </c>
      <c r="N979" s="4" t="s">
        <v>3</v>
      </c>
      <c r="O979" s="4">
        <v>2</v>
      </c>
      <c r="P979" s="4"/>
      <c r="Q979" s="4"/>
      <c r="R979" s="4"/>
      <c r="S979" s="4"/>
      <c r="T979" s="4"/>
      <c r="U979" s="4"/>
      <c r="V979" s="4"/>
      <c r="W979" s="4"/>
    </row>
    <row r="980" spans="1:23" x14ac:dyDescent="0.2">
      <c r="A980" s="4">
        <v>50</v>
      </c>
      <c r="B980" s="4">
        <v>0</v>
      </c>
      <c r="C980" s="4">
        <v>0</v>
      </c>
      <c r="D980" s="4">
        <v>1</v>
      </c>
      <c r="E980" s="4">
        <v>231</v>
      </c>
      <c r="F980" s="4">
        <f>ROUND(Source!BB967,O980)</f>
        <v>0</v>
      </c>
      <c r="G980" s="4" t="s">
        <v>111</v>
      </c>
      <c r="H980" s="4" t="s">
        <v>112</v>
      </c>
      <c r="I980" s="4"/>
      <c r="J980" s="4"/>
      <c r="K980" s="4">
        <v>231</v>
      </c>
      <c r="L980" s="4">
        <v>12</v>
      </c>
      <c r="M980" s="4">
        <v>3</v>
      </c>
      <c r="N980" s="4" t="s">
        <v>3</v>
      </c>
      <c r="O980" s="4">
        <v>2</v>
      </c>
      <c r="P980" s="4"/>
      <c r="Q980" s="4"/>
      <c r="R980" s="4"/>
      <c r="S980" s="4"/>
      <c r="T980" s="4"/>
      <c r="U980" s="4"/>
      <c r="V980" s="4"/>
      <c r="W980" s="4"/>
    </row>
    <row r="981" spans="1:23" x14ac:dyDescent="0.2">
      <c r="A981" s="4">
        <v>50</v>
      </c>
      <c r="B981" s="4">
        <v>0</v>
      </c>
      <c r="C981" s="4">
        <v>0</v>
      </c>
      <c r="D981" s="4">
        <v>1</v>
      </c>
      <c r="E981" s="4">
        <v>204</v>
      </c>
      <c r="F981" s="4">
        <f>ROUND(Source!R967,O981)</f>
        <v>0</v>
      </c>
      <c r="G981" s="4" t="s">
        <v>113</v>
      </c>
      <c r="H981" s="4" t="s">
        <v>114</v>
      </c>
      <c r="I981" s="4"/>
      <c r="J981" s="4"/>
      <c r="K981" s="4">
        <v>204</v>
      </c>
      <c r="L981" s="4">
        <v>13</v>
      </c>
      <c r="M981" s="4">
        <v>3</v>
      </c>
      <c r="N981" s="4" t="s">
        <v>3</v>
      </c>
      <c r="O981" s="4">
        <v>2</v>
      </c>
      <c r="P981" s="4"/>
      <c r="Q981" s="4"/>
      <c r="R981" s="4"/>
      <c r="S981" s="4"/>
      <c r="T981" s="4"/>
      <c r="U981" s="4"/>
      <c r="V981" s="4"/>
      <c r="W981" s="4"/>
    </row>
    <row r="982" spans="1:23" x14ac:dyDescent="0.2">
      <c r="A982" s="4">
        <v>50</v>
      </c>
      <c r="B982" s="4">
        <v>0</v>
      </c>
      <c r="C982" s="4">
        <v>0</v>
      </c>
      <c r="D982" s="4">
        <v>1</v>
      </c>
      <c r="E982" s="4">
        <v>205</v>
      </c>
      <c r="F982" s="4">
        <f>ROUND(Source!S967,O982)</f>
        <v>0</v>
      </c>
      <c r="G982" s="4" t="s">
        <v>115</v>
      </c>
      <c r="H982" s="4" t="s">
        <v>116</v>
      </c>
      <c r="I982" s="4"/>
      <c r="J982" s="4"/>
      <c r="K982" s="4">
        <v>205</v>
      </c>
      <c r="L982" s="4">
        <v>14</v>
      </c>
      <c r="M982" s="4">
        <v>3</v>
      </c>
      <c r="N982" s="4" t="s">
        <v>3</v>
      </c>
      <c r="O982" s="4">
        <v>2</v>
      </c>
      <c r="P982" s="4"/>
      <c r="Q982" s="4"/>
      <c r="R982" s="4"/>
      <c r="S982" s="4"/>
      <c r="T982" s="4"/>
      <c r="U982" s="4"/>
      <c r="V982" s="4"/>
      <c r="W982" s="4"/>
    </row>
    <row r="983" spans="1:23" x14ac:dyDescent="0.2">
      <c r="A983" s="4">
        <v>50</v>
      </c>
      <c r="B983" s="4">
        <v>0</v>
      </c>
      <c r="C983" s="4">
        <v>0</v>
      </c>
      <c r="D983" s="4">
        <v>1</v>
      </c>
      <c r="E983" s="4">
        <v>232</v>
      </c>
      <c r="F983" s="4">
        <f>ROUND(Source!BC967,O983)</f>
        <v>0</v>
      </c>
      <c r="G983" s="4" t="s">
        <v>117</v>
      </c>
      <c r="H983" s="4" t="s">
        <v>118</v>
      </c>
      <c r="I983" s="4"/>
      <c r="J983" s="4"/>
      <c r="K983" s="4">
        <v>232</v>
      </c>
      <c r="L983" s="4">
        <v>15</v>
      </c>
      <c r="M983" s="4">
        <v>3</v>
      </c>
      <c r="N983" s="4" t="s">
        <v>3</v>
      </c>
      <c r="O983" s="4">
        <v>2</v>
      </c>
      <c r="P983" s="4"/>
      <c r="Q983" s="4"/>
      <c r="R983" s="4"/>
      <c r="S983" s="4"/>
      <c r="T983" s="4"/>
      <c r="U983" s="4"/>
      <c r="V983" s="4"/>
      <c r="W983" s="4"/>
    </row>
    <row r="984" spans="1:23" x14ac:dyDescent="0.2">
      <c r="A984" s="4">
        <v>50</v>
      </c>
      <c r="B984" s="4">
        <v>0</v>
      </c>
      <c r="C984" s="4">
        <v>0</v>
      </c>
      <c r="D984" s="4">
        <v>1</v>
      </c>
      <c r="E984" s="4">
        <v>214</v>
      </c>
      <c r="F984" s="4">
        <f>ROUND(Source!AS967,O984)</f>
        <v>0</v>
      </c>
      <c r="G984" s="4" t="s">
        <v>119</v>
      </c>
      <c r="H984" s="4" t="s">
        <v>120</v>
      </c>
      <c r="I984" s="4"/>
      <c r="J984" s="4"/>
      <c r="K984" s="4">
        <v>214</v>
      </c>
      <c r="L984" s="4">
        <v>16</v>
      </c>
      <c r="M984" s="4">
        <v>3</v>
      </c>
      <c r="N984" s="4" t="s">
        <v>3</v>
      </c>
      <c r="O984" s="4">
        <v>2</v>
      </c>
      <c r="P984" s="4"/>
      <c r="Q984" s="4"/>
      <c r="R984" s="4"/>
      <c r="S984" s="4"/>
      <c r="T984" s="4"/>
      <c r="U984" s="4"/>
      <c r="V984" s="4"/>
      <c r="W984" s="4"/>
    </row>
    <row r="985" spans="1:23" x14ac:dyDescent="0.2">
      <c r="A985" s="4">
        <v>50</v>
      </c>
      <c r="B985" s="4">
        <v>0</v>
      </c>
      <c r="C985" s="4">
        <v>0</v>
      </c>
      <c r="D985" s="4">
        <v>1</v>
      </c>
      <c r="E985" s="4">
        <v>215</v>
      </c>
      <c r="F985" s="4">
        <f>ROUND(Source!AT967,O985)</f>
        <v>0</v>
      </c>
      <c r="G985" s="4" t="s">
        <v>121</v>
      </c>
      <c r="H985" s="4" t="s">
        <v>122</v>
      </c>
      <c r="I985" s="4"/>
      <c r="J985" s="4"/>
      <c r="K985" s="4">
        <v>215</v>
      </c>
      <c r="L985" s="4">
        <v>17</v>
      </c>
      <c r="M985" s="4">
        <v>3</v>
      </c>
      <c r="N985" s="4" t="s">
        <v>3</v>
      </c>
      <c r="O985" s="4">
        <v>2</v>
      </c>
      <c r="P985" s="4"/>
      <c r="Q985" s="4"/>
      <c r="R985" s="4"/>
      <c r="S985" s="4"/>
      <c r="T985" s="4"/>
      <c r="U985" s="4"/>
      <c r="V985" s="4"/>
      <c r="W985" s="4"/>
    </row>
    <row r="986" spans="1:23" x14ac:dyDescent="0.2">
      <c r="A986" s="4">
        <v>50</v>
      </c>
      <c r="B986" s="4">
        <v>0</v>
      </c>
      <c r="C986" s="4">
        <v>0</v>
      </c>
      <c r="D986" s="4">
        <v>1</v>
      </c>
      <c r="E986" s="4">
        <v>217</v>
      </c>
      <c r="F986" s="4">
        <f>ROUND(Source!AU967,O986)</f>
        <v>0</v>
      </c>
      <c r="G986" s="4" t="s">
        <v>123</v>
      </c>
      <c r="H986" s="4" t="s">
        <v>124</v>
      </c>
      <c r="I986" s="4"/>
      <c r="J986" s="4"/>
      <c r="K986" s="4">
        <v>217</v>
      </c>
      <c r="L986" s="4">
        <v>18</v>
      </c>
      <c r="M986" s="4">
        <v>3</v>
      </c>
      <c r="N986" s="4" t="s">
        <v>3</v>
      </c>
      <c r="O986" s="4">
        <v>2</v>
      </c>
      <c r="P986" s="4"/>
      <c r="Q986" s="4"/>
      <c r="R986" s="4"/>
      <c r="S986" s="4"/>
      <c r="T986" s="4"/>
      <c r="U986" s="4"/>
      <c r="V986" s="4"/>
      <c r="W986" s="4"/>
    </row>
    <row r="987" spans="1:23" x14ac:dyDescent="0.2">
      <c r="A987" s="4">
        <v>50</v>
      </c>
      <c r="B987" s="4">
        <v>0</v>
      </c>
      <c r="C987" s="4">
        <v>0</v>
      </c>
      <c r="D987" s="4">
        <v>1</v>
      </c>
      <c r="E987" s="4">
        <v>230</v>
      </c>
      <c r="F987" s="4">
        <f>ROUND(Source!BA967,O987)</f>
        <v>0</v>
      </c>
      <c r="G987" s="4" t="s">
        <v>125</v>
      </c>
      <c r="H987" s="4" t="s">
        <v>126</v>
      </c>
      <c r="I987" s="4"/>
      <c r="J987" s="4"/>
      <c r="K987" s="4">
        <v>230</v>
      </c>
      <c r="L987" s="4">
        <v>19</v>
      </c>
      <c r="M987" s="4">
        <v>3</v>
      </c>
      <c r="N987" s="4" t="s">
        <v>3</v>
      </c>
      <c r="O987" s="4">
        <v>2</v>
      </c>
      <c r="P987" s="4"/>
      <c r="Q987" s="4"/>
      <c r="R987" s="4"/>
      <c r="S987" s="4"/>
      <c r="T987" s="4"/>
      <c r="U987" s="4"/>
      <c r="V987" s="4"/>
      <c r="W987" s="4"/>
    </row>
    <row r="988" spans="1:23" x14ac:dyDescent="0.2">
      <c r="A988" s="4">
        <v>50</v>
      </c>
      <c r="B988" s="4">
        <v>0</v>
      </c>
      <c r="C988" s="4">
        <v>0</v>
      </c>
      <c r="D988" s="4">
        <v>1</v>
      </c>
      <c r="E988" s="4">
        <v>206</v>
      </c>
      <c r="F988" s="4">
        <f>ROUND(Source!T967,O988)</f>
        <v>0</v>
      </c>
      <c r="G988" s="4" t="s">
        <v>127</v>
      </c>
      <c r="H988" s="4" t="s">
        <v>128</v>
      </c>
      <c r="I988" s="4"/>
      <c r="J988" s="4"/>
      <c r="K988" s="4">
        <v>206</v>
      </c>
      <c r="L988" s="4">
        <v>20</v>
      </c>
      <c r="M988" s="4">
        <v>3</v>
      </c>
      <c r="N988" s="4" t="s">
        <v>3</v>
      </c>
      <c r="O988" s="4">
        <v>2</v>
      </c>
      <c r="P988" s="4"/>
      <c r="Q988" s="4"/>
      <c r="R988" s="4"/>
      <c r="S988" s="4"/>
      <c r="T988" s="4"/>
      <c r="U988" s="4"/>
      <c r="V988" s="4"/>
      <c r="W988" s="4"/>
    </row>
    <row r="989" spans="1:23" x14ac:dyDescent="0.2">
      <c r="A989" s="4">
        <v>50</v>
      </c>
      <c r="B989" s="4">
        <v>0</v>
      </c>
      <c r="C989" s="4">
        <v>0</v>
      </c>
      <c r="D989" s="4">
        <v>1</v>
      </c>
      <c r="E989" s="4">
        <v>207</v>
      </c>
      <c r="F989" s="4">
        <f>Source!U967</f>
        <v>0</v>
      </c>
      <c r="G989" s="4" t="s">
        <v>129</v>
      </c>
      <c r="H989" s="4" t="s">
        <v>130</v>
      </c>
      <c r="I989" s="4"/>
      <c r="J989" s="4"/>
      <c r="K989" s="4">
        <v>207</v>
      </c>
      <c r="L989" s="4">
        <v>21</v>
      </c>
      <c r="M989" s="4">
        <v>3</v>
      </c>
      <c r="N989" s="4" t="s">
        <v>3</v>
      </c>
      <c r="O989" s="4">
        <v>-1</v>
      </c>
      <c r="P989" s="4"/>
      <c r="Q989" s="4"/>
      <c r="R989" s="4"/>
      <c r="S989" s="4"/>
      <c r="T989" s="4"/>
      <c r="U989" s="4"/>
      <c r="V989" s="4"/>
      <c r="W989" s="4"/>
    </row>
    <row r="990" spans="1:23" x14ac:dyDescent="0.2">
      <c r="A990" s="4">
        <v>50</v>
      </c>
      <c r="B990" s="4">
        <v>0</v>
      </c>
      <c r="C990" s="4">
        <v>0</v>
      </c>
      <c r="D990" s="4">
        <v>1</v>
      </c>
      <c r="E990" s="4">
        <v>208</v>
      </c>
      <c r="F990" s="4">
        <f>Source!V967</f>
        <v>0</v>
      </c>
      <c r="G990" s="4" t="s">
        <v>131</v>
      </c>
      <c r="H990" s="4" t="s">
        <v>132</v>
      </c>
      <c r="I990" s="4"/>
      <c r="J990" s="4"/>
      <c r="K990" s="4">
        <v>208</v>
      </c>
      <c r="L990" s="4">
        <v>22</v>
      </c>
      <c r="M990" s="4">
        <v>3</v>
      </c>
      <c r="N990" s="4" t="s">
        <v>3</v>
      </c>
      <c r="O990" s="4">
        <v>-1</v>
      </c>
      <c r="P990" s="4"/>
      <c r="Q990" s="4"/>
      <c r="R990" s="4"/>
      <c r="S990" s="4"/>
      <c r="T990" s="4"/>
      <c r="U990" s="4"/>
      <c r="V990" s="4"/>
      <c r="W990" s="4"/>
    </row>
    <row r="991" spans="1:23" x14ac:dyDescent="0.2">
      <c r="A991" s="4">
        <v>50</v>
      </c>
      <c r="B991" s="4">
        <v>0</v>
      </c>
      <c r="C991" s="4">
        <v>0</v>
      </c>
      <c r="D991" s="4">
        <v>1</v>
      </c>
      <c r="E991" s="4">
        <v>209</v>
      </c>
      <c r="F991" s="4">
        <f>ROUND(Source!W967,O991)</f>
        <v>0</v>
      </c>
      <c r="G991" s="4" t="s">
        <v>133</v>
      </c>
      <c r="H991" s="4" t="s">
        <v>134</v>
      </c>
      <c r="I991" s="4"/>
      <c r="J991" s="4"/>
      <c r="K991" s="4">
        <v>209</v>
      </c>
      <c r="L991" s="4">
        <v>23</v>
      </c>
      <c r="M991" s="4">
        <v>3</v>
      </c>
      <c r="N991" s="4" t="s">
        <v>3</v>
      </c>
      <c r="O991" s="4">
        <v>2</v>
      </c>
      <c r="P991" s="4"/>
      <c r="Q991" s="4"/>
      <c r="R991" s="4"/>
      <c r="S991" s="4"/>
      <c r="T991" s="4"/>
      <c r="U991" s="4"/>
      <c r="V991" s="4"/>
      <c r="W991" s="4"/>
    </row>
    <row r="992" spans="1:23" x14ac:dyDescent="0.2">
      <c r="A992" s="4">
        <v>50</v>
      </c>
      <c r="B992" s="4">
        <v>0</v>
      </c>
      <c r="C992" s="4">
        <v>0</v>
      </c>
      <c r="D992" s="4">
        <v>1</v>
      </c>
      <c r="E992" s="4">
        <v>233</v>
      </c>
      <c r="F992" s="4">
        <f>ROUND(Source!BD967,O992)</f>
        <v>0</v>
      </c>
      <c r="G992" s="4" t="s">
        <v>135</v>
      </c>
      <c r="H992" s="4" t="s">
        <v>136</v>
      </c>
      <c r="I992" s="4"/>
      <c r="J992" s="4"/>
      <c r="K992" s="4">
        <v>233</v>
      </c>
      <c r="L992" s="4">
        <v>24</v>
      </c>
      <c r="M992" s="4">
        <v>3</v>
      </c>
      <c r="N992" s="4" t="s">
        <v>3</v>
      </c>
      <c r="O992" s="4">
        <v>2</v>
      </c>
      <c r="P992" s="4"/>
      <c r="Q992" s="4"/>
      <c r="R992" s="4"/>
      <c r="S992" s="4"/>
      <c r="T992" s="4"/>
      <c r="U992" s="4"/>
      <c r="V992" s="4"/>
      <c r="W992" s="4"/>
    </row>
    <row r="993" spans="1:245" x14ac:dyDescent="0.2">
      <c r="A993" s="4">
        <v>50</v>
      </c>
      <c r="B993" s="4">
        <v>0</v>
      </c>
      <c r="C993" s="4">
        <v>0</v>
      </c>
      <c r="D993" s="4">
        <v>1</v>
      </c>
      <c r="E993" s="4">
        <v>210</v>
      </c>
      <c r="F993" s="4">
        <f>ROUND(Source!X967,O993)</f>
        <v>0</v>
      </c>
      <c r="G993" s="4" t="s">
        <v>137</v>
      </c>
      <c r="H993" s="4" t="s">
        <v>138</v>
      </c>
      <c r="I993" s="4"/>
      <c r="J993" s="4"/>
      <c r="K993" s="4">
        <v>210</v>
      </c>
      <c r="L993" s="4">
        <v>25</v>
      </c>
      <c r="M993" s="4">
        <v>3</v>
      </c>
      <c r="N993" s="4" t="s">
        <v>3</v>
      </c>
      <c r="O993" s="4">
        <v>2</v>
      </c>
      <c r="P993" s="4"/>
      <c r="Q993" s="4"/>
      <c r="R993" s="4"/>
      <c r="S993" s="4"/>
      <c r="T993" s="4"/>
      <c r="U993" s="4"/>
      <c r="V993" s="4"/>
      <c r="W993" s="4"/>
    </row>
    <row r="994" spans="1:245" x14ac:dyDescent="0.2">
      <c r="A994" s="4">
        <v>50</v>
      </c>
      <c r="B994" s="4">
        <v>0</v>
      </c>
      <c r="C994" s="4">
        <v>0</v>
      </c>
      <c r="D994" s="4">
        <v>1</v>
      </c>
      <c r="E994" s="4">
        <v>211</v>
      </c>
      <c r="F994" s="4">
        <f>ROUND(Source!Y967,O994)</f>
        <v>0</v>
      </c>
      <c r="G994" s="4" t="s">
        <v>139</v>
      </c>
      <c r="H994" s="4" t="s">
        <v>140</v>
      </c>
      <c r="I994" s="4"/>
      <c r="J994" s="4"/>
      <c r="K994" s="4">
        <v>211</v>
      </c>
      <c r="L994" s="4">
        <v>26</v>
      </c>
      <c r="M994" s="4">
        <v>3</v>
      </c>
      <c r="N994" s="4" t="s">
        <v>3</v>
      </c>
      <c r="O994" s="4">
        <v>2</v>
      </c>
      <c r="P994" s="4"/>
      <c r="Q994" s="4"/>
      <c r="R994" s="4"/>
      <c r="S994" s="4"/>
      <c r="T994" s="4"/>
      <c r="U994" s="4"/>
      <c r="V994" s="4"/>
      <c r="W994" s="4"/>
    </row>
    <row r="995" spans="1:245" x14ac:dyDescent="0.2">
      <c r="A995" s="4">
        <v>50</v>
      </c>
      <c r="B995" s="4">
        <v>0</v>
      </c>
      <c r="C995" s="4">
        <v>0</v>
      </c>
      <c r="D995" s="4">
        <v>1</v>
      </c>
      <c r="E995" s="4">
        <v>224</v>
      </c>
      <c r="F995" s="4">
        <f>ROUND(Source!AR967,O995)</f>
        <v>0</v>
      </c>
      <c r="G995" s="4" t="s">
        <v>141</v>
      </c>
      <c r="H995" s="4" t="s">
        <v>142</v>
      </c>
      <c r="I995" s="4"/>
      <c r="J995" s="4"/>
      <c r="K995" s="4">
        <v>224</v>
      </c>
      <c r="L995" s="4">
        <v>27</v>
      </c>
      <c r="M995" s="4">
        <v>3</v>
      </c>
      <c r="N995" s="4" t="s">
        <v>3</v>
      </c>
      <c r="O995" s="4">
        <v>2</v>
      </c>
      <c r="P995" s="4"/>
      <c r="Q995" s="4"/>
      <c r="R995" s="4"/>
      <c r="S995" s="4"/>
      <c r="T995" s="4"/>
      <c r="U995" s="4"/>
      <c r="V995" s="4"/>
      <c r="W995" s="4"/>
    </row>
    <row r="997" spans="1:245" x14ac:dyDescent="0.2">
      <c r="A997" s="1">
        <v>4</v>
      </c>
      <c r="B997" s="1">
        <v>1</v>
      </c>
      <c r="C997" s="1"/>
      <c r="D997" s="1">
        <f>ROW(A1012)</f>
        <v>1012</v>
      </c>
      <c r="E997" s="1"/>
      <c r="F997" s="1" t="s">
        <v>13</v>
      </c>
      <c r="G997" s="1" t="s">
        <v>504</v>
      </c>
      <c r="H997" s="1" t="s">
        <v>3</v>
      </c>
      <c r="I997" s="1">
        <v>0</v>
      </c>
      <c r="J997" s="1"/>
      <c r="K997" s="1">
        <v>0</v>
      </c>
      <c r="L997" s="1"/>
      <c r="M997" s="1"/>
      <c r="N997" s="1"/>
      <c r="O997" s="1"/>
      <c r="P997" s="1"/>
      <c r="Q997" s="1"/>
      <c r="R997" s="1"/>
      <c r="S997" s="1"/>
      <c r="T997" s="1"/>
      <c r="U997" s="1" t="s">
        <v>3</v>
      </c>
      <c r="V997" s="1">
        <v>0</v>
      </c>
      <c r="W997" s="1"/>
      <c r="X997" s="1"/>
      <c r="Y997" s="1"/>
      <c r="Z997" s="1"/>
      <c r="AA997" s="1"/>
      <c r="AB997" s="1" t="s">
        <v>3</v>
      </c>
      <c r="AC997" s="1" t="s">
        <v>3</v>
      </c>
      <c r="AD997" s="1" t="s">
        <v>3</v>
      </c>
      <c r="AE997" s="1" t="s">
        <v>3</v>
      </c>
      <c r="AF997" s="1" t="s">
        <v>3</v>
      </c>
      <c r="AG997" s="1" t="s">
        <v>3</v>
      </c>
      <c r="AH997" s="1"/>
      <c r="AI997" s="1"/>
      <c r="AJ997" s="1"/>
      <c r="AK997" s="1"/>
      <c r="AL997" s="1"/>
      <c r="AM997" s="1"/>
      <c r="AN997" s="1"/>
      <c r="AO997" s="1"/>
      <c r="AP997" s="1" t="s">
        <v>3</v>
      </c>
      <c r="AQ997" s="1" t="s">
        <v>3</v>
      </c>
      <c r="AR997" s="1" t="s">
        <v>3</v>
      </c>
      <c r="AS997" s="1"/>
      <c r="AT997" s="1"/>
      <c r="AU997" s="1"/>
      <c r="AV997" s="1"/>
      <c r="AW997" s="1"/>
      <c r="AX997" s="1"/>
      <c r="AY997" s="1"/>
      <c r="AZ997" s="1" t="s">
        <v>3</v>
      </c>
      <c r="BA997" s="1"/>
      <c r="BB997" s="1" t="s">
        <v>3</v>
      </c>
      <c r="BC997" s="1" t="s">
        <v>3</v>
      </c>
      <c r="BD997" s="1" t="s">
        <v>3</v>
      </c>
      <c r="BE997" s="1" t="s">
        <v>3</v>
      </c>
      <c r="BF997" s="1" t="s">
        <v>3</v>
      </c>
      <c r="BG997" s="1" t="s">
        <v>3</v>
      </c>
      <c r="BH997" s="1" t="s">
        <v>3</v>
      </c>
      <c r="BI997" s="1" t="s">
        <v>3</v>
      </c>
      <c r="BJ997" s="1" t="s">
        <v>3</v>
      </c>
      <c r="BK997" s="1" t="s">
        <v>3</v>
      </c>
      <c r="BL997" s="1" t="s">
        <v>3</v>
      </c>
      <c r="BM997" s="1" t="s">
        <v>3</v>
      </c>
      <c r="BN997" s="1" t="s">
        <v>3</v>
      </c>
      <c r="BO997" s="1" t="s">
        <v>3</v>
      </c>
      <c r="BP997" s="1" t="s">
        <v>3</v>
      </c>
      <c r="BQ997" s="1"/>
      <c r="BR997" s="1"/>
      <c r="BS997" s="1"/>
      <c r="BT997" s="1"/>
      <c r="BU997" s="1"/>
      <c r="BV997" s="1"/>
      <c r="BW997" s="1"/>
      <c r="BX997" s="1">
        <v>0</v>
      </c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>
        <v>0</v>
      </c>
    </row>
    <row r="999" spans="1:245" x14ac:dyDescent="0.2">
      <c r="A999" s="2">
        <v>52</v>
      </c>
      <c r="B999" s="2">
        <f t="shared" ref="B999:G999" si="704">B1012</f>
        <v>1</v>
      </c>
      <c r="C999" s="2">
        <f t="shared" si="704"/>
        <v>4</v>
      </c>
      <c r="D999" s="2">
        <f t="shared" si="704"/>
        <v>997</v>
      </c>
      <c r="E999" s="2">
        <f t="shared" si="704"/>
        <v>0</v>
      </c>
      <c r="F999" s="2" t="str">
        <f t="shared" si="704"/>
        <v>Новый раздел</v>
      </c>
      <c r="G999" s="2" t="str">
        <f t="shared" si="704"/>
        <v>36. Установка ограждения детской площадки 1,2 м</v>
      </c>
      <c r="H999" s="2"/>
      <c r="I999" s="2"/>
      <c r="J999" s="2"/>
      <c r="K999" s="2"/>
      <c r="L999" s="2"/>
      <c r="M999" s="2"/>
      <c r="N999" s="2"/>
      <c r="O999" s="2">
        <f t="shared" ref="O999:AT999" si="705">O1012</f>
        <v>1166150.49</v>
      </c>
      <c r="P999" s="2">
        <f t="shared" si="705"/>
        <v>519876.06</v>
      </c>
      <c r="Q999" s="2">
        <f t="shared" si="705"/>
        <v>70250.92</v>
      </c>
      <c r="R999" s="2">
        <f t="shared" si="705"/>
        <v>37465.660000000003</v>
      </c>
      <c r="S999" s="2">
        <f t="shared" si="705"/>
        <v>576023.51</v>
      </c>
      <c r="T999" s="2">
        <f t="shared" si="705"/>
        <v>0</v>
      </c>
      <c r="U999" s="2">
        <f t="shared" si="705"/>
        <v>2014.4453457669601</v>
      </c>
      <c r="V999" s="2">
        <f t="shared" si="705"/>
        <v>0</v>
      </c>
      <c r="W999" s="2">
        <f t="shared" si="705"/>
        <v>0</v>
      </c>
      <c r="X999" s="2">
        <f t="shared" si="705"/>
        <v>517583.67</v>
      </c>
      <c r="Y999" s="2">
        <f t="shared" si="705"/>
        <v>236169.64</v>
      </c>
      <c r="Z999" s="2">
        <f t="shared" si="705"/>
        <v>0</v>
      </c>
      <c r="AA999" s="2">
        <f t="shared" si="705"/>
        <v>0</v>
      </c>
      <c r="AB999" s="2">
        <f t="shared" si="705"/>
        <v>1166150.49</v>
      </c>
      <c r="AC999" s="2">
        <f t="shared" si="705"/>
        <v>519876.06</v>
      </c>
      <c r="AD999" s="2">
        <f t="shared" si="705"/>
        <v>70250.92</v>
      </c>
      <c r="AE999" s="2">
        <f t="shared" si="705"/>
        <v>37465.660000000003</v>
      </c>
      <c r="AF999" s="2">
        <f t="shared" si="705"/>
        <v>576023.51</v>
      </c>
      <c r="AG999" s="2">
        <f t="shared" si="705"/>
        <v>0</v>
      </c>
      <c r="AH999" s="2">
        <f t="shared" si="705"/>
        <v>2014.4453457669601</v>
      </c>
      <c r="AI999" s="2">
        <f t="shared" si="705"/>
        <v>0</v>
      </c>
      <c r="AJ999" s="2">
        <f t="shared" si="705"/>
        <v>0</v>
      </c>
      <c r="AK999" s="2">
        <f t="shared" si="705"/>
        <v>517583.67</v>
      </c>
      <c r="AL999" s="2">
        <f t="shared" si="705"/>
        <v>236169.64</v>
      </c>
      <c r="AM999" s="2">
        <f t="shared" si="705"/>
        <v>0</v>
      </c>
      <c r="AN999" s="2">
        <f t="shared" si="705"/>
        <v>0</v>
      </c>
      <c r="AO999" s="2">
        <f t="shared" si="705"/>
        <v>0</v>
      </c>
      <c r="AP999" s="2">
        <f t="shared" si="705"/>
        <v>0</v>
      </c>
      <c r="AQ999" s="2">
        <f t="shared" si="705"/>
        <v>0</v>
      </c>
      <c r="AR999" s="2">
        <f t="shared" si="705"/>
        <v>1978724.89</v>
      </c>
      <c r="AS999" s="2">
        <f t="shared" si="705"/>
        <v>1978724.89</v>
      </c>
      <c r="AT999" s="2">
        <f t="shared" si="705"/>
        <v>0</v>
      </c>
      <c r="AU999" s="2">
        <f t="shared" ref="AU999:BZ999" si="706">AU1012</f>
        <v>0</v>
      </c>
      <c r="AV999" s="2">
        <f t="shared" si="706"/>
        <v>519876.06</v>
      </c>
      <c r="AW999" s="2">
        <f t="shared" si="706"/>
        <v>519876.06</v>
      </c>
      <c r="AX999" s="2">
        <f t="shared" si="706"/>
        <v>0</v>
      </c>
      <c r="AY999" s="2">
        <f t="shared" si="706"/>
        <v>519876.06</v>
      </c>
      <c r="AZ999" s="2">
        <f t="shared" si="706"/>
        <v>0</v>
      </c>
      <c r="BA999" s="2">
        <f t="shared" si="706"/>
        <v>0</v>
      </c>
      <c r="BB999" s="2">
        <f t="shared" si="706"/>
        <v>0</v>
      </c>
      <c r="BC999" s="2">
        <f t="shared" si="706"/>
        <v>0</v>
      </c>
      <c r="BD999" s="2">
        <f t="shared" si="706"/>
        <v>0</v>
      </c>
      <c r="BE999" s="2">
        <f t="shared" si="706"/>
        <v>0</v>
      </c>
      <c r="BF999" s="2">
        <f t="shared" si="706"/>
        <v>0</v>
      </c>
      <c r="BG999" s="2">
        <f t="shared" si="706"/>
        <v>0</v>
      </c>
      <c r="BH999" s="2">
        <f t="shared" si="706"/>
        <v>0</v>
      </c>
      <c r="BI999" s="2">
        <f t="shared" si="706"/>
        <v>0</v>
      </c>
      <c r="BJ999" s="2">
        <f t="shared" si="706"/>
        <v>0</v>
      </c>
      <c r="BK999" s="2">
        <f t="shared" si="706"/>
        <v>0</v>
      </c>
      <c r="BL999" s="2">
        <f t="shared" si="706"/>
        <v>0</v>
      </c>
      <c r="BM999" s="2">
        <f t="shared" si="706"/>
        <v>0</v>
      </c>
      <c r="BN999" s="2">
        <f t="shared" si="706"/>
        <v>0</v>
      </c>
      <c r="BO999" s="2">
        <f t="shared" si="706"/>
        <v>0</v>
      </c>
      <c r="BP999" s="2">
        <f t="shared" si="706"/>
        <v>0</v>
      </c>
      <c r="BQ999" s="2">
        <f t="shared" si="706"/>
        <v>0</v>
      </c>
      <c r="BR999" s="2">
        <f t="shared" si="706"/>
        <v>0</v>
      </c>
      <c r="BS999" s="2">
        <f t="shared" si="706"/>
        <v>0</v>
      </c>
      <c r="BT999" s="2">
        <f t="shared" si="706"/>
        <v>0</v>
      </c>
      <c r="BU999" s="2">
        <f t="shared" si="706"/>
        <v>0</v>
      </c>
      <c r="BV999" s="2">
        <f t="shared" si="706"/>
        <v>0</v>
      </c>
      <c r="BW999" s="2">
        <f t="shared" si="706"/>
        <v>0</v>
      </c>
      <c r="BX999" s="2">
        <f t="shared" si="706"/>
        <v>0</v>
      </c>
      <c r="BY999" s="2">
        <f t="shared" si="706"/>
        <v>0</v>
      </c>
      <c r="BZ999" s="2">
        <f t="shared" si="706"/>
        <v>0</v>
      </c>
      <c r="CA999" s="2">
        <f t="shared" ref="CA999:DF999" si="707">CA1012</f>
        <v>1978724.89</v>
      </c>
      <c r="CB999" s="2">
        <f t="shared" si="707"/>
        <v>1978724.89</v>
      </c>
      <c r="CC999" s="2">
        <f t="shared" si="707"/>
        <v>0</v>
      </c>
      <c r="CD999" s="2">
        <f t="shared" si="707"/>
        <v>0</v>
      </c>
      <c r="CE999" s="2">
        <f t="shared" si="707"/>
        <v>519876.06</v>
      </c>
      <c r="CF999" s="2">
        <f t="shared" si="707"/>
        <v>519876.06</v>
      </c>
      <c r="CG999" s="2">
        <f t="shared" si="707"/>
        <v>0</v>
      </c>
      <c r="CH999" s="2">
        <f t="shared" si="707"/>
        <v>519876.06</v>
      </c>
      <c r="CI999" s="2">
        <f t="shared" si="707"/>
        <v>0</v>
      </c>
      <c r="CJ999" s="2">
        <f t="shared" si="707"/>
        <v>0</v>
      </c>
      <c r="CK999" s="2">
        <f t="shared" si="707"/>
        <v>0</v>
      </c>
      <c r="CL999" s="2">
        <f t="shared" si="707"/>
        <v>0</v>
      </c>
      <c r="CM999" s="2">
        <f t="shared" si="707"/>
        <v>0</v>
      </c>
      <c r="CN999" s="2">
        <f t="shared" si="707"/>
        <v>0</v>
      </c>
      <c r="CO999" s="2">
        <f t="shared" si="707"/>
        <v>0</v>
      </c>
      <c r="CP999" s="2">
        <f t="shared" si="707"/>
        <v>0</v>
      </c>
      <c r="CQ999" s="2">
        <f t="shared" si="707"/>
        <v>0</v>
      </c>
      <c r="CR999" s="2">
        <f t="shared" si="707"/>
        <v>0</v>
      </c>
      <c r="CS999" s="2">
        <f t="shared" si="707"/>
        <v>0</v>
      </c>
      <c r="CT999" s="2">
        <f t="shared" si="707"/>
        <v>0</v>
      </c>
      <c r="CU999" s="2">
        <f t="shared" si="707"/>
        <v>0</v>
      </c>
      <c r="CV999" s="2">
        <f t="shared" si="707"/>
        <v>0</v>
      </c>
      <c r="CW999" s="2">
        <f t="shared" si="707"/>
        <v>0</v>
      </c>
      <c r="CX999" s="2">
        <f t="shared" si="707"/>
        <v>0</v>
      </c>
      <c r="CY999" s="2">
        <f t="shared" si="707"/>
        <v>0</v>
      </c>
      <c r="CZ999" s="2">
        <f t="shared" si="707"/>
        <v>0</v>
      </c>
      <c r="DA999" s="2">
        <f t="shared" si="707"/>
        <v>0</v>
      </c>
      <c r="DB999" s="2">
        <f t="shared" si="707"/>
        <v>0</v>
      </c>
      <c r="DC999" s="2">
        <f t="shared" si="707"/>
        <v>0</v>
      </c>
      <c r="DD999" s="2">
        <f t="shared" si="707"/>
        <v>0</v>
      </c>
      <c r="DE999" s="2">
        <f t="shared" si="707"/>
        <v>0</v>
      </c>
      <c r="DF999" s="2">
        <f t="shared" si="707"/>
        <v>0</v>
      </c>
      <c r="DG999" s="3">
        <f t="shared" ref="DG999:EL999" si="708">DG1012</f>
        <v>0</v>
      </c>
      <c r="DH999" s="3">
        <f t="shared" si="708"/>
        <v>0</v>
      </c>
      <c r="DI999" s="3">
        <f t="shared" si="708"/>
        <v>0</v>
      </c>
      <c r="DJ999" s="3">
        <f t="shared" si="708"/>
        <v>0</v>
      </c>
      <c r="DK999" s="3">
        <f t="shared" si="708"/>
        <v>0</v>
      </c>
      <c r="DL999" s="3">
        <f t="shared" si="708"/>
        <v>0</v>
      </c>
      <c r="DM999" s="3">
        <f t="shared" si="708"/>
        <v>0</v>
      </c>
      <c r="DN999" s="3">
        <f t="shared" si="708"/>
        <v>0</v>
      </c>
      <c r="DO999" s="3">
        <f t="shared" si="708"/>
        <v>0</v>
      </c>
      <c r="DP999" s="3">
        <f t="shared" si="708"/>
        <v>0</v>
      </c>
      <c r="DQ999" s="3">
        <f t="shared" si="708"/>
        <v>0</v>
      </c>
      <c r="DR999" s="3">
        <f t="shared" si="708"/>
        <v>0</v>
      </c>
      <c r="DS999" s="3">
        <f t="shared" si="708"/>
        <v>0</v>
      </c>
      <c r="DT999" s="3">
        <f t="shared" si="708"/>
        <v>0</v>
      </c>
      <c r="DU999" s="3">
        <f t="shared" si="708"/>
        <v>0</v>
      </c>
      <c r="DV999" s="3">
        <f t="shared" si="708"/>
        <v>0</v>
      </c>
      <c r="DW999" s="3">
        <f t="shared" si="708"/>
        <v>0</v>
      </c>
      <c r="DX999" s="3">
        <f t="shared" si="708"/>
        <v>0</v>
      </c>
      <c r="DY999" s="3">
        <f t="shared" si="708"/>
        <v>0</v>
      </c>
      <c r="DZ999" s="3">
        <f t="shared" si="708"/>
        <v>0</v>
      </c>
      <c r="EA999" s="3">
        <f t="shared" si="708"/>
        <v>0</v>
      </c>
      <c r="EB999" s="3">
        <f t="shared" si="708"/>
        <v>0</v>
      </c>
      <c r="EC999" s="3">
        <f t="shared" si="708"/>
        <v>0</v>
      </c>
      <c r="ED999" s="3">
        <f t="shared" si="708"/>
        <v>0</v>
      </c>
      <c r="EE999" s="3">
        <f t="shared" si="708"/>
        <v>0</v>
      </c>
      <c r="EF999" s="3">
        <f t="shared" si="708"/>
        <v>0</v>
      </c>
      <c r="EG999" s="3">
        <f t="shared" si="708"/>
        <v>0</v>
      </c>
      <c r="EH999" s="3">
        <f t="shared" si="708"/>
        <v>0</v>
      </c>
      <c r="EI999" s="3">
        <f t="shared" si="708"/>
        <v>0</v>
      </c>
      <c r="EJ999" s="3">
        <f t="shared" si="708"/>
        <v>0</v>
      </c>
      <c r="EK999" s="3">
        <f t="shared" si="708"/>
        <v>0</v>
      </c>
      <c r="EL999" s="3">
        <f t="shared" si="708"/>
        <v>0</v>
      </c>
      <c r="EM999" s="3">
        <f t="shared" ref="EM999:FR999" si="709">EM1012</f>
        <v>0</v>
      </c>
      <c r="EN999" s="3">
        <f t="shared" si="709"/>
        <v>0</v>
      </c>
      <c r="EO999" s="3">
        <f t="shared" si="709"/>
        <v>0</v>
      </c>
      <c r="EP999" s="3">
        <f t="shared" si="709"/>
        <v>0</v>
      </c>
      <c r="EQ999" s="3">
        <f t="shared" si="709"/>
        <v>0</v>
      </c>
      <c r="ER999" s="3">
        <f t="shared" si="709"/>
        <v>0</v>
      </c>
      <c r="ES999" s="3">
        <f t="shared" si="709"/>
        <v>0</v>
      </c>
      <c r="ET999" s="3">
        <f t="shared" si="709"/>
        <v>0</v>
      </c>
      <c r="EU999" s="3">
        <f t="shared" si="709"/>
        <v>0</v>
      </c>
      <c r="EV999" s="3">
        <f t="shared" si="709"/>
        <v>0</v>
      </c>
      <c r="EW999" s="3">
        <f t="shared" si="709"/>
        <v>0</v>
      </c>
      <c r="EX999" s="3">
        <f t="shared" si="709"/>
        <v>0</v>
      </c>
      <c r="EY999" s="3">
        <f t="shared" si="709"/>
        <v>0</v>
      </c>
      <c r="EZ999" s="3">
        <f t="shared" si="709"/>
        <v>0</v>
      </c>
      <c r="FA999" s="3">
        <f t="shared" si="709"/>
        <v>0</v>
      </c>
      <c r="FB999" s="3">
        <f t="shared" si="709"/>
        <v>0</v>
      </c>
      <c r="FC999" s="3">
        <f t="shared" si="709"/>
        <v>0</v>
      </c>
      <c r="FD999" s="3">
        <f t="shared" si="709"/>
        <v>0</v>
      </c>
      <c r="FE999" s="3">
        <f t="shared" si="709"/>
        <v>0</v>
      </c>
      <c r="FF999" s="3">
        <f t="shared" si="709"/>
        <v>0</v>
      </c>
      <c r="FG999" s="3">
        <f t="shared" si="709"/>
        <v>0</v>
      </c>
      <c r="FH999" s="3">
        <f t="shared" si="709"/>
        <v>0</v>
      </c>
      <c r="FI999" s="3">
        <f t="shared" si="709"/>
        <v>0</v>
      </c>
      <c r="FJ999" s="3">
        <f t="shared" si="709"/>
        <v>0</v>
      </c>
      <c r="FK999" s="3">
        <f t="shared" si="709"/>
        <v>0</v>
      </c>
      <c r="FL999" s="3">
        <f t="shared" si="709"/>
        <v>0</v>
      </c>
      <c r="FM999" s="3">
        <f t="shared" si="709"/>
        <v>0</v>
      </c>
      <c r="FN999" s="3">
        <f t="shared" si="709"/>
        <v>0</v>
      </c>
      <c r="FO999" s="3">
        <f t="shared" si="709"/>
        <v>0</v>
      </c>
      <c r="FP999" s="3">
        <f t="shared" si="709"/>
        <v>0</v>
      </c>
      <c r="FQ999" s="3">
        <f t="shared" si="709"/>
        <v>0</v>
      </c>
      <c r="FR999" s="3">
        <f t="shared" si="709"/>
        <v>0</v>
      </c>
      <c r="FS999" s="3">
        <f t="shared" ref="FS999:GX999" si="710">FS1012</f>
        <v>0</v>
      </c>
      <c r="FT999" s="3">
        <f t="shared" si="710"/>
        <v>0</v>
      </c>
      <c r="FU999" s="3">
        <f t="shared" si="710"/>
        <v>0</v>
      </c>
      <c r="FV999" s="3">
        <f t="shared" si="710"/>
        <v>0</v>
      </c>
      <c r="FW999" s="3">
        <f t="shared" si="710"/>
        <v>0</v>
      </c>
      <c r="FX999" s="3">
        <f t="shared" si="710"/>
        <v>0</v>
      </c>
      <c r="FY999" s="3">
        <f t="shared" si="710"/>
        <v>0</v>
      </c>
      <c r="FZ999" s="3">
        <f t="shared" si="710"/>
        <v>0</v>
      </c>
      <c r="GA999" s="3">
        <f t="shared" si="710"/>
        <v>0</v>
      </c>
      <c r="GB999" s="3">
        <f t="shared" si="710"/>
        <v>0</v>
      </c>
      <c r="GC999" s="3">
        <f t="shared" si="710"/>
        <v>0</v>
      </c>
      <c r="GD999" s="3">
        <f t="shared" si="710"/>
        <v>0</v>
      </c>
      <c r="GE999" s="3">
        <f t="shared" si="710"/>
        <v>0</v>
      </c>
      <c r="GF999" s="3">
        <f t="shared" si="710"/>
        <v>0</v>
      </c>
      <c r="GG999" s="3">
        <f t="shared" si="710"/>
        <v>0</v>
      </c>
      <c r="GH999" s="3">
        <f t="shared" si="710"/>
        <v>0</v>
      </c>
      <c r="GI999" s="3">
        <f t="shared" si="710"/>
        <v>0</v>
      </c>
      <c r="GJ999" s="3">
        <f t="shared" si="710"/>
        <v>0</v>
      </c>
      <c r="GK999" s="3">
        <f t="shared" si="710"/>
        <v>0</v>
      </c>
      <c r="GL999" s="3">
        <f t="shared" si="710"/>
        <v>0</v>
      </c>
      <c r="GM999" s="3">
        <f t="shared" si="710"/>
        <v>0</v>
      </c>
      <c r="GN999" s="3">
        <f t="shared" si="710"/>
        <v>0</v>
      </c>
      <c r="GO999" s="3">
        <f t="shared" si="710"/>
        <v>0</v>
      </c>
      <c r="GP999" s="3">
        <f t="shared" si="710"/>
        <v>0</v>
      </c>
      <c r="GQ999" s="3">
        <f t="shared" si="710"/>
        <v>0</v>
      </c>
      <c r="GR999" s="3">
        <f t="shared" si="710"/>
        <v>0</v>
      </c>
      <c r="GS999" s="3">
        <f t="shared" si="710"/>
        <v>0</v>
      </c>
      <c r="GT999" s="3">
        <f t="shared" si="710"/>
        <v>0</v>
      </c>
      <c r="GU999" s="3">
        <f t="shared" si="710"/>
        <v>0</v>
      </c>
      <c r="GV999" s="3">
        <f t="shared" si="710"/>
        <v>0</v>
      </c>
      <c r="GW999" s="3">
        <f t="shared" si="710"/>
        <v>0</v>
      </c>
      <c r="GX999" s="3">
        <f t="shared" si="710"/>
        <v>0</v>
      </c>
    </row>
    <row r="1001" spans="1:245" x14ac:dyDescent="0.2">
      <c r="A1001">
        <v>17</v>
      </c>
      <c r="B1001">
        <v>1</v>
      </c>
      <c r="C1001">
        <f>ROW(SmtRes!A311)</f>
        <v>311</v>
      </c>
      <c r="D1001">
        <f>ROW(EtalonRes!A312)</f>
        <v>312</v>
      </c>
      <c r="E1001" t="s">
        <v>505</v>
      </c>
      <c r="F1001" t="s">
        <v>506</v>
      </c>
      <c r="G1001" t="s">
        <v>507</v>
      </c>
      <c r="H1001" t="s">
        <v>508</v>
      </c>
      <c r="I1001">
        <f>ROUND(706/10/2,5)</f>
        <v>35.299999999999997</v>
      </c>
      <c r="J1001">
        <v>0</v>
      </c>
      <c r="O1001">
        <f t="shared" ref="O1001:O1010" si="711">ROUND(CP1001,2)</f>
        <v>35767.730000000003</v>
      </c>
      <c r="P1001">
        <f t="shared" ref="P1001:P1010" si="712">ROUND((ROUND((AC1001*AW1001*I1001),2)*BC1001),2)</f>
        <v>22.26</v>
      </c>
      <c r="Q1001">
        <f t="shared" ref="Q1001:Q1010" si="713">(ROUND((ROUND(((ET1001)*AV1001*I1001),2)*BB1001),2)+ROUND((ROUND(((AE1001-(EU1001))*AV1001*I1001),2)*BS1001),2))</f>
        <v>5360.65</v>
      </c>
      <c r="R1001">
        <f t="shared" ref="R1001:R1010" si="714">ROUND((ROUND((AE1001*AV1001*I1001),2)*BS1001),2)</f>
        <v>1047.68</v>
      </c>
      <c r="S1001">
        <f t="shared" ref="S1001:S1010" si="715">ROUND((ROUND((AF1001*AV1001*I1001),2)*BA1001),2)</f>
        <v>30384.82</v>
      </c>
      <c r="T1001">
        <f t="shared" ref="T1001:T1010" si="716">ROUND(CU1001*I1001,2)</f>
        <v>0</v>
      </c>
      <c r="U1001">
        <f t="shared" ref="U1001:U1010" si="717">CV1001*I1001</f>
        <v>93.897999999999996</v>
      </c>
      <c r="V1001">
        <f t="shared" ref="V1001:V1010" si="718">CW1001*I1001</f>
        <v>0</v>
      </c>
      <c r="W1001">
        <f t="shared" ref="W1001:W1010" si="719">ROUND(CX1001*I1001,2)</f>
        <v>0</v>
      </c>
      <c r="X1001">
        <f t="shared" ref="X1001:X1010" si="720">ROUND(CY1001,2)</f>
        <v>27346.34</v>
      </c>
      <c r="Y1001">
        <f t="shared" ref="Y1001:Y1010" si="721">ROUND(CZ1001,2)</f>
        <v>12457.78</v>
      </c>
      <c r="AA1001">
        <v>33989672</v>
      </c>
      <c r="AB1001">
        <f t="shared" ref="AB1001:AB1010" si="722">ROUND((AC1001+AD1001+AF1001),6)</f>
        <v>54.77</v>
      </c>
      <c r="AC1001">
        <f t="shared" ref="AC1001:AC1010" si="723">ROUND((ES1001),6)</f>
        <v>0.06</v>
      </c>
      <c r="AD1001">
        <f t="shared" ref="AD1001:AD1010" si="724">ROUND((((ET1001)-(EU1001))+AE1001),6)</f>
        <v>19.62</v>
      </c>
      <c r="AE1001">
        <f t="shared" ref="AE1001:AE1010" si="725">ROUND((EU1001),6)</f>
        <v>1.21</v>
      </c>
      <c r="AF1001">
        <f t="shared" ref="AF1001:AF1010" si="726">ROUND((EV1001),6)</f>
        <v>35.090000000000003</v>
      </c>
      <c r="AG1001">
        <f t="shared" ref="AG1001:AG1010" si="727">ROUND((AP1001),6)</f>
        <v>0</v>
      </c>
      <c r="AH1001">
        <f t="shared" ref="AH1001:AH1010" si="728">(EW1001)</f>
        <v>2.66</v>
      </c>
      <c r="AI1001">
        <f t="shared" ref="AI1001:AI1010" si="729">(EX1001)</f>
        <v>0</v>
      </c>
      <c r="AJ1001">
        <f t="shared" ref="AJ1001:AJ1010" si="730">(AS1001)</f>
        <v>0</v>
      </c>
      <c r="AK1001">
        <v>54.77</v>
      </c>
      <c r="AL1001">
        <v>0.06</v>
      </c>
      <c r="AM1001">
        <v>19.62</v>
      </c>
      <c r="AN1001">
        <v>1.21</v>
      </c>
      <c r="AO1001">
        <v>35.090000000000003</v>
      </c>
      <c r="AP1001">
        <v>0</v>
      </c>
      <c r="AQ1001">
        <v>2.66</v>
      </c>
      <c r="AR1001">
        <v>0</v>
      </c>
      <c r="AS1001">
        <v>0</v>
      </c>
      <c r="AT1001">
        <v>90</v>
      </c>
      <c r="AU1001">
        <v>41</v>
      </c>
      <c r="AV1001">
        <v>1</v>
      </c>
      <c r="AW1001">
        <v>1</v>
      </c>
      <c r="AZ1001">
        <v>1</v>
      </c>
      <c r="BA1001">
        <v>24.53</v>
      </c>
      <c r="BB1001">
        <v>7.74</v>
      </c>
      <c r="BC1001">
        <v>10.5</v>
      </c>
      <c r="BD1001" t="s">
        <v>3</v>
      </c>
      <c r="BE1001" t="s">
        <v>3</v>
      </c>
      <c r="BF1001" t="s">
        <v>3</v>
      </c>
      <c r="BG1001" t="s">
        <v>3</v>
      </c>
      <c r="BH1001">
        <v>0</v>
      </c>
      <c r="BI1001">
        <v>1</v>
      </c>
      <c r="BJ1001" t="s">
        <v>509</v>
      </c>
      <c r="BM1001">
        <v>1306</v>
      </c>
      <c r="BN1001">
        <v>0</v>
      </c>
      <c r="BO1001" t="s">
        <v>506</v>
      </c>
      <c r="BP1001">
        <v>1</v>
      </c>
      <c r="BQ1001">
        <v>60</v>
      </c>
      <c r="BR1001">
        <v>0</v>
      </c>
      <c r="BS1001">
        <v>24.53</v>
      </c>
      <c r="BT1001">
        <v>1</v>
      </c>
      <c r="BU1001">
        <v>1</v>
      </c>
      <c r="BV1001">
        <v>1</v>
      </c>
      <c r="BW1001">
        <v>1</v>
      </c>
      <c r="BX1001">
        <v>1</v>
      </c>
      <c r="BY1001" t="s">
        <v>3</v>
      </c>
      <c r="BZ1001">
        <v>90</v>
      </c>
      <c r="CA1001">
        <v>41</v>
      </c>
      <c r="CE1001">
        <v>30</v>
      </c>
      <c r="CF1001">
        <v>0</v>
      </c>
      <c r="CG1001">
        <v>0</v>
      </c>
      <c r="CM1001">
        <v>0</v>
      </c>
      <c r="CN1001" t="s">
        <v>3</v>
      </c>
      <c r="CO1001">
        <v>0</v>
      </c>
      <c r="CP1001">
        <f t="shared" ref="CP1001:CP1010" si="731">(P1001+Q1001+S1001)</f>
        <v>35767.729999999996</v>
      </c>
      <c r="CQ1001">
        <f t="shared" ref="CQ1001:CQ1010" si="732">ROUND((ROUND((AC1001*AW1001*1),2)*BC1001),2)</f>
        <v>0.63</v>
      </c>
      <c r="CR1001">
        <f t="shared" ref="CR1001:CR1010" si="733">(ROUND((ROUND(((ET1001)*AV1001*1),2)*BB1001),2)+ROUND((ROUND(((AE1001-(EU1001))*AV1001*1),2)*BS1001),2))</f>
        <v>151.86000000000001</v>
      </c>
      <c r="CS1001">
        <f t="shared" ref="CS1001:CS1010" si="734">ROUND((ROUND((AE1001*AV1001*1),2)*BS1001),2)</f>
        <v>29.68</v>
      </c>
      <c r="CT1001">
        <f t="shared" ref="CT1001:CT1010" si="735">ROUND((ROUND((AF1001*AV1001*1),2)*BA1001),2)</f>
        <v>860.76</v>
      </c>
      <c r="CU1001">
        <f t="shared" ref="CU1001:CU1010" si="736">AG1001</f>
        <v>0</v>
      </c>
      <c r="CV1001">
        <f t="shared" ref="CV1001:CV1010" si="737">(AH1001*AV1001)</f>
        <v>2.66</v>
      </c>
      <c r="CW1001">
        <f t="shared" ref="CW1001:CW1010" si="738">AI1001</f>
        <v>0</v>
      </c>
      <c r="CX1001">
        <f t="shared" ref="CX1001:CX1010" si="739">AJ1001</f>
        <v>0</v>
      </c>
      <c r="CY1001">
        <f t="shared" ref="CY1001:CY1010" si="740">S1001*(BZ1001/100)</f>
        <v>27346.338</v>
      </c>
      <c r="CZ1001">
        <f t="shared" ref="CZ1001:CZ1010" si="741">S1001*(CA1001/100)</f>
        <v>12457.776199999998</v>
      </c>
      <c r="DC1001" t="s">
        <v>3</v>
      </c>
      <c r="DD1001" t="s">
        <v>3</v>
      </c>
      <c r="DE1001" t="s">
        <v>3</v>
      </c>
      <c r="DF1001" t="s">
        <v>3</v>
      </c>
      <c r="DG1001" t="s">
        <v>3</v>
      </c>
      <c r="DH1001" t="s">
        <v>3</v>
      </c>
      <c r="DI1001" t="s">
        <v>3</v>
      </c>
      <c r="DJ1001" t="s">
        <v>3</v>
      </c>
      <c r="DK1001" t="s">
        <v>3</v>
      </c>
      <c r="DL1001" t="s">
        <v>3</v>
      </c>
      <c r="DM1001" t="s">
        <v>3</v>
      </c>
      <c r="DN1001">
        <v>156</v>
      </c>
      <c r="DO1001">
        <v>84</v>
      </c>
      <c r="DP1001">
        <v>1</v>
      </c>
      <c r="DQ1001">
        <v>1</v>
      </c>
      <c r="DU1001">
        <v>1010</v>
      </c>
      <c r="DV1001" t="s">
        <v>508</v>
      </c>
      <c r="DW1001" t="s">
        <v>508</v>
      </c>
      <c r="DX1001">
        <v>10</v>
      </c>
      <c r="EE1001">
        <v>33798945</v>
      </c>
      <c r="EF1001">
        <v>60</v>
      </c>
      <c r="EG1001" t="s">
        <v>20</v>
      </c>
      <c r="EH1001">
        <v>0</v>
      </c>
      <c r="EI1001" t="s">
        <v>3</v>
      </c>
      <c r="EJ1001">
        <v>1</v>
      </c>
      <c r="EK1001">
        <v>1306</v>
      </c>
      <c r="EL1001" t="s">
        <v>510</v>
      </c>
      <c r="EM1001" t="s">
        <v>511</v>
      </c>
      <c r="EO1001" t="s">
        <v>3</v>
      </c>
      <c r="EQ1001">
        <v>131072</v>
      </c>
      <c r="ER1001">
        <v>54.77</v>
      </c>
      <c r="ES1001">
        <v>0.06</v>
      </c>
      <c r="ET1001">
        <v>19.62</v>
      </c>
      <c r="EU1001">
        <v>1.21</v>
      </c>
      <c r="EV1001">
        <v>35.090000000000003</v>
      </c>
      <c r="EW1001">
        <v>2.66</v>
      </c>
      <c r="EX1001">
        <v>0</v>
      </c>
      <c r="EY1001">
        <v>0</v>
      </c>
      <c r="FQ1001">
        <v>0</v>
      </c>
      <c r="FR1001">
        <f t="shared" ref="FR1001:FR1010" si="742">ROUND(IF(AND(BH1001=3,BI1001=3),P1001,0),2)</f>
        <v>0</v>
      </c>
      <c r="FS1001">
        <v>0</v>
      </c>
      <c r="FX1001">
        <v>156</v>
      </c>
      <c r="FY1001">
        <v>84</v>
      </c>
      <c r="GA1001" t="s">
        <v>3</v>
      </c>
      <c r="GD1001">
        <v>0</v>
      </c>
      <c r="GF1001">
        <v>1620665506</v>
      </c>
      <c r="GG1001">
        <v>2</v>
      </c>
      <c r="GH1001">
        <v>1</v>
      </c>
      <c r="GI1001">
        <v>2</v>
      </c>
      <c r="GJ1001">
        <v>0</v>
      </c>
      <c r="GK1001">
        <f>ROUND(R1001*(R12)/100,2)</f>
        <v>1644.86</v>
      </c>
      <c r="GL1001">
        <f t="shared" ref="GL1001:GL1010" si="743">ROUND(IF(AND(BH1001=3,BI1001=3,FS1001&lt;&gt;0),P1001,0),2)</f>
        <v>0</v>
      </c>
      <c r="GM1001">
        <f t="shared" ref="GM1001:GM1010" si="744">ROUND(O1001+X1001+Y1001+GK1001,2)+GX1001</f>
        <v>77216.710000000006</v>
      </c>
      <c r="GN1001">
        <f t="shared" ref="GN1001:GN1010" si="745">IF(OR(BI1001=0,BI1001=1),ROUND(O1001+X1001+Y1001+GK1001,2),0)</f>
        <v>77216.710000000006</v>
      </c>
      <c r="GO1001">
        <f t="shared" ref="GO1001:GO1010" si="746">IF(BI1001=2,ROUND(O1001+X1001+Y1001+GK1001,2),0)</f>
        <v>0</v>
      </c>
      <c r="GP1001">
        <f t="shared" ref="GP1001:GP1010" si="747">IF(BI1001=4,ROUND(O1001+X1001+Y1001+GK1001,2)+GX1001,0)</f>
        <v>0</v>
      </c>
      <c r="GR1001">
        <v>0</v>
      </c>
      <c r="GS1001">
        <v>3</v>
      </c>
      <c r="GT1001">
        <v>0</v>
      </c>
      <c r="GU1001" t="s">
        <v>3</v>
      </c>
      <c r="GV1001">
        <f t="shared" ref="GV1001:GV1010" si="748">ROUND((GT1001),6)</f>
        <v>0</v>
      </c>
      <c r="GW1001">
        <v>1</v>
      </c>
      <c r="GX1001">
        <f t="shared" ref="GX1001:GX1010" si="749">ROUND(HC1001*I1001,2)</f>
        <v>0</v>
      </c>
      <c r="HA1001">
        <v>0</v>
      </c>
      <c r="HB1001">
        <v>0</v>
      </c>
      <c r="HC1001">
        <f t="shared" ref="HC1001:HC1010" si="750">GV1001*GW1001</f>
        <v>0</v>
      </c>
      <c r="IK1001">
        <v>0</v>
      </c>
    </row>
    <row r="1002" spans="1:245" x14ac:dyDescent="0.2">
      <c r="A1002">
        <v>18</v>
      </c>
      <c r="B1002">
        <v>1</v>
      </c>
      <c r="C1002">
        <v>309</v>
      </c>
      <c r="E1002" t="s">
        <v>512</v>
      </c>
      <c r="F1002" t="s">
        <v>513</v>
      </c>
      <c r="G1002" t="s">
        <v>514</v>
      </c>
      <c r="H1002" t="s">
        <v>51</v>
      </c>
      <c r="I1002">
        <f>I1001*J1002</f>
        <v>3.83711</v>
      </c>
      <c r="J1002">
        <v>0.1087</v>
      </c>
      <c r="O1002">
        <f t="shared" si="711"/>
        <v>137687.94</v>
      </c>
      <c r="P1002">
        <f t="shared" si="712"/>
        <v>137687.94</v>
      </c>
      <c r="Q1002">
        <f t="shared" si="713"/>
        <v>0</v>
      </c>
      <c r="R1002">
        <f t="shared" si="714"/>
        <v>0</v>
      </c>
      <c r="S1002">
        <f t="shared" si="715"/>
        <v>0</v>
      </c>
      <c r="T1002">
        <f t="shared" si="716"/>
        <v>0</v>
      </c>
      <c r="U1002">
        <f t="shared" si="717"/>
        <v>0</v>
      </c>
      <c r="V1002">
        <f t="shared" si="718"/>
        <v>0</v>
      </c>
      <c r="W1002">
        <f t="shared" si="719"/>
        <v>0</v>
      </c>
      <c r="X1002">
        <f t="shared" si="720"/>
        <v>0</v>
      </c>
      <c r="Y1002">
        <f t="shared" si="721"/>
        <v>0</v>
      </c>
      <c r="AA1002">
        <v>33989672</v>
      </c>
      <c r="AB1002">
        <f t="shared" si="722"/>
        <v>11726.55</v>
      </c>
      <c r="AC1002">
        <f t="shared" si="723"/>
        <v>11726.55</v>
      </c>
      <c r="AD1002">
        <f t="shared" si="724"/>
        <v>0</v>
      </c>
      <c r="AE1002">
        <f t="shared" si="725"/>
        <v>0</v>
      </c>
      <c r="AF1002">
        <f t="shared" si="726"/>
        <v>0</v>
      </c>
      <c r="AG1002">
        <f t="shared" si="727"/>
        <v>0</v>
      </c>
      <c r="AH1002">
        <f t="shared" si="728"/>
        <v>0</v>
      </c>
      <c r="AI1002">
        <f t="shared" si="729"/>
        <v>0</v>
      </c>
      <c r="AJ1002">
        <f t="shared" si="730"/>
        <v>0</v>
      </c>
      <c r="AK1002">
        <v>11726.55</v>
      </c>
      <c r="AL1002">
        <v>11726.55</v>
      </c>
      <c r="AM1002">
        <v>0</v>
      </c>
      <c r="AN1002">
        <v>0</v>
      </c>
      <c r="AO1002">
        <v>0</v>
      </c>
      <c r="AP1002">
        <v>0</v>
      </c>
      <c r="AQ1002">
        <v>0</v>
      </c>
      <c r="AR1002">
        <v>0</v>
      </c>
      <c r="AS1002">
        <v>0</v>
      </c>
      <c r="AT1002">
        <v>0</v>
      </c>
      <c r="AU1002">
        <v>0</v>
      </c>
      <c r="AV1002">
        <v>1</v>
      </c>
      <c r="AW1002">
        <v>1</v>
      </c>
      <c r="AZ1002">
        <v>1</v>
      </c>
      <c r="BA1002">
        <v>1</v>
      </c>
      <c r="BB1002">
        <v>1</v>
      </c>
      <c r="BC1002">
        <v>3.06</v>
      </c>
      <c r="BD1002" t="s">
        <v>3</v>
      </c>
      <c r="BE1002" t="s">
        <v>3</v>
      </c>
      <c r="BF1002" t="s">
        <v>3</v>
      </c>
      <c r="BG1002" t="s">
        <v>3</v>
      </c>
      <c r="BH1002">
        <v>3</v>
      </c>
      <c r="BI1002">
        <v>1</v>
      </c>
      <c r="BJ1002" t="s">
        <v>515</v>
      </c>
      <c r="BM1002">
        <v>1306</v>
      </c>
      <c r="BN1002">
        <v>0</v>
      </c>
      <c r="BO1002" t="s">
        <v>513</v>
      </c>
      <c r="BP1002">
        <v>1</v>
      </c>
      <c r="BQ1002">
        <v>60</v>
      </c>
      <c r="BR1002">
        <v>0</v>
      </c>
      <c r="BS1002">
        <v>1</v>
      </c>
      <c r="BT1002">
        <v>1</v>
      </c>
      <c r="BU1002">
        <v>1</v>
      </c>
      <c r="BV1002">
        <v>1</v>
      </c>
      <c r="BW1002">
        <v>1</v>
      </c>
      <c r="BX1002">
        <v>1</v>
      </c>
      <c r="BY1002" t="s">
        <v>3</v>
      </c>
      <c r="BZ1002">
        <v>0</v>
      </c>
      <c r="CA1002">
        <v>0</v>
      </c>
      <c r="CE1002">
        <v>30</v>
      </c>
      <c r="CF1002">
        <v>0</v>
      </c>
      <c r="CG1002">
        <v>0</v>
      </c>
      <c r="CM1002">
        <v>0</v>
      </c>
      <c r="CN1002" t="s">
        <v>3</v>
      </c>
      <c r="CO1002">
        <v>0</v>
      </c>
      <c r="CP1002">
        <f t="shared" si="731"/>
        <v>137687.94</v>
      </c>
      <c r="CQ1002">
        <f t="shared" si="732"/>
        <v>35883.24</v>
      </c>
      <c r="CR1002">
        <f t="shared" si="733"/>
        <v>0</v>
      </c>
      <c r="CS1002">
        <f t="shared" si="734"/>
        <v>0</v>
      </c>
      <c r="CT1002">
        <f t="shared" si="735"/>
        <v>0</v>
      </c>
      <c r="CU1002">
        <f t="shared" si="736"/>
        <v>0</v>
      </c>
      <c r="CV1002">
        <f t="shared" si="737"/>
        <v>0</v>
      </c>
      <c r="CW1002">
        <f t="shared" si="738"/>
        <v>0</v>
      </c>
      <c r="CX1002">
        <f t="shared" si="739"/>
        <v>0</v>
      </c>
      <c r="CY1002">
        <f t="shared" si="740"/>
        <v>0</v>
      </c>
      <c r="CZ1002">
        <f t="shared" si="741"/>
        <v>0</v>
      </c>
      <c r="DC1002" t="s">
        <v>3</v>
      </c>
      <c r="DD1002" t="s">
        <v>3</v>
      </c>
      <c r="DE1002" t="s">
        <v>3</v>
      </c>
      <c r="DF1002" t="s">
        <v>3</v>
      </c>
      <c r="DG1002" t="s">
        <v>3</v>
      </c>
      <c r="DH1002" t="s">
        <v>3</v>
      </c>
      <c r="DI1002" t="s">
        <v>3</v>
      </c>
      <c r="DJ1002" t="s">
        <v>3</v>
      </c>
      <c r="DK1002" t="s">
        <v>3</v>
      </c>
      <c r="DL1002" t="s">
        <v>3</v>
      </c>
      <c r="DM1002" t="s">
        <v>3</v>
      </c>
      <c r="DN1002">
        <v>156</v>
      </c>
      <c r="DO1002">
        <v>84</v>
      </c>
      <c r="DP1002">
        <v>1</v>
      </c>
      <c r="DQ1002">
        <v>1</v>
      </c>
      <c r="DU1002">
        <v>1009</v>
      </c>
      <c r="DV1002" t="s">
        <v>51</v>
      </c>
      <c r="DW1002" t="s">
        <v>51</v>
      </c>
      <c r="DX1002">
        <v>1000</v>
      </c>
      <c r="EE1002">
        <v>33798945</v>
      </c>
      <c r="EF1002">
        <v>60</v>
      </c>
      <c r="EG1002" t="s">
        <v>20</v>
      </c>
      <c r="EH1002">
        <v>0</v>
      </c>
      <c r="EI1002" t="s">
        <v>3</v>
      </c>
      <c r="EJ1002">
        <v>1</v>
      </c>
      <c r="EK1002">
        <v>1306</v>
      </c>
      <c r="EL1002" t="s">
        <v>510</v>
      </c>
      <c r="EM1002" t="s">
        <v>511</v>
      </c>
      <c r="EO1002" t="s">
        <v>3</v>
      </c>
      <c r="EQ1002">
        <v>0</v>
      </c>
      <c r="ER1002">
        <v>11726.55</v>
      </c>
      <c r="ES1002">
        <v>11726.55</v>
      </c>
      <c r="ET1002">
        <v>0</v>
      </c>
      <c r="EU1002">
        <v>0</v>
      </c>
      <c r="EV1002">
        <v>0</v>
      </c>
      <c r="EW1002">
        <v>0</v>
      </c>
      <c r="EX1002">
        <v>0</v>
      </c>
      <c r="FQ1002">
        <v>0</v>
      </c>
      <c r="FR1002">
        <f t="shared" si="742"/>
        <v>0</v>
      </c>
      <c r="FS1002">
        <v>0</v>
      </c>
      <c r="FX1002">
        <v>156</v>
      </c>
      <c r="FY1002">
        <v>84</v>
      </c>
      <c r="GA1002" t="s">
        <v>3</v>
      </c>
      <c r="GD1002">
        <v>0</v>
      </c>
      <c r="GF1002">
        <v>-1570911069</v>
      </c>
      <c r="GG1002">
        <v>2</v>
      </c>
      <c r="GH1002">
        <v>1</v>
      </c>
      <c r="GI1002">
        <v>2</v>
      </c>
      <c r="GJ1002">
        <v>0</v>
      </c>
      <c r="GK1002">
        <f>ROUND(R1002*(R12)/100,2)</f>
        <v>0</v>
      </c>
      <c r="GL1002">
        <f t="shared" si="743"/>
        <v>0</v>
      </c>
      <c r="GM1002">
        <f t="shared" si="744"/>
        <v>137687.94</v>
      </c>
      <c r="GN1002">
        <f t="shared" si="745"/>
        <v>137687.94</v>
      </c>
      <c r="GO1002">
        <f t="shared" si="746"/>
        <v>0</v>
      </c>
      <c r="GP1002">
        <f t="shared" si="747"/>
        <v>0</v>
      </c>
      <c r="GR1002">
        <v>0</v>
      </c>
      <c r="GS1002">
        <v>3</v>
      </c>
      <c r="GT1002">
        <v>0</v>
      </c>
      <c r="GU1002" t="s">
        <v>3</v>
      </c>
      <c r="GV1002">
        <f t="shared" si="748"/>
        <v>0</v>
      </c>
      <c r="GW1002">
        <v>1</v>
      </c>
      <c r="GX1002">
        <f t="shared" si="749"/>
        <v>0</v>
      </c>
      <c r="HA1002">
        <v>0</v>
      </c>
      <c r="HB1002">
        <v>0</v>
      </c>
      <c r="HC1002">
        <f t="shared" si="750"/>
        <v>0</v>
      </c>
      <c r="IK1002">
        <v>0</v>
      </c>
    </row>
    <row r="1003" spans="1:245" x14ac:dyDescent="0.2">
      <c r="A1003">
        <v>17</v>
      </c>
      <c r="B1003">
        <v>1</v>
      </c>
      <c r="C1003">
        <f>ROW(SmtRes!A316)</f>
        <v>316</v>
      </c>
      <c r="D1003">
        <f>ROW(EtalonRes!A318)</f>
        <v>318</v>
      </c>
      <c r="E1003" t="s">
        <v>516</v>
      </c>
      <c r="F1003" t="s">
        <v>517</v>
      </c>
      <c r="G1003" t="s">
        <v>518</v>
      </c>
      <c r="H1003" t="s">
        <v>508</v>
      </c>
      <c r="I1003">
        <f>ROUND(706/10/2,5)</f>
        <v>35.299999999999997</v>
      </c>
      <c r="J1003">
        <v>0</v>
      </c>
      <c r="O1003">
        <f t="shared" si="711"/>
        <v>79683.94</v>
      </c>
      <c r="P1003">
        <f t="shared" si="712"/>
        <v>22240.95</v>
      </c>
      <c r="Q1003">
        <f t="shared" si="713"/>
        <v>509.35</v>
      </c>
      <c r="R1003">
        <f t="shared" si="714"/>
        <v>251.19</v>
      </c>
      <c r="S1003">
        <f t="shared" si="715"/>
        <v>56933.64</v>
      </c>
      <c r="T1003">
        <f t="shared" si="716"/>
        <v>0</v>
      </c>
      <c r="U1003">
        <f t="shared" si="717"/>
        <v>219.56599999999997</v>
      </c>
      <c r="V1003">
        <f t="shared" si="718"/>
        <v>0</v>
      </c>
      <c r="W1003">
        <f t="shared" si="719"/>
        <v>0</v>
      </c>
      <c r="X1003">
        <f t="shared" si="720"/>
        <v>51240.28</v>
      </c>
      <c r="Y1003">
        <f t="shared" si="721"/>
        <v>23342.79</v>
      </c>
      <c r="AA1003">
        <v>33989672</v>
      </c>
      <c r="AB1003">
        <f t="shared" si="722"/>
        <v>134.82</v>
      </c>
      <c r="AC1003">
        <f t="shared" si="723"/>
        <v>67.53</v>
      </c>
      <c r="AD1003">
        <f t="shared" si="724"/>
        <v>1.54</v>
      </c>
      <c r="AE1003">
        <f t="shared" si="725"/>
        <v>0.28999999999999998</v>
      </c>
      <c r="AF1003">
        <f t="shared" si="726"/>
        <v>65.75</v>
      </c>
      <c r="AG1003">
        <f t="shared" si="727"/>
        <v>0</v>
      </c>
      <c r="AH1003">
        <f t="shared" si="728"/>
        <v>6.22</v>
      </c>
      <c r="AI1003">
        <f t="shared" si="729"/>
        <v>0</v>
      </c>
      <c r="AJ1003">
        <f t="shared" si="730"/>
        <v>0</v>
      </c>
      <c r="AK1003">
        <v>134.82</v>
      </c>
      <c r="AL1003">
        <v>67.53</v>
      </c>
      <c r="AM1003">
        <v>1.54</v>
      </c>
      <c r="AN1003">
        <v>0.28999999999999998</v>
      </c>
      <c r="AO1003">
        <v>65.75</v>
      </c>
      <c r="AP1003">
        <v>0</v>
      </c>
      <c r="AQ1003">
        <v>6.22</v>
      </c>
      <c r="AR1003">
        <v>0</v>
      </c>
      <c r="AS1003">
        <v>0</v>
      </c>
      <c r="AT1003">
        <v>90</v>
      </c>
      <c r="AU1003">
        <v>41</v>
      </c>
      <c r="AV1003">
        <v>1</v>
      </c>
      <c r="AW1003">
        <v>1</v>
      </c>
      <c r="AZ1003">
        <v>1</v>
      </c>
      <c r="BA1003">
        <v>24.53</v>
      </c>
      <c r="BB1003">
        <v>9.3699999999999992</v>
      </c>
      <c r="BC1003">
        <v>9.33</v>
      </c>
      <c r="BD1003" t="s">
        <v>3</v>
      </c>
      <c r="BE1003" t="s">
        <v>3</v>
      </c>
      <c r="BF1003" t="s">
        <v>3</v>
      </c>
      <c r="BG1003" t="s">
        <v>3</v>
      </c>
      <c r="BH1003">
        <v>0</v>
      </c>
      <c r="BI1003">
        <v>1</v>
      </c>
      <c r="BJ1003" t="s">
        <v>519</v>
      </c>
      <c r="BM1003">
        <v>1306</v>
      </c>
      <c r="BN1003">
        <v>0</v>
      </c>
      <c r="BO1003" t="s">
        <v>517</v>
      </c>
      <c r="BP1003">
        <v>1</v>
      </c>
      <c r="BQ1003">
        <v>60</v>
      </c>
      <c r="BR1003">
        <v>0</v>
      </c>
      <c r="BS1003">
        <v>24.53</v>
      </c>
      <c r="BT1003">
        <v>1</v>
      </c>
      <c r="BU1003">
        <v>1</v>
      </c>
      <c r="BV1003">
        <v>1</v>
      </c>
      <c r="BW1003">
        <v>1</v>
      </c>
      <c r="BX1003">
        <v>1</v>
      </c>
      <c r="BY1003" t="s">
        <v>3</v>
      </c>
      <c r="BZ1003">
        <v>90</v>
      </c>
      <c r="CA1003">
        <v>41</v>
      </c>
      <c r="CE1003">
        <v>30</v>
      </c>
      <c r="CF1003">
        <v>0</v>
      </c>
      <c r="CG1003">
        <v>0</v>
      </c>
      <c r="CM1003">
        <v>0</v>
      </c>
      <c r="CN1003" t="s">
        <v>3</v>
      </c>
      <c r="CO1003">
        <v>0</v>
      </c>
      <c r="CP1003">
        <f t="shared" si="731"/>
        <v>79683.94</v>
      </c>
      <c r="CQ1003">
        <f t="shared" si="732"/>
        <v>630.04999999999995</v>
      </c>
      <c r="CR1003">
        <f t="shared" si="733"/>
        <v>14.43</v>
      </c>
      <c r="CS1003">
        <f t="shared" si="734"/>
        <v>7.11</v>
      </c>
      <c r="CT1003">
        <f t="shared" si="735"/>
        <v>1612.85</v>
      </c>
      <c r="CU1003">
        <f t="shared" si="736"/>
        <v>0</v>
      </c>
      <c r="CV1003">
        <f t="shared" si="737"/>
        <v>6.22</v>
      </c>
      <c r="CW1003">
        <f t="shared" si="738"/>
        <v>0</v>
      </c>
      <c r="CX1003">
        <f t="shared" si="739"/>
        <v>0</v>
      </c>
      <c r="CY1003">
        <f t="shared" si="740"/>
        <v>51240.275999999998</v>
      </c>
      <c r="CZ1003">
        <f t="shared" si="741"/>
        <v>23342.792399999998</v>
      </c>
      <c r="DC1003" t="s">
        <v>3</v>
      </c>
      <c r="DD1003" t="s">
        <v>3</v>
      </c>
      <c r="DE1003" t="s">
        <v>3</v>
      </c>
      <c r="DF1003" t="s">
        <v>3</v>
      </c>
      <c r="DG1003" t="s">
        <v>3</v>
      </c>
      <c r="DH1003" t="s">
        <v>3</v>
      </c>
      <c r="DI1003" t="s">
        <v>3</v>
      </c>
      <c r="DJ1003" t="s">
        <v>3</v>
      </c>
      <c r="DK1003" t="s">
        <v>3</v>
      </c>
      <c r="DL1003" t="s">
        <v>3</v>
      </c>
      <c r="DM1003" t="s">
        <v>3</v>
      </c>
      <c r="DN1003">
        <v>156</v>
      </c>
      <c r="DO1003">
        <v>84</v>
      </c>
      <c r="DP1003">
        <v>1</v>
      </c>
      <c r="DQ1003">
        <v>1</v>
      </c>
      <c r="DU1003">
        <v>1010</v>
      </c>
      <c r="DV1003" t="s">
        <v>508</v>
      </c>
      <c r="DW1003" t="s">
        <v>508</v>
      </c>
      <c r="DX1003">
        <v>10</v>
      </c>
      <c r="EE1003">
        <v>33798945</v>
      </c>
      <c r="EF1003">
        <v>60</v>
      </c>
      <c r="EG1003" t="s">
        <v>20</v>
      </c>
      <c r="EH1003">
        <v>0</v>
      </c>
      <c r="EI1003" t="s">
        <v>3</v>
      </c>
      <c r="EJ1003">
        <v>1</v>
      </c>
      <c r="EK1003">
        <v>1306</v>
      </c>
      <c r="EL1003" t="s">
        <v>510</v>
      </c>
      <c r="EM1003" t="s">
        <v>511</v>
      </c>
      <c r="EO1003" t="s">
        <v>3</v>
      </c>
      <c r="EQ1003">
        <v>131072</v>
      </c>
      <c r="ER1003">
        <v>134.82</v>
      </c>
      <c r="ES1003">
        <v>67.53</v>
      </c>
      <c r="ET1003">
        <v>1.54</v>
      </c>
      <c r="EU1003">
        <v>0.28999999999999998</v>
      </c>
      <c r="EV1003">
        <v>65.75</v>
      </c>
      <c r="EW1003">
        <v>6.22</v>
      </c>
      <c r="EX1003">
        <v>0</v>
      </c>
      <c r="EY1003">
        <v>0</v>
      </c>
      <c r="FQ1003">
        <v>0</v>
      </c>
      <c r="FR1003">
        <f t="shared" si="742"/>
        <v>0</v>
      </c>
      <c r="FS1003">
        <v>0</v>
      </c>
      <c r="FX1003">
        <v>156</v>
      </c>
      <c r="FY1003">
        <v>84</v>
      </c>
      <c r="GA1003" t="s">
        <v>3</v>
      </c>
      <c r="GD1003">
        <v>0</v>
      </c>
      <c r="GF1003">
        <v>354452369</v>
      </c>
      <c r="GG1003">
        <v>2</v>
      </c>
      <c r="GH1003">
        <v>1</v>
      </c>
      <c r="GI1003">
        <v>2</v>
      </c>
      <c r="GJ1003">
        <v>0</v>
      </c>
      <c r="GK1003">
        <f>ROUND(R1003*(R12)/100,2)</f>
        <v>394.37</v>
      </c>
      <c r="GL1003">
        <f t="shared" si="743"/>
        <v>0</v>
      </c>
      <c r="GM1003">
        <f t="shared" si="744"/>
        <v>154661.38</v>
      </c>
      <c r="GN1003">
        <f t="shared" si="745"/>
        <v>154661.38</v>
      </c>
      <c r="GO1003">
        <f t="shared" si="746"/>
        <v>0</v>
      </c>
      <c r="GP1003">
        <f t="shared" si="747"/>
        <v>0</v>
      </c>
      <c r="GR1003">
        <v>0</v>
      </c>
      <c r="GS1003">
        <v>3</v>
      </c>
      <c r="GT1003">
        <v>0</v>
      </c>
      <c r="GU1003" t="s">
        <v>3</v>
      </c>
      <c r="GV1003">
        <f t="shared" si="748"/>
        <v>0</v>
      </c>
      <c r="GW1003">
        <v>1</v>
      </c>
      <c r="GX1003">
        <f t="shared" si="749"/>
        <v>0</v>
      </c>
      <c r="HA1003">
        <v>0</v>
      </c>
      <c r="HB1003">
        <v>0</v>
      </c>
      <c r="HC1003">
        <f t="shared" si="750"/>
        <v>0</v>
      </c>
      <c r="IK1003">
        <v>0</v>
      </c>
    </row>
    <row r="1004" spans="1:245" x14ac:dyDescent="0.2">
      <c r="A1004">
        <v>17</v>
      </c>
      <c r="B1004">
        <v>1</v>
      </c>
      <c r="C1004">
        <f>ROW(SmtRes!A324)</f>
        <v>324</v>
      </c>
      <c r="D1004">
        <f>ROW(EtalonRes!A325)</f>
        <v>325</v>
      </c>
      <c r="E1004" t="s">
        <v>520</v>
      </c>
      <c r="F1004" t="s">
        <v>521</v>
      </c>
      <c r="G1004" t="s">
        <v>522</v>
      </c>
      <c r="H1004" t="s">
        <v>523</v>
      </c>
      <c r="I1004">
        <f>ROUND(1.2*706*2/2,5)</f>
        <v>847.2</v>
      </c>
      <c r="J1004">
        <v>0</v>
      </c>
      <c r="O1004">
        <f t="shared" si="711"/>
        <v>512786.55</v>
      </c>
      <c r="P1004">
        <f t="shared" si="712"/>
        <v>20382.060000000001</v>
      </c>
      <c r="Q1004">
        <f t="shared" si="713"/>
        <v>51414.45</v>
      </c>
      <c r="R1004">
        <f t="shared" si="714"/>
        <v>31796.28</v>
      </c>
      <c r="S1004">
        <f t="shared" si="715"/>
        <v>440990.04</v>
      </c>
      <c r="T1004">
        <f t="shared" si="716"/>
        <v>0</v>
      </c>
      <c r="U1004">
        <f t="shared" si="717"/>
        <v>1550.3760000000002</v>
      </c>
      <c r="V1004">
        <f t="shared" si="718"/>
        <v>0</v>
      </c>
      <c r="W1004">
        <f t="shared" si="719"/>
        <v>0</v>
      </c>
      <c r="X1004">
        <f t="shared" si="720"/>
        <v>396891.04</v>
      </c>
      <c r="Y1004">
        <f t="shared" si="721"/>
        <v>180805.92</v>
      </c>
      <c r="AA1004">
        <v>33989672</v>
      </c>
      <c r="AB1004">
        <f t="shared" si="722"/>
        <v>29.49</v>
      </c>
      <c r="AC1004">
        <f t="shared" si="723"/>
        <v>2.02</v>
      </c>
      <c r="AD1004">
        <f t="shared" si="724"/>
        <v>6.25</v>
      </c>
      <c r="AE1004">
        <f t="shared" si="725"/>
        <v>1.53</v>
      </c>
      <c r="AF1004">
        <f t="shared" si="726"/>
        <v>21.22</v>
      </c>
      <c r="AG1004">
        <f t="shared" si="727"/>
        <v>0</v>
      </c>
      <c r="AH1004">
        <f t="shared" si="728"/>
        <v>1.83</v>
      </c>
      <c r="AI1004">
        <f t="shared" si="729"/>
        <v>0</v>
      </c>
      <c r="AJ1004">
        <f t="shared" si="730"/>
        <v>0</v>
      </c>
      <c r="AK1004">
        <v>29.49</v>
      </c>
      <c r="AL1004">
        <v>2.02</v>
      </c>
      <c r="AM1004">
        <v>6.25</v>
      </c>
      <c r="AN1004">
        <v>1.53</v>
      </c>
      <c r="AO1004">
        <v>21.22</v>
      </c>
      <c r="AP1004">
        <v>0</v>
      </c>
      <c r="AQ1004">
        <v>1.83</v>
      </c>
      <c r="AR1004">
        <v>0</v>
      </c>
      <c r="AS1004">
        <v>0</v>
      </c>
      <c r="AT1004">
        <v>90</v>
      </c>
      <c r="AU1004">
        <v>41</v>
      </c>
      <c r="AV1004">
        <v>1</v>
      </c>
      <c r="AW1004">
        <v>1</v>
      </c>
      <c r="AZ1004">
        <v>1</v>
      </c>
      <c r="BA1004">
        <v>24.53</v>
      </c>
      <c r="BB1004">
        <v>9.7100000000000009</v>
      </c>
      <c r="BC1004">
        <v>11.91</v>
      </c>
      <c r="BD1004" t="s">
        <v>3</v>
      </c>
      <c r="BE1004" t="s">
        <v>3</v>
      </c>
      <c r="BF1004" t="s">
        <v>3</v>
      </c>
      <c r="BG1004" t="s">
        <v>3</v>
      </c>
      <c r="BH1004">
        <v>0</v>
      </c>
      <c r="BI1004">
        <v>1</v>
      </c>
      <c r="BJ1004" t="s">
        <v>524</v>
      </c>
      <c r="BM1004">
        <v>1306</v>
      </c>
      <c r="BN1004">
        <v>0</v>
      </c>
      <c r="BO1004" t="s">
        <v>521</v>
      </c>
      <c r="BP1004">
        <v>1</v>
      </c>
      <c r="BQ1004">
        <v>60</v>
      </c>
      <c r="BR1004">
        <v>0</v>
      </c>
      <c r="BS1004">
        <v>24.53</v>
      </c>
      <c r="BT1004">
        <v>1</v>
      </c>
      <c r="BU1004">
        <v>1</v>
      </c>
      <c r="BV1004">
        <v>1</v>
      </c>
      <c r="BW1004">
        <v>1</v>
      </c>
      <c r="BX1004">
        <v>1</v>
      </c>
      <c r="BY1004" t="s">
        <v>3</v>
      </c>
      <c r="BZ1004">
        <v>90</v>
      </c>
      <c r="CA1004">
        <v>41</v>
      </c>
      <c r="CE1004">
        <v>30</v>
      </c>
      <c r="CF1004">
        <v>0</v>
      </c>
      <c r="CG1004">
        <v>0</v>
      </c>
      <c r="CM1004">
        <v>0</v>
      </c>
      <c r="CN1004" t="s">
        <v>3</v>
      </c>
      <c r="CO1004">
        <v>0</v>
      </c>
      <c r="CP1004">
        <f t="shared" si="731"/>
        <v>512786.55</v>
      </c>
      <c r="CQ1004">
        <f t="shared" si="732"/>
        <v>24.06</v>
      </c>
      <c r="CR1004">
        <f t="shared" si="733"/>
        <v>60.69</v>
      </c>
      <c r="CS1004">
        <f t="shared" si="734"/>
        <v>37.53</v>
      </c>
      <c r="CT1004">
        <f t="shared" si="735"/>
        <v>520.53</v>
      </c>
      <c r="CU1004">
        <f t="shared" si="736"/>
        <v>0</v>
      </c>
      <c r="CV1004">
        <f t="shared" si="737"/>
        <v>1.83</v>
      </c>
      <c r="CW1004">
        <f t="shared" si="738"/>
        <v>0</v>
      </c>
      <c r="CX1004">
        <f t="shared" si="739"/>
        <v>0</v>
      </c>
      <c r="CY1004">
        <f t="shared" si="740"/>
        <v>396891.03599999996</v>
      </c>
      <c r="CZ1004">
        <f t="shared" si="741"/>
        <v>180805.91639999999</v>
      </c>
      <c r="DC1004" t="s">
        <v>3</v>
      </c>
      <c r="DD1004" t="s">
        <v>3</v>
      </c>
      <c r="DE1004" t="s">
        <v>3</v>
      </c>
      <c r="DF1004" t="s">
        <v>3</v>
      </c>
      <c r="DG1004" t="s">
        <v>3</v>
      </c>
      <c r="DH1004" t="s">
        <v>3</v>
      </c>
      <c r="DI1004" t="s">
        <v>3</v>
      </c>
      <c r="DJ1004" t="s">
        <v>3</v>
      </c>
      <c r="DK1004" t="s">
        <v>3</v>
      </c>
      <c r="DL1004" t="s">
        <v>3</v>
      </c>
      <c r="DM1004" t="s">
        <v>3</v>
      </c>
      <c r="DN1004">
        <v>156</v>
      </c>
      <c r="DO1004">
        <v>84</v>
      </c>
      <c r="DP1004">
        <v>1</v>
      </c>
      <c r="DQ1004">
        <v>1</v>
      </c>
      <c r="DU1004">
        <v>1013</v>
      </c>
      <c r="DV1004" t="s">
        <v>523</v>
      </c>
      <c r="DW1004" t="s">
        <v>523</v>
      </c>
      <c r="DX1004">
        <v>1</v>
      </c>
      <c r="EE1004">
        <v>33798945</v>
      </c>
      <c r="EF1004">
        <v>60</v>
      </c>
      <c r="EG1004" t="s">
        <v>20</v>
      </c>
      <c r="EH1004">
        <v>0</v>
      </c>
      <c r="EI1004" t="s">
        <v>3</v>
      </c>
      <c r="EJ1004">
        <v>1</v>
      </c>
      <c r="EK1004">
        <v>1306</v>
      </c>
      <c r="EL1004" t="s">
        <v>510</v>
      </c>
      <c r="EM1004" t="s">
        <v>511</v>
      </c>
      <c r="EO1004" t="s">
        <v>3</v>
      </c>
      <c r="EQ1004">
        <v>131072</v>
      </c>
      <c r="ER1004">
        <v>29.49</v>
      </c>
      <c r="ES1004">
        <v>2.02</v>
      </c>
      <c r="ET1004">
        <v>6.25</v>
      </c>
      <c r="EU1004">
        <v>1.53</v>
      </c>
      <c r="EV1004">
        <v>21.22</v>
      </c>
      <c r="EW1004">
        <v>1.83</v>
      </c>
      <c r="EX1004">
        <v>0</v>
      </c>
      <c r="EY1004">
        <v>0</v>
      </c>
      <c r="FQ1004">
        <v>0</v>
      </c>
      <c r="FR1004">
        <f t="shared" si="742"/>
        <v>0</v>
      </c>
      <c r="FS1004">
        <v>0</v>
      </c>
      <c r="FX1004">
        <v>156</v>
      </c>
      <c r="FY1004">
        <v>84</v>
      </c>
      <c r="GA1004" t="s">
        <v>3</v>
      </c>
      <c r="GD1004">
        <v>0</v>
      </c>
      <c r="GF1004">
        <v>1921429225</v>
      </c>
      <c r="GG1004">
        <v>2</v>
      </c>
      <c r="GH1004">
        <v>1</v>
      </c>
      <c r="GI1004">
        <v>2</v>
      </c>
      <c r="GJ1004">
        <v>0</v>
      </c>
      <c r="GK1004">
        <f>ROUND(R1004*(R12)/100,2)</f>
        <v>49920.160000000003</v>
      </c>
      <c r="GL1004">
        <f t="shared" si="743"/>
        <v>0</v>
      </c>
      <c r="GM1004">
        <f t="shared" si="744"/>
        <v>1140403.67</v>
      </c>
      <c r="GN1004">
        <f t="shared" si="745"/>
        <v>1140403.67</v>
      </c>
      <c r="GO1004">
        <f t="shared" si="746"/>
        <v>0</v>
      </c>
      <c r="GP1004">
        <f t="shared" si="747"/>
        <v>0</v>
      </c>
      <c r="GR1004">
        <v>0</v>
      </c>
      <c r="GS1004">
        <v>3</v>
      </c>
      <c r="GT1004">
        <v>0</v>
      </c>
      <c r="GU1004" t="s">
        <v>3</v>
      </c>
      <c r="GV1004">
        <f t="shared" si="748"/>
        <v>0</v>
      </c>
      <c r="GW1004">
        <v>1</v>
      </c>
      <c r="GX1004">
        <f t="shared" si="749"/>
        <v>0</v>
      </c>
      <c r="HA1004">
        <v>0</v>
      </c>
      <c r="HB1004">
        <v>0</v>
      </c>
      <c r="HC1004">
        <f t="shared" si="750"/>
        <v>0</v>
      </c>
      <c r="IK1004">
        <v>0</v>
      </c>
    </row>
    <row r="1005" spans="1:245" x14ac:dyDescent="0.2">
      <c r="A1005">
        <v>18</v>
      </c>
      <c r="B1005">
        <v>1</v>
      </c>
      <c r="C1005">
        <v>323</v>
      </c>
      <c r="E1005" t="s">
        <v>525</v>
      </c>
      <c r="F1005" t="s">
        <v>526</v>
      </c>
      <c r="G1005" t="s">
        <v>527</v>
      </c>
      <c r="H1005" t="s">
        <v>51</v>
      </c>
      <c r="I1005">
        <f>I1004*J1005</f>
        <v>4.3207199999999997</v>
      </c>
      <c r="J1005">
        <v>5.0999999999999995E-3</v>
      </c>
      <c r="O1005">
        <f t="shared" si="711"/>
        <v>182187.53</v>
      </c>
      <c r="P1005">
        <f t="shared" si="712"/>
        <v>182187.53</v>
      </c>
      <c r="Q1005">
        <f t="shared" si="713"/>
        <v>0</v>
      </c>
      <c r="R1005">
        <f t="shared" si="714"/>
        <v>0</v>
      </c>
      <c r="S1005">
        <f t="shared" si="715"/>
        <v>0</v>
      </c>
      <c r="T1005">
        <f t="shared" si="716"/>
        <v>0</v>
      </c>
      <c r="U1005">
        <f t="shared" si="717"/>
        <v>0</v>
      </c>
      <c r="V1005">
        <f t="shared" si="718"/>
        <v>0</v>
      </c>
      <c r="W1005">
        <f t="shared" si="719"/>
        <v>0</v>
      </c>
      <c r="X1005">
        <f t="shared" si="720"/>
        <v>0</v>
      </c>
      <c r="Y1005">
        <f t="shared" si="721"/>
        <v>0</v>
      </c>
      <c r="AA1005">
        <v>33989672</v>
      </c>
      <c r="AB1005">
        <f t="shared" si="722"/>
        <v>11978.98</v>
      </c>
      <c r="AC1005">
        <f t="shared" si="723"/>
        <v>11978.98</v>
      </c>
      <c r="AD1005">
        <f t="shared" si="724"/>
        <v>0</v>
      </c>
      <c r="AE1005">
        <f t="shared" si="725"/>
        <v>0</v>
      </c>
      <c r="AF1005">
        <f t="shared" si="726"/>
        <v>0</v>
      </c>
      <c r="AG1005">
        <f t="shared" si="727"/>
        <v>0</v>
      </c>
      <c r="AH1005">
        <f t="shared" si="728"/>
        <v>0</v>
      </c>
      <c r="AI1005">
        <f t="shared" si="729"/>
        <v>0</v>
      </c>
      <c r="AJ1005">
        <f t="shared" si="730"/>
        <v>0</v>
      </c>
      <c r="AK1005">
        <v>11978.98</v>
      </c>
      <c r="AL1005">
        <v>11978.98</v>
      </c>
      <c r="AM1005">
        <v>0</v>
      </c>
      <c r="AN1005">
        <v>0</v>
      </c>
      <c r="AO1005">
        <v>0</v>
      </c>
      <c r="AP1005">
        <v>0</v>
      </c>
      <c r="AQ1005">
        <v>0</v>
      </c>
      <c r="AR1005">
        <v>0</v>
      </c>
      <c r="AS1005">
        <v>0</v>
      </c>
      <c r="AT1005">
        <v>0</v>
      </c>
      <c r="AU1005">
        <v>0</v>
      </c>
      <c r="AV1005">
        <v>1</v>
      </c>
      <c r="AW1005">
        <v>1</v>
      </c>
      <c r="AZ1005">
        <v>1</v>
      </c>
      <c r="BA1005">
        <v>1</v>
      </c>
      <c r="BB1005">
        <v>1</v>
      </c>
      <c r="BC1005">
        <v>3.52</v>
      </c>
      <c r="BD1005" t="s">
        <v>3</v>
      </c>
      <c r="BE1005" t="s">
        <v>3</v>
      </c>
      <c r="BF1005" t="s">
        <v>3</v>
      </c>
      <c r="BG1005" t="s">
        <v>3</v>
      </c>
      <c r="BH1005">
        <v>3</v>
      </c>
      <c r="BI1005">
        <v>1</v>
      </c>
      <c r="BJ1005" t="s">
        <v>528</v>
      </c>
      <c r="BM1005">
        <v>1306</v>
      </c>
      <c r="BN1005">
        <v>0</v>
      </c>
      <c r="BO1005" t="s">
        <v>526</v>
      </c>
      <c r="BP1005">
        <v>1</v>
      </c>
      <c r="BQ1005">
        <v>60</v>
      </c>
      <c r="BR1005">
        <v>0</v>
      </c>
      <c r="BS1005">
        <v>1</v>
      </c>
      <c r="BT1005">
        <v>1</v>
      </c>
      <c r="BU1005">
        <v>1</v>
      </c>
      <c r="BV1005">
        <v>1</v>
      </c>
      <c r="BW1005">
        <v>1</v>
      </c>
      <c r="BX1005">
        <v>1</v>
      </c>
      <c r="BY1005" t="s">
        <v>3</v>
      </c>
      <c r="BZ1005">
        <v>0</v>
      </c>
      <c r="CA1005">
        <v>0</v>
      </c>
      <c r="CE1005">
        <v>30</v>
      </c>
      <c r="CF1005">
        <v>0</v>
      </c>
      <c r="CG1005">
        <v>0</v>
      </c>
      <c r="CM1005">
        <v>0</v>
      </c>
      <c r="CN1005" t="s">
        <v>3</v>
      </c>
      <c r="CO1005">
        <v>0</v>
      </c>
      <c r="CP1005">
        <f t="shared" si="731"/>
        <v>182187.53</v>
      </c>
      <c r="CQ1005">
        <f t="shared" si="732"/>
        <v>42166.01</v>
      </c>
      <c r="CR1005">
        <f t="shared" si="733"/>
        <v>0</v>
      </c>
      <c r="CS1005">
        <f t="shared" si="734"/>
        <v>0</v>
      </c>
      <c r="CT1005">
        <f t="shared" si="735"/>
        <v>0</v>
      </c>
      <c r="CU1005">
        <f t="shared" si="736"/>
        <v>0</v>
      </c>
      <c r="CV1005">
        <f t="shared" si="737"/>
        <v>0</v>
      </c>
      <c r="CW1005">
        <f t="shared" si="738"/>
        <v>0</v>
      </c>
      <c r="CX1005">
        <f t="shared" si="739"/>
        <v>0</v>
      </c>
      <c r="CY1005">
        <f t="shared" si="740"/>
        <v>0</v>
      </c>
      <c r="CZ1005">
        <f t="shared" si="741"/>
        <v>0</v>
      </c>
      <c r="DC1005" t="s">
        <v>3</v>
      </c>
      <c r="DD1005" t="s">
        <v>3</v>
      </c>
      <c r="DE1005" t="s">
        <v>3</v>
      </c>
      <c r="DF1005" t="s">
        <v>3</v>
      </c>
      <c r="DG1005" t="s">
        <v>3</v>
      </c>
      <c r="DH1005" t="s">
        <v>3</v>
      </c>
      <c r="DI1005" t="s">
        <v>3</v>
      </c>
      <c r="DJ1005" t="s">
        <v>3</v>
      </c>
      <c r="DK1005" t="s">
        <v>3</v>
      </c>
      <c r="DL1005" t="s">
        <v>3</v>
      </c>
      <c r="DM1005" t="s">
        <v>3</v>
      </c>
      <c r="DN1005">
        <v>156</v>
      </c>
      <c r="DO1005">
        <v>84</v>
      </c>
      <c r="DP1005">
        <v>1</v>
      </c>
      <c r="DQ1005">
        <v>1</v>
      </c>
      <c r="DU1005">
        <v>1009</v>
      </c>
      <c r="DV1005" t="s">
        <v>51</v>
      </c>
      <c r="DW1005" t="s">
        <v>51</v>
      </c>
      <c r="DX1005">
        <v>1000</v>
      </c>
      <c r="EE1005">
        <v>33798945</v>
      </c>
      <c r="EF1005">
        <v>60</v>
      </c>
      <c r="EG1005" t="s">
        <v>20</v>
      </c>
      <c r="EH1005">
        <v>0</v>
      </c>
      <c r="EI1005" t="s">
        <v>3</v>
      </c>
      <c r="EJ1005">
        <v>1</v>
      </c>
      <c r="EK1005">
        <v>1306</v>
      </c>
      <c r="EL1005" t="s">
        <v>510</v>
      </c>
      <c r="EM1005" t="s">
        <v>511</v>
      </c>
      <c r="EO1005" t="s">
        <v>3</v>
      </c>
      <c r="EQ1005">
        <v>0</v>
      </c>
      <c r="ER1005">
        <v>11978.98</v>
      </c>
      <c r="ES1005">
        <v>11978.98</v>
      </c>
      <c r="ET1005">
        <v>0</v>
      </c>
      <c r="EU1005">
        <v>0</v>
      </c>
      <c r="EV1005">
        <v>0</v>
      </c>
      <c r="EW1005">
        <v>0</v>
      </c>
      <c r="EX1005">
        <v>0</v>
      </c>
      <c r="FQ1005">
        <v>0</v>
      </c>
      <c r="FR1005">
        <f t="shared" si="742"/>
        <v>0</v>
      </c>
      <c r="FS1005">
        <v>0</v>
      </c>
      <c r="FX1005">
        <v>156</v>
      </c>
      <c r="FY1005">
        <v>84</v>
      </c>
      <c r="GA1005" t="s">
        <v>3</v>
      </c>
      <c r="GD1005">
        <v>0</v>
      </c>
      <c r="GF1005">
        <v>1437067085</v>
      </c>
      <c r="GG1005">
        <v>2</v>
      </c>
      <c r="GH1005">
        <v>1</v>
      </c>
      <c r="GI1005">
        <v>2</v>
      </c>
      <c r="GJ1005">
        <v>0</v>
      </c>
      <c r="GK1005">
        <f>ROUND(R1005*(R12)/100,2)</f>
        <v>0</v>
      </c>
      <c r="GL1005">
        <f t="shared" si="743"/>
        <v>0</v>
      </c>
      <c r="GM1005">
        <f t="shared" si="744"/>
        <v>182187.53</v>
      </c>
      <c r="GN1005">
        <f t="shared" si="745"/>
        <v>182187.53</v>
      </c>
      <c r="GO1005">
        <f t="shared" si="746"/>
        <v>0</v>
      </c>
      <c r="GP1005">
        <f t="shared" si="747"/>
        <v>0</v>
      </c>
      <c r="GR1005">
        <v>0</v>
      </c>
      <c r="GS1005">
        <v>3</v>
      </c>
      <c r="GT1005">
        <v>0</v>
      </c>
      <c r="GU1005" t="s">
        <v>3</v>
      </c>
      <c r="GV1005">
        <f t="shared" si="748"/>
        <v>0</v>
      </c>
      <c r="GW1005">
        <v>1</v>
      </c>
      <c r="GX1005">
        <f t="shared" si="749"/>
        <v>0</v>
      </c>
      <c r="HA1005">
        <v>0</v>
      </c>
      <c r="HB1005">
        <v>0</v>
      </c>
      <c r="HC1005">
        <f t="shared" si="750"/>
        <v>0</v>
      </c>
      <c r="IK1005">
        <v>0</v>
      </c>
    </row>
    <row r="1006" spans="1:245" x14ac:dyDescent="0.2">
      <c r="A1006">
        <v>18</v>
      </c>
      <c r="B1006">
        <v>1</v>
      </c>
      <c r="C1006">
        <v>321</v>
      </c>
      <c r="E1006" t="s">
        <v>529</v>
      </c>
      <c r="F1006" t="s">
        <v>530</v>
      </c>
      <c r="G1006" t="s">
        <v>531</v>
      </c>
      <c r="H1006" t="s">
        <v>51</v>
      </c>
      <c r="I1006">
        <f>I1004*J1006</f>
        <v>5.9219280000000003</v>
      </c>
      <c r="J1006">
        <v>6.9899999999999997E-3</v>
      </c>
      <c r="O1006">
        <f t="shared" si="711"/>
        <v>147741.35</v>
      </c>
      <c r="P1006">
        <f t="shared" si="712"/>
        <v>147741.35</v>
      </c>
      <c r="Q1006">
        <f t="shared" si="713"/>
        <v>0</v>
      </c>
      <c r="R1006">
        <f t="shared" si="714"/>
        <v>0</v>
      </c>
      <c r="S1006">
        <f t="shared" si="715"/>
        <v>0</v>
      </c>
      <c r="T1006">
        <f t="shared" si="716"/>
        <v>0</v>
      </c>
      <c r="U1006">
        <f t="shared" si="717"/>
        <v>0</v>
      </c>
      <c r="V1006">
        <f t="shared" si="718"/>
        <v>0</v>
      </c>
      <c r="W1006">
        <f t="shared" si="719"/>
        <v>0</v>
      </c>
      <c r="X1006">
        <f t="shared" si="720"/>
        <v>0</v>
      </c>
      <c r="Y1006">
        <f t="shared" si="721"/>
        <v>0</v>
      </c>
      <c r="AA1006">
        <v>33989672</v>
      </c>
      <c r="AB1006">
        <f t="shared" si="722"/>
        <v>6446.56</v>
      </c>
      <c r="AC1006">
        <f t="shared" si="723"/>
        <v>6446.56</v>
      </c>
      <c r="AD1006">
        <f t="shared" si="724"/>
        <v>0</v>
      </c>
      <c r="AE1006">
        <f t="shared" si="725"/>
        <v>0</v>
      </c>
      <c r="AF1006">
        <f t="shared" si="726"/>
        <v>0</v>
      </c>
      <c r="AG1006">
        <f t="shared" si="727"/>
        <v>0</v>
      </c>
      <c r="AH1006">
        <f t="shared" si="728"/>
        <v>0</v>
      </c>
      <c r="AI1006">
        <f t="shared" si="729"/>
        <v>0</v>
      </c>
      <c r="AJ1006">
        <f t="shared" si="730"/>
        <v>0</v>
      </c>
      <c r="AK1006">
        <v>6446.56</v>
      </c>
      <c r="AL1006">
        <v>6446.56</v>
      </c>
      <c r="AM1006">
        <v>0</v>
      </c>
      <c r="AN1006">
        <v>0</v>
      </c>
      <c r="AO1006">
        <v>0</v>
      </c>
      <c r="AP1006">
        <v>0</v>
      </c>
      <c r="AQ1006">
        <v>0</v>
      </c>
      <c r="AR1006">
        <v>0</v>
      </c>
      <c r="AS1006">
        <v>0</v>
      </c>
      <c r="AT1006">
        <v>0</v>
      </c>
      <c r="AU1006">
        <v>0</v>
      </c>
      <c r="AV1006">
        <v>1</v>
      </c>
      <c r="AW1006">
        <v>1</v>
      </c>
      <c r="AZ1006">
        <v>1</v>
      </c>
      <c r="BA1006">
        <v>1</v>
      </c>
      <c r="BB1006">
        <v>1</v>
      </c>
      <c r="BC1006">
        <v>3.87</v>
      </c>
      <c r="BD1006" t="s">
        <v>3</v>
      </c>
      <c r="BE1006" t="s">
        <v>3</v>
      </c>
      <c r="BF1006" t="s">
        <v>3</v>
      </c>
      <c r="BG1006" t="s">
        <v>3</v>
      </c>
      <c r="BH1006">
        <v>3</v>
      </c>
      <c r="BI1006">
        <v>1</v>
      </c>
      <c r="BJ1006" t="s">
        <v>532</v>
      </c>
      <c r="BM1006">
        <v>1306</v>
      </c>
      <c r="BN1006">
        <v>0</v>
      </c>
      <c r="BO1006" t="s">
        <v>530</v>
      </c>
      <c r="BP1006">
        <v>1</v>
      </c>
      <c r="BQ1006">
        <v>60</v>
      </c>
      <c r="BR1006">
        <v>0</v>
      </c>
      <c r="BS1006">
        <v>1</v>
      </c>
      <c r="BT1006">
        <v>1</v>
      </c>
      <c r="BU1006">
        <v>1</v>
      </c>
      <c r="BV1006">
        <v>1</v>
      </c>
      <c r="BW1006">
        <v>1</v>
      </c>
      <c r="BX1006">
        <v>1</v>
      </c>
      <c r="BY1006" t="s">
        <v>3</v>
      </c>
      <c r="BZ1006">
        <v>0</v>
      </c>
      <c r="CA1006">
        <v>0</v>
      </c>
      <c r="CE1006">
        <v>30</v>
      </c>
      <c r="CF1006">
        <v>0</v>
      </c>
      <c r="CG1006">
        <v>0</v>
      </c>
      <c r="CM1006">
        <v>0</v>
      </c>
      <c r="CN1006" t="s">
        <v>3</v>
      </c>
      <c r="CO1006">
        <v>0</v>
      </c>
      <c r="CP1006">
        <f t="shared" si="731"/>
        <v>147741.35</v>
      </c>
      <c r="CQ1006">
        <f t="shared" si="732"/>
        <v>24948.19</v>
      </c>
      <c r="CR1006">
        <f t="shared" si="733"/>
        <v>0</v>
      </c>
      <c r="CS1006">
        <f t="shared" si="734"/>
        <v>0</v>
      </c>
      <c r="CT1006">
        <f t="shared" si="735"/>
        <v>0</v>
      </c>
      <c r="CU1006">
        <f t="shared" si="736"/>
        <v>0</v>
      </c>
      <c r="CV1006">
        <f t="shared" si="737"/>
        <v>0</v>
      </c>
      <c r="CW1006">
        <f t="shared" si="738"/>
        <v>0</v>
      </c>
      <c r="CX1006">
        <f t="shared" si="739"/>
        <v>0</v>
      </c>
      <c r="CY1006">
        <f t="shared" si="740"/>
        <v>0</v>
      </c>
      <c r="CZ1006">
        <f t="shared" si="741"/>
        <v>0</v>
      </c>
      <c r="DC1006" t="s">
        <v>3</v>
      </c>
      <c r="DD1006" t="s">
        <v>3</v>
      </c>
      <c r="DE1006" t="s">
        <v>3</v>
      </c>
      <c r="DF1006" t="s">
        <v>3</v>
      </c>
      <c r="DG1006" t="s">
        <v>3</v>
      </c>
      <c r="DH1006" t="s">
        <v>3</v>
      </c>
      <c r="DI1006" t="s">
        <v>3</v>
      </c>
      <c r="DJ1006" t="s">
        <v>3</v>
      </c>
      <c r="DK1006" t="s">
        <v>3</v>
      </c>
      <c r="DL1006" t="s">
        <v>3</v>
      </c>
      <c r="DM1006" t="s">
        <v>3</v>
      </c>
      <c r="DN1006">
        <v>156</v>
      </c>
      <c r="DO1006">
        <v>84</v>
      </c>
      <c r="DP1006">
        <v>1</v>
      </c>
      <c r="DQ1006">
        <v>1</v>
      </c>
      <c r="DU1006">
        <v>1009</v>
      </c>
      <c r="DV1006" t="s">
        <v>51</v>
      </c>
      <c r="DW1006" t="s">
        <v>51</v>
      </c>
      <c r="DX1006">
        <v>1000</v>
      </c>
      <c r="EE1006">
        <v>33798945</v>
      </c>
      <c r="EF1006">
        <v>60</v>
      </c>
      <c r="EG1006" t="s">
        <v>20</v>
      </c>
      <c r="EH1006">
        <v>0</v>
      </c>
      <c r="EI1006" t="s">
        <v>3</v>
      </c>
      <c r="EJ1006">
        <v>1</v>
      </c>
      <c r="EK1006">
        <v>1306</v>
      </c>
      <c r="EL1006" t="s">
        <v>510</v>
      </c>
      <c r="EM1006" t="s">
        <v>511</v>
      </c>
      <c r="EO1006" t="s">
        <v>3</v>
      </c>
      <c r="EQ1006">
        <v>0</v>
      </c>
      <c r="ER1006">
        <v>6446.56</v>
      </c>
      <c r="ES1006">
        <v>6446.56</v>
      </c>
      <c r="ET1006">
        <v>0</v>
      </c>
      <c r="EU1006">
        <v>0</v>
      </c>
      <c r="EV1006">
        <v>0</v>
      </c>
      <c r="EW1006">
        <v>0</v>
      </c>
      <c r="EX1006">
        <v>0</v>
      </c>
      <c r="FQ1006">
        <v>0</v>
      </c>
      <c r="FR1006">
        <f t="shared" si="742"/>
        <v>0</v>
      </c>
      <c r="FS1006">
        <v>0</v>
      </c>
      <c r="FX1006">
        <v>156</v>
      </c>
      <c r="FY1006">
        <v>84</v>
      </c>
      <c r="GA1006" t="s">
        <v>3</v>
      </c>
      <c r="GD1006">
        <v>0</v>
      </c>
      <c r="GF1006">
        <v>925217899</v>
      </c>
      <c r="GG1006">
        <v>2</v>
      </c>
      <c r="GH1006">
        <v>1</v>
      </c>
      <c r="GI1006">
        <v>2</v>
      </c>
      <c r="GJ1006">
        <v>0</v>
      </c>
      <c r="GK1006">
        <f>ROUND(R1006*(R12)/100,2)</f>
        <v>0</v>
      </c>
      <c r="GL1006">
        <f t="shared" si="743"/>
        <v>0</v>
      </c>
      <c r="GM1006">
        <f t="shared" si="744"/>
        <v>147741.35</v>
      </c>
      <c r="GN1006">
        <f t="shared" si="745"/>
        <v>147741.35</v>
      </c>
      <c r="GO1006">
        <f t="shared" si="746"/>
        <v>0</v>
      </c>
      <c r="GP1006">
        <f t="shared" si="747"/>
        <v>0</v>
      </c>
      <c r="GR1006">
        <v>0</v>
      </c>
      <c r="GS1006">
        <v>3</v>
      </c>
      <c r="GT1006">
        <v>0</v>
      </c>
      <c r="GU1006" t="s">
        <v>3</v>
      </c>
      <c r="GV1006">
        <f t="shared" si="748"/>
        <v>0</v>
      </c>
      <c r="GW1006">
        <v>1</v>
      </c>
      <c r="GX1006">
        <f t="shared" si="749"/>
        <v>0</v>
      </c>
      <c r="HA1006">
        <v>0</v>
      </c>
      <c r="HB1006">
        <v>0</v>
      </c>
      <c r="HC1006">
        <f t="shared" si="750"/>
        <v>0</v>
      </c>
      <c r="IK1006">
        <v>0</v>
      </c>
    </row>
    <row r="1007" spans="1:245" x14ac:dyDescent="0.2">
      <c r="A1007">
        <v>17</v>
      </c>
      <c r="B1007">
        <v>1</v>
      </c>
      <c r="C1007">
        <f>ROW(SmtRes!A330)</f>
        <v>330</v>
      </c>
      <c r="D1007">
        <f>ROW(EtalonRes!A332)</f>
        <v>332</v>
      </c>
      <c r="E1007" t="s">
        <v>533</v>
      </c>
      <c r="F1007" t="s">
        <v>534</v>
      </c>
      <c r="G1007" t="s">
        <v>535</v>
      </c>
      <c r="H1007" t="s">
        <v>523</v>
      </c>
      <c r="I1007">
        <f>ROUND(I1004,5)</f>
        <v>847.2</v>
      </c>
      <c r="J1007">
        <v>0</v>
      </c>
      <c r="O1007">
        <f t="shared" si="711"/>
        <v>44920.4</v>
      </c>
      <c r="P1007">
        <f t="shared" si="712"/>
        <v>2227.2399999999998</v>
      </c>
      <c r="Q1007">
        <f t="shared" si="713"/>
        <v>11728.21</v>
      </c>
      <c r="R1007">
        <f t="shared" si="714"/>
        <v>3948.59</v>
      </c>
      <c r="S1007">
        <f t="shared" si="715"/>
        <v>30964.95</v>
      </c>
      <c r="T1007">
        <f t="shared" si="716"/>
        <v>0</v>
      </c>
      <c r="U1007">
        <f t="shared" si="717"/>
        <v>101.664</v>
      </c>
      <c r="V1007">
        <f t="shared" si="718"/>
        <v>0</v>
      </c>
      <c r="W1007">
        <f t="shared" si="719"/>
        <v>0</v>
      </c>
      <c r="X1007">
        <f t="shared" si="720"/>
        <v>27868.46</v>
      </c>
      <c r="Y1007">
        <f t="shared" si="721"/>
        <v>12695.63</v>
      </c>
      <c r="AA1007">
        <v>33989672</v>
      </c>
      <c r="AB1007">
        <f t="shared" si="722"/>
        <v>3.36</v>
      </c>
      <c r="AC1007">
        <f t="shared" si="723"/>
        <v>0.22</v>
      </c>
      <c r="AD1007">
        <f t="shared" si="724"/>
        <v>1.65</v>
      </c>
      <c r="AE1007">
        <f t="shared" si="725"/>
        <v>0.19</v>
      </c>
      <c r="AF1007">
        <f t="shared" si="726"/>
        <v>1.49</v>
      </c>
      <c r="AG1007">
        <f t="shared" si="727"/>
        <v>0</v>
      </c>
      <c r="AH1007">
        <f t="shared" si="728"/>
        <v>0.12</v>
      </c>
      <c r="AI1007">
        <f t="shared" si="729"/>
        <v>0</v>
      </c>
      <c r="AJ1007">
        <f t="shared" si="730"/>
        <v>0</v>
      </c>
      <c r="AK1007">
        <v>3.36</v>
      </c>
      <c r="AL1007">
        <v>0.22</v>
      </c>
      <c r="AM1007">
        <v>1.65</v>
      </c>
      <c r="AN1007">
        <v>0.19</v>
      </c>
      <c r="AO1007">
        <v>1.49</v>
      </c>
      <c r="AP1007">
        <v>0</v>
      </c>
      <c r="AQ1007">
        <v>0.12</v>
      </c>
      <c r="AR1007">
        <v>0</v>
      </c>
      <c r="AS1007">
        <v>0</v>
      </c>
      <c r="AT1007">
        <v>90</v>
      </c>
      <c r="AU1007">
        <v>41</v>
      </c>
      <c r="AV1007">
        <v>1</v>
      </c>
      <c r="AW1007">
        <v>1</v>
      </c>
      <c r="AZ1007">
        <v>1</v>
      </c>
      <c r="BA1007">
        <v>24.53</v>
      </c>
      <c r="BB1007">
        <v>8.39</v>
      </c>
      <c r="BC1007">
        <v>11.95</v>
      </c>
      <c r="BD1007" t="s">
        <v>3</v>
      </c>
      <c r="BE1007" t="s">
        <v>3</v>
      </c>
      <c r="BF1007" t="s">
        <v>3</v>
      </c>
      <c r="BG1007" t="s">
        <v>3</v>
      </c>
      <c r="BH1007">
        <v>0</v>
      </c>
      <c r="BI1007">
        <v>1</v>
      </c>
      <c r="BJ1007" t="s">
        <v>536</v>
      </c>
      <c r="BM1007">
        <v>1306</v>
      </c>
      <c r="BN1007">
        <v>0</v>
      </c>
      <c r="BO1007" t="s">
        <v>534</v>
      </c>
      <c r="BP1007">
        <v>1</v>
      </c>
      <c r="BQ1007">
        <v>60</v>
      </c>
      <c r="BR1007">
        <v>0</v>
      </c>
      <c r="BS1007">
        <v>24.53</v>
      </c>
      <c r="BT1007">
        <v>1</v>
      </c>
      <c r="BU1007">
        <v>1</v>
      </c>
      <c r="BV1007">
        <v>1</v>
      </c>
      <c r="BW1007">
        <v>1</v>
      </c>
      <c r="BX1007">
        <v>1</v>
      </c>
      <c r="BY1007" t="s">
        <v>3</v>
      </c>
      <c r="BZ1007">
        <v>90</v>
      </c>
      <c r="CA1007">
        <v>41</v>
      </c>
      <c r="CE1007">
        <v>30</v>
      </c>
      <c r="CF1007">
        <v>0</v>
      </c>
      <c r="CG1007">
        <v>0</v>
      </c>
      <c r="CM1007">
        <v>0</v>
      </c>
      <c r="CN1007" t="s">
        <v>3</v>
      </c>
      <c r="CO1007">
        <v>0</v>
      </c>
      <c r="CP1007">
        <f t="shared" si="731"/>
        <v>44920.4</v>
      </c>
      <c r="CQ1007">
        <f t="shared" si="732"/>
        <v>2.63</v>
      </c>
      <c r="CR1007">
        <f t="shared" si="733"/>
        <v>13.84</v>
      </c>
      <c r="CS1007">
        <f t="shared" si="734"/>
        <v>4.66</v>
      </c>
      <c r="CT1007">
        <f t="shared" si="735"/>
        <v>36.549999999999997</v>
      </c>
      <c r="CU1007">
        <f t="shared" si="736"/>
        <v>0</v>
      </c>
      <c r="CV1007">
        <f t="shared" si="737"/>
        <v>0.12</v>
      </c>
      <c r="CW1007">
        <f t="shared" si="738"/>
        <v>0</v>
      </c>
      <c r="CX1007">
        <f t="shared" si="739"/>
        <v>0</v>
      </c>
      <c r="CY1007">
        <f t="shared" si="740"/>
        <v>27868.455000000002</v>
      </c>
      <c r="CZ1007">
        <f t="shared" si="741"/>
        <v>12695.629499999999</v>
      </c>
      <c r="DC1007" t="s">
        <v>3</v>
      </c>
      <c r="DD1007" t="s">
        <v>3</v>
      </c>
      <c r="DE1007" t="s">
        <v>3</v>
      </c>
      <c r="DF1007" t="s">
        <v>3</v>
      </c>
      <c r="DG1007" t="s">
        <v>3</v>
      </c>
      <c r="DH1007" t="s">
        <v>3</v>
      </c>
      <c r="DI1007" t="s">
        <v>3</v>
      </c>
      <c r="DJ1007" t="s">
        <v>3</v>
      </c>
      <c r="DK1007" t="s">
        <v>3</v>
      </c>
      <c r="DL1007" t="s">
        <v>3</v>
      </c>
      <c r="DM1007" t="s">
        <v>3</v>
      </c>
      <c r="DN1007">
        <v>156</v>
      </c>
      <c r="DO1007">
        <v>84</v>
      </c>
      <c r="DP1007">
        <v>1</v>
      </c>
      <c r="DQ1007">
        <v>1</v>
      </c>
      <c r="DU1007">
        <v>1013</v>
      </c>
      <c r="DV1007" t="s">
        <v>523</v>
      </c>
      <c r="DW1007" t="s">
        <v>523</v>
      </c>
      <c r="DX1007">
        <v>1</v>
      </c>
      <c r="EE1007">
        <v>33798945</v>
      </c>
      <c r="EF1007">
        <v>60</v>
      </c>
      <c r="EG1007" t="s">
        <v>20</v>
      </c>
      <c r="EH1007">
        <v>0</v>
      </c>
      <c r="EI1007" t="s">
        <v>3</v>
      </c>
      <c r="EJ1007">
        <v>1</v>
      </c>
      <c r="EK1007">
        <v>1306</v>
      </c>
      <c r="EL1007" t="s">
        <v>510</v>
      </c>
      <c r="EM1007" t="s">
        <v>511</v>
      </c>
      <c r="EO1007" t="s">
        <v>3</v>
      </c>
      <c r="EQ1007">
        <v>131072</v>
      </c>
      <c r="ER1007">
        <v>3.36</v>
      </c>
      <c r="ES1007">
        <v>0.22</v>
      </c>
      <c r="ET1007">
        <v>1.65</v>
      </c>
      <c r="EU1007">
        <v>0.19</v>
      </c>
      <c r="EV1007">
        <v>1.49</v>
      </c>
      <c r="EW1007">
        <v>0.12</v>
      </c>
      <c r="EX1007">
        <v>0</v>
      </c>
      <c r="EY1007">
        <v>0</v>
      </c>
      <c r="FQ1007">
        <v>0</v>
      </c>
      <c r="FR1007">
        <f t="shared" si="742"/>
        <v>0</v>
      </c>
      <c r="FS1007">
        <v>0</v>
      </c>
      <c r="FX1007">
        <v>156</v>
      </c>
      <c r="FY1007">
        <v>84</v>
      </c>
      <c r="GA1007" t="s">
        <v>3</v>
      </c>
      <c r="GD1007">
        <v>0</v>
      </c>
      <c r="GF1007">
        <v>-57622826</v>
      </c>
      <c r="GG1007">
        <v>2</v>
      </c>
      <c r="GH1007">
        <v>1</v>
      </c>
      <c r="GI1007">
        <v>2</v>
      </c>
      <c r="GJ1007">
        <v>0</v>
      </c>
      <c r="GK1007">
        <f>ROUND(R1007*(R12)/100,2)</f>
        <v>6199.29</v>
      </c>
      <c r="GL1007">
        <f t="shared" si="743"/>
        <v>0</v>
      </c>
      <c r="GM1007">
        <f t="shared" si="744"/>
        <v>91683.78</v>
      </c>
      <c r="GN1007">
        <f t="shared" si="745"/>
        <v>91683.78</v>
      </c>
      <c r="GO1007">
        <f t="shared" si="746"/>
        <v>0</v>
      </c>
      <c r="GP1007">
        <f t="shared" si="747"/>
        <v>0</v>
      </c>
      <c r="GR1007">
        <v>0</v>
      </c>
      <c r="GS1007">
        <v>3</v>
      </c>
      <c r="GT1007">
        <v>0</v>
      </c>
      <c r="GU1007" t="s">
        <v>3</v>
      </c>
      <c r="GV1007">
        <f t="shared" si="748"/>
        <v>0</v>
      </c>
      <c r="GW1007">
        <v>1</v>
      </c>
      <c r="GX1007">
        <f t="shared" si="749"/>
        <v>0</v>
      </c>
      <c r="HA1007">
        <v>0</v>
      </c>
      <c r="HB1007">
        <v>0</v>
      </c>
      <c r="HC1007">
        <f t="shared" si="750"/>
        <v>0</v>
      </c>
      <c r="IK1007">
        <v>0</v>
      </c>
    </row>
    <row r="1008" spans="1:245" x14ac:dyDescent="0.2">
      <c r="A1008">
        <v>17</v>
      </c>
      <c r="B1008">
        <v>1</v>
      </c>
      <c r="C1008">
        <f>ROW(SmtRes!A335)</f>
        <v>335</v>
      </c>
      <c r="D1008">
        <f>ROW(EtalonRes!A337)</f>
        <v>337</v>
      </c>
      <c r="E1008" t="s">
        <v>537</v>
      </c>
      <c r="F1008" t="s">
        <v>538</v>
      </c>
      <c r="G1008" t="s">
        <v>539</v>
      </c>
      <c r="H1008" t="s">
        <v>18</v>
      </c>
      <c r="I1008">
        <f>ROUND(65.2*(I1002+I1005+I1006)/100,9)</f>
        <v>9.1800022160000001</v>
      </c>
      <c r="J1008">
        <v>0</v>
      </c>
      <c r="O1008">
        <f t="shared" si="711"/>
        <v>18458.689999999999</v>
      </c>
      <c r="P1008">
        <f t="shared" si="712"/>
        <v>528.86</v>
      </c>
      <c r="Q1008">
        <f t="shared" si="713"/>
        <v>1236.92</v>
      </c>
      <c r="R1008">
        <f t="shared" si="714"/>
        <v>421.18</v>
      </c>
      <c r="S1008">
        <f t="shared" si="715"/>
        <v>16692.91</v>
      </c>
      <c r="T1008">
        <f t="shared" si="716"/>
        <v>0</v>
      </c>
      <c r="U1008">
        <f t="shared" si="717"/>
        <v>48.745811766959996</v>
      </c>
      <c r="V1008">
        <f t="shared" si="718"/>
        <v>0</v>
      </c>
      <c r="W1008">
        <f t="shared" si="719"/>
        <v>0</v>
      </c>
      <c r="X1008">
        <f t="shared" si="720"/>
        <v>14188.97</v>
      </c>
      <c r="Y1008">
        <f t="shared" si="721"/>
        <v>6844.09</v>
      </c>
      <c r="AA1008">
        <v>33989672</v>
      </c>
      <c r="AB1008">
        <f t="shared" si="722"/>
        <v>104.48</v>
      </c>
      <c r="AC1008">
        <f t="shared" si="723"/>
        <v>9.4600000000000009</v>
      </c>
      <c r="AD1008">
        <f t="shared" si="724"/>
        <v>20.89</v>
      </c>
      <c r="AE1008">
        <f t="shared" si="725"/>
        <v>1.87</v>
      </c>
      <c r="AF1008">
        <f t="shared" si="726"/>
        <v>74.13</v>
      </c>
      <c r="AG1008">
        <f t="shared" si="727"/>
        <v>0</v>
      </c>
      <c r="AH1008">
        <f t="shared" si="728"/>
        <v>5.31</v>
      </c>
      <c r="AI1008">
        <f t="shared" si="729"/>
        <v>0</v>
      </c>
      <c r="AJ1008">
        <f t="shared" si="730"/>
        <v>0</v>
      </c>
      <c r="AK1008">
        <v>104.48</v>
      </c>
      <c r="AL1008">
        <v>9.4600000000000009</v>
      </c>
      <c r="AM1008">
        <v>20.89</v>
      </c>
      <c r="AN1008">
        <v>1.87</v>
      </c>
      <c r="AO1008">
        <v>74.13</v>
      </c>
      <c r="AP1008">
        <v>0</v>
      </c>
      <c r="AQ1008">
        <v>5.31</v>
      </c>
      <c r="AR1008">
        <v>0</v>
      </c>
      <c r="AS1008">
        <v>0</v>
      </c>
      <c r="AT1008">
        <v>85</v>
      </c>
      <c r="AU1008">
        <v>41</v>
      </c>
      <c r="AV1008">
        <v>1</v>
      </c>
      <c r="AW1008">
        <v>1</v>
      </c>
      <c r="AZ1008">
        <v>1</v>
      </c>
      <c r="BA1008">
        <v>24.53</v>
      </c>
      <c r="BB1008">
        <v>6.45</v>
      </c>
      <c r="BC1008">
        <v>6.09</v>
      </c>
      <c r="BD1008" t="s">
        <v>3</v>
      </c>
      <c r="BE1008" t="s">
        <v>3</v>
      </c>
      <c r="BF1008" t="s">
        <v>3</v>
      </c>
      <c r="BG1008" t="s">
        <v>3</v>
      </c>
      <c r="BH1008">
        <v>0</v>
      </c>
      <c r="BI1008">
        <v>1</v>
      </c>
      <c r="BJ1008" t="s">
        <v>540</v>
      </c>
      <c r="BM1008">
        <v>97</v>
      </c>
      <c r="BN1008">
        <v>0</v>
      </c>
      <c r="BO1008" t="s">
        <v>538</v>
      </c>
      <c r="BP1008">
        <v>1</v>
      </c>
      <c r="BQ1008">
        <v>30</v>
      </c>
      <c r="BR1008">
        <v>0</v>
      </c>
      <c r="BS1008">
        <v>24.53</v>
      </c>
      <c r="BT1008">
        <v>1</v>
      </c>
      <c r="BU1008">
        <v>1</v>
      </c>
      <c r="BV1008">
        <v>1</v>
      </c>
      <c r="BW1008">
        <v>1</v>
      </c>
      <c r="BX1008">
        <v>1</v>
      </c>
      <c r="BY1008" t="s">
        <v>3</v>
      </c>
      <c r="BZ1008">
        <v>85</v>
      </c>
      <c r="CA1008">
        <v>41</v>
      </c>
      <c r="CE1008">
        <v>30</v>
      </c>
      <c r="CF1008">
        <v>0</v>
      </c>
      <c r="CG1008">
        <v>0</v>
      </c>
      <c r="CM1008">
        <v>0</v>
      </c>
      <c r="CN1008" t="s">
        <v>3</v>
      </c>
      <c r="CO1008">
        <v>0</v>
      </c>
      <c r="CP1008">
        <f t="shared" si="731"/>
        <v>18458.689999999999</v>
      </c>
      <c r="CQ1008">
        <f t="shared" si="732"/>
        <v>57.61</v>
      </c>
      <c r="CR1008">
        <f t="shared" si="733"/>
        <v>134.74</v>
      </c>
      <c r="CS1008">
        <f t="shared" si="734"/>
        <v>45.87</v>
      </c>
      <c r="CT1008">
        <f t="shared" si="735"/>
        <v>1818.41</v>
      </c>
      <c r="CU1008">
        <f t="shared" si="736"/>
        <v>0</v>
      </c>
      <c r="CV1008">
        <f t="shared" si="737"/>
        <v>5.31</v>
      </c>
      <c r="CW1008">
        <f t="shared" si="738"/>
        <v>0</v>
      </c>
      <c r="CX1008">
        <f t="shared" si="739"/>
        <v>0</v>
      </c>
      <c r="CY1008">
        <f t="shared" si="740"/>
        <v>14188.9735</v>
      </c>
      <c r="CZ1008">
        <f t="shared" si="741"/>
        <v>6844.0930999999991</v>
      </c>
      <c r="DC1008" t="s">
        <v>3</v>
      </c>
      <c r="DD1008" t="s">
        <v>3</v>
      </c>
      <c r="DE1008" t="s">
        <v>3</v>
      </c>
      <c r="DF1008" t="s">
        <v>3</v>
      </c>
      <c r="DG1008" t="s">
        <v>3</v>
      </c>
      <c r="DH1008" t="s">
        <v>3</v>
      </c>
      <c r="DI1008" t="s">
        <v>3</v>
      </c>
      <c r="DJ1008" t="s">
        <v>3</v>
      </c>
      <c r="DK1008" t="s">
        <v>3</v>
      </c>
      <c r="DL1008" t="s">
        <v>3</v>
      </c>
      <c r="DM1008" t="s">
        <v>3</v>
      </c>
      <c r="DN1008">
        <v>105</v>
      </c>
      <c r="DO1008">
        <v>77</v>
      </c>
      <c r="DP1008">
        <v>1</v>
      </c>
      <c r="DQ1008">
        <v>1</v>
      </c>
      <c r="DU1008">
        <v>1005</v>
      </c>
      <c r="DV1008" t="s">
        <v>18</v>
      </c>
      <c r="DW1008" t="s">
        <v>18</v>
      </c>
      <c r="DX1008">
        <v>100</v>
      </c>
      <c r="EE1008">
        <v>33797682</v>
      </c>
      <c r="EF1008">
        <v>30</v>
      </c>
      <c r="EG1008" t="s">
        <v>77</v>
      </c>
      <c r="EH1008">
        <v>0</v>
      </c>
      <c r="EI1008" t="s">
        <v>3</v>
      </c>
      <c r="EJ1008">
        <v>1</v>
      </c>
      <c r="EK1008">
        <v>97</v>
      </c>
      <c r="EL1008" t="s">
        <v>541</v>
      </c>
      <c r="EM1008" t="s">
        <v>542</v>
      </c>
      <c r="EO1008" t="s">
        <v>3</v>
      </c>
      <c r="EQ1008">
        <v>131072</v>
      </c>
      <c r="ER1008">
        <v>104.48</v>
      </c>
      <c r="ES1008">
        <v>9.4600000000000009</v>
      </c>
      <c r="ET1008">
        <v>20.89</v>
      </c>
      <c r="EU1008">
        <v>1.87</v>
      </c>
      <c r="EV1008">
        <v>74.13</v>
      </c>
      <c r="EW1008">
        <v>5.31</v>
      </c>
      <c r="EX1008">
        <v>0</v>
      </c>
      <c r="EY1008">
        <v>0</v>
      </c>
      <c r="FQ1008">
        <v>0</v>
      </c>
      <c r="FR1008">
        <f t="shared" si="742"/>
        <v>0</v>
      </c>
      <c r="FS1008">
        <v>0</v>
      </c>
      <c r="FX1008">
        <v>105</v>
      </c>
      <c r="FY1008">
        <v>77</v>
      </c>
      <c r="GA1008" t="s">
        <v>3</v>
      </c>
      <c r="GD1008">
        <v>0</v>
      </c>
      <c r="GF1008">
        <v>1686603062</v>
      </c>
      <c r="GG1008">
        <v>2</v>
      </c>
      <c r="GH1008">
        <v>1</v>
      </c>
      <c r="GI1008">
        <v>2</v>
      </c>
      <c r="GJ1008">
        <v>0</v>
      </c>
      <c r="GK1008">
        <f>ROUND(R1008*(R12)/100,2)</f>
        <v>661.25</v>
      </c>
      <c r="GL1008">
        <f t="shared" si="743"/>
        <v>0</v>
      </c>
      <c r="GM1008">
        <f t="shared" si="744"/>
        <v>40153</v>
      </c>
      <c r="GN1008">
        <f t="shared" si="745"/>
        <v>40153</v>
      </c>
      <c r="GO1008">
        <f t="shared" si="746"/>
        <v>0</v>
      </c>
      <c r="GP1008">
        <f t="shared" si="747"/>
        <v>0</v>
      </c>
      <c r="GR1008">
        <v>0</v>
      </c>
      <c r="GS1008">
        <v>3</v>
      </c>
      <c r="GT1008">
        <v>0</v>
      </c>
      <c r="GU1008" t="s">
        <v>3</v>
      </c>
      <c r="GV1008">
        <f t="shared" si="748"/>
        <v>0</v>
      </c>
      <c r="GW1008">
        <v>1</v>
      </c>
      <c r="GX1008">
        <f t="shared" si="749"/>
        <v>0</v>
      </c>
      <c r="HA1008">
        <v>0</v>
      </c>
      <c r="HB1008">
        <v>0</v>
      </c>
      <c r="HC1008">
        <f t="shared" si="750"/>
        <v>0</v>
      </c>
      <c r="IK1008">
        <v>0</v>
      </c>
    </row>
    <row r="1009" spans="1:245" x14ac:dyDescent="0.2">
      <c r="A1009">
        <v>18</v>
      </c>
      <c r="B1009">
        <v>1</v>
      </c>
      <c r="C1009">
        <v>334</v>
      </c>
      <c r="E1009" t="s">
        <v>543</v>
      </c>
      <c r="F1009" t="s">
        <v>544</v>
      </c>
      <c r="G1009" t="s">
        <v>545</v>
      </c>
      <c r="H1009" t="s">
        <v>300</v>
      </c>
      <c r="I1009">
        <f>I1008*J1009</f>
        <v>82.620019999999997</v>
      </c>
      <c r="J1009">
        <v>9.0000000061002154</v>
      </c>
      <c r="O1009">
        <f t="shared" si="711"/>
        <v>6811.12</v>
      </c>
      <c r="P1009">
        <f t="shared" si="712"/>
        <v>6811.12</v>
      </c>
      <c r="Q1009">
        <f t="shared" si="713"/>
        <v>0</v>
      </c>
      <c r="R1009">
        <f t="shared" si="714"/>
        <v>0</v>
      </c>
      <c r="S1009">
        <f t="shared" si="715"/>
        <v>0</v>
      </c>
      <c r="T1009">
        <f t="shared" si="716"/>
        <v>0</v>
      </c>
      <c r="U1009">
        <f t="shared" si="717"/>
        <v>0</v>
      </c>
      <c r="V1009">
        <f t="shared" si="718"/>
        <v>0</v>
      </c>
      <c r="W1009">
        <f t="shared" si="719"/>
        <v>0</v>
      </c>
      <c r="X1009">
        <f t="shared" si="720"/>
        <v>0</v>
      </c>
      <c r="Y1009">
        <f t="shared" si="721"/>
        <v>0</v>
      </c>
      <c r="AA1009">
        <v>33989672</v>
      </c>
      <c r="AB1009">
        <f t="shared" si="722"/>
        <v>48.21</v>
      </c>
      <c r="AC1009">
        <f t="shared" si="723"/>
        <v>48.21</v>
      </c>
      <c r="AD1009">
        <f t="shared" si="724"/>
        <v>0</v>
      </c>
      <c r="AE1009">
        <f t="shared" si="725"/>
        <v>0</v>
      </c>
      <c r="AF1009">
        <f t="shared" si="726"/>
        <v>0</v>
      </c>
      <c r="AG1009">
        <f t="shared" si="727"/>
        <v>0</v>
      </c>
      <c r="AH1009">
        <f t="shared" si="728"/>
        <v>0</v>
      </c>
      <c r="AI1009">
        <f t="shared" si="729"/>
        <v>0</v>
      </c>
      <c r="AJ1009">
        <f t="shared" si="730"/>
        <v>0</v>
      </c>
      <c r="AK1009">
        <v>48.21</v>
      </c>
      <c r="AL1009">
        <v>48.21</v>
      </c>
      <c r="AM1009">
        <v>0</v>
      </c>
      <c r="AN1009">
        <v>0</v>
      </c>
      <c r="AO1009">
        <v>0</v>
      </c>
      <c r="AP1009">
        <v>0</v>
      </c>
      <c r="AQ1009">
        <v>0</v>
      </c>
      <c r="AR1009">
        <v>0</v>
      </c>
      <c r="AS1009">
        <v>0</v>
      </c>
      <c r="AT1009">
        <v>0</v>
      </c>
      <c r="AU1009">
        <v>0</v>
      </c>
      <c r="AV1009">
        <v>1</v>
      </c>
      <c r="AW1009">
        <v>1</v>
      </c>
      <c r="AZ1009">
        <v>1</v>
      </c>
      <c r="BA1009">
        <v>1</v>
      </c>
      <c r="BB1009">
        <v>1</v>
      </c>
      <c r="BC1009">
        <v>1.71</v>
      </c>
      <c r="BD1009" t="s">
        <v>3</v>
      </c>
      <c r="BE1009" t="s">
        <v>3</v>
      </c>
      <c r="BF1009" t="s">
        <v>3</v>
      </c>
      <c r="BG1009" t="s">
        <v>3</v>
      </c>
      <c r="BH1009">
        <v>3</v>
      </c>
      <c r="BI1009">
        <v>1</v>
      </c>
      <c r="BJ1009" t="s">
        <v>546</v>
      </c>
      <c r="BM1009">
        <v>97</v>
      </c>
      <c r="BN1009">
        <v>0</v>
      </c>
      <c r="BO1009" t="s">
        <v>544</v>
      </c>
      <c r="BP1009">
        <v>1</v>
      </c>
      <c r="BQ1009">
        <v>30</v>
      </c>
      <c r="BR1009">
        <v>0</v>
      </c>
      <c r="BS1009">
        <v>1</v>
      </c>
      <c r="BT1009">
        <v>1</v>
      </c>
      <c r="BU1009">
        <v>1</v>
      </c>
      <c r="BV1009">
        <v>1</v>
      </c>
      <c r="BW1009">
        <v>1</v>
      </c>
      <c r="BX1009">
        <v>1</v>
      </c>
      <c r="BY1009" t="s">
        <v>3</v>
      </c>
      <c r="BZ1009">
        <v>0</v>
      </c>
      <c r="CA1009">
        <v>0</v>
      </c>
      <c r="CE1009">
        <v>30</v>
      </c>
      <c r="CF1009">
        <v>0</v>
      </c>
      <c r="CG1009">
        <v>0</v>
      </c>
      <c r="CM1009">
        <v>0</v>
      </c>
      <c r="CN1009" t="s">
        <v>3</v>
      </c>
      <c r="CO1009">
        <v>0</v>
      </c>
      <c r="CP1009">
        <f t="shared" si="731"/>
        <v>6811.12</v>
      </c>
      <c r="CQ1009">
        <f t="shared" si="732"/>
        <v>82.44</v>
      </c>
      <c r="CR1009">
        <f t="shared" si="733"/>
        <v>0</v>
      </c>
      <c r="CS1009">
        <f t="shared" si="734"/>
        <v>0</v>
      </c>
      <c r="CT1009">
        <f t="shared" si="735"/>
        <v>0</v>
      </c>
      <c r="CU1009">
        <f t="shared" si="736"/>
        <v>0</v>
      </c>
      <c r="CV1009">
        <f t="shared" si="737"/>
        <v>0</v>
      </c>
      <c r="CW1009">
        <f t="shared" si="738"/>
        <v>0</v>
      </c>
      <c r="CX1009">
        <f t="shared" si="739"/>
        <v>0</v>
      </c>
      <c r="CY1009">
        <f t="shared" si="740"/>
        <v>0</v>
      </c>
      <c r="CZ1009">
        <f t="shared" si="741"/>
        <v>0</v>
      </c>
      <c r="DC1009" t="s">
        <v>3</v>
      </c>
      <c r="DD1009" t="s">
        <v>3</v>
      </c>
      <c r="DE1009" t="s">
        <v>3</v>
      </c>
      <c r="DF1009" t="s">
        <v>3</v>
      </c>
      <c r="DG1009" t="s">
        <v>3</v>
      </c>
      <c r="DH1009" t="s">
        <v>3</v>
      </c>
      <c r="DI1009" t="s">
        <v>3</v>
      </c>
      <c r="DJ1009" t="s">
        <v>3</v>
      </c>
      <c r="DK1009" t="s">
        <v>3</v>
      </c>
      <c r="DL1009" t="s">
        <v>3</v>
      </c>
      <c r="DM1009" t="s">
        <v>3</v>
      </c>
      <c r="DN1009">
        <v>105</v>
      </c>
      <c r="DO1009">
        <v>77</v>
      </c>
      <c r="DP1009">
        <v>1</v>
      </c>
      <c r="DQ1009">
        <v>1</v>
      </c>
      <c r="DU1009">
        <v>1009</v>
      </c>
      <c r="DV1009" t="s">
        <v>300</v>
      </c>
      <c r="DW1009" t="s">
        <v>300</v>
      </c>
      <c r="DX1009">
        <v>1</v>
      </c>
      <c r="EE1009">
        <v>33797682</v>
      </c>
      <c r="EF1009">
        <v>30</v>
      </c>
      <c r="EG1009" t="s">
        <v>77</v>
      </c>
      <c r="EH1009">
        <v>0</v>
      </c>
      <c r="EI1009" t="s">
        <v>3</v>
      </c>
      <c r="EJ1009">
        <v>1</v>
      </c>
      <c r="EK1009">
        <v>97</v>
      </c>
      <c r="EL1009" t="s">
        <v>541</v>
      </c>
      <c r="EM1009" t="s">
        <v>542</v>
      </c>
      <c r="EO1009" t="s">
        <v>3</v>
      </c>
      <c r="EQ1009">
        <v>0</v>
      </c>
      <c r="ER1009">
        <v>48.21</v>
      </c>
      <c r="ES1009">
        <v>48.21</v>
      </c>
      <c r="ET1009">
        <v>0</v>
      </c>
      <c r="EU1009">
        <v>0</v>
      </c>
      <c r="EV1009">
        <v>0</v>
      </c>
      <c r="EW1009">
        <v>0</v>
      </c>
      <c r="EX1009">
        <v>0</v>
      </c>
      <c r="FQ1009">
        <v>0</v>
      </c>
      <c r="FR1009">
        <f t="shared" si="742"/>
        <v>0</v>
      </c>
      <c r="FS1009">
        <v>0</v>
      </c>
      <c r="FX1009">
        <v>105</v>
      </c>
      <c r="FY1009">
        <v>77</v>
      </c>
      <c r="GA1009" t="s">
        <v>3</v>
      </c>
      <c r="GD1009">
        <v>0</v>
      </c>
      <c r="GF1009">
        <v>-1866386001</v>
      </c>
      <c r="GG1009">
        <v>2</v>
      </c>
      <c r="GH1009">
        <v>1</v>
      </c>
      <c r="GI1009">
        <v>2</v>
      </c>
      <c r="GJ1009">
        <v>0</v>
      </c>
      <c r="GK1009">
        <f>ROUND(R1009*(R12)/100,2)</f>
        <v>0</v>
      </c>
      <c r="GL1009">
        <f t="shared" si="743"/>
        <v>0</v>
      </c>
      <c r="GM1009">
        <f t="shared" si="744"/>
        <v>6811.12</v>
      </c>
      <c r="GN1009">
        <f t="shared" si="745"/>
        <v>6811.12</v>
      </c>
      <c r="GO1009">
        <f t="shared" si="746"/>
        <v>0</v>
      </c>
      <c r="GP1009">
        <f t="shared" si="747"/>
        <v>0</v>
      </c>
      <c r="GR1009">
        <v>0</v>
      </c>
      <c r="GS1009">
        <v>3</v>
      </c>
      <c r="GT1009">
        <v>0</v>
      </c>
      <c r="GU1009" t="s">
        <v>3</v>
      </c>
      <c r="GV1009">
        <f t="shared" si="748"/>
        <v>0</v>
      </c>
      <c r="GW1009">
        <v>1</v>
      </c>
      <c r="GX1009">
        <f t="shared" si="749"/>
        <v>0</v>
      </c>
      <c r="HA1009">
        <v>0</v>
      </c>
      <c r="HB1009">
        <v>0</v>
      </c>
      <c r="HC1009">
        <f t="shared" si="750"/>
        <v>0</v>
      </c>
      <c r="IK1009">
        <v>0</v>
      </c>
    </row>
    <row r="1010" spans="1:245" x14ac:dyDescent="0.2">
      <c r="A1010">
        <v>17</v>
      </c>
      <c r="B1010">
        <v>1</v>
      </c>
      <c r="C1010">
        <f>ROW(SmtRes!A340)</f>
        <v>340</v>
      </c>
      <c r="D1010">
        <f>ROW(EtalonRes!A342)</f>
        <v>342</v>
      </c>
      <c r="E1010" t="s">
        <v>547</v>
      </c>
      <c r="F1010" t="s">
        <v>548</v>
      </c>
      <c r="G1010" t="s">
        <v>549</v>
      </c>
      <c r="H1010" t="s">
        <v>18</v>
      </c>
      <c r="I1010">
        <f>ROUND((I1008)/100,5)</f>
        <v>9.1800000000000007E-2</v>
      </c>
      <c r="J1010">
        <v>0</v>
      </c>
      <c r="O1010">
        <f t="shared" si="711"/>
        <v>105.24</v>
      </c>
      <c r="P1010">
        <f t="shared" si="712"/>
        <v>46.75</v>
      </c>
      <c r="Q1010">
        <f t="shared" si="713"/>
        <v>1.34</v>
      </c>
      <c r="R1010">
        <f t="shared" si="714"/>
        <v>0.74</v>
      </c>
      <c r="S1010">
        <f t="shared" si="715"/>
        <v>57.15</v>
      </c>
      <c r="T1010">
        <f t="shared" si="716"/>
        <v>0</v>
      </c>
      <c r="U1010">
        <f t="shared" si="717"/>
        <v>0.19553400000000001</v>
      </c>
      <c r="V1010">
        <f t="shared" si="718"/>
        <v>0</v>
      </c>
      <c r="W1010">
        <f t="shared" si="719"/>
        <v>0</v>
      </c>
      <c r="X1010">
        <f t="shared" si="720"/>
        <v>48.58</v>
      </c>
      <c r="Y1010">
        <f t="shared" si="721"/>
        <v>23.43</v>
      </c>
      <c r="AA1010">
        <v>33989672</v>
      </c>
      <c r="AB1010">
        <f t="shared" si="722"/>
        <v>314.5</v>
      </c>
      <c r="AC1010">
        <f t="shared" si="723"/>
        <v>287.64999999999998</v>
      </c>
      <c r="AD1010">
        <f t="shared" si="724"/>
        <v>1.5</v>
      </c>
      <c r="AE1010">
        <f t="shared" si="725"/>
        <v>0.31</v>
      </c>
      <c r="AF1010">
        <f t="shared" si="726"/>
        <v>25.35</v>
      </c>
      <c r="AG1010">
        <f t="shared" si="727"/>
        <v>0</v>
      </c>
      <c r="AH1010">
        <f t="shared" si="728"/>
        <v>2.13</v>
      </c>
      <c r="AI1010">
        <f t="shared" si="729"/>
        <v>0</v>
      </c>
      <c r="AJ1010">
        <f t="shared" si="730"/>
        <v>0</v>
      </c>
      <c r="AK1010">
        <v>314.5</v>
      </c>
      <c r="AL1010">
        <v>287.64999999999998</v>
      </c>
      <c r="AM1010">
        <v>1.5</v>
      </c>
      <c r="AN1010">
        <v>0.31</v>
      </c>
      <c r="AO1010">
        <v>25.35</v>
      </c>
      <c r="AP1010">
        <v>0</v>
      </c>
      <c r="AQ1010">
        <v>2.13</v>
      </c>
      <c r="AR1010">
        <v>0</v>
      </c>
      <c r="AS1010">
        <v>0</v>
      </c>
      <c r="AT1010">
        <v>85</v>
      </c>
      <c r="AU1010">
        <v>41</v>
      </c>
      <c r="AV1010">
        <v>1</v>
      </c>
      <c r="AW1010">
        <v>1</v>
      </c>
      <c r="AZ1010">
        <v>1</v>
      </c>
      <c r="BA1010">
        <v>24.53</v>
      </c>
      <c r="BB1010">
        <v>9.5399999999999991</v>
      </c>
      <c r="BC1010">
        <v>1.77</v>
      </c>
      <c r="BD1010" t="s">
        <v>3</v>
      </c>
      <c r="BE1010" t="s">
        <v>3</v>
      </c>
      <c r="BF1010" t="s">
        <v>3</v>
      </c>
      <c r="BG1010" t="s">
        <v>3</v>
      </c>
      <c r="BH1010">
        <v>0</v>
      </c>
      <c r="BI1010">
        <v>1</v>
      </c>
      <c r="BJ1010" t="s">
        <v>550</v>
      </c>
      <c r="BM1010">
        <v>97</v>
      </c>
      <c r="BN1010">
        <v>0</v>
      </c>
      <c r="BO1010" t="s">
        <v>548</v>
      </c>
      <c r="BP1010">
        <v>1</v>
      </c>
      <c r="BQ1010">
        <v>30</v>
      </c>
      <c r="BR1010">
        <v>0</v>
      </c>
      <c r="BS1010">
        <v>24.53</v>
      </c>
      <c r="BT1010">
        <v>1</v>
      </c>
      <c r="BU1010">
        <v>1</v>
      </c>
      <c r="BV1010">
        <v>1</v>
      </c>
      <c r="BW1010">
        <v>1</v>
      </c>
      <c r="BX1010">
        <v>1</v>
      </c>
      <c r="BY1010" t="s">
        <v>3</v>
      </c>
      <c r="BZ1010">
        <v>85</v>
      </c>
      <c r="CA1010">
        <v>41</v>
      </c>
      <c r="CE1010">
        <v>30</v>
      </c>
      <c r="CF1010">
        <v>0</v>
      </c>
      <c r="CG1010">
        <v>0</v>
      </c>
      <c r="CM1010">
        <v>0</v>
      </c>
      <c r="CN1010" t="s">
        <v>3</v>
      </c>
      <c r="CO1010">
        <v>0</v>
      </c>
      <c r="CP1010">
        <f t="shared" si="731"/>
        <v>105.24000000000001</v>
      </c>
      <c r="CQ1010">
        <f t="shared" si="732"/>
        <v>509.14</v>
      </c>
      <c r="CR1010">
        <f t="shared" si="733"/>
        <v>14.31</v>
      </c>
      <c r="CS1010">
        <f t="shared" si="734"/>
        <v>7.6</v>
      </c>
      <c r="CT1010">
        <f t="shared" si="735"/>
        <v>621.84</v>
      </c>
      <c r="CU1010">
        <f t="shared" si="736"/>
        <v>0</v>
      </c>
      <c r="CV1010">
        <f t="shared" si="737"/>
        <v>2.13</v>
      </c>
      <c r="CW1010">
        <f t="shared" si="738"/>
        <v>0</v>
      </c>
      <c r="CX1010">
        <f t="shared" si="739"/>
        <v>0</v>
      </c>
      <c r="CY1010">
        <f t="shared" si="740"/>
        <v>48.577500000000001</v>
      </c>
      <c r="CZ1010">
        <f t="shared" si="741"/>
        <v>23.4315</v>
      </c>
      <c r="DC1010" t="s">
        <v>3</v>
      </c>
      <c r="DD1010" t="s">
        <v>3</v>
      </c>
      <c r="DE1010" t="s">
        <v>3</v>
      </c>
      <c r="DF1010" t="s">
        <v>3</v>
      </c>
      <c r="DG1010" t="s">
        <v>3</v>
      </c>
      <c r="DH1010" t="s">
        <v>3</v>
      </c>
      <c r="DI1010" t="s">
        <v>3</v>
      </c>
      <c r="DJ1010" t="s">
        <v>3</v>
      </c>
      <c r="DK1010" t="s">
        <v>3</v>
      </c>
      <c r="DL1010" t="s">
        <v>3</v>
      </c>
      <c r="DM1010" t="s">
        <v>3</v>
      </c>
      <c r="DN1010">
        <v>105</v>
      </c>
      <c r="DO1010">
        <v>77</v>
      </c>
      <c r="DP1010">
        <v>1</v>
      </c>
      <c r="DQ1010">
        <v>1</v>
      </c>
      <c r="DU1010">
        <v>1005</v>
      </c>
      <c r="DV1010" t="s">
        <v>18</v>
      </c>
      <c r="DW1010" t="s">
        <v>18</v>
      </c>
      <c r="DX1010">
        <v>100</v>
      </c>
      <c r="EE1010">
        <v>33797682</v>
      </c>
      <c r="EF1010">
        <v>30</v>
      </c>
      <c r="EG1010" t="s">
        <v>77</v>
      </c>
      <c r="EH1010">
        <v>0</v>
      </c>
      <c r="EI1010" t="s">
        <v>3</v>
      </c>
      <c r="EJ1010">
        <v>1</v>
      </c>
      <c r="EK1010">
        <v>97</v>
      </c>
      <c r="EL1010" t="s">
        <v>541</v>
      </c>
      <c r="EM1010" t="s">
        <v>542</v>
      </c>
      <c r="EO1010" t="s">
        <v>3</v>
      </c>
      <c r="EQ1010">
        <v>131072</v>
      </c>
      <c r="ER1010">
        <v>314.5</v>
      </c>
      <c r="ES1010">
        <v>287.64999999999998</v>
      </c>
      <c r="ET1010">
        <v>1.5</v>
      </c>
      <c r="EU1010">
        <v>0.31</v>
      </c>
      <c r="EV1010">
        <v>25.35</v>
      </c>
      <c r="EW1010">
        <v>2.13</v>
      </c>
      <c r="EX1010">
        <v>0</v>
      </c>
      <c r="EY1010">
        <v>0</v>
      </c>
      <c r="FQ1010">
        <v>0</v>
      </c>
      <c r="FR1010">
        <f t="shared" si="742"/>
        <v>0</v>
      </c>
      <c r="FS1010">
        <v>0</v>
      </c>
      <c r="FX1010">
        <v>105</v>
      </c>
      <c r="FY1010">
        <v>77</v>
      </c>
      <c r="GA1010" t="s">
        <v>3</v>
      </c>
      <c r="GD1010">
        <v>0</v>
      </c>
      <c r="GF1010">
        <v>-1326803469</v>
      </c>
      <c r="GG1010">
        <v>2</v>
      </c>
      <c r="GH1010">
        <v>1</v>
      </c>
      <c r="GI1010">
        <v>2</v>
      </c>
      <c r="GJ1010">
        <v>0</v>
      </c>
      <c r="GK1010">
        <f>ROUND(R1010*(R12)/100,2)</f>
        <v>1.1599999999999999</v>
      </c>
      <c r="GL1010">
        <f t="shared" si="743"/>
        <v>0</v>
      </c>
      <c r="GM1010">
        <f t="shared" si="744"/>
        <v>178.41</v>
      </c>
      <c r="GN1010">
        <f t="shared" si="745"/>
        <v>178.41</v>
      </c>
      <c r="GO1010">
        <f t="shared" si="746"/>
        <v>0</v>
      </c>
      <c r="GP1010">
        <f t="shared" si="747"/>
        <v>0</v>
      </c>
      <c r="GR1010">
        <v>0</v>
      </c>
      <c r="GS1010">
        <v>3</v>
      </c>
      <c r="GT1010">
        <v>0</v>
      </c>
      <c r="GU1010" t="s">
        <v>3</v>
      </c>
      <c r="GV1010">
        <f t="shared" si="748"/>
        <v>0</v>
      </c>
      <c r="GW1010">
        <v>1</v>
      </c>
      <c r="GX1010">
        <f t="shared" si="749"/>
        <v>0</v>
      </c>
      <c r="HA1010">
        <v>0</v>
      </c>
      <c r="HB1010">
        <v>0</v>
      </c>
      <c r="HC1010">
        <f t="shared" si="750"/>
        <v>0</v>
      </c>
      <c r="IK1010">
        <v>0</v>
      </c>
    </row>
    <row r="1012" spans="1:245" x14ac:dyDescent="0.2">
      <c r="A1012" s="2">
        <v>51</v>
      </c>
      <c r="B1012" s="2">
        <f>B997</f>
        <v>1</v>
      </c>
      <c r="C1012" s="2">
        <f>A997</f>
        <v>4</v>
      </c>
      <c r="D1012" s="2">
        <f>ROW(A997)</f>
        <v>997</v>
      </c>
      <c r="E1012" s="2"/>
      <c r="F1012" s="2" t="str">
        <f>IF(F997&lt;&gt;"",F997,"")</f>
        <v>Новый раздел</v>
      </c>
      <c r="G1012" s="2" t="str">
        <f>IF(G997&lt;&gt;"",G997,"")</f>
        <v>36. Установка ограждения детской площадки 1,2 м</v>
      </c>
      <c r="H1012" s="2">
        <v>0</v>
      </c>
      <c r="I1012" s="2"/>
      <c r="J1012" s="2"/>
      <c r="K1012" s="2"/>
      <c r="L1012" s="2"/>
      <c r="M1012" s="2"/>
      <c r="N1012" s="2"/>
      <c r="O1012" s="2">
        <f t="shared" ref="O1012:T1012" si="751">ROUND(AB1012,2)</f>
        <v>1166150.49</v>
      </c>
      <c r="P1012" s="2">
        <f t="shared" si="751"/>
        <v>519876.06</v>
      </c>
      <c r="Q1012" s="2">
        <f t="shared" si="751"/>
        <v>70250.92</v>
      </c>
      <c r="R1012" s="2">
        <f t="shared" si="751"/>
        <v>37465.660000000003</v>
      </c>
      <c r="S1012" s="2">
        <f t="shared" si="751"/>
        <v>576023.51</v>
      </c>
      <c r="T1012" s="2">
        <f t="shared" si="751"/>
        <v>0</v>
      </c>
      <c r="U1012" s="2">
        <f>AH1012</f>
        <v>2014.4453457669601</v>
      </c>
      <c r="V1012" s="2">
        <f>AI1012</f>
        <v>0</v>
      </c>
      <c r="W1012" s="2">
        <f>ROUND(AJ1012,2)</f>
        <v>0</v>
      </c>
      <c r="X1012" s="2">
        <f>ROUND(AK1012,2)</f>
        <v>517583.67</v>
      </c>
      <c r="Y1012" s="2">
        <f>ROUND(AL1012,2)</f>
        <v>236169.64</v>
      </c>
      <c r="Z1012" s="2"/>
      <c r="AA1012" s="2"/>
      <c r="AB1012" s="2">
        <f>ROUND(SUMIF(AA1001:AA1010,"=33989672",O1001:O1010),2)</f>
        <v>1166150.49</v>
      </c>
      <c r="AC1012" s="2">
        <f>ROUND(SUMIF(AA1001:AA1010,"=33989672",P1001:P1010),2)</f>
        <v>519876.06</v>
      </c>
      <c r="AD1012" s="2">
        <f>ROUND(SUMIF(AA1001:AA1010,"=33989672",Q1001:Q1010),2)</f>
        <v>70250.92</v>
      </c>
      <c r="AE1012" s="2">
        <f>ROUND(SUMIF(AA1001:AA1010,"=33989672",R1001:R1010),2)</f>
        <v>37465.660000000003</v>
      </c>
      <c r="AF1012" s="2">
        <f>ROUND(SUMIF(AA1001:AA1010,"=33989672",S1001:S1010),2)</f>
        <v>576023.51</v>
      </c>
      <c r="AG1012" s="2">
        <f>ROUND(SUMIF(AA1001:AA1010,"=33989672",T1001:T1010),2)</f>
        <v>0</v>
      </c>
      <c r="AH1012" s="2">
        <f>SUMIF(AA1001:AA1010,"=33989672",U1001:U1010)</f>
        <v>2014.4453457669601</v>
      </c>
      <c r="AI1012" s="2">
        <f>SUMIF(AA1001:AA1010,"=33989672",V1001:V1010)</f>
        <v>0</v>
      </c>
      <c r="AJ1012" s="2">
        <f>ROUND(SUMIF(AA1001:AA1010,"=33989672",W1001:W1010),2)</f>
        <v>0</v>
      </c>
      <c r="AK1012" s="2">
        <f>ROUND(SUMIF(AA1001:AA1010,"=33989672",X1001:X1010),2)</f>
        <v>517583.67</v>
      </c>
      <c r="AL1012" s="2">
        <f>ROUND(SUMIF(AA1001:AA1010,"=33989672",Y1001:Y1010),2)</f>
        <v>236169.64</v>
      </c>
      <c r="AM1012" s="2"/>
      <c r="AN1012" s="2"/>
      <c r="AO1012" s="2">
        <f t="shared" ref="AO1012:BD1012" si="752">ROUND(BX1012,2)</f>
        <v>0</v>
      </c>
      <c r="AP1012" s="2">
        <f t="shared" si="752"/>
        <v>0</v>
      </c>
      <c r="AQ1012" s="2">
        <f t="shared" si="752"/>
        <v>0</v>
      </c>
      <c r="AR1012" s="2">
        <f t="shared" si="752"/>
        <v>1978724.89</v>
      </c>
      <c r="AS1012" s="2">
        <f t="shared" si="752"/>
        <v>1978724.89</v>
      </c>
      <c r="AT1012" s="2">
        <f t="shared" si="752"/>
        <v>0</v>
      </c>
      <c r="AU1012" s="2">
        <f t="shared" si="752"/>
        <v>0</v>
      </c>
      <c r="AV1012" s="2">
        <f t="shared" si="752"/>
        <v>519876.06</v>
      </c>
      <c r="AW1012" s="2">
        <f t="shared" si="752"/>
        <v>519876.06</v>
      </c>
      <c r="AX1012" s="2">
        <f t="shared" si="752"/>
        <v>0</v>
      </c>
      <c r="AY1012" s="2">
        <f t="shared" si="752"/>
        <v>519876.06</v>
      </c>
      <c r="AZ1012" s="2">
        <f t="shared" si="752"/>
        <v>0</v>
      </c>
      <c r="BA1012" s="2">
        <f t="shared" si="752"/>
        <v>0</v>
      </c>
      <c r="BB1012" s="2">
        <f t="shared" si="752"/>
        <v>0</v>
      </c>
      <c r="BC1012" s="2">
        <f t="shared" si="752"/>
        <v>0</v>
      </c>
      <c r="BD1012" s="2">
        <f t="shared" si="752"/>
        <v>0</v>
      </c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>
        <f>ROUND(SUMIF(AA1001:AA1010,"=33989672",FQ1001:FQ1010),2)</f>
        <v>0</v>
      </c>
      <c r="BY1012" s="2">
        <f>ROUND(SUMIF(AA1001:AA1010,"=33989672",FR1001:FR1010),2)</f>
        <v>0</v>
      </c>
      <c r="BZ1012" s="2">
        <f>ROUND(SUMIF(AA1001:AA1010,"=33989672",GL1001:GL1010),2)</f>
        <v>0</v>
      </c>
      <c r="CA1012" s="2">
        <f>ROUND(SUMIF(AA1001:AA1010,"=33989672",GM1001:GM1010),2)</f>
        <v>1978724.89</v>
      </c>
      <c r="CB1012" s="2">
        <f>ROUND(SUMIF(AA1001:AA1010,"=33989672",GN1001:GN1010),2)</f>
        <v>1978724.89</v>
      </c>
      <c r="CC1012" s="2">
        <f>ROUND(SUMIF(AA1001:AA1010,"=33989672",GO1001:GO1010),2)</f>
        <v>0</v>
      </c>
      <c r="CD1012" s="2">
        <f>ROUND(SUMIF(AA1001:AA1010,"=33989672",GP1001:GP1010),2)</f>
        <v>0</v>
      </c>
      <c r="CE1012" s="2">
        <f>AC1012-BX1012</f>
        <v>519876.06</v>
      </c>
      <c r="CF1012" s="2">
        <f>AC1012-BY1012</f>
        <v>519876.06</v>
      </c>
      <c r="CG1012" s="2">
        <f>BX1012-BZ1012</f>
        <v>0</v>
      </c>
      <c r="CH1012" s="2">
        <f>AC1012-BX1012-BY1012+BZ1012</f>
        <v>519876.06</v>
      </c>
      <c r="CI1012" s="2">
        <f>BY1012-BZ1012</f>
        <v>0</v>
      </c>
      <c r="CJ1012" s="2">
        <f>ROUND(SUMIF(AA1001:AA1010,"=33989672",GX1001:GX1010),2)</f>
        <v>0</v>
      </c>
      <c r="CK1012" s="2">
        <f>ROUND(SUMIF(AA1001:AA1010,"=33989672",GY1001:GY1010),2)</f>
        <v>0</v>
      </c>
      <c r="CL1012" s="2">
        <f>ROUND(SUMIF(AA1001:AA1010,"=33989672",GZ1001:GZ1010),2)</f>
        <v>0</v>
      </c>
      <c r="CM1012" s="2">
        <f>ROUND(SUMIF(AA1001:AA1010,"=33989672",HD1001:HD1010),2)</f>
        <v>0</v>
      </c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  <c r="DQ1012" s="3"/>
      <c r="DR1012" s="3"/>
      <c r="DS1012" s="3"/>
      <c r="DT1012" s="3"/>
      <c r="DU1012" s="3"/>
      <c r="DV1012" s="3"/>
      <c r="DW1012" s="3"/>
      <c r="DX1012" s="3"/>
      <c r="DY1012" s="3"/>
      <c r="DZ1012" s="3"/>
      <c r="EA1012" s="3"/>
      <c r="EB1012" s="3"/>
      <c r="EC1012" s="3"/>
      <c r="ED1012" s="3"/>
      <c r="EE1012" s="3"/>
      <c r="EF1012" s="3"/>
      <c r="EG1012" s="3"/>
      <c r="EH1012" s="3"/>
      <c r="EI1012" s="3"/>
      <c r="EJ1012" s="3"/>
      <c r="EK1012" s="3"/>
      <c r="EL1012" s="3"/>
      <c r="EM1012" s="3"/>
      <c r="EN1012" s="3"/>
      <c r="EO1012" s="3"/>
      <c r="EP1012" s="3"/>
      <c r="EQ1012" s="3"/>
      <c r="ER1012" s="3"/>
      <c r="ES1012" s="3"/>
      <c r="ET1012" s="3"/>
      <c r="EU1012" s="3"/>
      <c r="EV1012" s="3"/>
      <c r="EW1012" s="3"/>
      <c r="EX1012" s="3"/>
      <c r="EY1012" s="3"/>
      <c r="EZ1012" s="3"/>
      <c r="FA1012" s="3"/>
      <c r="FB1012" s="3"/>
      <c r="FC1012" s="3"/>
      <c r="FD1012" s="3"/>
      <c r="FE1012" s="3"/>
      <c r="FF1012" s="3"/>
      <c r="FG1012" s="3"/>
      <c r="FH1012" s="3"/>
      <c r="FI1012" s="3"/>
      <c r="FJ1012" s="3"/>
      <c r="FK1012" s="3"/>
      <c r="FL1012" s="3"/>
      <c r="FM1012" s="3"/>
      <c r="FN1012" s="3"/>
      <c r="FO1012" s="3"/>
      <c r="FP1012" s="3"/>
      <c r="FQ1012" s="3"/>
      <c r="FR1012" s="3"/>
      <c r="FS1012" s="3"/>
      <c r="FT1012" s="3"/>
      <c r="FU1012" s="3"/>
      <c r="FV1012" s="3"/>
      <c r="FW1012" s="3"/>
      <c r="FX1012" s="3"/>
      <c r="FY1012" s="3"/>
      <c r="FZ1012" s="3"/>
      <c r="GA1012" s="3"/>
      <c r="GB1012" s="3"/>
      <c r="GC1012" s="3"/>
      <c r="GD1012" s="3"/>
      <c r="GE1012" s="3"/>
      <c r="GF1012" s="3"/>
      <c r="GG1012" s="3"/>
      <c r="GH1012" s="3"/>
      <c r="GI1012" s="3"/>
      <c r="GJ1012" s="3"/>
      <c r="GK1012" s="3"/>
      <c r="GL1012" s="3"/>
      <c r="GM1012" s="3"/>
      <c r="GN1012" s="3"/>
      <c r="GO1012" s="3"/>
      <c r="GP1012" s="3"/>
      <c r="GQ1012" s="3"/>
      <c r="GR1012" s="3"/>
      <c r="GS1012" s="3"/>
      <c r="GT1012" s="3"/>
      <c r="GU1012" s="3"/>
      <c r="GV1012" s="3"/>
      <c r="GW1012" s="3"/>
      <c r="GX1012" s="3">
        <v>0</v>
      </c>
    </row>
    <row r="1014" spans="1:245" x14ac:dyDescent="0.2">
      <c r="A1014" s="4">
        <v>50</v>
      </c>
      <c r="B1014" s="4">
        <v>0</v>
      </c>
      <c r="C1014" s="4">
        <v>0</v>
      </c>
      <c r="D1014" s="4">
        <v>1</v>
      </c>
      <c r="E1014" s="4">
        <v>201</v>
      </c>
      <c r="F1014" s="4">
        <f>ROUND(Source!O1012,O1014)</f>
        <v>1166150.49</v>
      </c>
      <c r="G1014" s="4" t="s">
        <v>89</v>
      </c>
      <c r="H1014" s="4" t="s">
        <v>90</v>
      </c>
      <c r="I1014" s="4"/>
      <c r="J1014" s="4"/>
      <c r="K1014" s="4">
        <v>201</v>
      </c>
      <c r="L1014" s="4">
        <v>1</v>
      </c>
      <c r="M1014" s="4">
        <v>3</v>
      </c>
      <c r="N1014" s="4" t="s">
        <v>3</v>
      </c>
      <c r="O1014" s="4">
        <v>2</v>
      </c>
      <c r="P1014" s="4"/>
      <c r="Q1014" s="4"/>
      <c r="R1014" s="4"/>
      <c r="S1014" s="4"/>
      <c r="T1014" s="4"/>
      <c r="U1014" s="4"/>
      <c r="V1014" s="4"/>
      <c r="W1014" s="4"/>
    </row>
    <row r="1015" spans="1:245" x14ac:dyDescent="0.2">
      <c r="A1015" s="4">
        <v>50</v>
      </c>
      <c r="B1015" s="4">
        <v>0</v>
      </c>
      <c r="C1015" s="4">
        <v>0</v>
      </c>
      <c r="D1015" s="4">
        <v>1</v>
      </c>
      <c r="E1015" s="4">
        <v>202</v>
      </c>
      <c r="F1015" s="4">
        <f>ROUND(Source!P1012,O1015)</f>
        <v>519876.06</v>
      </c>
      <c r="G1015" s="4" t="s">
        <v>91</v>
      </c>
      <c r="H1015" s="4" t="s">
        <v>92</v>
      </c>
      <c r="I1015" s="4"/>
      <c r="J1015" s="4"/>
      <c r="K1015" s="4">
        <v>202</v>
      </c>
      <c r="L1015" s="4">
        <v>2</v>
      </c>
      <c r="M1015" s="4">
        <v>3</v>
      </c>
      <c r="N1015" s="4" t="s">
        <v>3</v>
      </c>
      <c r="O1015" s="4">
        <v>2</v>
      </c>
      <c r="P1015" s="4"/>
      <c r="Q1015" s="4"/>
      <c r="R1015" s="4"/>
      <c r="S1015" s="4"/>
      <c r="T1015" s="4"/>
      <c r="U1015" s="4"/>
      <c r="V1015" s="4"/>
      <c r="W1015" s="4"/>
    </row>
    <row r="1016" spans="1:245" x14ac:dyDescent="0.2">
      <c r="A1016" s="4">
        <v>50</v>
      </c>
      <c r="B1016" s="4">
        <v>0</v>
      </c>
      <c r="C1016" s="4">
        <v>0</v>
      </c>
      <c r="D1016" s="4">
        <v>1</v>
      </c>
      <c r="E1016" s="4">
        <v>222</v>
      </c>
      <c r="F1016" s="4">
        <f>ROUND(Source!AO1012,O1016)</f>
        <v>0</v>
      </c>
      <c r="G1016" s="4" t="s">
        <v>93</v>
      </c>
      <c r="H1016" s="4" t="s">
        <v>94</v>
      </c>
      <c r="I1016" s="4"/>
      <c r="J1016" s="4"/>
      <c r="K1016" s="4">
        <v>222</v>
      </c>
      <c r="L1016" s="4">
        <v>3</v>
      </c>
      <c r="M1016" s="4">
        <v>3</v>
      </c>
      <c r="N1016" s="4" t="s">
        <v>3</v>
      </c>
      <c r="O1016" s="4">
        <v>2</v>
      </c>
      <c r="P1016" s="4"/>
      <c r="Q1016" s="4"/>
      <c r="R1016" s="4"/>
      <c r="S1016" s="4"/>
      <c r="T1016" s="4"/>
      <c r="U1016" s="4"/>
      <c r="V1016" s="4"/>
      <c r="W1016" s="4"/>
    </row>
    <row r="1017" spans="1:245" x14ac:dyDescent="0.2">
      <c r="A1017" s="4">
        <v>50</v>
      </c>
      <c r="B1017" s="4">
        <v>0</v>
      </c>
      <c r="C1017" s="4">
        <v>0</v>
      </c>
      <c r="D1017" s="4">
        <v>1</v>
      </c>
      <c r="E1017" s="4">
        <v>225</v>
      </c>
      <c r="F1017" s="4">
        <f>ROUND(Source!AV1012,O1017)</f>
        <v>519876.06</v>
      </c>
      <c r="G1017" s="4" t="s">
        <v>95</v>
      </c>
      <c r="H1017" s="4" t="s">
        <v>96</v>
      </c>
      <c r="I1017" s="4"/>
      <c r="J1017" s="4"/>
      <c r="K1017" s="4">
        <v>225</v>
      </c>
      <c r="L1017" s="4">
        <v>4</v>
      </c>
      <c r="M1017" s="4">
        <v>3</v>
      </c>
      <c r="N1017" s="4" t="s">
        <v>3</v>
      </c>
      <c r="O1017" s="4">
        <v>2</v>
      </c>
      <c r="P1017" s="4"/>
      <c r="Q1017" s="4"/>
      <c r="R1017" s="4"/>
      <c r="S1017" s="4"/>
      <c r="T1017" s="4"/>
      <c r="U1017" s="4"/>
      <c r="V1017" s="4"/>
      <c r="W1017" s="4"/>
    </row>
    <row r="1018" spans="1:245" x14ac:dyDescent="0.2">
      <c r="A1018" s="4">
        <v>50</v>
      </c>
      <c r="B1018" s="4">
        <v>0</v>
      </c>
      <c r="C1018" s="4">
        <v>0</v>
      </c>
      <c r="D1018" s="4">
        <v>1</v>
      </c>
      <c r="E1018" s="4">
        <v>226</v>
      </c>
      <c r="F1018" s="4">
        <f>ROUND(Source!AW1012,O1018)</f>
        <v>519876.06</v>
      </c>
      <c r="G1018" s="4" t="s">
        <v>97</v>
      </c>
      <c r="H1018" s="4" t="s">
        <v>98</v>
      </c>
      <c r="I1018" s="4"/>
      <c r="J1018" s="4"/>
      <c r="K1018" s="4">
        <v>226</v>
      </c>
      <c r="L1018" s="4">
        <v>5</v>
      </c>
      <c r="M1018" s="4">
        <v>3</v>
      </c>
      <c r="N1018" s="4" t="s">
        <v>3</v>
      </c>
      <c r="O1018" s="4">
        <v>2</v>
      </c>
      <c r="P1018" s="4"/>
      <c r="Q1018" s="4"/>
      <c r="R1018" s="4"/>
      <c r="S1018" s="4"/>
      <c r="T1018" s="4"/>
      <c r="U1018" s="4"/>
      <c r="V1018" s="4"/>
      <c r="W1018" s="4"/>
    </row>
    <row r="1019" spans="1:245" x14ac:dyDescent="0.2">
      <c r="A1019" s="4">
        <v>50</v>
      </c>
      <c r="B1019" s="4">
        <v>0</v>
      </c>
      <c r="C1019" s="4">
        <v>0</v>
      </c>
      <c r="D1019" s="4">
        <v>1</v>
      </c>
      <c r="E1019" s="4">
        <v>227</v>
      </c>
      <c r="F1019" s="4">
        <f>ROUND(Source!AX1012,O1019)</f>
        <v>0</v>
      </c>
      <c r="G1019" s="4" t="s">
        <v>99</v>
      </c>
      <c r="H1019" s="4" t="s">
        <v>100</v>
      </c>
      <c r="I1019" s="4"/>
      <c r="J1019" s="4"/>
      <c r="K1019" s="4">
        <v>227</v>
      </c>
      <c r="L1019" s="4">
        <v>6</v>
      </c>
      <c r="M1019" s="4">
        <v>3</v>
      </c>
      <c r="N1019" s="4" t="s">
        <v>3</v>
      </c>
      <c r="O1019" s="4">
        <v>2</v>
      </c>
      <c r="P1019" s="4"/>
      <c r="Q1019" s="4"/>
      <c r="R1019" s="4"/>
      <c r="S1019" s="4"/>
      <c r="T1019" s="4"/>
      <c r="U1019" s="4"/>
      <c r="V1019" s="4"/>
      <c r="W1019" s="4"/>
    </row>
    <row r="1020" spans="1:245" x14ac:dyDescent="0.2">
      <c r="A1020" s="4">
        <v>50</v>
      </c>
      <c r="B1020" s="4">
        <v>0</v>
      </c>
      <c r="C1020" s="4">
        <v>0</v>
      </c>
      <c r="D1020" s="4">
        <v>1</v>
      </c>
      <c r="E1020" s="4">
        <v>228</v>
      </c>
      <c r="F1020" s="4">
        <f>ROUND(Source!AY1012,O1020)</f>
        <v>519876.06</v>
      </c>
      <c r="G1020" s="4" t="s">
        <v>101</v>
      </c>
      <c r="H1020" s="4" t="s">
        <v>102</v>
      </c>
      <c r="I1020" s="4"/>
      <c r="J1020" s="4"/>
      <c r="K1020" s="4">
        <v>228</v>
      </c>
      <c r="L1020" s="4">
        <v>7</v>
      </c>
      <c r="M1020" s="4">
        <v>3</v>
      </c>
      <c r="N1020" s="4" t="s">
        <v>3</v>
      </c>
      <c r="O1020" s="4">
        <v>2</v>
      </c>
      <c r="P1020" s="4"/>
      <c r="Q1020" s="4"/>
      <c r="R1020" s="4"/>
      <c r="S1020" s="4"/>
      <c r="T1020" s="4"/>
      <c r="U1020" s="4"/>
      <c r="V1020" s="4"/>
      <c r="W1020" s="4"/>
    </row>
    <row r="1021" spans="1:245" x14ac:dyDescent="0.2">
      <c r="A1021" s="4">
        <v>50</v>
      </c>
      <c r="B1021" s="4">
        <v>0</v>
      </c>
      <c r="C1021" s="4">
        <v>0</v>
      </c>
      <c r="D1021" s="4">
        <v>1</v>
      </c>
      <c r="E1021" s="4">
        <v>216</v>
      </c>
      <c r="F1021" s="4">
        <f>ROUND(Source!AP1012,O1021)</f>
        <v>0</v>
      </c>
      <c r="G1021" s="4" t="s">
        <v>103</v>
      </c>
      <c r="H1021" s="4" t="s">
        <v>104</v>
      </c>
      <c r="I1021" s="4"/>
      <c r="J1021" s="4"/>
      <c r="K1021" s="4">
        <v>216</v>
      </c>
      <c r="L1021" s="4">
        <v>8</v>
      </c>
      <c r="M1021" s="4">
        <v>3</v>
      </c>
      <c r="N1021" s="4" t="s">
        <v>3</v>
      </c>
      <c r="O1021" s="4">
        <v>2</v>
      </c>
      <c r="P1021" s="4"/>
      <c r="Q1021" s="4"/>
      <c r="R1021" s="4"/>
      <c r="S1021" s="4"/>
      <c r="T1021" s="4"/>
      <c r="U1021" s="4"/>
      <c r="V1021" s="4"/>
      <c r="W1021" s="4"/>
    </row>
    <row r="1022" spans="1:245" x14ac:dyDescent="0.2">
      <c r="A1022" s="4">
        <v>50</v>
      </c>
      <c r="B1022" s="4">
        <v>0</v>
      </c>
      <c r="C1022" s="4">
        <v>0</v>
      </c>
      <c r="D1022" s="4">
        <v>1</v>
      </c>
      <c r="E1022" s="4">
        <v>223</v>
      </c>
      <c r="F1022" s="4">
        <f>ROUND(Source!AQ1012,O1022)</f>
        <v>0</v>
      </c>
      <c r="G1022" s="4" t="s">
        <v>105</v>
      </c>
      <c r="H1022" s="4" t="s">
        <v>106</v>
      </c>
      <c r="I1022" s="4"/>
      <c r="J1022" s="4"/>
      <c r="K1022" s="4">
        <v>223</v>
      </c>
      <c r="L1022" s="4">
        <v>9</v>
      </c>
      <c r="M1022" s="4">
        <v>3</v>
      </c>
      <c r="N1022" s="4" t="s">
        <v>3</v>
      </c>
      <c r="O1022" s="4">
        <v>2</v>
      </c>
      <c r="P1022" s="4"/>
      <c r="Q1022" s="4"/>
      <c r="R1022" s="4"/>
      <c r="S1022" s="4"/>
      <c r="T1022" s="4"/>
      <c r="U1022" s="4"/>
      <c r="V1022" s="4"/>
      <c r="W1022" s="4"/>
    </row>
    <row r="1023" spans="1:245" x14ac:dyDescent="0.2">
      <c r="A1023" s="4">
        <v>50</v>
      </c>
      <c r="B1023" s="4">
        <v>0</v>
      </c>
      <c r="C1023" s="4">
        <v>0</v>
      </c>
      <c r="D1023" s="4">
        <v>1</v>
      </c>
      <c r="E1023" s="4">
        <v>229</v>
      </c>
      <c r="F1023" s="4">
        <f>ROUND(Source!AZ1012,O1023)</f>
        <v>0</v>
      </c>
      <c r="G1023" s="4" t="s">
        <v>107</v>
      </c>
      <c r="H1023" s="4" t="s">
        <v>108</v>
      </c>
      <c r="I1023" s="4"/>
      <c r="J1023" s="4"/>
      <c r="K1023" s="4">
        <v>229</v>
      </c>
      <c r="L1023" s="4">
        <v>10</v>
      </c>
      <c r="M1023" s="4">
        <v>3</v>
      </c>
      <c r="N1023" s="4" t="s">
        <v>3</v>
      </c>
      <c r="O1023" s="4">
        <v>2</v>
      </c>
      <c r="P1023" s="4"/>
      <c r="Q1023" s="4"/>
      <c r="R1023" s="4"/>
      <c r="S1023" s="4"/>
      <c r="T1023" s="4"/>
      <c r="U1023" s="4"/>
      <c r="V1023" s="4"/>
      <c r="W1023" s="4"/>
    </row>
    <row r="1024" spans="1:245" x14ac:dyDescent="0.2">
      <c r="A1024" s="4">
        <v>50</v>
      </c>
      <c r="B1024" s="4">
        <v>0</v>
      </c>
      <c r="C1024" s="4">
        <v>0</v>
      </c>
      <c r="D1024" s="4">
        <v>1</v>
      </c>
      <c r="E1024" s="4">
        <v>203</v>
      </c>
      <c r="F1024" s="4">
        <f>ROUND(Source!Q1012,O1024)</f>
        <v>70250.92</v>
      </c>
      <c r="G1024" s="4" t="s">
        <v>109</v>
      </c>
      <c r="H1024" s="4" t="s">
        <v>110</v>
      </c>
      <c r="I1024" s="4"/>
      <c r="J1024" s="4"/>
      <c r="K1024" s="4">
        <v>203</v>
      </c>
      <c r="L1024" s="4">
        <v>11</v>
      </c>
      <c r="M1024" s="4">
        <v>3</v>
      </c>
      <c r="N1024" s="4" t="s">
        <v>3</v>
      </c>
      <c r="O1024" s="4">
        <v>2</v>
      </c>
      <c r="P1024" s="4"/>
      <c r="Q1024" s="4"/>
      <c r="R1024" s="4"/>
      <c r="S1024" s="4"/>
      <c r="T1024" s="4"/>
      <c r="U1024" s="4"/>
      <c r="V1024" s="4"/>
      <c r="W1024" s="4"/>
    </row>
    <row r="1025" spans="1:23" x14ac:dyDescent="0.2">
      <c r="A1025" s="4">
        <v>50</v>
      </c>
      <c r="B1025" s="4">
        <v>0</v>
      </c>
      <c r="C1025" s="4">
        <v>0</v>
      </c>
      <c r="D1025" s="4">
        <v>1</v>
      </c>
      <c r="E1025" s="4">
        <v>231</v>
      </c>
      <c r="F1025" s="4">
        <f>ROUND(Source!BB1012,O1025)</f>
        <v>0</v>
      </c>
      <c r="G1025" s="4" t="s">
        <v>111</v>
      </c>
      <c r="H1025" s="4" t="s">
        <v>112</v>
      </c>
      <c r="I1025" s="4"/>
      <c r="J1025" s="4"/>
      <c r="K1025" s="4">
        <v>231</v>
      </c>
      <c r="L1025" s="4">
        <v>12</v>
      </c>
      <c r="M1025" s="4">
        <v>3</v>
      </c>
      <c r="N1025" s="4" t="s">
        <v>3</v>
      </c>
      <c r="O1025" s="4">
        <v>2</v>
      </c>
      <c r="P1025" s="4"/>
      <c r="Q1025" s="4"/>
      <c r="R1025" s="4"/>
      <c r="S1025" s="4"/>
      <c r="T1025" s="4"/>
      <c r="U1025" s="4"/>
      <c r="V1025" s="4"/>
      <c r="W1025" s="4"/>
    </row>
    <row r="1026" spans="1:23" x14ac:dyDescent="0.2">
      <c r="A1026" s="4">
        <v>50</v>
      </c>
      <c r="B1026" s="4">
        <v>0</v>
      </c>
      <c r="C1026" s="4">
        <v>0</v>
      </c>
      <c r="D1026" s="4">
        <v>1</v>
      </c>
      <c r="E1026" s="4">
        <v>204</v>
      </c>
      <c r="F1026" s="4">
        <f>ROUND(Source!R1012,O1026)</f>
        <v>37465.660000000003</v>
      </c>
      <c r="G1026" s="4" t="s">
        <v>113</v>
      </c>
      <c r="H1026" s="4" t="s">
        <v>114</v>
      </c>
      <c r="I1026" s="4"/>
      <c r="J1026" s="4"/>
      <c r="K1026" s="4">
        <v>204</v>
      </c>
      <c r="L1026" s="4">
        <v>13</v>
      </c>
      <c r="M1026" s="4">
        <v>3</v>
      </c>
      <c r="N1026" s="4" t="s">
        <v>3</v>
      </c>
      <c r="O1026" s="4">
        <v>2</v>
      </c>
      <c r="P1026" s="4"/>
      <c r="Q1026" s="4"/>
      <c r="R1026" s="4"/>
      <c r="S1026" s="4"/>
      <c r="T1026" s="4"/>
      <c r="U1026" s="4"/>
      <c r="V1026" s="4"/>
      <c r="W1026" s="4"/>
    </row>
    <row r="1027" spans="1:23" x14ac:dyDescent="0.2">
      <c r="A1027" s="4">
        <v>50</v>
      </c>
      <c r="B1027" s="4">
        <v>0</v>
      </c>
      <c r="C1027" s="4">
        <v>0</v>
      </c>
      <c r="D1027" s="4">
        <v>1</v>
      </c>
      <c r="E1027" s="4">
        <v>205</v>
      </c>
      <c r="F1027" s="4">
        <f>ROUND(Source!S1012,O1027)</f>
        <v>576023.51</v>
      </c>
      <c r="G1027" s="4" t="s">
        <v>115</v>
      </c>
      <c r="H1027" s="4" t="s">
        <v>116</v>
      </c>
      <c r="I1027" s="4"/>
      <c r="J1027" s="4"/>
      <c r="K1027" s="4">
        <v>205</v>
      </c>
      <c r="L1027" s="4">
        <v>14</v>
      </c>
      <c r="M1027" s="4">
        <v>3</v>
      </c>
      <c r="N1027" s="4" t="s">
        <v>3</v>
      </c>
      <c r="O1027" s="4">
        <v>2</v>
      </c>
      <c r="P1027" s="4"/>
      <c r="Q1027" s="4"/>
      <c r="R1027" s="4"/>
      <c r="S1027" s="4"/>
      <c r="T1027" s="4"/>
      <c r="U1027" s="4"/>
      <c r="V1027" s="4"/>
      <c r="W1027" s="4"/>
    </row>
    <row r="1028" spans="1:23" x14ac:dyDescent="0.2">
      <c r="A1028" s="4">
        <v>50</v>
      </c>
      <c r="B1028" s="4">
        <v>0</v>
      </c>
      <c r="C1028" s="4">
        <v>0</v>
      </c>
      <c r="D1028" s="4">
        <v>1</v>
      </c>
      <c r="E1028" s="4">
        <v>232</v>
      </c>
      <c r="F1028" s="4">
        <f>ROUND(Source!BC1012,O1028)</f>
        <v>0</v>
      </c>
      <c r="G1028" s="4" t="s">
        <v>117</v>
      </c>
      <c r="H1028" s="4" t="s">
        <v>118</v>
      </c>
      <c r="I1028" s="4"/>
      <c r="J1028" s="4"/>
      <c r="K1028" s="4">
        <v>232</v>
      </c>
      <c r="L1028" s="4">
        <v>15</v>
      </c>
      <c r="M1028" s="4">
        <v>3</v>
      </c>
      <c r="N1028" s="4" t="s">
        <v>3</v>
      </c>
      <c r="O1028" s="4">
        <v>2</v>
      </c>
      <c r="P1028" s="4"/>
      <c r="Q1028" s="4"/>
      <c r="R1028" s="4"/>
      <c r="S1028" s="4"/>
      <c r="T1028" s="4"/>
      <c r="U1028" s="4"/>
      <c r="V1028" s="4"/>
      <c r="W1028" s="4"/>
    </row>
    <row r="1029" spans="1:23" x14ac:dyDescent="0.2">
      <c r="A1029" s="4">
        <v>50</v>
      </c>
      <c r="B1029" s="4">
        <v>0</v>
      </c>
      <c r="C1029" s="4">
        <v>0</v>
      </c>
      <c r="D1029" s="4">
        <v>1</v>
      </c>
      <c r="E1029" s="4">
        <v>214</v>
      </c>
      <c r="F1029" s="4">
        <f>ROUND(Source!AS1012,O1029)</f>
        <v>1978724.89</v>
      </c>
      <c r="G1029" s="4" t="s">
        <v>119</v>
      </c>
      <c r="H1029" s="4" t="s">
        <v>120</v>
      </c>
      <c r="I1029" s="4"/>
      <c r="J1029" s="4"/>
      <c r="K1029" s="4">
        <v>214</v>
      </c>
      <c r="L1029" s="4">
        <v>16</v>
      </c>
      <c r="M1029" s="4">
        <v>3</v>
      </c>
      <c r="N1029" s="4" t="s">
        <v>3</v>
      </c>
      <c r="O1029" s="4">
        <v>2</v>
      </c>
      <c r="P1029" s="4"/>
      <c r="Q1029" s="4"/>
      <c r="R1029" s="4"/>
      <c r="S1029" s="4"/>
      <c r="T1029" s="4"/>
      <c r="U1029" s="4"/>
      <c r="V1029" s="4"/>
      <c r="W1029" s="4"/>
    </row>
    <row r="1030" spans="1:23" x14ac:dyDescent="0.2">
      <c r="A1030" s="4">
        <v>50</v>
      </c>
      <c r="B1030" s="4">
        <v>0</v>
      </c>
      <c r="C1030" s="4">
        <v>0</v>
      </c>
      <c r="D1030" s="4">
        <v>1</v>
      </c>
      <c r="E1030" s="4">
        <v>215</v>
      </c>
      <c r="F1030" s="4">
        <f>ROUND(Source!AT1012,O1030)</f>
        <v>0</v>
      </c>
      <c r="G1030" s="4" t="s">
        <v>121</v>
      </c>
      <c r="H1030" s="4" t="s">
        <v>122</v>
      </c>
      <c r="I1030" s="4"/>
      <c r="J1030" s="4"/>
      <c r="K1030" s="4">
        <v>215</v>
      </c>
      <c r="L1030" s="4">
        <v>17</v>
      </c>
      <c r="M1030" s="4">
        <v>3</v>
      </c>
      <c r="N1030" s="4" t="s">
        <v>3</v>
      </c>
      <c r="O1030" s="4">
        <v>2</v>
      </c>
      <c r="P1030" s="4"/>
      <c r="Q1030" s="4"/>
      <c r="R1030" s="4"/>
      <c r="S1030" s="4"/>
      <c r="T1030" s="4"/>
      <c r="U1030" s="4"/>
      <c r="V1030" s="4"/>
      <c r="W1030" s="4"/>
    </row>
    <row r="1031" spans="1:23" x14ac:dyDescent="0.2">
      <c r="A1031" s="4">
        <v>50</v>
      </c>
      <c r="B1031" s="4">
        <v>0</v>
      </c>
      <c r="C1031" s="4">
        <v>0</v>
      </c>
      <c r="D1031" s="4">
        <v>1</v>
      </c>
      <c r="E1031" s="4">
        <v>217</v>
      </c>
      <c r="F1031" s="4">
        <f>ROUND(Source!AU1012,O1031)</f>
        <v>0</v>
      </c>
      <c r="G1031" s="4" t="s">
        <v>123</v>
      </c>
      <c r="H1031" s="4" t="s">
        <v>124</v>
      </c>
      <c r="I1031" s="4"/>
      <c r="J1031" s="4"/>
      <c r="K1031" s="4">
        <v>217</v>
      </c>
      <c r="L1031" s="4">
        <v>18</v>
      </c>
      <c r="M1031" s="4">
        <v>3</v>
      </c>
      <c r="N1031" s="4" t="s">
        <v>3</v>
      </c>
      <c r="O1031" s="4">
        <v>2</v>
      </c>
      <c r="P1031" s="4"/>
      <c r="Q1031" s="4"/>
      <c r="R1031" s="4"/>
      <c r="S1031" s="4"/>
      <c r="T1031" s="4"/>
      <c r="U1031" s="4"/>
      <c r="V1031" s="4"/>
      <c r="W1031" s="4"/>
    </row>
    <row r="1032" spans="1:23" x14ac:dyDescent="0.2">
      <c r="A1032" s="4">
        <v>50</v>
      </c>
      <c r="B1032" s="4">
        <v>0</v>
      </c>
      <c r="C1032" s="4">
        <v>0</v>
      </c>
      <c r="D1032" s="4">
        <v>1</v>
      </c>
      <c r="E1032" s="4">
        <v>230</v>
      </c>
      <c r="F1032" s="4">
        <f>ROUND(Source!BA1012,O1032)</f>
        <v>0</v>
      </c>
      <c r="G1032" s="4" t="s">
        <v>125</v>
      </c>
      <c r="H1032" s="4" t="s">
        <v>126</v>
      </c>
      <c r="I1032" s="4"/>
      <c r="J1032" s="4"/>
      <c r="K1032" s="4">
        <v>230</v>
      </c>
      <c r="L1032" s="4">
        <v>19</v>
      </c>
      <c r="M1032" s="4">
        <v>3</v>
      </c>
      <c r="N1032" s="4" t="s">
        <v>3</v>
      </c>
      <c r="O1032" s="4">
        <v>2</v>
      </c>
      <c r="P1032" s="4"/>
      <c r="Q1032" s="4"/>
      <c r="R1032" s="4"/>
      <c r="S1032" s="4"/>
      <c r="T1032" s="4"/>
      <c r="U1032" s="4"/>
      <c r="V1032" s="4"/>
      <c r="W1032" s="4"/>
    </row>
    <row r="1033" spans="1:23" x14ac:dyDescent="0.2">
      <c r="A1033" s="4">
        <v>50</v>
      </c>
      <c r="B1033" s="4">
        <v>0</v>
      </c>
      <c r="C1033" s="4">
        <v>0</v>
      </c>
      <c r="D1033" s="4">
        <v>1</v>
      </c>
      <c r="E1033" s="4">
        <v>206</v>
      </c>
      <c r="F1033" s="4">
        <f>ROUND(Source!T1012,O1033)</f>
        <v>0</v>
      </c>
      <c r="G1033" s="4" t="s">
        <v>127</v>
      </c>
      <c r="H1033" s="4" t="s">
        <v>128</v>
      </c>
      <c r="I1033" s="4"/>
      <c r="J1033" s="4"/>
      <c r="K1033" s="4">
        <v>206</v>
      </c>
      <c r="L1033" s="4">
        <v>20</v>
      </c>
      <c r="M1033" s="4">
        <v>3</v>
      </c>
      <c r="N1033" s="4" t="s">
        <v>3</v>
      </c>
      <c r="O1033" s="4">
        <v>2</v>
      </c>
      <c r="P1033" s="4"/>
      <c r="Q1033" s="4"/>
      <c r="R1033" s="4"/>
      <c r="S1033" s="4"/>
      <c r="T1033" s="4"/>
      <c r="U1033" s="4"/>
      <c r="V1033" s="4"/>
      <c r="W1033" s="4"/>
    </row>
    <row r="1034" spans="1:23" x14ac:dyDescent="0.2">
      <c r="A1034" s="4">
        <v>50</v>
      </c>
      <c r="B1034" s="4">
        <v>0</v>
      </c>
      <c r="C1034" s="4">
        <v>0</v>
      </c>
      <c r="D1034" s="4">
        <v>1</v>
      </c>
      <c r="E1034" s="4">
        <v>207</v>
      </c>
      <c r="F1034" s="4">
        <f>Source!U1012</f>
        <v>2014.4453457669601</v>
      </c>
      <c r="G1034" s="4" t="s">
        <v>129</v>
      </c>
      <c r="H1034" s="4" t="s">
        <v>130</v>
      </c>
      <c r="I1034" s="4"/>
      <c r="J1034" s="4"/>
      <c r="K1034" s="4">
        <v>207</v>
      </c>
      <c r="L1034" s="4">
        <v>21</v>
      </c>
      <c r="M1034" s="4">
        <v>3</v>
      </c>
      <c r="N1034" s="4" t="s">
        <v>3</v>
      </c>
      <c r="O1034" s="4">
        <v>-1</v>
      </c>
      <c r="P1034" s="4"/>
      <c r="Q1034" s="4"/>
      <c r="R1034" s="4"/>
      <c r="S1034" s="4"/>
      <c r="T1034" s="4"/>
      <c r="U1034" s="4"/>
      <c r="V1034" s="4"/>
      <c r="W1034" s="4"/>
    </row>
    <row r="1035" spans="1:23" x14ac:dyDescent="0.2">
      <c r="A1035" s="4">
        <v>50</v>
      </c>
      <c r="B1035" s="4">
        <v>0</v>
      </c>
      <c r="C1035" s="4">
        <v>0</v>
      </c>
      <c r="D1035" s="4">
        <v>1</v>
      </c>
      <c r="E1035" s="4">
        <v>208</v>
      </c>
      <c r="F1035" s="4">
        <f>Source!V1012</f>
        <v>0</v>
      </c>
      <c r="G1035" s="4" t="s">
        <v>131</v>
      </c>
      <c r="H1035" s="4" t="s">
        <v>132</v>
      </c>
      <c r="I1035" s="4"/>
      <c r="J1035" s="4"/>
      <c r="K1035" s="4">
        <v>208</v>
      </c>
      <c r="L1035" s="4">
        <v>22</v>
      </c>
      <c r="M1035" s="4">
        <v>3</v>
      </c>
      <c r="N1035" s="4" t="s">
        <v>3</v>
      </c>
      <c r="O1035" s="4">
        <v>-1</v>
      </c>
      <c r="P1035" s="4"/>
      <c r="Q1035" s="4"/>
      <c r="R1035" s="4"/>
      <c r="S1035" s="4"/>
      <c r="T1035" s="4"/>
      <c r="U1035" s="4"/>
      <c r="V1035" s="4"/>
      <c r="W1035" s="4"/>
    </row>
    <row r="1036" spans="1:23" x14ac:dyDescent="0.2">
      <c r="A1036" s="4">
        <v>50</v>
      </c>
      <c r="B1036" s="4">
        <v>0</v>
      </c>
      <c r="C1036" s="4">
        <v>0</v>
      </c>
      <c r="D1036" s="4">
        <v>1</v>
      </c>
      <c r="E1036" s="4">
        <v>209</v>
      </c>
      <c r="F1036" s="4">
        <f>ROUND(Source!W1012,O1036)</f>
        <v>0</v>
      </c>
      <c r="G1036" s="4" t="s">
        <v>133</v>
      </c>
      <c r="H1036" s="4" t="s">
        <v>134</v>
      </c>
      <c r="I1036" s="4"/>
      <c r="J1036" s="4"/>
      <c r="K1036" s="4">
        <v>209</v>
      </c>
      <c r="L1036" s="4">
        <v>23</v>
      </c>
      <c r="M1036" s="4">
        <v>3</v>
      </c>
      <c r="N1036" s="4" t="s">
        <v>3</v>
      </c>
      <c r="O1036" s="4">
        <v>2</v>
      </c>
      <c r="P1036" s="4"/>
      <c r="Q1036" s="4"/>
      <c r="R1036" s="4"/>
      <c r="S1036" s="4"/>
      <c r="T1036" s="4"/>
      <c r="U1036" s="4"/>
      <c r="V1036" s="4"/>
      <c r="W1036" s="4"/>
    </row>
    <row r="1037" spans="1:23" x14ac:dyDescent="0.2">
      <c r="A1037" s="4">
        <v>50</v>
      </c>
      <c r="B1037" s="4">
        <v>0</v>
      </c>
      <c r="C1037" s="4">
        <v>0</v>
      </c>
      <c r="D1037" s="4">
        <v>1</v>
      </c>
      <c r="E1037" s="4">
        <v>233</v>
      </c>
      <c r="F1037" s="4">
        <f>ROUND(Source!BD1012,O1037)</f>
        <v>0</v>
      </c>
      <c r="G1037" s="4" t="s">
        <v>135</v>
      </c>
      <c r="H1037" s="4" t="s">
        <v>136</v>
      </c>
      <c r="I1037" s="4"/>
      <c r="J1037" s="4"/>
      <c r="K1037" s="4">
        <v>233</v>
      </c>
      <c r="L1037" s="4">
        <v>24</v>
      </c>
      <c r="M1037" s="4">
        <v>3</v>
      </c>
      <c r="N1037" s="4" t="s">
        <v>3</v>
      </c>
      <c r="O1037" s="4">
        <v>2</v>
      </c>
      <c r="P1037" s="4"/>
      <c r="Q1037" s="4"/>
      <c r="R1037" s="4"/>
      <c r="S1037" s="4"/>
      <c r="T1037" s="4"/>
      <c r="U1037" s="4"/>
      <c r="V1037" s="4"/>
      <c r="W1037" s="4"/>
    </row>
    <row r="1038" spans="1:23" x14ac:dyDescent="0.2">
      <c r="A1038" s="4">
        <v>50</v>
      </c>
      <c r="B1038" s="4">
        <v>0</v>
      </c>
      <c r="C1038" s="4">
        <v>0</v>
      </c>
      <c r="D1038" s="4">
        <v>1</v>
      </c>
      <c r="E1038" s="4">
        <v>210</v>
      </c>
      <c r="F1038" s="4">
        <f>ROUND(Source!X1012,O1038)</f>
        <v>517583.67</v>
      </c>
      <c r="G1038" s="4" t="s">
        <v>137</v>
      </c>
      <c r="H1038" s="4" t="s">
        <v>138</v>
      </c>
      <c r="I1038" s="4"/>
      <c r="J1038" s="4"/>
      <c r="K1038" s="4">
        <v>210</v>
      </c>
      <c r="L1038" s="4">
        <v>25</v>
      </c>
      <c r="M1038" s="4">
        <v>3</v>
      </c>
      <c r="N1038" s="4" t="s">
        <v>3</v>
      </c>
      <c r="O1038" s="4">
        <v>2</v>
      </c>
      <c r="P1038" s="4"/>
      <c r="Q1038" s="4"/>
      <c r="R1038" s="4"/>
      <c r="S1038" s="4"/>
      <c r="T1038" s="4"/>
      <c r="U1038" s="4"/>
      <c r="V1038" s="4"/>
      <c r="W1038" s="4"/>
    </row>
    <row r="1039" spans="1:23" x14ac:dyDescent="0.2">
      <c r="A1039" s="4">
        <v>50</v>
      </c>
      <c r="B1039" s="4">
        <v>0</v>
      </c>
      <c r="C1039" s="4">
        <v>0</v>
      </c>
      <c r="D1039" s="4">
        <v>1</v>
      </c>
      <c r="E1039" s="4">
        <v>211</v>
      </c>
      <c r="F1039" s="4">
        <f>ROUND(Source!Y1012,O1039)</f>
        <v>236169.64</v>
      </c>
      <c r="G1039" s="4" t="s">
        <v>139</v>
      </c>
      <c r="H1039" s="4" t="s">
        <v>140</v>
      </c>
      <c r="I1039" s="4"/>
      <c r="J1039" s="4"/>
      <c r="K1039" s="4">
        <v>211</v>
      </c>
      <c r="L1039" s="4">
        <v>26</v>
      </c>
      <c r="M1039" s="4">
        <v>3</v>
      </c>
      <c r="N1039" s="4" t="s">
        <v>3</v>
      </c>
      <c r="O1039" s="4">
        <v>2</v>
      </c>
      <c r="P1039" s="4"/>
      <c r="Q1039" s="4"/>
      <c r="R1039" s="4"/>
      <c r="S1039" s="4"/>
      <c r="T1039" s="4"/>
      <c r="U1039" s="4"/>
      <c r="V1039" s="4"/>
      <c r="W1039" s="4"/>
    </row>
    <row r="1040" spans="1:23" x14ac:dyDescent="0.2">
      <c r="A1040" s="4">
        <v>50</v>
      </c>
      <c r="B1040" s="4">
        <v>0</v>
      </c>
      <c r="C1040" s="4">
        <v>0</v>
      </c>
      <c r="D1040" s="4">
        <v>1</v>
      </c>
      <c r="E1040" s="4">
        <v>224</v>
      </c>
      <c r="F1040" s="4">
        <f>ROUND(Source!AR1012,O1040)</f>
        <v>1978724.89</v>
      </c>
      <c r="G1040" s="4" t="s">
        <v>141</v>
      </c>
      <c r="H1040" s="4" t="s">
        <v>142</v>
      </c>
      <c r="I1040" s="4"/>
      <c r="J1040" s="4"/>
      <c r="K1040" s="4">
        <v>224</v>
      </c>
      <c r="L1040" s="4">
        <v>27</v>
      </c>
      <c r="M1040" s="4">
        <v>3</v>
      </c>
      <c r="N1040" s="4" t="s">
        <v>3</v>
      </c>
      <c r="O1040" s="4">
        <v>2</v>
      </c>
      <c r="P1040" s="4"/>
      <c r="Q1040" s="4"/>
      <c r="R1040" s="4"/>
      <c r="S1040" s="4"/>
      <c r="T1040" s="4"/>
      <c r="U1040" s="4"/>
      <c r="V1040" s="4"/>
      <c r="W1040" s="4"/>
    </row>
    <row r="1041" spans="1:206" x14ac:dyDescent="0.2">
      <c r="A1041" s="4">
        <v>50</v>
      </c>
      <c r="B1041" s="4">
        <v>1</v>
      </c>
      <c r="C1041" s="4">
        <v>0</v>
      </c>
      <c r="D1041" s="4">
        <v>2</v>
      </c>
      <c r="E1041" s="4">
        <v>0</v>
      </c>
      <c r="F1041" s="4">
        <f>ROUND(F1040*1.2,O1041)</f>
        <v>2374469.87</v>
      </c>
      <c r="G1041" s="4" t="s">
        <v>15</v>
      </c>
      <c r="H1041" s="4" t="s">
        <v>239</v>
      </c>
      <c r="I1041" s="4"/>
      <c r="J1041" s="4"/>
      <c r="K1041" s="4">
        <v>212</v>
      </c>
      <c r="L1041" s="4">
        <v>28</v>
      </c>
      <c r="M1041" s="4">
        <v>0</v>
      </c>
      <c r="N1041" s="4" t="s">
        <v>3</v>
      </c>
      <c r="O1041" s="4">
        <v>2</v>
      </c>
      <c r="P1041" s="4"/>
      <c r="Q1041" s="4"/>
      <c r="R1041" s="4"/>
      <c r="S1041" s="4"/>
      <c r="T1041" s="4"/>
      <c r="U1041" s="4"/>
      <c r="V1041" s="4"/>
      <c r="W1041" s="4"/>
    </row>
    <row r="1043" spans="1:206" x14ac:dyDescent="0.2">
      <c r="A1043" s="1">
        <v>4</v>
      </c>
      <c r="B1043" s="1">
        <v>1</v>
      </c>
      <c r="C1043" s="1"/>
      <c r="D1043" s="1">
        <f>ROW(A1047)</f>
        <v>1047</v>
      </c>
      <c r="E1043" s="1"/>
      <c r="F1043" s="1" t="s">
        <v>13</v>
      </c>
      <c r="G1043" s="1" t="s">
        <v>551</v>
      </c>
      <c r="H1043" s="1" t="s">
        <v>3</v>
      </c>
      <c r="I1043" s="1">
        <v>0</v>
      </c>
      <c r="J1043" s="1"/>
      <c r="K1043" s="1">
        <v>0</v>
      </c>
      <c r="L1043" s="1"/>
      <c r="M1043" s="1"/>
      <c r="N1043" s="1"/>
      <c r="O1043" s="1"/>
      <c r="P1043" s="1"/>
      <c r="Q1043" s="1"/>
      <c r="R1043" s="1"/>
      <c r="S1043" s="1"/>
      <c r="T1043" s="1"/>
      <c r="U1043" s="1" t="s">
        <v>3</v>
      </c>
      <c r="V1043" s="1">
        <v>0</v>
      </c>
      <c r="W1043" s="1"/>
      <c r="X1043" s="1"/>
      <c r="Y1043" s="1"/>
      <c r="Z1043" s="1"/>
      <c r="AA1043" s="1"/>
      <c r="AB1043" s="1" t="s">
        <v>3</v>
      </c>
      <c r="AC1043" s="1" t="s">
        <v>3</v>
      </c>
      <c r="AD1043" s="1" t="s">
        <v>3</v>
      </c>
      <c r="AE1043" s="1" t="s">
        <v>3</v>
      </c>
      <c r="AF1043" s="1" t="s">
        <v>3</v>
      </c>
      <c r="AG1043" s="1" t="s">
        <v>3</v>
      </c>
      <c r="AH1043" s="1"/>
      <c r="AI1043" s="1"/>
      <c r="AJ1043" s="1"/>
      <c r="AK1043" s="1"/>
      <c r="AL1043" s="1"/>
      <c r="AM1043" s="1"/>
      <c r="AN1043" s="1"/>
      <c r="AO1043" s="1"/>
      <c r="AP1043" s="1" t="s">
        <v>3</v>
      </c>
      <c r="AQ1043" s="1" t="s">
        <v>3</v>
      </c>
      <c r="AR1043" s="1" t="s">
        <v>3</v>
      </c>
      <c r="AS1043" s="1"/>
      <c r="AT1043" s="1"/>
      <c r="AU1043" s="1"/>
      <c r="AV1043" s="1"/>
      <c r="AW1043" s="1"/>
      <c r="AX1043" s="1"/>
      <c r="AY1043" s="1"/>
      <c r="AZ1043" s="1" t="s">
        <v>3</v>
      </c>
      <c r="BA1043" s="1"/>
      <c r="BB1043" s="1" t="s">
        <v>3</v>
      </c>
      <c r="BC1043" s="1" t="s">
        <v>3</v>
      </c>
      <c r="BD1043" s="1" t="s">
        <v>3</v>
      </c>
      <c r="BE1043" s="1" t="s">
        <v>3</v>
      </c>
      <c r="BF1043" s="1" t="s">
        <v>3</v>
      </c>
      <c r="BG1043" s="1" t="s">
        <v>3</v>
      </c>
      <c r="BH1043" s="1" t="s">
        <v>3</v>
      </c>
      <c r="BI1043" s="1" t="s">
        <v>3</v>
      </c>
      <c r="BJ1043" s="1" t="s">
        <v>3</v>
      </c>
      <c r="BK1043" s="1" t="s">
        <v>3</v>
      </c>
      <c r="BL1043" s="1" t="s">
        <v>3</v>
      </c>
      <c r="BM1043" s="1" t="s">
        <v>3</v>
      </c>
      <c r="BN1043" s="1" t="s">
        <v>3</v>
      </c>
      <c r="BO1043" s="1" t="s">
        <v>3</v>
      </c>
      <c r="BP1043" s="1" t="s">
        <v>3</v>
      </c>
      <c r="BQ1043" s="1"/>
      <c r="BR1043" s="1"/>
      <c r="BS1043" s="1"/>
      <c r="BT1043" s="1"/>
      <c r="BU1043" s="1"/>
      <c r="BV1043" s="1"/>
      <c r="BW1043" s="1"/>
      <c r="BX1043" s="1">
        <v>0</v>
      </c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>
        <v>0</v>
      </c>
    </row>
    <row r="1045" spans="1:206" x14ac:dyDescent="0.2">
      <c r="A1045" s="2">
        <v>52</v>
      </c>
      <c r="B1045" s="2">
        <f t="shared" ref="B1045:G1045" si="753">B1047</f>
        <v>1</v>
      </c>
      <c r="C1045" s="2">
        <f t="shared" si="753"/>
        <v>4</v>
      </c>
      <c r="D1045" s="2">
        <f t="shared" si="753"/>
        <v>1043</v>
      </c>
      <c r="E1045" s="2">
        <f t="shared" si="753"/>
        <v>0</v>
      </c>
      <c r="F1045" s="2" t="str">
        <f t="shared" si="753"/>
        <v>Новый раздел</v>
      </c>
      <c r="G1045" s="2" t="str">
        <f t="shared" si="753"/>
        <v>37.2. Установка ограждения паркового высота 2,5 м</v>
      </c>
      <c r="H1045" s="2"/>
      <c r="I1045" s="2"/>
      <c r="J1045" s="2"/>
      <c r="K1045" s="2"/>
      <c r="L1045" s="2"/>
      <c r="M1045" s="2"/>
      <c r="N1045" s="2"/>
      <c r="O1045" s="2">
        <f t="shared" ref="O1045:AT1045" si="754">O1047</f>
        <v>0</v>
      </c>
      <c r="P1045" s="2">
        <f t="shared" si="754"/>
        <v>0</v>
      </c>
      <c r="Q1045" s="2">
        <f t="shared" si="754"/>
        <v>0</v>
      </c>
      <c r="R1045" s="2">
        <f t="shared" si="754"/>
        <v>0</v>
      </c>
      <c r="S1045" s="2">
        <f t="shared" si="754"/>
        <v>0</v>
      </c>
      <c r="T1045" s="2">
        <f t="shared" si="754"/>
        <v>0</v>
      </c>
      <c r="U1045" s="2">
        <f t="shared" si="754"/>
        <v>0</v>
      </c>
      <c r="V1045" s="2">
        <f t="shared" si="754"/>
        <v>0</v>
      </c>
      <c r="W1045" s="2">
        <f t="shared" si="754"/>
        <v>0</v>
      </c>
      <c r="X1045" s="2">
        <f t="shared" si="754"/>
        <v>0</v>
      </c>
      <c r="Y1045" s="2">
        <f t="shared" si="754"/>
        <v>0</v>
      </c>
      <c r="Z1045" s="2">
        <f t="shared" si="754"/>
        <v>0</v>
      </c>
      <c r="AA1045" s="2">
        <f t="shared" si="754"/>
        <v>0</v>
      </c>
      <c r="AB1045" s="2">
        <f t="shared" si="754"/>
        <v>0</v>
      </c>
      <c r="AC1045" s="2">
        <f t="shared" si="754"/>
        <v>0</v>
      </c>
      <c r="AD1045" s="2">
        <f t="shared" si="754"/>
        <v>0</v>
      </c>
      <c r="AE1045" s="2">
        <f t="shared" si="754"/>
        <v>0</v>
      </c>
      <c r="AF1045" s="2">
        <f t="shared" si="754"/>
        <v>0</v>
      </c>
      <c r="AG1045" s="2">
        <f t="shared" si="754"/>
        <v>0</v>
      </c>
      <c r="AH1045" s="2">
        <f t="shared" si="754"/>
        <v>0</v>
      </c>
      <c r="AI1045" s="2">
        <f t="shared" si="754"/>
        <v>0</v>
      </c>
      <c r="AJ1045" s="2">
        <f t="shared" si="754"/>
        <v>0</v>
      </c>
      <c r="AK1045" s="2">
        <f t="shared" si="754"/>
        <v>0</v>
      </c>
      <c r="AL1045" s="2">
        <f t="shared" si="754"/>
        <v>0</v>
      </c>
      <c r="AM1045" s="2">
        <f t="shared" si="754"/>
        <v>0</v>
      </c>
      <c r="AN1045" s="2">
        <f t="shared" si="754"/>
        <v>0</v>
      </c>
      <c r="AO1045" s="2">
        <f t="shared" si="754"/>
        <v>0</v>
      </c>
      <c r="AP1045" s="2">
        <f t="shared" si="754"/>
        <v>0</v>
      </c>
      <c r="AQ1045" s="2">
        <f t="shared" si="754"/>
        <v>0</v>
      </c>
      <c r="AR1045" s="2">
        <f t="shared" si="754"/>
        <v>0</v>
      </c>
      <c r="AS1045" s="2">
        <f t="shared" si="754"/>
        <v>0</v>
      </c>
      <c r="AT1045" s="2">
        <f t="shared" si="754"/>
        <v>0</v>
      </c>
      <c r="AU1045" s="2">
        <f t="shared" ref="AU1045:BZ1045" si="755">AU1047</f>
        <v>0</v>
      </c>
      <c r="AV1045" s="2">
        <f t="shared" si="755"/>
        <v>0</v>
      </c>
      <c r="AW1045" s="2">
        <f t="shared" si="755"/>
        <v>0</v>
      </c>
      <c r="AX1045" s="2">
        <f t="shared" si="755"/>
        <v>0</v>
      </c>
      <c r="AY1045" s="2">
        <f t="shared" si="755"/>
        <v>0</v>
      </c>
      <c r="AZ1045" s="2">
        <f t="shared" si="755"/>
        <v>0</v>
      </c>
      <c r="BA1045" s="2">
        <f t="shared" si="755"/>
        <v>0</v>
      </c>
      <c r="BB1045" s="2">
        <f t="shared" si="755"/>
        <v>0</v>
      </c>
      <c r="BC1045" s="2">
        <f t="shared" si="755"/>
        <v>0</v>
      </c>
      <c r="BD1045" s="2">
        <f t="shared" si="755"/>
        <v>0</v>
      </c>
      <c r="BE1045" s="2">
        <f t="shared" si="755"/>
        <v>0</v>
      </c>
      <c r="BF1045" s="2">
        <f t="shared" si="755"/>
        <v>0</v>
      </c>
      <c r="BG1045" s="2">
        <f t="shared" si="755"/>
        <v>0</v>
      </c>
      <c r="BH1045" s="2">
        <f t="shared" si="755"/>
        <v>0</v>
      </c>
      <c r="BI1045" s="2">
        <f t="shared" si="755"/>
        <v>0</v>
      </c>
      <c r="BJ1045" s="2">
        <f t="shared" si="755"/>
        <v>0</v>
      </c>
      <c r="BK1045" s="2">
        <f t="shared" si="755"/>
        <v>0</v>
      </c>
      <c r="BL1045" s="2">
        <f t="shared" si="755"/>
        <v>0</v>
      </c>
      <c r="BM1045" s="2">
        <f t="shared" si="755"/>
        <v>0</v>
      </c>
      <c r="BN1045" s="2">
        <f t="shared" si="755"/>
        <v>0</v>
      </c>
      <c r="BO1045" s="2">
        <f t="shared" si="755"/>
        <v>0</v>
      </c>
      <c r="BP1045" s="2">
        <f t="shared" si="755"/>
        <v>0</v>
      </c>
      <c r="BQ1045" s="2">
        <f t="shared" si="755"/>
        <v>0</v>
      </c>
      <c r="BR1045" s="2">
        <f t="shared" si="755"/>
        <v>0</v>
      </c>
      <c r="BS1045" s="2">
        <f t="shared" si="755"/>
        <v>0</v>
      </c>
      <c r="BT1045" s="2">
        <f t="shared" si="755"/>
        <v>0</v>
      </c>
      <c r="BU1045" s="2">
        <f t="shared" si="755"/>
        <v>0</v>
      </c>
      <c r="BV1045" s="2">
        <f t="shared" si="755"/>
        <v>0</v>
      </c>
      <c r="BW1045" s="2">
        <f t="shared" si="755"/>
        <v>0</v>
      </c>
      <c r="BX1045" s="2">
        <f t="shared" si="755"/>
        <v>0</v>
      </c>
      <c r="BY1045" s="2">
        <f t="shared" si="755"/>
        <v>0</v>
      </c>
      <c r="BZ1045" s="2">
        <f t="shared" si="755"/>
        <v>0</v>
      </c>
      <c r="CA1045" s="2">
        <f t="shared" ref="CA1045:DF1045" si="756">CA1047</f>
        <v>0</v>
      </c>
      <c r="CB1045" s="2">
        <f t="shared" si="756"/>
        <v>0</v>
      </c>
      <c r="CC1045" s="2">
        <f t="shared" si="756"/>
        <v>0</v>
      </c>
      <c r="CD1045" s="2">
        <f t="shared" si="756"/>
        <v>0</v>
      </c>
      <c r="CE1045" s="2">
        <f t="shared" si="756"/>
        <v>0</v>
      </c>
      <c r="CF1045" s="2">
        <f t="shared" si="756"/>
        <v>0</v>
      </c>
      <c r="CG1045" s="2">
        <f t="shared" si="756"/>
        <v>0</v>
      </c>
      <c r="CH1045" s="2">
        <f t="shared" si="756"/>
        <v>0</v>
      </c>
      <c r="CI1045" s="2">
        <f t="shared" si="756"/>
        <v>0</v>
      </c>
      <c r="CJ1045" s="2">
        <f t="shared" si="756"/>
        <v>0</v>
      </c>
      <c r="CK1045" s="2">
        <f t="shared" si="756"/>
        <v>0</v>
      </c>
      <c r="CL1045" s="2">
        <f t="shared" si="756"/>
        <v>0</v>
      </c>
      <c r="CM1045" s="2">
        <f t="shared" si="756"/>
        <v>0</v>
      </c>
      <c r="CN1045" s="2">
        <f t="shared" si="756"/>
        <v>0</v>
      </c>
      <c r="CO1045" s="2">
        <f t="shared" si="756"/>
        <v>0</v>
      </c>
      <c r="CP1045" s="2">
        <f t="shared" si="756"/>
        <v>0</v>
      </c>
      <c r="CQ1045" s="2">
        <f t="shared" si="756"/>
        <v>0</v>
      </c>
      <c r="CR1045" s="2">
        <f t="shared" si="756"/>
        <v>0</v>
      </c>
      <c r="CS1045" s="2">
        <f t="shared" si="756"/>
        <v>0</v>
      </c>
      <c r="CT1045" s="2">
        <f t="shared" si="756"/>
        <v>0</v>
      </c>
      <c r="CU1045" s="2">
        <f t="shared" si="756"/>
        <v>0</v>
      </c>
      <c r="CV1045" s="2">
        <f t="shared" si="756"/>
        <v>0</v>
      </c>
      <c r="CW1045" s="2">
        <f t="shared" si="756"/>
        <v>0</v>
      </c>
      <c r="CX1045" s="2">
        <f t="shared" si="756"/>
        <v>0</v>
      </c>
      <c r="CY1045" s="2">
        <f t="shared" si="756"/>
        <v>0</v>
      </c>
      <c r="CZ1045" s="2">
        <f t="shared" si="756"/>
        <v>0</v>
      </c>
      <c r="DA1045" s="2">
        <f t="shared" si="756"/>
        <v>0</v>
      </c>
      <c r="DB1045" s="2">
        <f t="shared" si="756"/>
        <v>0</v>
      </c>
      <c r="DC1045" s="2">
        <f t="shared" si="756"/>
        <v>0</v>
      </c>
      <c r="DD1045" s="2">
        <f t="shared" si="756"/>
        <v>0</v>
      </c>
      <c r="DE1045" s="2">
        <f t="shared" si="756"/>
        <v>0</v>
      </c>
      <c r="DF1045" s="2">
        <f t="shared" si="756"/>
        <v>0</v>
      </c>
      <c r="DG1045" s="3">
        <f t="shared" ref="DG1045:EL1045" si="757">DG1047</f>
        <v>0</v>
      </c>
      <c r="DH1045" s="3">
        <f t="shared" si="757"/>
        <v>0</v>
      </c>
      <c r="DI1045" s="3">
        <f t="shared" si="757"/>
        <v>0</v>
      </c>
      <c r="DJ1045" s="3">
        <f t="shared" si="757"/>
        <v>0</v>
      </c>
      <c r="DK1045" s="3">
        <f t="shared" si="757"/>
        <v>0</v>
      </c>
      <c r="DL1045" s="3">
        <f t="shared" si="757"/>
        <v>0</v>
      </c>
      <c r="DM1045" s="3">
        <f t="shared" si="757"/>
        <v>0</v>
      </c>
      <c r="DN1045" s="3">
        <f t="shared" si="757"/>
        <v>0</v>
      </c>
      <c r="DO1045" s="3">
        <f t="shared" si="757"/>
        <v>0</v>
      </c>
      <c r="DP1045" s="3">
        <f t="shared" si="757"/>
        <v>0</v>
      </c>
      <c r="DQ1045" s="3">
        <f t="shared" si="757"/>
        <v>0</v>
      </c>
      <c r="DR1045" s="3">
        <f t="shared" si="757"/>
        <v>0</v>
      </c>
      <c r="DS1045" s="3">
        <f t="shared" si="757"/>
        <v>0</v>
      </c>
      <c r="DT1045" s="3">
        <f t="shared" si="757"/>
        <v>0</v>
      </c>
      <c r="DU1045" s="3">
        <f t="shared" si="757"/>
        <v>0</v>
      </c>
      <c r="DV1045" s="3">
        <f t="shared" si="757"/>
        <v>0</v>
      </c>
      <c r="DW1045" s="3">
        <f t="shared" si="757"/>
        <v>0</v>
      </c>
      <c r="DX1045" s="3">
        <f t="shared" si="757"/>
        <v>0</v>
      </c>
      <c r="DY1045" s="3">
        <f t="shared" si="757"/>
        <v>0</v>
      </c>
      <c r="DZ1045" s="3">
        <f t="shared" si="757"/>
        <v>0</v>
      </c>
      <c r="EA1045" s="3">
        <f t="shared" si="757"/>
        <v>0</v>
      </c>
      <c r="EB1045" s="3">
        <f t="shared" si="757"/>
        <v>0</v>
      </c>
      <c r="EC1045" s="3">
        <f t="shared" si="757"/>
        <v>0</v>
      </c>
      <c r="ED1045" s="3">
        <f t="shared" si="757"/>
        <v>0</v>
      </c>
      <c r="EE1045" s="3">
        <f t="shared" si="757"/>
        <v>0</v>
      </c>
      <c r="EF1045" s="3">
        <f t="shared" si="757"/>
        <v>0</v>
      </c>
      <c r="EG1045" s="3">
        <f t="shared" si="757"/>
        <v>0</v>
      </c>
      <c r="EH1045" s="3">
        <f t="shared" si="757"/>
        <v>0</v>
      </c>
      <c r="EI1045" s="3">
        <f t="shared" si="757"/>
        <v>0</v>
      </c>
      <c r="EJ1045" s="3">
        <f t="shared" si="757"/>
        <v>0</v>
      </c>
      <c r="EK1045" s="3">
        <f t="shared" si="757"/>
        <v>0</v>
      </c>
      <c r="EL1045" s="3">
        <f t="shared" si="757"/>
        <v>0</v>
      </c>
      <c r="EM1045" s="3">
        <f t="shared" ref="EM1045:FR1045" si="758">EM1047</f>
        <v>0</v>
      </c>
      <c r="EN1045" s="3">
        <f t="shared" si="758"/>
        <v>0</v>
      </c>
      <c r="EO1045" s="3">
        <f t="shared" si="758"/>
        <v>0</v>
      </c>
      <c r="EP1045" s="3">
        <f t="shared" si="758"/>
        <v>0</v>
      </c>
      <c r="EQ1045" s="3">
        <f t="shared" si="758"/>
        <v>0</v>
      </c>
      <c r="ER1045" s="3">
        <f t="shared" si="758"/>
        <v>0</v>
      </c>
      <c r="ES1045" s="3">
        <f t="shared" si="758"/>
        <v>0</v>
      </c>
      <c r="ET1045" s="3">
        <f t="shared" si="758"/>
        <v>0</v>
      </c>
      <c r="EU1045" s="3">
        <f t="shared" si="758"/>
        <v>0</v>
      </c>
      <c r="EV1045" s="3">
        <f t="shared" si="758"/>
        <v>0</v>
      </c>
      <c r="EW1045" s="3">
        <f t="shared" si="758"/>
        <v>0</v>
      </c>
      <c r="EX1045" s="3">
        <f t="shared" si="758"/>
        <v>0</v>
      </c>
      <c r="EY1045" s="3">
        <f t="shared" si="758"/>
        <v>0</v>
      </c>
      <c r="EZ1045" s="3">
        <f t="shared" si="758"/>
        <v>0</v>
      </c>
      <c r="FA1045" s="3">
        <f t="shared" si="758"/>
        <v>0</v>
      </c>
      <c r="FB1045" s="3">
        <f t="shared" si="758"/>
        <v>0</v>
      </c>
      <c r="FC1045" s="3">
        <f t="shared" si="758"/>
        <v>0</v>
      </c>
      <c r="FD1045" s="3">
        <f t="shared" si="758"/>
        <v>0</v>
      </c>
      <c r="FE1045" s="3">
        <f t="shared" si="758"/>
        <v>0</v>
      </c>
      <c r="FF1045" s="3">
        <f t="shared" si="758"/>
        <v>0</v>
      </c>
      <c r="FG1045" s="3">
        <f t="shared" si="758"/>
        <v>0</v>
      </c>
      <c r="FH1045" s="3">
        <f t="shared" si="758"/>
        <v>0</v>
      </c>
      <c r="FI1045" s="3">
        <f t="shared" si="758"/>
        <v>0</v>
      </c>
      <c r="FJ1045" s="3">
        <f t="shared" si="758"/>
        <v>0</v>
      </c>
      <c r="FK1045" s="3">
        <f t="shared" si="758"/>
        <v>0</v>
      </c>
      <c r="FL1045" s="3">
        <f t="shared" si="758"/>
        <v>0</v>
      </c>
      <c r="FM1045" s="3">
        <f t="shared" si="758"/>
        <v>0</v>
      </c>
      <c r="FN1045" s="3">
        <f t="shared" si="758"/>
        <v>0</v>
      </c>
      <c r="FO1045" s="3">
        <f t="shared" si="758"/>
        <v>0</v>
      </c>
      <c r="FP1045" s="3">
        <f t="shared" si="758"/>
        <v>0</v>
      </c>
      <c r="FQ1045" s="3">
        <f t="shared" si="758"/>
        <v>0</v>
      </c>
      <c r="FR1045" s="3">
        <f t="shared" si="758"/>
        <v>0</v>
      </c>
      <c r="FS1045" s="3">
        <f t="shared" ref="FS1045:GX1045" si="759">FS1047</f>
        <v>0</v>
      </c>
      <c r="FT1045" s="3">
        <f t="shared" si="759"/>
        <v>0</v>
      </c>
      <c r="FU1045" s="3">
        <f t="shared" si="759"/>
        <v>0</v>
      </c>
      <c r="FV1045" s="3">
        <f t="shared" si="759"/>
        <v>0</v>
      </c>
      <c r="FW1045" s="3">
        <f t="shared" si="759"/>
        <v>0</v>
      </c>
      <c r="FX1045" s="3">
        <f t="shared" si="759"/>
        <v>0</v>
      </c>
      <c r="FY1045" s="3">
        <f t="shared" si="759"/>
        <v>0</v>
      </c>
      <c r="FZ1045" s="3">
        <f t="shared" si="759"/>
        <v>0</v>
      </c>
      <c r="GA1045" s="3">
        <f t="shared" si="759"/>
        <v>0</v>
      </c>
      <c r="GB1045" s="3">
        <f t="shared" si="759"/>
        <v>0</v>
      </c>
      <c r="GC1045" s="3">
        <f t="shared" si="759"/>
        <v>0</v>
      </c>
      <c r="GD1045" s="3">
        <f t="shared" si="759"/>
        <v>0</v>
      </c>
      <c r="GE1045" s="3">
        <f t="shared" si="759"/>
        <v>0</v>
      </c>
      <c r="GF1045" s="3">
        <f t="shared" si="759"/>
        <v>0</v>
      </c>
      <c r="GG1045" s="3">
        <f t="shared" si="759"/>
        <v>0</v>
      </c>
      <c r="GH1045" s="3">
        <f t="shared" si="759"/>
        <v>0</v>
      </c>
      <c r="GI1045" s="3">
        <f t="shared" si="759"/>
        <v>0</v>
      </c>
      <c r="GJ1045" s="3">
        <f t="shared" si="759"/>
        <v>0</v>
      </c>
      <c r="GK1045" s="3">
        <f t="shared" si="759"/>
        <v>0</v>
      </c>
      <c r="GL1045" s="3">
        <f t="shared" si="759"/>
        <v>0</v>
      </c>
      <c r="GM1045" s="3">
        <f t="shared" si="759"/>
        <v>0</v>
      </c>
      <c r="GN1045" s="3">
        <f t="shared" si="759"/>
        <v>0</v>
      </c>
      <c r="GO1045" s="3">
        <f t="shared" si="759"/>
        <v>0</v>
      </c>
      <c r="GP1045" s="3">
        <f t="shared" si="759"/>
        <v>0</v>
      </c>
      <c r="GQ1045" s="3">
        <f t="shared" si="759"/>
        <v>0</v>
      </c>
      <c r="GR1045" s="3">
        <f t="shared" si="759"/>
        <v>0</v>
      </c>
      <c r="GS1045" s="3">
        <f t="shared" si="759"/>
        <v>0</v>
      </c>
      <c r="GT1045" s="3">
        <f t="shared" si="759"/>
        <v>0</v>
      </c>
      <c r="GU1045" s="3">
        <f t="shared" si="759"/>
        <v>0</v>
      </c>
      <c r="GV1045" s="3">
        <f t="shared" si="759"/>
        <v>0</v>
      </c>
      <c r="GW1045" s="3">
        <f t="shared" si="759"/>
        <v>0</v>
      </c>
      <c r="GX1045" s="3">
        <f t="shared" si="759"/>
        <v>0</v>
      </c>
    </row>
    <row r="1047" spans="1:206" x14ac:dyDescent="0.2">
      <c r="A1047" s="2">
        <v>51</v>
      </c>
      <c r="B1047" s="2">
        <f>B1043</f>
        <v>1</v>
      </c>
      <c r="C1047" s="2">
        <f>A1043</f>
        <v>4</v>
      </c>
      <c r="D1047" s="2">
        <f>ROW(A1043)</f>
        <v>1043</v>
      </c>
      <c r="E1047" s="2"/>
      <c r="F1047" s="2" t="str">
        <f>IF(F1043&lt;&gt;"",F1043,"")</f>
        <v>Новый раздел</v>
      </c>
      <c r="G1047" s="2" t="str">
        <f>IF(G1043&lt;&gt;"",G1043,"")</f>
        <v>37.2. Установка ограждения паркового высота 2,5 м</v>
      </c>
      <c r="H1047" s="2">
        <v>0</v>
      </c>
      <c r="I1047" s="2"/>
      <c r="J1047" s="2"/>
      <c r="K1047" s="2"/>
      <c r="L1047" s="2"/>
      <c r="M1047" s="2"/>
      <c r="N1047" s="2"/>
      <c r="O1047" s="2">
        <f t="shared" ref="O1047:T1047" si="760">ROUND(AB1047,2)</f>
        <v>0</v>
      </c>
      <c r="P1047" s="2">
        <f t="shared" si="760"/>
        <v>0</v>
      </c>
      <c r="Q1047" s="2">
        <f t="shared" si="760"/>
        <v>0</v>
      </c>
      <c r="R1047" s="2">
        <f t="shared" si="760"/>
        <v>0</v>
      </c>
      <c r="S1047" s="2">
        <f t="shared" si="760"/>
        <v>0</v>
      </c>
      <c r="T1047" s="2">
        <f t="shared" si="760"/>
        <v>0</v>
      </c>
      <c r="U1047" s="2">
        <f>AH1047</f>
        <v>0</v>
      </c>
      <c r="V1047" s="2">
        <f>AI1047</f>
        <v>0</v>
      </c>
      <c r="W1047" s="2">
        <f>ROUND(AJ1047,2)</f>
        <v>0</v>
      </c>
      <c r="X1047" s="2">
        <f>ROUND(AK1047,2)</f>
        <v>0</v>
      </c>
      <c r="Y1047" s="2">
        <f>ROUND(AL1047,2)</f>
        <v>0</v>
      </c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>
        <f t="shared" ref="AO1047:BD1047" si="761">ROUND(BX1047,2)</f>
        <v>0</v>
      </c>
      <c r="AP1047" s="2">
        <f t="shared" si="761"/>
        <v>0</v>
      </c>
      <c r="AQ1047" s="2">
        <f t="shared" si="761"/>
        <v>0</v>
      </c>
      <c r="AR1047" s="2">
        <f t="shared" si="761"/>
        <v>0</v>
      </c>
      <c r="AS1047" s="2">
        <f t="shared" si="761"/>
        <v>0</v>
      </c>
      <c r="AT1047" s="2">
        <f t="shared" si="761"/>
        <v>0</v>
      </c>
      <c r="AU1047" s="2">
        <f t="shared" si="761"/>
        <v>0</v>
      </c>
      <c r="AV1047" s="2">
        <f t="shared" si="761"/>
        <v>0</v>
      </c>
      <c r="AW1047" s="2">
        <f t="shared" si="761"/>
        <v>0</v>
      </c>
      <c r="AX1047" s="2">
        <f t="shared" si="761"/>
        <v>0</v>
      </c>
      <c r="AY1047" s="2">
        <f t="shared" si="761"/>
        <v>0</v>
      </c>
      <c r="AZ1047" s="2">
        <f t="shared" si="761"/>
        <v>0</v>
      </c>
      <c r="BA1047" s="2">
        <f t="shared" si="761"/>
        <v>0</v>
      </c>
      <c r="BB1047" s="2">
        <f t="shared" si="761"/>
        <v>0</v>
      </c>
      <c r="BC1047" s="2">
        <f t="shared" si="761"/>
        <v>0</v>
      </c>
      <c r="BD1047" s="2">
        <f t="shared" si="761"/>
        <v>0</v>
      </c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3"/>
      <c r="DH1047" s="3"/>
      <c r="DI1047" s="3"/>
      <c r="DJ1047" s="3"/>
      <c r="DK1047" s="3"/>
      <c r="DL1047" s="3"/>
      <c r="DM1047" s="3"/>
      <c r="DN1047" s="3"/>
      <c r="DO1047" s="3"/>
      <c r="DP1047" s="3"/>
      <c r="DQ1047" s="3"/>
      <c r="DR1047" s="3"/>
      <c r="DS1047" s="3"/>
      <c r="DT1047" s="3"/>
      <c r="DU1047" s="3"/>
      <c r="DV1047" s="3"/>
      <c r="DW1047" s="3"/>
      <c r="DX1047" s="3"/>
      <c r="DY1047" s="3"/>
      <c r="DZ1047" s="3"/>
      <c r="EA1047" s="3"/>
      <c r="EB1047" s="3"/>
      <c r="EC1047" s="3"/>
      <c r="ED1047" s="3"/>
      <c r="EE1047" s="3"/>
      <c r="EF1047" s="3"/>
      <c r="EG1047" s="3"/>
      <c r="EH1047" s="3"/>
      <c r="EI1047" s="3"/>
      <c r="EJ1047" s="3"/>
      <c r="EK1047" s="3"/>
      <c r="EL1047" s="3"/>
      <c r="EM1047" s="3"/>
      <c r="EN1047" s="3"/>
      <c r="EO1047" s="3"/>
      <c r="EP1047" s="3"/>
      <c r="EQ1047" s="3"/>
      <c r="ER1047" s="3"/>
      <c r="ES1047" s="3"/>
      <c r="ET1047" s="3"/>
      <c r="EU1047" s="3"/>
      <c r="EV1047" s="3"/>
      <c r="EW1047" s="3"/>
      <c r="EX1047" s="3"/>
      <c r="EY1047" s="3"/>
      <c r="EZ1047" s="3"/>
      <c r="FA1047" s="3"/>
      <c r="FB1047" s="3"/>
      <c r="FC1047" s="3"/>
      <c r="FD1047" s="3"/>
      <c r="FE1047" s="3"/>
      <c r="FF1047" s="3"/>
      <c r="FG1047" s="3"/>
      <c r="FH1047" s="3"/>
      <c r="FI1047" s="3"/>
      <c r="FJ1047" s="3"/>
      <c r="FK1047" s="3"/>
      <c r="FL1047" s="3"/>
      <c r="FM1047" s="3"/>
      <c r="FN1047" s="3"/>
      <c r="FO1047" s="3"/>
      <c r="FP1047" s="3"/>
      <c r="FQ1047" s="3"/>
      <c r="FR1047" s="3"/>
      <c r="FS1047" s="3"/>
      <c r="FT1047" s="3"/>
      <c r="FU1047" s="3"/>
      <c r="FV1047" s="3"/>
      <c r="FW1047" s="3"/>
      <c r="FX1047" s="3"/>
      <c r="FY1047" s="3"/>
      <c r="FZ1047" s="3"/>
      <c r="GA1047" s="3"/>
      <c r="GB1047" s="3"/>
      <c r="GC1047" s="3"/>
      <c r="GD1047" s="3"/>
      <c r="GE1047" s="3"/>
      <c r="GF1047" s="3"/>
      <c r="GG1047" s="3"/>
      <c r="GH1047" s="3"/>
      <c r="GI1047" s="3"/>
      <c r="GJ1047" s="3"/>
      <c r="GK1047" s="3"/>
      <c r="GL1047" s="3"/>
      <c r="GM1047" s="3"/>
      <c r="GN1047" s="3"/>
      <c r="GO1047" s="3"/>
      <c r="GP1047" s="3"/>
      <c r="GQ1047" s="3"/>
      <c r="GR1047" s="3"/>
      <c r="GS1047" s="3"/>
      <c r="GT1047" s="3"/>
      <c r="GU1047" s="3"/>
      <c r="GV1047" s="3"/>
      <c r="GW1047" s="3"/>
      <c r="GX1047" s="3">
        <v>0</v>
      </c>
    </row>
    <row r="1049" spans="1:206" x14ac:dyDescent="0.2">
      <c r="A1049" s="4">
        <v>50</v>
      </c>
      <c r="B1049" s="4">
        <v>0</v>
      </c>
      <c r="C1049" s="4">
        <v>0</v>
      </c>
      <c r="D1049" s="4">
        <v>1</v>
      </c>
      <c r="E1049" s="4">
        <v>201</v>
      </c>
      <c r="F1049" s="4">
        <f>ROUND(Source!O1047,O1049)</f>
        <v>0</v>
      </c>
      <c r="G1049" s="4" t="s">
        <v>89</v>
      </c>
      <c r="H1049" s="4" t="s">
        <v>90</v>
      </c>
      <c r="I1049" s="4"/>
      <c r="J1049" s="4"/>
      <c r="K1049" s="4">
        <v>201</v>
      </c>
      <c r="L1049" s="4">
        <v>1</v>
      </c>
      <c r="M1049" s="4">
        <v>3</v>
      </c>
      <c r="N1049" s="4" t="s">
        <v>3</v>
      </c>
      <c r="O1049" s="4">
        <v>2</v>
      </c>
      <c r="P1049" s="4"/>
      <c r="Q1049" s="4"/>
      <c r="R1049" s="4"/>
      <c r="S1049" s="4"/>
      <c r="T1049" s="4"/>
      <c r="U1049" s="4"/>
      <c r="V1049" s="4"/>
      <c r="W1049" s="4"/>
    </row>
    <row r="1050" spans="1:206" x14ac:dyDescent="0.2">
      <c r="A1050" s="4">
        <v>50</v>
      </c>
      <c r="B1050" s="4">
        <v>0</v>
      </c>
      <c r="C1050" s="4">
        <v>0</v>
      </c>
      <c r="D1050" s="4">
        <v>1</v>
      </c>
      <c r="E1050" s="4">
        <v>202</v>
      </c>
      <c r="F1050" s="4">
        <f>ROUND(Source!P1047,O1050)</f>
        <v>0</v>
      </c>
      <c r="G1050" s="4" t="s">
        <v>91</v>
      </c>
      <c r="H1050" s="4" t="s">
        <v>92</v>
      </c>
      <c r="I1050" s="4"/>
      <c r="J1050" s="4"/>
      <c r="K1050" s="4">
        <v>202</v>
      </c>
      <c r="L1050" s="4">
        <v>2</v>
      </c>
      <c r="M1050" s="4">
        <v>3</v>
      </c>
      <c r="N1050" s="4" t="s">
        <v>3</v>
      </c>
      <c r="O1050" s="4">
        <v>2</v>
      </c>
      <c r="P1050" s="4"/>
      <c r="Q1050" s="4"/>
      <c r="R1050" s="4"/>
      <c r="S1050" s="4"/>
      <c r="T1050" s="4"/>
      <c r="U1050" s="4"/>
      <c r="V1050" s="4"/>
      <c r="W1050" s="4"/>
    </row>
    <row r="1051" spans="1:206" x14ac:dyDescent="0.2">
      <c r="A1051" s="4">
        <v>50</v>
      </c>
      <c r="B1051" s="4">
        <v>0</v>
      </c>
      <c r="C1051" s="4">
        <v>0</v>
      </c>
      <c r="D1051" s="4">
        <v>1</v>
      </c>
      <c r="E1051" s="4">
        <v>222</v>
      </c>
      <c r="F1051" s="4">
        <f>ROUND(Source!AO1047,O1051)</f>
        <v>0</v>
      </c>
      <c r="G1051" s="4" t="s">
        <v>93</v>
      </c>
      <c r="H1051" s="4" t="s">
        <v>94</v>
      </c>
      <c r="I1051" s="4"/>
      <c r="J1051" s="4"/>
      <c r="K1051" s="4">
        <v>222</v>
      </c>
      <c r="L1051" s="4">
        <v>3</v>
      </c>
      <c r="M1051" s="4">
        <v>3</v>
      </c>
      <c r="N1051" s="4" t="s">
        <v>3</v>
      </c>
      <c r="O1051" s="4">
        <v>2</v>
      </c>
      <c r="P1051" s="4"/>
      <c r="Q1051" s="4"/>
      <c r="R1051" s="4"/>
      <c r="S1051" s="4"/>
      <c r="T1051" s="4"/>
      <c r="U1051" s="4"/>
      <c r="V1051" s="4"/>
      <c r="W1051" s="4"/>
    </row>
    <row r="1052" spans="1:206" x14ac:dyDescent="0.2">
      <c r="A1052" s="4">
        <v>50</v>
      </c>
      <c r="B1052" s="4">
        <v>0</v>
      </c>
      <c r="C1052" s="4">
        <v>0</v>
      </c>
      <c r="D1052" s="4">
        <v>1</v>
      </c>
      <c r="E1052" s="4">
        <v>225</v>
      </c>
      <c r="F1052" s="4">
        <f>ROUND(Source!AV1047,O1052)</f>
        <v>0</v>
      </c>
      <c r="G1052" s="4" t="s">
        <v>95</v>
      </c>
      <c r="H1052" s="4" t="s">
        <v>96</v>
      </c>
      <c r="I1052" s="4"/>
      <c r="J1052" s="4"/>
      <c r="K1052" s="4">
        <v>225</v>
      </c>
      <c r="L1052" s="4">
        <v>4</v>
      </c>
      <c r="M1052" s="4">
        <v>3</v>
      </c>
      <c r="N1052" s="4" t="s">
        <v>3</v>
      </c>
      <c r="O1052" s="4">
        <v>2</v>
      </c>
      <c r="P1052" s="4"/>
      <c r="Q1052" s="4"/>
      <c r="R1052" s="4"/>
      <c r="S1052" s="4"/>
      <c r="T1052" s="4"/>
      <c r="U1052" s="4"/>
      <c r="V1052" s="4"/>
      <c r="W1052" s="4"/>
    </row>
    <row r="1053" spans="1:206" x14ac:dyDescent="0.2">
      <c r="A1053" s="4">
        <v>50</v>
      </c>
      <c r="B1053" s="4">
        <v>0</v>
      </c>
      <c r="C1053" s="4">
        <v>0</v>
      </c>
      <c r="D1053" s="4">
        <v>1</v>
      </c>
      <c r="E1053" s="4">
        <v>226</v>
      </c>
      <c r="F1053" s="4">
        <f>ROUND(Source!AW1047,O1053)</f>
        <v>0</v>
      </c>
      <c r="G1053" s="4" t="s">
        <v>97</v>
      </c>
      <c r="H1053" s="4" t="s">
        <v>98</v>
      </c>
      <c r="I1053" s="4"/>
      <c r="J1053" s="4"/>
      <c r="K1053" s="4">
        <v>226</v>
      </c>
      <c r="L1053" s="4">
        <v>5</v>
      </c>
      <c r="M1053" s="4">
        <v>3</v>
      </c>
      <c r="N1053" s="4" t="s">
        <v>3</v>
      </c>
      <c r="O1053" s="4">
        <v>2</v>
      </c>
      <c r="P1053" s="4"/>
      <c r="Q1053" s="4"/>
      <c r="R1053" s="4"/>
      <c r="S1053" s="4"/>
      <c r="T1053" s="4"/>
      <c r="U1053" s="4"/>
      <c r="V1053" s="4"/>
      <c r="W1053" s="4"/>
    </row>
    <row r="1054" spans="1:206" x14ac:dyDescent="0.2">
      <c r="A1054" s="4">
        <v>50</v>
      </c>
      <c r="B1054" s="4">
        <v>0</v>
      </c>
      <c r="C1054" s="4">
        <v>0</v>
      </c>
      <c r="D1054" s="4">
        <v>1</v>
      </c>
      <c r="E1054" s="4">
        <v>227</v>
      </c>
      <c r="F1054" s="4">
        <f>ROUND(Source!AX1047,O1054)</f>
        <v>0</v>
      </c>
      <c r="G1054" s="4" t="s">
        <v>99</v>
      </c>
      <c r="H1054" s="4" t="s">
        <v>100</v>
      </c>
      <c r="I1054" s="4"/>
      <c r="J1054" s="4"/>
      <c r="K1054" s="4">
        <v>227</v>
      </c>
      <c r="L1054" s="4">
        <v>6</v>
      </c>
      <c r="M1054" s="4">
        <v>3</v>
      </c>
      <c r="N1054" s="4" t="s">
        <v>3</v>
      </c>
      <c r="O1054" s="4">
        <v>2</v>
      </c>
      <c r="P1054" s="4"/>
      <c r="Q1054" s="4"/>
      <c r="R1054" s="4"/>
      <c r="S1054" s="4"/>
      <c r="T1054" s="4"/>
      <c r="U1054" s="4"/>
      <c r="V1054" s="4"/>
      <c r="W1054" s="4"/>
    </row>
    <row r="1055" spans="1:206" x14ac:dyDescent="0.2">
      <c r="A1055" s="4">
        <v>50</v>
      </c>
      <c r="B1055" s="4">
        <v>0</v>
      </c>
      <c r="C1055" s="4">
        <v>0</v>
      </c>
      <c r="D1055" s="4">
        <v>1</v>
      </c>
      <c r="E1055" s="4">
        <v>228</v>
      </c>
      <c r="F1055" s="4">
        <f>ROUND(Source!AY1047,O1055)</f>
        <v>0</v>
      </c>
      <c r="G1055" s="4" t="s">
        <v>101</v>
      </c>
      <c r="H1055" s="4" t="s">
        <v>102</v>
      </c>
      <c r="I1055" s="4"/>
      <c r="J1055" s="4"/>
      <c r="K1055" s="4">
        <v>228</v>
      </c>
      <c r="L1055" s="4">
        <v>7</v>
      </c>
      <c r="M1055" s="4">
        <v>3</v>
      </c>
      <c r="N1055" s="4" t="s">
        <v>3</v>
      </c>
      <c r="O1055" s="4">
        <v>2</v>
      </c>
      <c r="P1055" s="4"/>
      <c r="Q1055" s="4"/>
      <c r="R1055" s="4"/>
      <c r="S1055" s="4"/>
      <c r="T1055" s="4"/>
      <c r="U1055" s="4"/>
      <c r="V1055" s="4"/>
      <c r="W1055" s="4"/>
    </row>
    <row r="1056" spans="1:206" x14ac:dyDescent="0.2">
      <c r="A1056" s="4">
        <v>50</v>
      </c>
      <c r="B1056" s="4">
        <v>0</v>
      </c>
      <c r="C1056" s="4">
        <v>0</v>
      </c>
      <c r="D1056" s="4">
        <v>1</v>
      </c>
      <c r="E1056" s="4">
        <v>216</v>
      </c>
      <c r="F1056" s="4">
        <f>ROUND(Source!AP1047,O1056)</f>
        <v>0</v>
      </c>
      <c r="G1056" s="4" t="s">
        <v>103</v>
      </c>
      <c r="H1056" s="4" t="s">
        <v>104</v>
      </c>
      <c r="I1056" s="4"/>
      <c r="J1056" s="4"/>
      <c r="K1056" s="4">
        <v>216</v>
      </c>
      <c r="L1056" s="4">
        <v>8</v>
      </c>
      <c r="M1056" s="4">
        <v>3</v>
      </c>
      <c r="N1056" s="4" t="s">
        <v>3</v>
      </c>
      <c r="O1056" s="4">
        <v>2</v>
      </c>
      <c r="P1056" s="4"/>
      <c r="Q1056" s="4"/>
      <c r="R1056" s="4"/>
      <c r="S1056" s="4"/>
      <c r="T1056" s="4"/>
      <c r="U1056" s="4"/>
      <c r="V1056" s="4"/>
      <c r="W1056" s="4"/>
    </row>
    <row r="1057" spans="1:23" x14ac:dyDescent="0.2">
      <c r="A1057" s="4">
        <v>50</v>
      </c>
      <c r="B1057" s="4">
        <v>0</v>
      </c>
      <c r="C1057" s="4">
        <v>0</v>
      </c>
      <c r="D1057" s="4">
        <v>1</v>
      </c>
      <c r="E1057" s="4">
        <v>223</v>
      </c>
      <c r="F1057" s="4">
        <f>ROUND(Source!AQ1047,O1057)</f>
        <v>0</v>
      </c>
      <c r="G1057" s="4" t="s">
        <v>105</v>
      </c>
      <c r="H1057" s="4" t="s">
        <v>106</v>
      </c>
      <c r="I1057" s="4"/>
      <c r="J1057" s="4"/>
      <c r="K1057" s="4">
        <v>223</v>
      </c>
      <c r="L1057" s="4">
        <v>9</v>
      </c>
      <c r="M1057" s="4">
        <v>3</v>
      </c>
      <c r="N1057" s="4" t="s">
        <v>3</v>
      </c>
      <c r="O1057" s="4">
        <v>2</v>
      </c>
      <c r="P1057" s="4"/>
      <c r="Q1057" s="4"/>
      <c r="R1057" s="4"/>
      <c r="S1057" s="4"/>
      <c r="T1057" s="4"/>
      <c r="U1057" s="4"/>
      <c r="V1057" s="4"/>
      <c r="W1057" s="4"/>
    </row>
    <row r="1058" spans="1:23" x14ac:dyDescent="0.2">
      <c r="A1058" s="4">
        <v>50</v>
      </c>
      <c r="B1058" s="4">
        <v>0</v>
      </c>
      <c r="C1058" s="4">
        <v>0</v>
      </c>
      <c r="D1058" s="4">
        <v>1</v>
      </c>
      <c r="E1058" s="4">
        <v>229</v>
      </c>
      <c r="F1058" s="4">
        <f>ROUND(Source!AZ1047,O1058)</f>
        <v>0</v>
      </c>
      <c r="G1058" s="4" t="s">
        <v>107</v>
      </c>
      <c r="H1058" s="4" t="s">
        <v>108</v>
      </c>
      <c r="I1058" s="4"/>
      <c r="J1058" s="4"/>
      <c r="K1058" s="4">
        <v>229</v>
      </c>
      <c r="L1058" s="4">
        <v>10</v>
      </c>
      <c r="M1058" s="4">
        <v>3</v>
      </c>
      <c r="N1058" s="4" t="s">
        <v>3</v>
      </c>
      <c r="O1058" s="4">
        <v>2</v>
      </c>
      <c r="P1058" s="4"/>
      <c r="Q1058" s="4"/>
      <c r="R1058" s="4"/>
      <c r="S1058" s="4"/>
      <c r="T1058" s="4"/>
      <c r="U1058" s="4"/>
      <c r="V1058" s="4"/>
      <c r="W1058" s="4"/>
    </row>
    <row r="1059" spans="1:23" x14ac:dyDescent="0.2">
      <c r="A1059" s="4">
        <v>50</v>
      </c>
      <c r="B1059" s="4">
        <v>0</v>
      </c>
      <c r="C1059" s="4">
        <v>0</v>
      </c>
      <c r="D1059" s="4">
        <v>1</v>
      </c>
      <c r="E1059" s="4">
        <v>203</v>
      </c>
      <c r="F1059" s="4">
        <f>ROUND(Source!Q1047,O1059)</f>
        <v>0</v>
      </c>
      <c r="G1059" s="4" t="s">
        <v>109</v>
      </c>
      <c r="H1059" s="4" t="s">
        <v>110</v>
      </c>
      <c r="I1059" s="4"/>
      <c r="J1059" s="4"/>
      <c r="K1059" s="4">
        <v>203</v>
      </c>
      <c r="L1059" s="4">
        <v>11</v>
      </c>
      <c r="M1059" s="4">
        <v>3</v>
      </c>
      <c r="N1059" s="4" t="s">
        <v>3</v>
      </c>
      <c r="O1059" s="4">
        <v>2</v>
      </c>
      <c r="P1059" s="4"/>
      <c r="Q1059" s="4"/>
      <c r="R1059" s="4"/>
      <c r="S1059" s="4"/>
      <c r="T1059" s="4"/>
      <c r="U1059" s="4"/>
      <c r="V1059" s="4"/>
      <c r="W1059" s="4"/>
    </row>
    <row r="1060" spans="1:23" x14ac:dyDescent="0.2">
      <c r="A1060" s="4">
        <v>50</v>
      </c>
      <c r="B1060" s="4">
        <v>0</v>
      </c>
      <c r="C1060" s="4">
        <v>0</v>
      </c>
      <c r="D1060" s="4">
        <v>1</v>
      </c>
      <c r="E1060" s="4">
        <v>231</v>
      </c>
      <c r="F1060" s="4">
        <f>ROUND(Source!BB1047,O1060)</f>
        <v>0</v>
      </c>
      <c r="G1060" s="4" t="s">
        <v>111</v>
      </c>
      <c r="H1060" s="4" t="s">
        <v>112</v>
      </c>
      <c r="I1060" s="4"/>
      <c r="J1060" s="4"/>
      <c r="K1060" s="4">
        <v>231</v>
      </c>
      <c r="L1060" s="4">
        <v>12</v>
      </c>
      <c r="M1060" s="4">
        <v>3</v>
      </c>
      <c r="N1060" s="4" t="s">
        <v>3</v>
      </c>
      <c r="O1060" s="4">
        <v>2</v>
      </c>
      <c r="P1060" s="4"/>
      <c r="Q1060" s="4"/>
      <c r="R1060" s="4"/>
      <c r="S1060" s="4"/>
      <c r="T1060" s="4"/>
      <c r="U1060" s="4"/>
      <c r="V1060" s="4"/>
      <c r="W1060" s="4"/>
    </row>
    <row r="1061" spans="1:23" x14ac:dyDescent="0.2">
      <c r="A1061" s="4">
        <v>50</v>
      </c>
      <c r="B1061" s="4">
        <v>0</v>
      </c>
      <c r="C1061" s="4">
        <v>0</v>
      </c>
      <c r="D1061" s="4">
        <v>1</v>
      </c>
      <c r="E1061" s="4">
        <v>204</v>
      </c>
      <c r="F1061" s="4">
        <f>ROUND(Source!R1047,O1061)</f>
        <v>0</v>
      </c>
      <c r="G1061" s="4" t="s">
        <v>113</v>
      </c>
      <c r="H1061" s="4" t="s">
        <v>114</v>
      </c>
      <c r="I1061" s="4"/>
      <c r="J1061" s="4"/>
      <c r="K1061" s="4">
        <v>204</v>
      </c>
      <c r="L1061" s="4">
        <v>13</v>
      </c>
      <c r="M1061" s="4">
        <v>3</v>
      </c>
      <c r="N1061" s="4" t="s">
        <v>3</v>
      </c>
      <c r="O1061" s="4">
        <v>2</v>
      </c>
      <c r="P1061" s="4"/>
      <c r="Q1061" s="4"/>
      <c r="R1061" s="4"/>
      <c r="S1061" s="4"/>
      <c r="T1061" s="4"/>
      <c r="U1061" s="4"/>
      <c r="V1061" s="4"/>
      <c r="W1061" s="4"/>
    </row>
    <row r="1062" spans="1:23" x14ac:dyDescent="0.2">
      <c r="A1062" s="4">
        <v>50</v>
      </c>
      <c r="B1062" s="4">
        <v>0</v>
      </c>
      <c r="C1062" s="4">
        <v>0</v>
      </c>
      <c r="D1062" s="4">
        <v>1</v>
      </c>
      <c r="E1062" s="4">
        <v>205</v>
      </c>
      <c r="F1062" s="4">
        <f>ROUND(Source!S1047,O1062)</f>
        <v>0</v>
      </c>
      <c r="G1062" s="4" t="s">
        <v>115</v>
      </c>
      <c r="H1062" s="4" t="s">
        <v>116</v>
      </c>
      <c r="I1062" s="4"/>
      <c r="J1062" s="4"/>
      <c r="K1062" s="4">
        <v>205</v>
      </c>
      <c r="L1062" s="4">
        <v>14</v>
      </c>
      <c r="M1062" s="4">
        <v>3</v>
      </c>
      <c r="N1062" s="4" t="s">
        <v>3</v>
      </c>
      <c r="O1062" s="4">
        <v>2</v>
      </c>
      <c r="P1062" s="4"/>
      <c r="Q1062" s="4"/>
      <c r="R1062" s="4"/>
      <c r="S1062" s="4"/>
      <c r="T1062" s="4"/>
      <c r="U1062" s="4"/>
      <c r="V1062" s="4"/>
      <c r="W1062" s="4"/>
    </row>
    <row r="1063" spans="1:23" x14ac:dyDescent="0.2">
      <c r="A1063" s="4">
        <v>50</v>
      </c>
      <c r="B1063" s="4">
        <v>0</v>
      </c>
      <c r="C1063" s="4">
        <v>0</v>
      </c>
      <c r="D1063" s="4">
        <v>1</v>
      </c>
      <c r="E1063" s="4">
        <v>232</v>
      </c>
      <c r="F1063" s="4">
        <f>ROUND(Source!BC1047,O1063)</f>
        <v>0</v>
      </c>
      <c r="G1063" s="4" t="s">
        <v>117</v>
      </c>
      <c r="H1063" s="4" t="s">
        <v>118</v>
      </c>
      <c r="I1063" s="4"/>
      <c r="J1063" s="4"/>
      <c r="K1063" s="4">
        <v>232</v>
      </c>
      <c r="L1063" s="4">
        <v>15</v>
      </c>
      <c r="M1063" s="4">
        <v>3</v>
      </c>
      <c r="N1063" s="4" t="s">
        <v>3</v>
      </c>
      <c r="O1063" s="4">
        <v>2</v>
      </c>
      <c r="P1063" s="4"/>
      <c r="Q1063" s="4"/>
      <c r="R1063" s="4"/>
      <c r="S1063" s="4"/>
      <c r="T1063" s="4"/>
      <c r="U1063" s="4"/>
      <c r="V1063" s="4"/>
      <c r="W1063" s="4"/>
    </row>
    <row r="1064" spans="1:23" x14ac:dyDescent="0.2">
      <c r="A1064" s="4">
        <v>50</v>
      </c>
      <c r="B1064" s="4">
        <v>0</v>
      </c>
      <c r="C1064" s="4">
        <v>0</v>
      </c>
      <c r="D1064" s="4">
        <v>1</v>
      </c>
      <c r="E1064" s="4">
        <v>214</v>
      </c>
      <c r="F1064" s="4">
        <f>ROUND(Source!AS1047,O1064)</f>
        <v>0</v>
      </c>
      <c r="G1064" s="4" t="s">
        <v>119</v>
      </c>
      <c r="H1064" s="4" t="s">
        <v>120</v>
      </c>
      <c r="I1064" s="4"/>
      <c r="J1064" s="4"/>
      <c r="K1064" s="4">
        <v>214</v>
      </c>
      <c r="L1064" s="4">
        <v>16</v>
      </c>
      <c r="M1064" s="4">
        <v>3</v>
      </c>
      <c r="N1064" s="4" t="s">
        <v>3</v>
      </c>
      <c r="O1064" s="4">
        <v>2</v>
      </c>
      <c r="P1064" s="4"/>
      <c r="Q1064" s="4"/>
      <c r="R1064" s="4"/>
      <c r="S1064" s="4"/>
      <c r="T1064" s="4"/>
      <c r="U1064" s="4"/>
      <c r="V1064" s="4"/>
      <c r="W1064" s="4"/>
    </row>
    <row r="1065" spans="1:23" x14ac:dyDescent="0.2">
      <c r="A1065" s="4">
        <v>50</v>
      </c>
      <c r="B1065" s="4">
        <v>0</v>
      </c>
      <c r="C1065" s="4">
        <v>0</v>
      </c>
      <c r="D1065" s="4">
        <v>1</v>
      </c>
      <c r="E1065" s="4">
        <v>215</v>
      </c>
      <c r="F1065" s="4">
        <f>ROUND(Source!AT1047,O1065)</f>
        <v>0</v>
      </c>
      <c r="G1065" s="4" t="s">
        <v>121</v>
      </c>
      <c r="H1065" s="4" t="s">
        <v>122</v>
      </c>
      <c r="I1065" s="4"/>
      <c r="J1065" s="4"/>
      <c r="K1065" s="4">
        <v>215</v>
      </c>
      <c r="L1065" s="4">
        <v>17</v>
      </c>
      <c r="M1065" s="4">
        <v>3</v>
      </c>
      <c r="N1065" s="4" t="s">
        <v>3</v>
      </c>
      <c r="O1065" s="4">
        <v>2</v>
      </c>
      <c r="P1065" s="4"/>
      <c r="Q1065" s="4"/>
      <c r="R1065" s="4"/>
      <c r="S1065" s="4"/>
      <c r="T1065" s="4"/>
      <c r="U1065" s="4"/>
      <c r="V1065" s="4"/>
      <c r="W1065" s="4"/>
    </row>
    <row r="1066" spans="1:23" x14ac:dyDescent="0.2">
      <c r="A1066" s="4">
        <v>50</v>
      </c>
      <c r="B1066" s="4">
        <v>0</v>
      </c>
      <c r="C1066" s="4">
        <v>0</v>
      </c>
      <c r="D1066" s="4">
        <v>1</v>
      </c>
      <c r="E1066" s="4">
        <v>217</v>
      </c>
      <c r="F1066" s="4">
        <f>ROUND(Source!AU1047,O1066)</f>
        <v>0</v>
      </c>
      <c r="G1066" s="4" t="s">
        <v>123</v>
      </c>
      <c r="H1066" s="4" t="s">
        <v>124</v>
      </c>
      <c r="I1066" s="4"/>
      <c r="J1066" s="4"/>
      <c r="K1066" s="4">
        <v>217</v>
      </c>
      <c r="L1066" s="4">
        <v>18</v>
      </c>
      <c r="M1066" s="4">
        <v>3</v>
      </c>
      <c r="N1066" s="4" t="s">
        <v>3</v>
      </c>
      <c r="O1066" s="4">
        <v>2</v>
      </c>
      <c r="P1066" s="4"/>
      <c r="Q1066" s="4"/>
      <c r="R1066" s="4"/>
      <c r="S1066" s="4"/>
      <c r="T1066" s="4"/>
      <c r="U1066" s="4"/>
      <c r="V1066" s="4"/>
      <c r="W1066" s="4"/>
    </row>
    <row r="1067" spans="1:23" x14ac:dyDescent="0.2">
      <c r="A1067" s="4">
        <v>50</v>
      </c>
      <c r="B1067" s="4">
        <v>0</v>
      </c>
      <c r="C1067" s="4">
        <v>0</v>
      </c>
      <c r="D1067" s="4">
        <v>1</v>
      </c>
      <c r="E1067" s="4">
        <v>230</v>
      </c>
      <c r="F1067" s="4">
        <f>ROUND(Source!BA1047,O1067)</f>
        <v>0</v>
      </c>
      <c r="G1067" s="4" t="s">
        <v>125</v>
      </c>
      <c r="H1067" s="4" t="s">
        <v>126</v>
      </c>
      <c r="I1067" s="4"/>
      <c r="J1067" s="4"/>
      <c r="K1067" s="4">
        <v>230</v>
      </c>
      <c r="L1067" s="4">
        <v>19</v>
      </c>
      <c r="M1067" s="4">
        <v>3</v>
      </c>
      <c r="N1067" s="4" t="s">
        <v>3</v>
      </c>
      <c r="O1067" s="4">
        <v>2</v>
      </c>
      <c r="P1067" s="4"/>
      <c r="Q1067" s="4"/>
      <c r="R1067" s="4"/>
      <c r="S1067" s="4"/>
      <c r="T1067" s="4"/>
      <c r="U1067" s="4"/>
      <c r="V1067" s="4"/>
      <c r="W1067" s="4"/>
    </row>
    <row r="1068" spans="1:23" x14ac:dyDescent="0.2">
      <c r="A1068" s="4">
        <v>50</v>
      </c>
      <c r="B1068" s="4">
        <v>0</v>
      </c>
      <c r="C1068" s="4">
        <v>0</v>
      </c>
      <c r="D1068" s="4">
        <v>1</v>
      </c>
      <c r="E1068" s="4">
        <v>206</v>
      </c>
      <c r="F1068" s="4">
        <f>ROUND(Source!T1047,O1068)</f>
        <v>0</v>
      </c>
      <c r="G1068" s="4" t="s">
        <v>127</v>
      </c>
      <c r="H1068" s="4" t="s">
        <v>128</v>
      </c>
      <c r="I1068" s="4"/>
      <c r="J1068" s="4"/>
      <c r="K1068" s="4">
        <v>206</v>
      </c>
      <c r="L1068" s="4">
        <v>20</v>
      </c>
      <c r="M1068" s="4">
        <v>3</v>
      </c>
      <c r="N1068" s="4" t="s">
        <v>3</v>
      </c>
      <c r="O1068" s="4">
        <v>2</v>
      </c>
      <c r="P1068" s="4"/>
      <c r="Q1068" s="4"/>
      <c r="R1068" s="4"/>
      <c r="S1068" s="4"/>
      <c r="T1068" s="4"/>
      <c r="U1068" s="4"/>
      <c r="V1068" s="4"/>
      <c r="W1068" s="4"/>
    </row>
    <row r="1069" spans="1:23" x14ac:dyDescent="0.2">
      <c r="A1069" s="4">
        <v>50</v>
      </c>
      <c r="B1069" s="4">
        <v>0</v>
      </c>
      <c r="C1069" s="4">
        <v>0</v>
      </c>
      <c r="D1069" s="4">
        <v>1</v>
      </c>
      <c r="E1069" s="4">
        <v>207</v>
      </c>
      <c r="F1069" s="4">
        <f>Source!U1047</f>
        <v>0</v>
      </c>
      <c r="G1069" s="4" t="s">
        <v>129</v>
      </c>
      <c r="H1069" s="4" t="s">
        <v>130</v>
      </c>
      <c r="I1069" s="4"/>
      <c r="J1069" s="4"/>
      <c r="K1069" s="4">
        <v>207</v>
      </c>
      <c r="L1069" s="4">
        <v>21</v>
      </c>
      <c r="M1069" s="4">
        <v>3</v>
      </c>
      <c r="N1069" s="4" t="s">
        <v>3</v>
      </c>
      <c r="O1069" s="4">
        <v>-1</v>
      </c>
      <c r="P1069" s="4"/>
      <c r="Q1069" s="4"/>
      <c r="R1069" s="4"/>
      <c r="S1069" s="4"/>
      <c r="T1069" s="4"/>
      <c r="U1069" s="4"/>
      <c r="V1069" s="4"/>
      <c r="W1069" s="4"/>
    </row>
    <row r="1070" spans="1:23" x14ac:dyDescent="0.2">
      <c r="A1070" s="4">
        <v>50</v>
      </c>
      <c r="B1070" s="4">
        <v>0</v>
      </c>
      <c r="C1070" s="4">
        <v>0</v>
      </c>
      <c r="D1070" s="4">
        <v>1</v>
      </c>
      <c r="E1070" s="4">
        <v>208</v>
      </c>
      <c r="F1070" s="4">
        <f>Source!V1047</f>
        <v>0</v>
      </c>
      <c r="G1070" s="4" t="s">
        <v>131</v>
      </c>
      <c r="H1070" s="4" t="s">
        <v>132</v>
      </c>
      <c r="I1070" s="4"/>
      <c r="J1070" s="4"/>
      <c r="K1070" s="4">
        <v>208</v>
      </c>
      <c r="L1070" s="4">
        <v>22</v>
      </c>
      <c r="M1070" s="4">
        <v>3</v>
      </c>
      <c r="N1070" s="4" t="s">
        <v>3</v>
      </c>
      <c r="O1070" s="4">
        <v>-1</v>
      </c>
      <c r="P1070" s="4"/>
      <c r="Q1070" s="4"/>
      <c r="R1070" s="4"/>
      <c r="S1070" s="4"/>
      <c r="T1070" s="4"/>
      <c r="U1070" s="4"/>
      <c r="V1070" s="4"/>
      <c r="W1070" s="4"/>
    </row>
    <row r="1071" spans="1:23" x14ac:dyDescent="0.2">
      <c r="A1071" s="4">
        <v>50</v>
      </c>
      <c r="B1071" s="4">
        <v>0</v>
      </c>
      <c r="C1071" s="4">
        <v>0</v>
      </c>
      <c r="D1071" s="4">
        <v>1</v>
      </c>
      <c r="E1071" s="4">
        <v>209</v>
      </c>
      <c r="F1071" s="4">
        <f>ROUND(Source!W1047,O1071)</f>
        <v>0</v>
      </c>
      <c r="G1071" s="4" t="s">
        <v>133</v>
      </c>
      <c r="H1071" s="4" t="s">
        <v>134</v>
      </c>
      <c r="I1071" s="4"/>
      <c r="J1071" s="4"/>
      <c r="K1071" s="4">
        <v>209</v>
      </c>
      <c r="L1071" s="4">
        <v>23</v>
      </c>
      <c r="M1071" s="4">
        <v>3</v>
      </c>
      <c r="N1071" s="4" t="s">
        <v>3</v>
      </c>
      <c r="O1071" s="4">
        <v>2</v>
      </c>
      <c r="P1071" s="4"/>
      <c r="Q1071" s="4"/>
      <c r="R1071" s="4"/>
      <c r="S1071" s="4"/>
      <c r="T1071" s="4"/>
      <c r="U1071" s="4"/>
      <c r="V1071" s="4"/>
      <c r="W1071" s="4"/>
    </row>
    <row r="1072" spans="1:23" x14ac:dyDescent="0.2">
      <c r="A1072" s="4">
        <v>50</v>
      </c>
      <c r="B1072" s="4">
        <v>0</v>
      </c>
      <c r="C1072" s="4">
        <v>0</v>
      </c>
      <c r="D1072" s="4">
        <v>1</v>
      </c>
      <c r="E1072" s="4">
        <v>233</v>
      </c>
      <c r="F1072" s="4">
        <f>ROUND(Source!BD1047,O1072)</f>
        <v>0</v>
      </c>
      <c r="G1072" s="4" t="s">
        <v>135</v>
      </c>
      <c r="H1072" s="4" t="s">
        <v>136</v>
      </c>
      <c r="I1072" s="4"/>
      <c r="J1072" s="4"/>
      <c r="K1072" s="4">
        <v>233</v>
      </c>
      <c r="L1072" s="4">
        <v>24</v>
      </c>
      <c r="M1072" s="4">
        <v>3</v>
      </c>
      <c r="N1072" s="4" t="s">
        <v>3</v>
      </c>
      <c r="O1072" s="4">
        <v>2</v>
      </c>
      <c r="P1072" s="4"/>
      <c r="Q1072" s="4"/>
      <c r="R1072" s="4"/>
      <c r="S1072" s="4"/>
      <c r="T1072" s="4"/>
      <c r="U1072" s="4"/>
      <c r="V1072" s="4"/>
      <c r="W1072" s="4"/>
    </row>
    <row r="1073" spans="1:206" x14ac:dyDescent="0.2">
      <c r="A1073" s="4">
        <v>50</v>
      </c>
      <c r="B1073" s="4">
        <v>0</v>
      </c>
      <c r="C1073" s="4">
        <v>0</v>
      </c>
      <c r="D1073" s="4">
        <v>1</v>
      </c>
      <c r="E1073" s="4">
        <v>210</v>
      </c>
      <c r="F1073" s="4">
        <f>ROUND(Source!X1047,O1073)</f>
        <v>0</v>
      </c>
      <c r="G1073" s="4" t="s">
        <v>137</v>
      </c>
      <c r="H1073" s="4" t="s">
        <v>138</v>
      </c>
      <c r="I1073" s="4"/>
      <c r="J1073" s="4"/>
      <c r="K1073" s="4">
        <v>210</v>
      </c>
      <c r="L1073" s="4">
        <v>25</v>
      </c>
      <c r="M1073" s="4">
        <v>3</v>
      </c>
      <c r="N1073" s="4" t="s">
        <v>3</v>
      </c>
      <c r="O1073" s="4">
        <v>2</v>
      </c>
      <c r="P1073" s="4"/>
      <c r="Q1073" s="4"/>
      <c r="R1073" s="4"/>
      <c r="S1073" s="4"/>
      <c r="T1073" s="4"/>
      <c r="U1073" s="4"/>
      <c r="V1073" s="4"/>
      <c r="W1073" s="4"/>
    </row>
    <row r="1074" spans="1:206" x14ac:dyDescent="0.2">
      <c r="A1074" s="4">
        <v>50</v>
      </c>
      <c r="B1074" s="4">
        <v>0</v>
      </c>
      <c r="C1074" s="4">
        <v>0</v>
      </c>
      <c r="D1074" s="4">
        <v>1</v>
      </c>
      <c r="E1074" s="4">
        <v>211</v>
      </c>
      <c r="F1074" s="4">
        <f>ROUND(Source!Y1047,O1074)</f>
        <v>0</v>
      </c>
      <c r="G1074" s="4" t="s">
        <v>139</v>
      </c>
      <c r="H1074" s="4" t="s">
        <v>140</v>
      </c>
      <c r="I1074" s="4"/>
      <c r="J1074" s="4"/>
      <c r="K1074" s="4">
        <v>211</v>
      </c>
      <c r="L1074" s="4">
        <v>26</v>
      </c>
      <c r="M1074" s="4">
        <v>3</v>
      </c>
      <c r="N1074" s="4" t="s">
        <v>3</v>
      </c>
      <c r="O1074" s="4">
        <v>2</v>
      </c>
      <c r="P1074" s="4"/>
      <c r="Q1074" s="4"/>
      <c r="R1074" s="4"/>
      <c r="S1074" s="4"/>
      <c r="T1074" s="4"/>
      <c r="U1074" s="4"/>
      <c r="V1074" s="4"/>
      <c r="W1074" s="4"/>
    </row>
    <row r="1075" spans="1:206" x14ac:dyDescent="0.2">
      <c r="A1075" s="4">
        <v>50</v>
      </c>
      <c r="B1075" s="4">
        <v>0</v>
      </c>
      <c r="C1075" s="4">
        <v>0</v>
      </c>
      <c r="D1075" s="4">
        <v>1</v>
      </c>
      <c r="E1075" s="4">
        <v>224</v>
      </c>
      <c r="F1075" s="4">
        <f>ROUND(Source!AR1047,O1075)</f>
        <v>0</v>
      </c>
      <c r="G1075" s="4" t="s">
        <v>141</v>
      </c>
      <c r="H1075" s="4" t="s">
        <v>142</v>
      </c>
      <c r="I1075" s="4"/>
      <c r="J1075" s="4"/>
      <c r="K1075" s="4">
        <v>224</v>
      </c>
      <c r="L1075" s="4">
        <v>27</v>
      </c>
      <c r="M1075" s="4">
        <v>3</v>
      </c>
      <c r="N1075" s="4" t="s">
        <v>3</v>
      </c>
      <c r="O1075" s="4">
        <v>2</v>
      </c>
      <c r="P1075" s="4"/>
      <c r="Q1075" s="4"/>
      <c r="R1075" s="4"/>
      <c r="S1075" s="4"/>
      <c r="T1075" s="4"/>
      <c r="U1075" s="4"/>
      <c r="V1075" s="4"/>
      <c r="W1075" s="4"/>
    </row>
    <row r="1077" spans="1:206" x14ac:dyDescent="0.2">
      <c r="A1077" s="1">
        <v>4</v>
      </c>
      <c r="B1077" s="1">
        <v>1</v>
      </c>
      <c r="C1077" s="1"/>
      <c r="D1077" s="1">
        <f>ROW(A1081)</f>
        <v>1081</v>
      </c>
      <c r="E1077" s="1"/>
      <c r="F1077" s="1" t="s">
        <v>13</v>
      </c>
      <c r="G1077" s="1" t="s">
        <v>552</v>
      </c>
      <c r="H1077" s="1" t="s">
        <v>3</v>
      </c>
      <c r="I1077" s="1">
        <v>0</v>
      </c>
      <c r="J1077" s="1"/>
      <c r="K1077" s="1">
        <v>0</v>
      </c>
      <c r="L1077" s="1"/>
      <c r="M1077" s="1"/>
      <c r="N1077" s="1"/>
      <c r="O1077" s="1"/>
      <c r="P1077" s="1"/>
      <c r="Q1077" s="1"/>
      <c r="R1077" s="1"/>
      <c r="S1077" s="1"/>
      <c r="T1077" s="1"/>
      <c r="U1077" s="1" t="s">
        <v>3</v>
      </c>
      <c r="V1077" s="1">
        <v>0</v>
      </c>
      <c r="W1077" s="1"/>
      <c r="X1077" s="1"/>
      <c r="Y1077" s="1"/>
      <c r="Z1077" s="1"/>
      <c r="AA1077" s="1"/>
      <c r="AB1077" s="1" t="s">
        <v>3</v>
      </c>
      <c r="AC1077" s="1" t="s">
        <v>3</v>
      </c>
      <c r="AD1077" s="1" t="s">
        <v>3</v>
      </c>
      <c r="AE1077" s="1" t="s">
        <v>3</v>
      </c>
      <c r="AF1077" s="1" t="s">
        <v>3</v>
      </c>
      <c r="AG1077" s="1" t="s">
        <v>3</v>
      </c>
      <c r="AH1077" s="1"/>
      <c r="AI1077" s="1"/>
      <c r="AJ1077" s="1"/>
      <c r="AK1077" s="1"/>
      <c r="AL1077" s="1"/>
      <c r="AM1077" s="1"/>
      <c r="AN1077" s="1"/>
      <c r="AO1077" s="1"/>
      <c r="AP1077" s="1" t="s">
        <v>3</v>
      </c>
      <c r="AQ1077" s="1" t="s">
        <v>3</v>
      </c>
      <c r="AR1077" s="1" t="s">
        <v>3</v>
      </c>
      <c r="AS1077" s="1"/>
      <c r="AT1077" s="1"/>
      <c r="AU1077" s="1"/>
      <c r="AV1077" s="1"/>
      <c r="AW1077" s="1"/>
      <c r="AX1077" s="1"/>
      <c r="AY1077" s="1"/>
      <c r="AZ1077" s="1" t="s">
        <v>3</v>
      </c>
      <c r="BA1077" s="1"/>
      <c r="BB1077" s="1" t="s">
        <v>3</v>
      </c>
      <c r="BC1077" s="1" t="s">
        <v>3</v>
      </c>
      <c r="BD1077" s="1" t="s">
        <v>3</v>
      </c>
      <c r="BE1077" s="1" t="s">
        <v>3</v>
      </c>
      <c r="BF1077" s="1" t="s">
        <v>3</v>
      </c>
      <c r="BG1077" s="1" t="s">
        <v>3</v>
      </c>
      <c r="BH1077" s="1" t="s">
        <v>3</v>
      </c>
      <c r="BI1077" s="1" t="s">
        <v>3</v>
      </c>
      <c r="BJ1077" s="1" t="s">
        <v>3</v>
      </c>
      <c r="BK1077" s="1" t="s">
        <v>3</v>
      </c>
      <c r="BL1077" s="1" t="s">
        <v>3</v>
      </c>
      <c r="BM1077" s="1" t="s">
        <v>3</v>
      </c>
      <c r="BN1077" s="1" t="s">
        <v>3</v>
      </c>
      <c r="BO1077" s="1" t="s">
        <v>3</v>
      </c>
      <c r="BP1077" s="1" t="s">
        <v>3</v>
      </c>
      <c r="BQ1077" s="1"/>
      <c r="BR1077" s="1"/>
      <c r="BS1077" s="1"/>
      <c r="BT1077" s="1"/>
      <c r="BU1077" s="1"/>
      <c r="BV1077" s="1"/>
      <c r="BW1077" s="1"/>
      <c r="BX1077" s="1">
        <v>0</v>
      </c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>
        <v>0</v>
      </c>
    </row>
    <row r="1079" spans="1:206" x14ac:dyDescent="0.2">
      <c r="A1079" s="2">
        <v>52</v>
      </c>
      <c r="B1079" s="2">
        <f t="shared" ref="B1079:G1079" si="762">B1081</f>
        <v>1</v>
      </c>
      <c r="C1079" s="2">
        <f t="shared" si="762"/>
        <v>4</v>
      </c>
      <c r="D1079" s="2">
        <f t="shared" si="762"/>
        <v>1077</v>
      </c>
      <c r="E1079" s="2">
        <f t="shared" si="762"/>
        <v>0</v>
      </c>
      <c r="F1079" s="2" t="str">
        <f t="shared" si="762"/>
        <v>Новый раздел</v>
      </c>
      <c r="G1079" s="2" t="str">
        <f t="shared" si="762"/>
        <v>38. Монтаж поликарбоната на ограждение</v>
      </c>
      <c r="H1079" s="2"/>
      <c r="I1079" s="2"/>
      <c r="J1079" s="2"/>
      <c r="K1079" s="2"/>
      <c r="L1079" s="2"/>
      <c r="M1079" s="2"/>
      <c r="N1079" s="2"/>
      <c r="O1079" s="2">
        <f t="shared" ref="O1079:AT1079" si="763">O1081</f>
        <v>0</v>
      </c>
      <c r="P1079" s="2">
        <f t="shared" si="763"/>
        <v>0</v>
      </c>
      <c r="Q1079" s="2">
        <f t="shared" si="763"/>
        <v>0</v>
      </c>
      <c r="R1079" s="2">
        <f t="shared" si="763"/>
        <v>0</v>
      </c>
      <c r="S1079" s="2">
        <f t="shared" si="763"/>
        <v>0</v>
      </c>
      <c r="T1079" s="2">
        <f t="shared" si="763"/>
        <v>0</v>
      </c>
      <c r="U1079" s="2">
        <f t="shared" si="763"/>
        <v>0</v>
      </c>
      <c r="V1079" s="2">
        <f t="shared" si="763"/>
        <v>0</v>
      </c>
      <c r="W1079" s="2">
        <f t="shared" si="763"/>
        <v>0</v>
      </c>
      <c r="X1079" s="2">
        <f t="shared" si="763"/>
        <v>0</v>
      </c>
      <c r="Y1079" s="2">
        <f t="shared" si="763"/>
        <v>0</v>
      </c>
      <c r="Z1079" s="2">
        <f t="shared" si="763"/>
        <v>0</v>
      </c>
      <c r="AA1079" s="2">
        <f t="shared" si="763"/>
        <v>0</v>
      </c>
      <c r="AB1079" s="2">
        <f t="shared" si="763"/>
        <v>0</v>
      </c>
      <c r="AC1079" s="2">
        <f t="shared" si="763"/>
        <v>0</v>
      </c>
      <c r="AD1079" s="2">
        <f t="shared" si="763"/>
        <v>0</v>
      </c>
      <c r="AE1079" s="2">
        <f t="shared" si="763"/>
        <v>0</v>
      </c>
      <c r="AF1079" s="2">
        <f t="shared" si="763"/>
        <v>0</v>
      </c>
      <c r="AG1079" s="2">
        <f t="shared" si="763"/>
        <v>0</v>
      </c>
      <c r="AH1079" s="2">
        <f t="shared" si="763"/>
        <v>0</v>
      </c>
      <c r="AI1079" s="2">
        <f t="shared" si="763"/>
        <v>0</v>
      </c>
      <c r="AJ1079" s="2">
        <f t="shared" si="763"/>
        <v>0</v>
      </c>
      <c r="AK1079" s="2">
        <f t="shared" si="763"/>
        <v>0</v>
      </c>
      <c r="AL1079" s="2">
        <f t="shared" si="763"/>
        <v>0</v>
      </c>
      <c r="AM1079" s="2">
        <f t="shared" si="763"/>
        <v>0</v>
      </c>
      <c r="AN1079" s="2">
        <f t="shared" si="763"/>
        <v>0</v>
      </c>
      <c r="AO1079" s="2">
        <f t="shared" si="763"/>
        <v>0</v>
      </c>
      <c r="AP1079" s="2">
        <f t="shared" si="763"/>
        <v>0</v>
      </c>
      <c r="AQ1079" s="2">
        <f t="shared" si="763"/>
        <v>0</v>
      </c>
      <c r="AR1079" s="2">
        <f t="shared" si="763"/>
        <v>0</v>
      </c>
      <c r="AS1079" s="2">
        <f t="shared" si="763"/>
        <v>0</v>
      </c>
      <c r="AT1079" s="2">
        <f t="shared" si="763"/>
        <v>0</v>
      </c>
      <c r="AU1079" s="2">
        <f t="shared" ref="AU1079:BZ1079" si="764">AU1081</f>
        <v>0</v>
      </c>
      <c r="AV1079" s="2">
        <f t="shared" si="764"/>
        <v>0</v>
      </c>
      <c r="AW1079" s="2">
        <f t="shared" si="764"/>
        <v>0</v>
      </c>
      <c r="AX1079" s="2">
        <f t="shared" si="764"/>
        <v>0</v>
      </c>
      <c r="AY1079" s="2">
        <f t="shared" si="764"/>
        <v>0</v>
      </c>
      <c r="AZ1079" s="2">
        <f t="shared" si="764"/>
        <v>0</v>
      </c>
      <c r="BA1079" s="2">
        <f t="shared" si="764"/>
        <v>0</v>
      </c>
      <c r="BB1079" s="2">
        <f t="shared" si="764"/>
        <v>0</v>
      </c>
      <c r="BC1079" s="2">
        <f t="shared" si="764"/>
        <v>0</v>
      </c>
      <c r="BD1079" s="2">
        <f t="shared" si="764"/>
        <v>0</v>
      </c>
      <c r="BE1079" s="2">
        <f t="shared" si="764"/>
        <v>0</v>
      </c>
      <c r="BF1079" s="2">
        <f t="shared" si="764"/>
        <v>0</v>
      </c>
      <c r="BG1079" s="2">
        <f t="shared" si="764"/>
        <v>0</v>
      </c>
      <c r="BH1079" s="2">
        <f t="shared" si="764"/>
        <v>0</v>
      </c>
      <c r="BI1079" s="2">
        <f t="shared" si="764"/>
        <v>0</v>
      </c>
      <c r="BJ1079" s="2">
        <f t="shared" si="764"/>
        <v>0</v>
      </c>
      <c r="BK1079" s="2">
        <f t="shared" si="764"/>
        <v>0</v>
      </c>
      <c r="BL1079" s="2">
        <f t="shared" si="764"/>
        <v>0</v>
      </c>
      <c r="BM1079" s="2">
        <f t="shared" si="764"/>
        <v>0</v>
      </c>
      <c r="BN1079" s="2">
        <f t="shared" si="764"/>
        <v>0</v>
      </c>
      <c r="BO1079" s="2">
        <f t="shared" si="764"/>
        <v>0</v>
      </c>
      <c r="BP1079" s="2">
        <f t="shared" si="764"/>
        <v>0</v>
      </c>
      <c r="BQ1079" s="2">
        <f t="shared" si="764"/>
        <v>0</v>
      </c>
      <c r="BR1079" s="2">
        <f t="shared" si="764"/>
        <v>0</v>
      </c>
      <c r="BS1079" s="2">
        <f t="shared" si="764"/>
        <v>0</v>
      </c>
      <c r="BT1079" s="2">
        <f t="shared" si="764"/>
        <v>0</v>
      </c>
      <c r="BU1079" s="2">
        <f t="shared" si="764"/>
        <v>0</v>
      </c>
      <c r="BV1079" s="2">
        <f t="shared" si="764"/>
        <v>0</v>
      </c>
      <c r="BW1079" s="2">
        <f t="shared" si="764"/>
        <v>0</v>
      </c>
      <c r="BX1079" s="2">
        <f t="shared" si="764"/>
        <v>0</v>
      </c>
      <c r="BY1079" s="2">
        <f t="shared" si="764"/>
        <v>0</v>
      </c>
      <c r="BZ1079" s="2">
        <f t="shared" si="764"/>
        <v>0</v>
      </c>
      <c r="CA1079" s="2">
        <f t="shared" ref="CA1079:DF1079" si="765">CA1081</f>
        <v>0</v>
      </c>
      <c r="CB1079" s="2">
        <f t="shared" si="765"/>
        <v>0</v>
      </c>
      <c r="CC1079" s="2">
        <f t="shared" si="765"/>
        <v>0</v>
      </c>
      <c r="CD1079" s="2">
        <f t="shared" si="765"/>
        <v>0</v>
      </c>
      <c r="CE1079" s="2">
        <f t="shared" si="765"/>
        <v>0</v>
      </c>
      <c r="CF1079" s="2">
        <f t="shared" si="765"/>
        <v>0</v>
      </c>
      <c r="CG1079" s="2">
        <f t="shared" si="765"/>
        <v>0</v>
      </c>
      <c r="CH1079" s="2">
        <f t="shared" si="765"/>
        <v>0</v>
      </c>
      <c r="CI1079" s="2">
        <f t="shared" si="765"/>
        <v>0</v>
      </c>
      <c r="CJ1079" s="2">
        <f t="shared" si="765"/>
        <v>0</v>
      </c>
      <c r="CK1079" s="2">
        <f t="shared" si="765"/>
        <v>0</v>
      </c>
      <c r="CL1079" s="2">
        <f t="shared" si="765"/>
        <v>0</v>
      </c>
      <c r="CM1079" s="2">
        <f t="shared" si="765"/>
        <v>0</v>
      </c>
      <c r="CN1079" s="2">
        <f t="shared" si="765"/>
        <v>0</v>
      </c>
      <c r="CO1079" s="2">
        <f t="shared" si="765"/>
        <v>0</v>
      </c>
      <c r="CP1079" s="2">
        <f t="shared" si="765"/>
        <v>0</v>
      </c>
      <c r="CQ1079" s="2">
        <f t="shared" si="765"/>
        <v>0</v>
      </c>
      <c r="CR1079" s="2">
        <f t="shared" si="765"/>
        <v>0</v>
      </c>
      <c r="CS1079" s="2">
        <f t="shared" si="765"/>
        <v>0</v>
      </c>
      <c r="CT1079" s="2">
        <f t="shared" si="765"/>
        <v>0</v>
      </c>
      <c r="CU1079" s="2">
        <f t="shared" si="765"/>
        <v>0</v>
      </c>
      <c r="CV1079" s="2">
        <f t="shared" si="765"/>
        <v>0</v>
      </c>
      <c r="CW1079" s="2">
        <f t="shared" si="765"/>
        <v>0</v>
      </c>
      <c r="CX1079" s="2">
        <f t="shared" si="765"/>
        <v>0</v>
      </c>
      <c r="CY1079" s="2">
        <f t="shared" si="765"/>
        <v>0</v>
      </c>
      <c r="CZ1079" s="2">
        <f t="shared" si="765"/>
        <v>0</v>
      </c>
      <c r="DA1079" s="2">
        <f t="shared" si="765"/>
        <v>0</v>
      </c>
      <c r="DB1079" s="2">
        <f t="shared" si="765"/>
        <v>0</v>
      </c>
      <c r="DC1079" s="2">
        <f t="shared" si="765"/>
        <v>0</v>
      </c>
      <c r="DD1079" s="2">
        <f t="shared" si="765"/>
        <v>0</v>
      </c>
      <c r="DE1079" s="2">
        <f t="shared" si="765"/>
        <v>0</v>
      </c>
      <c r="DF1079" s="2">
        <f t="shared" si="765"/>
        <v>0</v>
      </c>
      <c r="DG1079" s="3">
        <f t="shared" ref="DG1079:EL1079" si="766">DG1081</f>
        <v>0</v>
      </c>
      <c r="DH1079" s="3">
        <f t="shared" si="766"/>
        <v>0</v>
      </c>
      <c r="DI1079" s="3">
        <f t="shared" si="766"/>
        <v>0</v>
      </c>
      <c r="DJ1079" s="3">
        <f t="shared" si="766"/>
        <v>0</v>
      </c>
      <c r="DK1079" s="3">
        <f t="shared" si="766"/>
        <v>0</v>
      </c>
      <c r="DL1079" s="3">
        <f t="shared" si="766"/>
        <v>0</v>
      </c>
      <c r="DM1079" s="3">
        <f t="shared" si="766"/>
        <v>0</v>
      </c>
      <c r="DN1079" s="3">
        <f t="shared" si="766"/>
        <v>0</v>
      </c>
      <c r="DO1079" s="3">
        <f t="shared" si="766"/>
        <v>0</v>
      </c>
      <c r="DP1079" s="3">
        <f t="shared" si="766"/>
        <v>0</v>
      </c>
      <c r="DQ1079" s="3">
        <f t="shared" si="766"/>
        <v>0</v>
      </c>
      <c r="DR1079" s="3">
        <f t="shared" si="766"/>
        <v>0</v>
      </c>
      <c r="DS1079" s="3">
        <f t="shared" si="766"/>
        <v>0</v>
      </c>
      <c r="DT1079" s="3">
        <f t="shared" si="766"/>
        <v>0</v>
      </c>
      <c r="DU1079" s="3">
        <f t="shared" si="766"/>
        <v>0</v>
      </c>
      <c r="DV1079" s="3">
        <f t="shared" si="766"/>
        <v>0</v>
      </c>
      <c r="DW1079" s="3">
        <f t="shared" si="766"/>
        <v>0</v>
      </c>
      <c r="DX1079" s="3">
        <f t="shared" si="766"/>
        <v>0</v>
      </c>
      <c r="DY1079" s="3">
        <f t="shared" si="766"/>
        <v>0</v>
      </c>
      <c r="DZ1079" s="3">
        <f t="shared" si="766"/>
        <v>0</v>
      </c>
      <c r="EA1079" s="3">
        <f t="shared" si="766"/>
        <v>0</v>
      </c>
      <c r="EB1079" s="3">
        <f t="shared" si="766"/>
        <v>0</v>
      </c>
      <c r="EC1079" s="3">
        <f t="shared" si="766"/>
        <v>0</v>
      </c>
      <c r="ED1079" s="3">
        <f t="shared" si="766"/>
        <v>0</v>
      </c>
      <c r="EE1079" s="3">
        <f t="shared" si="766"/>
        <v>0</v>
      </c>
      <c r="EF1079" s="3">
        <f t="shared" si="766"/>
        <v>0</v>
      </c>
      <c r="EG1079" s="3">
        <f t="shared" si="766"/>
        <v>0</v>
      </c>
      <c r="EH1079" s="3">
        <f t="shared" si="766"/>
        <v>0</v>
      </c>
      <c r="EI1079" s="3">
        <f t="shared" si="766"/>
        <v>0</v>
      </c>
      <c r="EJ1079" s="3">
        <f t="shared" si="766"/>
        <v>0</v>
      </c>
      <c r="EK1079" s="3">
        <f t="shared" si="766"/>
        <v>0</v>
      </c>
      <c r="EL1079" s="3">
        <f t="shared" si="766"/>
        <v>0</v>
      </c>
      <c r="EM1079" s="3">
        <f t="shared" ref="EM1079:FR1079" si="767">EM1081</f>
        <v>0</v>
      </c>
      <c r="EN1079" s="3">
        <f t="shared" si="767"/>
        <v>0</v>
      </c>
      <c r="EO1079" s="3">
        <f t="shared" si="767"/>
        <v>0</v>
      </c>
      <c r="EP1079" s="3">
        <f t="shared" si="767"/>
        <v>0</v>
      </c>
      <c r="EQ1079" s="3">
        <f t="shared" si="767"/>
        <v>0</v>
      </c>
      <c r="ER1079" s="3">
        <f t="shared" si="767"/>
        <v>0</v>
      </c>
      <c r="ES1079" s="3">
        <f t="shared" si="767"/>
        <v>0</v>
      </c>
      <c r="ET1079" s="3">
        <f t="shared" si="767"/>
        <v>0</v>
      </c>
      <c r="EU1079" s="3">
        <f t="shared" si="767"/>
        <v>0</v>
      </c>
      <c r="EV1079" s="3">
        <f t="shared" si="767"/>
        <v>0</v>
      </c>
      <c r="EW1079" s="3">
        <f t="shared" si="767"/>
        <v>0</v>
      </c>
      <c r="EX1079" s="3">
        <f t="shared" si="767"/>
        <v>0</v>
      </c>
      <c r="EY1079" s="3">
        <f t="shared" si="767"/>
        <v>0</v>
      </c>
      <c r="EZ1079" s="3">
        <f t="shared" si="767"/>
        <v>0</v>
      </c>
      <c r="FA1079" s="3">
        <f t="shared" si="767"/>
        <v>0</v>
      </c>
      <c r="FB1079" s="3">
        <f t="shared" si="767"/>
        <v>0</v>
      </c>
      <c r="FC1079" s="3">
        <f t="shared" si="767"/>
        <v>0</v>
      </c>
      <c r="FD1079" s="3">
        <f t="shared" si="767"/>
        <v>0</v>
      </c>
      <c r="FE1079" s="3">
        <f t="shared" si="767"/>
        <v>0</v>
      </c>
      <c r="FF1079" s="3">
        <f t="shared" si="767"/>
        <v>0</v>
      </c>
      <c r="FG1079" s="3">
        <f t="shared" si="767"/>
        <v>0</v>
      </c>
      <c r="FH1079" s="3">
        <f t="shared" si="767"/>
        <v>0</v>
      </c>
      <c r="FI1079" s="3">
        <f t="shared" si="767"/>
        <v>0</v>
      </c>
      <c r="FJ1079" s="3">
        <f t="shared" si="767"/>
        <v>0</v>
      </c>
      <c r="FK1079" s="3">
        <f t="shared" si="767"/>
        <v>0</v>
      </c>
      <c r="FL1079" s="3">
        <f t="shared" si="767"/>
        <v>0</v>
      </c>
      <c r="FM1079" s="3">
        <f t="shared" si="767"/>
        <v>0</v>
      </c>
      <c r="FN1079" s="3">
        <f t="shared" si="767"/>
        <v>0</v>
      </c>
      <c r="FO1079" s="3">
        <f t="shared" si="767"/>
        <v>0</v>
      </c>
      <c r="FP1079" s="3">
        <f t="shared" si="767"/>
        <v>0</v>
      </c>
      <c r="FQ1079" s="3">
        <f t="shared" si="767"/>
        <v>0</v>
      </c>
      <c r="FR1079" s="3">
        <f t="shared" si="767"/>
        <v>0</v>
      </c>
      <c r="FS1079" s="3">
        <f t="shared" ref="FS1079:GX1079" si="768">FS1081</f>
        <v>0</v>
      </c>
      <c r="FT1079" s="3">
        <f t="shared" si="768"/>
        <v>0</v>
      </c>
      <c r="FU1079" s="3">
        <f t="shared" si="768"/>
        <v>0</v>
      </c>
      <c r="FV1079" s="3">
        <f t="shared" si="768"/>
        <v>0</v>
      </c>
      <c r="FW1079" s="3">
        <f t="shared" si="768"/>
        <v>0</v>
      </c>
      <c r="FX1079" s="3">
        <f t="shared" si="768"/>
        <v>0</v>
      </c>
      <c r="FY1079" s="3">
        <f t="shared" si="768"/>
        <v>0</v>
      </c>
      <c r="FZ1079" s="3">
        <f t="shared" si="768"/>
        <v>0</v>
      </c>
      <c r="GA1079" s="3">
        <f t="shared" si="768"/>
        <v>0</v>
      </c>
      <c r="GB1079" s="3">
        <f t="shared" si="768"/>
        <v>0</v>
      </c>
      <c r="GC1079" s="3">
        <f t="shared" si="768"/>
        <v>0</v>
      </c>
      <c r="GD1079" s="3">
        <f t="shared" si="768"/>
        <v>0</v>
      </c>
      <c r="GE1079" s="3">
        <f t="shared" si="768"/>
        <v>0</v>
      </c>
      <c r="GF1079" s="3">
        <f t="shared" si="768"/>
        <v>0</v>
      </c>
      <c r="GG1079" s="3">
        <f t="shared" si="768"/>
        <v>0</v>
      </c>
      <c r="GH1079" s="3">
        <f t="shared" si="768"/>
        <v>0</v>
      </c>
      <c r="GI1079" s="3">
        <f t="shared" si="768"/>
        <v>0</v>
      </c>
      <c r="GJ1079" s="3">
        <f t="shared" si="768"/>
        <v>0</v>
      </c>
      <c r="GK1079" s="3">
        <f t="shared" si="768"/>
        <v>0</v>
      </c>
      <c r="GL1079" s="3">
        <f t="shared" si="768"/>
        <v>0</v>
      </c>
      <c r="GM1079" s="3">
        <f t="shared" si="768"/>
        <v>0</v>
      </c>
      <c r="GN1079" s="3">
        <f t="shared" si="768"/>
        <v>0</v>
      </c>
      <c r="GO1079" s="3">
        <f t="shared" si="768"/>
        <v>0</v>
      </c>
      <c r="GP1079" s="3">
        <f t="shared" si="768"/>
        <v>0</v>
      </c>
      <c r="GQ1079" s="3">
        <f t="shared" si="768"/>
        <v>0</v>
      </c>
      <c r="GR1079" s="3">
        <f t="shared" si="768"/>
        <v>0</v>
      </c>
      <c r="GS1079" s="3">
        <f t="shared" si="768"/>
        <v>0</v>
      </c>
      <c r="GT1079" s="3">
        <f t="shared" si="768"/>
        <v>0</v>
      </c>
      <c r="GU1079" s="3">
        <f t="shared" si="768"/>
        <v>0</v>
      </c>
      <c r="GV1079" s="3">
        <f t="shared" si="768"/>
        <v>0</v>
      </c>
      <c r="GW1079" s="3">
        <f t="shared" si="768"/>
        <v>0</v>
      </c>
      <c r="GX1079" s="3">
        <f t="shared" si="768"/>
        <v>0</v>
      </c>
    </row>
    <row r="1081" spans="1:206" x14ac:dyDescent="0.2">
      <c r="A1081" s="2">
        <v>51</v>
      </c>
      <c r="B1081" s="2">
        <f>B1077</f>
        <v>1</v>
      </c>
      <c r="C1081" s="2">
        <f>A1077</f>
        <v>4</v>
      </c>
      <c r="D1081" s="2">
        <f>ROW(A1077)</f>
        <v>1077</v>
      </c>
      <c r="E1081" s="2"/>
      <c r="F1081" s="2" t="str">
        <f>IF(F1077&lt;&gt;"",F1077,"")</f>
        <v>Новый раздел</v>
      </c>
      <c r="G1081" s="2" t="str">
        <f>IF(G1077&lt;&gt;"",G1077,"")</f>
        <v>38. Монтаж поликарбоната на ограждение</v>
      </c>
      <c r="H1081" s="2">
        <v>0</v>
      </c>
      <c r="I1081" s="2"/>
      <c r="J1081" s="2"/>
      <c r="K1081" s="2"/>
      <c r="L1081" s="2"/>
      <c r="M1081" s="2"/>
      <c r="N1081" s="2"/>
      <c r="O1081" s="2">
        <f t="shared" ref="O1081:T1081" si="769">ROUND(AB1081,2)</f>
        <v>0</v>
      </c>
      <c r="P1081" s="2">
        <f t="shared" si="769"/>
        <v>0</v>
      </c>
      <c r="Q1081" s="2">
        <f t="shared" si="769"/>
        <v>0</v>
      </c>
      <c r="R1081" s="2">
        <f t="shared" si="769"/>
        <v>0</v>
      </c>
      <c r="S1081" s="2">
        <f t="shared" si="769"/>
        <v>0</v>
      </c>
      <c r="T1081" s="2">
        <f t="shared" si="769"/>
        <v>0</v>
      </c>
      <c r="U1081" s="2">
        <f>AH1081</f>
        <v>0</v>
      </c>
      <c r="V1081" s="2">
        <f>AI1081</f>
        <v>0</v>
      </c>
      <c r="W1081" s="2">
        <f>ROUND(AJ1081,2)</f>
        <v>0</v>
      </c>
      <c r="X1081" s="2">
        <f>ROUND(AK1081,2)</f>
        <v>0</v>
      </c>
      <c r="Y1081" s="2">
        <f>ROUND(AL1081,2)</f>
        <v>0</v>
      </c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>
        <f t="shared" ref="AO1081:BD1081" si="770">ROUND(BX1081,2)</f>
        <v>0</v>
      </c>
      <c r="AP1081" s="2">
        <f t="shared" si="770"/>
        <v>0</v>
      </c>
      <c r="AQ1081" s="2">
        <f t="shared" si="770"/>
        <v>0</v>
      </c>
      <c r="AR1081" s="2">
        <f t="shared" si="770"/>
        <v>0</v>
      </c>
      <c r="AS1081" s="2">
        <f t="shared" si="770"/>
        <v>0</v>
      </c>
      <c r="AT1081" s="2">
        <f t="shared" si="770"/>
        <v>0</v>
      </c>
      <c r="AU1081" s="2">
        <f t="shared" si="770"/>
        <v>0</v>
      </c>
      <c r="AV1081" s="2">
        <f t="shared" si="770"/>
        <v>0</v>
      </c>
      <c r="AW1081" s="2">
        <f t="shared" si="770"/>
        <v>0</v>
      </c>
      <c r="AX1081" s="2">
        <f t="shared" si="770"/>
        <v>0</v>
      </c>
      <c r="AY1081" s="2">
        <f t="shared" si="770"/>
        <v>0</v>
      </c>
      <c r="AZ1081" s="2">
        <f t="shared" si="770"/>
        <v>0</v>
      </c>
      <c r="BA1081" s="2">
        <f t="shared" si="770"/>
        <v>0</v>
      </c>
      <c r="BB1081" s="2">
        <f t="shared" si="770"/>
        <v>0</v>
      </c>
      <c r="BC1081" s="2">
        <f t="shared" si="770"/>
        <v>0</v>
      </c>
      <c r="BD1081" s="2">
        <f t="shared" si="770"/>
        <v>0</v>
      </c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3"/>
      <c r="DH1081" s="3"/>
      <c r="DI1081" s="3"/>
      <c r="DJ1081" s="3"/>
      <c r="DK1081" s="3"/>
      <c r="DL1081" s="3"/>
      <c r="DM1081" s="3"/>
      <c r="DN1081" s="3"/>
      <c r="DO1081" s="3"/>
      <c r="DP1081" s="3"/>
      <c r="DQ1081" s="3"/>
      <c r="DR1081" s="3"/>
      <c r="DS1081" s="3"/>
      <c r="DT1081" s="3"/>
      <c r="DU1081" s="3"/>
      <c r="DV1081" s="3"/>
      <c r="DW1081" s="3"/>
      <c r="DX1081" s="3"/>
      <c r="DY1081" s="3"/>
      <c r="DZ1081" s="3"/>
      <c r="EA1081" s="3"/>
      <c r="EB1081" s="3"/>
      <c r="EC1081" s="3"/>
      <c r="ED1081" s="3"/>
      <c r="EE1081" s="3"/>
      <c r="EF1081" s="3"/>
      <c r="EG1081" s="3"/>
      <c r="EH1081" s="3"/>
      <c r="EI1081" s="3"/>
      <c r="EJ1081" s="3"/>
      <c r="EK1081" s="3"/>
      <c r="EL1081" s="3"/>
      <c r="EM1081" s="3"/>
      <c r="EN1081" s="3"/>
      <c r="EO1081" s="3"/>
      <c r="EP1081" s="3"/>
      <c r="EQ1081" s="3"/>
      <c r="ER1081" s="3"/>
      <c r="ES1081" s="3"/>
      <c r="ET1081" s="3"/>
      <c r="EU1081" s="3"/>
      <c r="EV1081" s="3"/>
      <c r="EW1081" s="3"/>
      <c r="EX1081" s="3"/>
      <c r="EY1081" s="3"/>
      <c r="EZ1081" s="3"/>
      <c r="FA1081" s="3"/>
      <c r="FB1081" s="3"/>
      <c r="FC1081" s="3"/>
      <c r="FD1081" s="3"/>
      <c r="FE1081" s="3"/>
      <c r="FF1081" s="3"/>
      <c r="FG1081" s="3"/>
      <c r="FH1081" s="3"/>
      <c r="FI1081" s="3"/>
      <c r="FJ1081" s="3"/>
      <c r="FK1081" s="3"/>
      <c r="FL1081" s="3"/>
      <c r="FM1081" s="3"/>
      <c r="FN1081" s="3"/>
      <c r="FO1081" s="3"/>
      <c r="FP1081" s="3"/>
      <c r="FQ1081" s="3"/>
      <c r="FR1081" s="3"/>
      <c r="FS1081" s="3"/>
      <c r="FT1081" s="3"/>
      <c r="FU1081" s="3"/>
      <c r="FV1081" s="3"/>
      <c r="FW1081" s="3"/>
      <c r="FX1081" s="3"/>
      <c r="FY1081" s="3"/>
      <c r="FZ1081" s="3"/>
      <c r="GA1081" s="3"/>
      <c r="GB1081" s="3"/>
      <c r="GC1081" s="3"/>
      <c r="GD1081" s="3"/>
      <c r="GE1081" s="3"/>
      <c r="GF1081" s="3"/>
      <c r="GG1081" s="3"/>
      <c r="GH1081" s="3"/>
      <c r="GI1081" s="3"/>
      <c r="GJ1081" s="3"/>
      <c r="GK1081" s="3"/>
      <c r="GL1081" s="3"/>
      <c r="GM1081" s="3"/>
      <c r="GN1081" s="3"/>
      <c r="GO1081" s="3"/>
      <c r="GP1081" s="3"/>
      <c r="GQ1081" s="3"/>
      <c r="GR1081" s="3"/>
      <c r="GS1081" s="3"/>
      <c r="GT1081" s="3"/>
      <c r="GU1081" s="3"/>
      <c r="GV1081" s="3"/>
      <c r="GW1081" s="3"/>
      <c r="GX1081" s="3">
        <v>0</v>
      </c>
    </row>
    <row r="1083" spans="1:206" x14ac:dyDescent="0.2">
      <c r="A1083" s="4">
        <v>50</v>
      </c>
      <c r="B1083" s="4">
        <v>0</v>
      </c>
      <c r="C1083" s="4">
        <v>0</v>
      </c>
      <c r="D1083" s="4">
        <v>1</v>
      </c>
      <c r="E1083" s="4">
        <v>201</v>
      </c>
      <c r="F1083" s="4">
        <f>ROUND(Source!O1081,O1083)</f>
        <v>0</v>
      </c>
      <c r="G1083" s="4" t="s">
        <v>89</v>
      </c>
      <c r="H1083" s="4" t="s">
        <v>90</v>
      </c>
      <c r="I1083" s="4"/>
      <c r="J1083" s="4"/>
      <c r="K1083" s="4">
        <v>201</v>
      </c>
      <c r="L1083" s="4">
        <v>1</v>
      </c>
      <c r="M1083" s="4">
        <v>3</v>
      </c>
      <c r="N1083" s="4" t="s">
        <v>3</v>
      </c>
      <c r="O1083" s="4">
        <v>2</v>
      </c>
      <c r="P1083" s="4"/>
      <c r="Q1083" s="4"/>
      <c r="R1083" s="4"/>
      <c r="S1083" s="4"/>
      <c r="T1083" s="4"/>
      <c r="U1083" s="4"/>
      <c r="V1083" s="4"/>
      <c r="W1083" s="4"/>
    </row>
    <row r="1084" spans="1:206" x14ac:dyDescent="0.2">
      <c r="A1084" s="4">
        <v>50</v>
      </c>
      <c r="B1084" s="4">
        <v>0</v>
      </c>
      <c r="C1084" s="4">
        <v>0</v>
      </c>
      <c r="D1084" s="4">
        <v>1</v>
      </c>
      <c r="E1084" s="4">
        <v>202</v>
      </c>
      <c r="F1084" s="4">
        <f>ROUND(Source!P1081,O1084)</f>
        <v>0</v>
      </c>
      <c r="G1084" s="4" t="s">
        <v>91</v>
      </c>
      <c r="H1084" s="4" t="s">
        <v>92</v>
      </c>
      <c r="I1084" s="4"/>
      <c r="J1084" s="4"/>
      <c r="K1084" s="4">
        <v>202</v>
      </c>
      <c r="L1084" s="4">
        <v>2</v>
      </c>
      <c r="M1084" s="4">
        <v>3</v>
      </c>
      <c r="N1084" s="4" t="s">
        <v>3</v>
      </c>
      <c r="O1084" s="4">
        <v>2</v>
      </c>
      <c r="P1084" s="4"/>
      <c r="Q1084" s="4"/>
      <c r="R1084" s="4"/>
      <c r="S1084" s="4"/>
      <c r="T1084" s="4"/>
      <c r="U1084" s="4"/>
      <c r="V1084" s="4"/>
      <c r="W1084" s="4"/>
    </row>
    <row r="1085" spans="1:206" x14ac:dyDescent="0.2">
      <c r="A1085" s="4">
        <v>50</v>
      </c>
      <c r="B1085" s="4">
        <v>0</v>
      </c>
      <c r="C1085" s="4">
        <v>0</v>
      </c>
      <c r="D1085" s="4">
        <v>1</v>
      </c>
      <c r="E1085" s="4">
        <v>222</v>
      </c>
      <c r="F1085" s="4">
        <f>ROUND(Source!AO1081,O1085)</f>
        <v>0</v>
      </c>
      <c r="G1085" s="4" t="s">
        <v>93</v>
      </c>
      <c r="H1085" s="4" t="s">
        <v>94</v>
      </c>
      <c r="I1085" s="4"/>
      <c r="J1085" s="4"/>
      <c r="K1085" s="4">
        <v>222</v>
      </c>
      <c r="L1085" s="4">
        <v>3</v>
      </c>
      <c r="M1085" s="4">
        <v>3</v>
      </c>
      <c r="N1085" s="4" t="s">
        <v>3</v>
      </c>
      <c r="O1085" s="4">
        <v>2</v>
      </c>
      <c r="P1085" s="4"/>
      <c r="Q1085" s="4"/>
      <c r="R1085" s="4"/>
      <c r="S1085" s="4"/>
      <c r="T1085" s="4"/>
      <c r="U1085" s="4"/>
      <c r="V1085" s="4"/>
      <c r="W1085" s="4"/>
    </row>
    <row r="1086" spans="1:206" x14ac:dyDescent="0.2">
      <c r="A1086" s="4">
        <v>50</v>
      </c>
      <c r="B1086" s="4">
        <v>0</v>
      </c>
      <c r="C1086" s="4">
        <v>0</v>
      </c>
      <c r="D1086" s="4">
        <v>1</v>
      </c>
      <c r="E1086" s="4">
        <v>225</v>
      </c>
      <c r="F1086" s="4">
        <f>ROUND(Source!AV1081,O1086)</f>
        <v>0</v>
      </c>
      <c r="G1086" s="4" t="s">
        <v>95</v>
      </c>
      <c r="H1086" s="4" t="s">
        <v>96</v>
      </c>
      <c r="I1086" s="4"/>
      <c r="J1086" s="4"/>
      <c r="K1086" s="4">
        <v>225</v>
      </c>
      <c r="L1086" s="4">
        <v>4</v>
      </c>
      <c r="M1086" s="4">
        <v>3</v>
      </c>
      <c r="N1086" s="4" t="s">
        <v>3</v>
      </c>
      <c r="O1086" s="4">
        <v>2</v>
      </c>
      <c r="P1086" s="4"/>
      <c r="Q1086" s="4"/>
      <c r="R1086" s="4"/>
      <c r="S1086" s="4"/>
      <c r="T1086" s="4"/>
      <c r="U1086" s="4"/>
      <c r="V1086" s="4"/>
      <c r="W1086" s="4"/>
    </row>
    <row r="1087" spans="1:206" x14ac:dyDescent="0.2">
      <c r="A1087" s="4">
        <v>50</v>
      </c>
      <c r="B1087" s="4">
        <v>0</v>
      </c>
      <c r="C1087" s="4">
        <v>0</v>
      </c>
      <c r="D1087" s="4">
        <v>1</v>
      </c>
      <c r="E1087" s="4">
        <v>226</v>
      </c>
      <c r="F1087" s="4">
        <f>ROUND(Source!AW1081,O1087)</f>
        <v>0</v>
      </c>
      <c r="G1087" s="4" t="s">
        <v>97</v>
      </c>
      <c r="H1087" s="4" t="s">
        <v>98</v>
      </c>
      <c r="I1087" s="4"/>
      <c r="J1087" s="4"/>
      <c r="K1087" s="4">
        <v>226</v>
      </c>
      <c r="L1087" s="4">
        <v>5</v>
      </c>
      <c r="M1087" s="4">
        <v>3</v>
      </c>
      <c r="N1087" s="4" t="s">
        <v>3</v>
      </c>
      <c r="O1087" s="4">
        <v>2</v>
      </c>
      <c r="P1087" s="4"/>
      <c r="Q1087" s="4"/>
      <c r="R1087" s="4"/>
      <c r="S1087" s="4"/>
      <c r="T1087" s="4"/>
      <c r="U1087" s="4"/>
      <c r="V1087" s="4"/>
      <c r="W1087" s="4"/>
    </row>
    <row r="1088" spans="1:206" x14ac:dyDescent="0.2">
      <c r="A1088" s="4">
        <v>50</v>
      </c>
      <c r="B1088" s="4">
        <v>0</v>
      </c>
      <c r="C1088" s="4">
        <v>0</v>
      </c>
      <c r="D1088" s="4">
        <v>1</v>
      </c>
      <c r="E1088" s="4">
        <v>227</v>
      </c>
      <c r="F1088" s="4">
        <f>ROUND(Source!AX1081,O1088)</f>
        <v>0</v>
      </c>
      <c r="G1088" s="4" t="s">
        <v>99</v>
      </c>
      <c r="H1088" s="4" t="s">
        <v>100</v>
      </c>
      <c r="I1088" s="4"/>
      <c r="J1088" s="4"/>
      <c r="K1088" s="4">
        <v>227</v>
      </c>
      <c r="L1088" s="4">
        <v>6</v>
      </c>
      <c r="M1088" s="4">
        <v>3</v>
      </c>
      <c r="N1088" s="4" t="s">
        <v>3</v>
      </c>
      <c r="O1088" s="4">
        <v>2</v>
      </c>
      <c r="P1088" s="4"/>
      <c r="Q1088" s="4"/>
      <c r="R1088" s="4"/>
      <c r="S1088" s="4"/>
      <c r="T1088" s="4"/>
      <c r="U1088" s="4"/>
      <c r="V1088" s="4"/>
      <c r="W1088" s="4"/>
    </row>
    <row r="1089" spans="1:23" x14ac:dyDescent="0.2">
      <c r="A1089" s="4">
        <v>50</v>
      </c>
      <c r="B1089" s="4">
        <v>0</v>
      </c>
      <c r="C1089" s="4">
        <v>0</v>
      </c>
      <c r="D1089" s="4">
        <v>1</v>
      </c>
      <c r="E1089" s="4">
        <v>228</v>
      </c>
      <c r="F1089" s="4">
        <f>ROUND(Source!AY1081,O1089)</f>
        <v>0</v>
      </c>
      <c r="G1089" s="4" t="s">
        <v>101</v>
      </c>
      <c r="H1089" s="4" t="s">
        <v>102</v>
      </c>
      <c r="I1089" s="4"/>
      <c r="J1089" s="4"/>
      <c r="K1089" s="4">
        <v>228</v>
      </c>
      <c r="L1089" s="4">
        <v>7</v>
      </c>
      <c r="M1089" s="4">
        <v>3</v>
      </c>
      <c r="N1089" s="4" t="s">
        <v>3</v>
      </c>
      <c r="O1089" s="4">
        <v>2</v>
      </c>
      <c r="P1089" s="4"/>
      <c r="Q1089" s="4"/>
      <c r="R1089" s="4"/>
      <c r="S1089" s="4"/>
      <c r="T1089" s="4"/>
      <c r="U1089" s="4"/>
      <c r="V1089" s="4"/>
      <c r="W1089" s="4"/>
    </row>
    <row r="1090" spans="1:23" x14ac:dyDescent="0.2">
      <c r="A1090" s="4">
        <v>50</v>
      </c>
      <c r="B1090" s="4">
        <v>0</v>
      </c>
      <c r="C1090" s="4">
        <v>0</v>
      </c>
      <c r="D1090" s="4">
        <v>1</v>
      </c>
      <c r="E1090" s="4">
        <v>216</v>
      </c>
      <c r="F1090" s="4">
        <f>ROUND(Source!AP1081,O1090)</f>
        <v>0</v>
      </c>
      <c r="G1090" s="4" t="s">
        <v>103</v>
      </c>
      <c r="H1090" s="4" t="s">
        <v>104</v>
      </c>
      <c r="I1090" s="4"/>
      <c r="J1090" s="4"/>
      <c r="K1090" s="4">
        <v>216</v>
      </c>
      <c r="L1090" s="4">
        <v>8</v>
      </c>
      <c r="M1090" s="4">
        <v>3</v>
      </c>
      <c r="N1090" s="4" t="s">
        <v>3</v>
      </c>
      <c r="O1090" s="4">
        <v>2</v>
      </c>
      <c r="P1090" s="4"/>
      <c r="Q1090" s="4"/>
      <c r="R1090" s="4"/>
      <c r="S1090" s="4"/>
      <c r="T1090" s="4"/>
      <c r="U1090" s="4"/>
      <c r="V1090" s="4"/>
      <c r="W1090" s="4"/>
    </row>
    <row r="1091" spans="1:23" x14ac:dyDescent="0.2">
      <c r="A1091" s="4">
        <v>50</v>
      </c>
      <c r="B1091" s="4">
        <v>0</v>
      </c>
      <c r="C1091" s="4">
        <v>0</v>
      </c>
      <c r="D1091" s="4">
        <v>1</v>
      </c>
      <c r="E1091" s="4">
        <v>223</v>
      </c>
      <c r="F1091" s="4">
        <f>ROUND(Source!AQ1081,O1091)</f>
        <v>0</v>
      </c>
      <c r="G1091" s="4" t="s">
        <v>105</v>
      </c>
      <c r="H1091" s="4" t="s">
        <v>106</v>
      </c>
      <c r="I1091" s="4"/>
      <c r="J1091" s="4"/>
      <c r="K1091" s="4">
        <v>223</v>
      </c>
      <c r="L1091" s="4">
        <v>9</v>
      </c>
      <c r="M1091" s="4">
        <v>3</v>
      </c>
      <c r="N1091" s="4" t="s">
        <v>3</v>
      </c>
      <c r="O1091" s="4">
        <v>2</v>
      </c>
      <c r="P1091" s="4"/>
      <c r="Q1091" s="4"/>
      <c r="R1091" s="4"/>
      <c r="S1091" s="4"/>
      <c r="T1091" s="4"/>
      <c r="U1091" s="4"/>
      <c r="V1091" s="4"/>
      <c r="W1091" s="4"/>
    </row>
    <row r="1092" spans="1:23" x14ac:dyDescent="0.2">
      <c r="A1092" s="4">
        <v>50</v>
      </c>
      <c r="B1092" s="4">
        <v>0</v>
      </c>
      <c r="C1092" s="4">
        <v>0</v>
      </c>
      <c r="D1092" s="4">
        <v>1</v>
      </c>
      <c r="E1092" s="4">
        <v>229</v>
      </c>
      <c r="F1092" s="4">
        <f>ROUND(Source!AZ1081,O1092)</f>
        <v>0</v>
      </c>
      <c r="G1092" s="4" t="s">
        <v>107</v>
      </c>
      <c r="H1092" s="4" t="s">
        <v>108</v>
      </c>
      <c r="I1092" s="4"/>
      <c r="J1092" s="4"/>
      <c r="K1092" s="4">
        <v>229</v>
      </c>
      <c r="L1092" s="4">
        <v>10</v>
      </c>
      <c r="M1092" s="4">
        <v>3</v>
      </c>
      <c r="N1092" s="4" t="s">
        <v>3</v>
      </c>
      <c r="O1092" s="4">
        <v>2</v>
      </c>
      <c r="P1092" s="4"/>
      <c r="Q1092" s="4"/>
      <c r="R1092" s="4"/>
      <c r="S1092" s="4"/>
      <c r="T1092" s="4"/>
      <c r="U1092" s="4"/>
      <c r="V1092" s="4"/>
      <c r="W1092" s="4"/>
    </row>
    <row r="1093" spans="1:23" x14ac:dyDescent="0.2">
      <c r="A1093" s="4">
        <v>50</v>
      </c>
      <c r="B1093" s="4">
        <v>0</v>
      </c>
      <c r="C1093" s="4">
        <v>0</v>
      </c>
      <c r="D1093" s="4">
        <v>1</v>
      </c>
      <c r="E1093" s="4">
        <v>203</v>
      </c>
      <c r="F1093" s="4">
        <f>ROUND(Source!Q1081,O1093)</f>
        <v>0</v>
      </c>
      <c r="G1093" s="4" t="s">
        <v>109</v>
      </c>
      <c r="H1093" s="4" t="s">
        <v>110</v>
      </c>
      <c r="I1093" s="4"/>
      <c r="J1093" s="4"/>
      <c r="K1093" s="4">
        <v>203</v>
      </c>
      <c r="L1093" s="4">
        <v>11</v>
      </c>
      <c r="M1093" s="4">
        <v>3</v>
      </c>
      <c r="N1093" s="4" t="s">
        <v>3</v>
      </c>
      <c r="O1093" s="4">
        <v>2</v>
      </c>
      <c r="P1093" s="4"/>
      <c r="Q1093" s="4"/>
      <c r="R1093" s="4"/>
      <c r="S1093" s="4"/>
      <c r="T1093" s="4"/>
      <c r="U1093" s="4"/>
      <c r="V1093" s="4"/>
      <c r="W1093" s="4"/>
    </row>
    <row r="1094" spans="1:23" x14ac:dyDescent="0.2">
      <c r="A1094" s="4">
        <v>50</v>
      </c>
      <c r="B1094" s="4">
        <v>0</v>
      </c>
      <c r="C1094" s="4">
        <v>0</v>
      </c>
      <c r="D1094" s="4">
        <v>1</v>
      </c>
      <c r="E1094" s="4">
        <v>231</v>
      </c>
      <c r="F1094" s="4">
        <f>ROUND(Source!BB1081,O1094)</f>
        <v>0</v>
      </c>
      <c r="G1094" s="4" t="s">
        <v>111</v>
      </c>
      <c r="H1094" s="4" t="s">
        <v>112</v>
      </c>
      <c r="I1094" s="4"/>
      <c r="J1094" s="4"/>
      <c r="K1094" s="4">
        <v>231</v>
      </c>
      <c r="L1094" s="4">
        <v>12</v>
      </c>
      <c r="M1094" s="4">
        <v>3</v>
      </c>
      <c r="N1094" s="4" t="s">
        <v>3</v>
      </c>
      <c r="O1094" s="4">
        <v>2</v>
      </c>
      <c r="P1094" s="4"/>
      <c r="Q1094" s="4"/>
      <c r="R1094" s="4"/>
      <c r="S1094" s="4"/>
      <c r="T1094" s="4"/>
      <c r="U1094" s="4"/>
      <c r="V1094" s="4"/>
      <c r="W1094" s="4"/>
    </row>
    <row r="1095" spans="1:23" x14ac:dyDescent="0.2">
      <c r="A1095" s="4">
        <v>50</v>
      </c>
      <c r="B1095" s="4">
        <v>0</v>
      </c>
      <c r="C1095" s="4">
        <v>0</v>
      </c>
      <c r="D1095" s="4">
        <v>1</v>
      </c>
      <c r="E1095" s="4">
        <v>204</v>
      </c>
      <c r="F1095" s="4">
        <f>ROUND(Source!R1081,O1095)</f>
        <v>0</v>
      </c>
      <c r="G1095" s="4" t="s">
        <v>113</v>
      </c>
      <c r="H1095" s="4" t="s">
        <v>114</v>
      </c>
      <c r="I1095" s="4"/>
      <c r="J1095" s="4"/>
      <c r="K1095" s="4">
        <v>204</v>
      </c>
      <c r="L1095" s="4">
        <v>13</v>
      </c>
      <c r="M1095" s="4">
        <v>3</v>
      </c>
      <c r="N1095" s="4" t="s">
        <v>3</v>
      </c>
      <c r="O1095" s="4">
        <v>2</v>
      </c>
      <c r="P1095" s="4"/>
      <c r="Q1095" s="4"/>
      <c r="R1095" s="4"/>
      <c r="S1095" s="4"/>
      <c r="T1095" s="4"/>
      <c r="U1095" s="4"/>
      <c r="V1095" s="4"/>
      <c r="W1095" s="4"/>
    </row>
    <row r="1096" spans="1:23" x14ac:dyDescent="0.2">
      <c r="A1096" s="4">
        <v>50</v>
      </c>
      <c r="B1096" s="4">
        <v>0</v>
      </c>
      <c r="C1096" s="4">
        <v>0</v>
      </c>
      <c r="D1096" s="4">
        <v>1</v>
      </c>
      <c r="E1096" s="4">
        <v>205</v>
      </c>
      <c r="F1096" s="4">
        <f>ROUND(Source!S1081,O1096)</f>
        <v>0</v>
      </c>
      <c r="G1096" s="4" t="s">
        <v>115</v>
      </c>
      <c r="H1096" s="4" t="s">
        <v>116</v>
      </c>
      <c r="I1096" s="4"/>
      <c r="J1096" s="4"/>
      <c r="K1096" s="4">
        <v>205</v>
      </c>
      <c r="L1096" s="4">
        <v>14</v>
      </c>
      <c r="M1096" s="4">
        <v>3</v>
      </c>
      <c r="N1096" s="4" t="s">
        <v>3</v>
      </c>
      <c r="O1096" s="4">
        <v>2</v>
      </c>
      <c r="P1096" s="4"/>
      <c r="Q1096" s="4"/>
      <c r="R1096" s="4"/>
      <c r="S1096" s="4"/>
      <c r="T1096" s="4"/>
      <c r="U1096" s="4"/>
      <c r="V1096" s="4"/>
      <c r="W1096" s="4"/>
    </row>
    <row r="1097" spans="1:23" x14ac:dyDescent="0.2">
      <c r="A1097" s="4">
        <v>50</v>
      </c>
      <c r="B1097" s="4">
        <v>0</v>
      </c>
      <c r="C1097" s="4">
        <v>0</v>
      </c>
      <c r="D1097" s="4">
        <v>1</v>
      </c>
      <c r="E1097" s="4">
        <v>232</v>
      </c>
      <c r="F1097" s="4">
        <f>ROUND(Source!BC1081,O1097)</f>
        <v>0</v>
      </c>
      <c r="G1097" s="4" t="s">
        <v>117</v>
      </c>
      <c r="H1097" s="4" t="s">
        <v>118</v>
      </c>
      <c r="I1097" s="4"/>
      <c r="J1097" s="4"/>
      <c r="K1097" s="4">
        <v>232</v>
      </c>
      <c r="L1097" s="4">
        <v>15</v>
      </c>
      <c r="M1097" s="4">
        <v>3</v>
      </c>
      <c r="N1097" s="4" t="s">
        <v>3</v>
      </c>
      <c r="O1097" s="4">
        <v>2</v>
      </c>
      <c r="P1097" s="4"/>
      <c r="Q1097" s="4"/>
      <c r="R1097" s="4"/>
      <c r="S1097" s="4"/>
      <c r="T1097" s="4"/>
      <c r="U1097" s="4"/>
      <c r="V1097" s="4"/>
      <c r="W1097" s="4"/>
    </row>
    <row r="1098" spans="1:23" x14ac:dyDescent="0.2">
      <c r="A1098" s="4">
        <v>50</v>
      </c>
      <c r="B1098" s="4">
        <v>0</v>
      </c>
      <c r="C1098" s="4">
        <v>0</v>
      </c>
      <c r="D1098" s="4">
        <v>1</v>
      </c>
      <c r="E1098" s="4">
        <v>214</v>
      </c>
      <c r="F1098" s="4">
        <f>ROUND(Source!AS1081,O1098)</f>
        <v>0</v>
      </c>
      <c r="G1098" s="4" t="s">
        <v>119</v>
      </c>
      <c r="H1098" s="4" t="s">
        <v>120</v>
      </c>
      <c r="I1098" s="4"/>
      <c r="J1098" s="4"/>
      <c r="K1098" s="4">
        <v>214</v>
      </c>
      <c r="L1098" s="4">
        <v>16</v>
      </c>
      <c r="M1098" s="4">
        <v>3</v>
      </c>
      <c r="N1098" s="4" t="s">
        <v>3</v>
      </c>
      <c r="O1098" s="4">
        <v>2</v>
      </c>
      <c r="P1098" s="4"/>
      <c r="Q1098" s="4"/>
      <c r="R1098" s="4"/>
      <c r="S1098" s="4"/>
      <c r="T1098" s="4"/>
      <c r="U1098" s="4"/>
      <c r="V1098" s="4"/>
      <c r="W1098" s="4"/>
    </row>
    <row r="1099" spans="1:23" x14ac:dyDescent="0.2">
      <c r="A1099" s="4">
        <v>50</v>
      </c>
      <c r="B1099" s="4">
        <v>0</v>
      </c>
      <c r="C1099" s="4">
        <v>0</v>
      </c>
      <c r="D1099" s="4">
        <v>1</v>
      </c>
      <c r="E1099" s="4">
        <v>215</v>
      </c>
      <c r="F1099" s="4">
        <f>ROUND(Source!AT1081,O1099)</f>
        <v>0</v>
      </c>
      <c r="G1099" s="4" t="s">
        <v>121</v>
      </c>
      <c r="H1099" s="4" t="s">
        <v>122</v>
      </c>
      <c r="I1099" s="4"/>
      <c r="J1099" s="4"/>
      <c r="K1099" s="4">
        <v>215</v>
      </c>
      <c r="L1099" s="4">
        <v>17</v>
      </c>
      <c r="M1099" s="4">
        <v>3</v>
      </c>
      <c r="N1099" s="4" t="s">
        <v>3</v>
      </c>
      <c r="O1099" s="4">
        <v>2</v>
      </c>
      <c r="P1099" s="4"/>
      <c r="Q1099" s="4"/>
      <c r="R1099" s="4"/>
      <c r="S1099" s="4"/>
      <c r="T1099" s="4"/>
      <c r="U1099" s="4"/>
      <c r="V1099" s="4"/>
      <c r="W1099" s="4"/>
    </row>
    <row r="1100" spans="1:23" x14ac:dyDescent="0.2">
      <c r="A1100" s="4">
        <v>50</v>
      </c>
      <c r="B1100" s="4">
        <v>0</v>
      </c>
      <c r="C1100" s="4">
        <v>0</v>
      </c>
      <c r="D1100" s="4">
        <v>1</v>
      </c>
      <c r="E1100" s="4">
        <v>217</v>
      </c>
      <c r="F1100" s="4">
        <f>ROUND(Source!AU1081,O1100)</f>
        <v>0</v>
      </c>
      <c r="G1100" s="4" t="s">
        <v>123</v>
      </c>
      <c r="H1100" s="4" t="s">
        <v>124</v>
      </c>
      <c r="I1100" s="4"/>
      <c r="J1100" s="4"/>
      <c r="K1100" s="4">
        <v>217</v>
      </c>
      <c r="L1100" s="4">
        <v>18</v>
      </c>
      <c r="M1100" s="4">
        <v>3</v>
      </c>
      <c r="N1100" s="4" t="s">
        <v>3</v>
      </c>
      <c r="O1100" s="4">
        <v>2</v>
      </c>
      <c r="P1100" s="4"/>
      <c r="Q1100" s="4"/>
      <c r="R1100" s="4"/>
      <c r="S1100" s="4"/>
      <c r="T1100" s="4"/>
      <c r="U1100" s="4"/>
      <c r="V1100" s="4"/>
      <c r="W1100" s="4"/>
    </row>
    <row r="1101" spans="1:23" x14ac:dyDescent="0.2">
      <c r="A1101" s="4">
        <v>50</v>
      </c>
      <c r="B1101" s="4">
        <v>0</v>
      </c>
      <c r="C1101" s="4">
        <v>0</v>
      </c>
      <c r="D1101" s="4">
        <v>1</v>
      </c>
      <c r="E1101" s="4">
        <v>230</v>
      </c>
      <c r="F1101" s="4">
        <f>ROUND(Source!BA1081,O1101)</f>
        <v>0</v>
      </c>
      <c r="G1101" s="4" t="s">
        <v>125</v>
      </c>
      <c r="H1101" s="4" t="s">
        <v>126</v>
      </c>
      <c r="I1101" s="4"/>
      <c r="J1101" s="4"/>
      <c r="K1101" s="4">
        <v>230</v>
      </c>
      <c r="L1101" s="4">
        <v>19</v>
      </c>
      <c r="M1101" s="4">
        <v>3</v>
      </c>
      <c r="N1101" s="4" t="s">
        <v>3</v>
      </c>
      <c r="O1101" s="4">
        <v>2</v>
      </c>
      <c r="P1101" s="4"/>
      <c r="Q1101" s="4"/>
      <c r="R1101" s="4"/>
      <c r="S1101" s="4"/>
      <c r="T1101" s="4"/>
      <c r="U1101" s="4"/>
      <c r="V1101" s="4"/>
      <c r="W1101" s="4"/>
    </row>
    <row r="1102" spans="1:23" x14ac:dyDescent="0.2">
      <c r="A1102" s="4">
        <v>50</v>
      </c>
      <c r="B1102" s="4">
        <v>0</v>
      </c>
      <c r="C1102" s="4">
        <v>0</v>
      </c>
      <c r="D1102" s="4">
        <v>1</v>
      </c>
      <c r="E1102" s="4">
        <v>206</v>
      </c>
      <c r="F1102" s="4">
        <f>ROUND(Source!T1081,O1102)</f>
        <v>0</v>
      </c>
      <c r="G1102" s="4" t="s">
        <v>127</v>
      </c>
      <c r="H1102" s="4" t="s">
        <v>128</v>
      </c>
      <c r="I1102" s="4"/>
      <c r="J1102" s="4"/>
      <c r="K1102" s="4">
        <v>206</v>
      </c>
      <c r="L1102" s="4">
        <v>20</v>
      </c>
      <c r="M1102" s="4">
        <v>3</v>
      </c>
      <c r="N1102" s="4" t="s">
        <v>3</v>
      </c>
      <c r="O1102" s="4">
        <v>2</v>
      </c>
      <c r="P1102" s="4"/>
      <c r="Q1102" s="4"/>
      <c r="R1102" s="4"/>
      <c r="S1102" s="4"/>
      <c r="T1102" s="4"/>
      <c r="U1102" s="4"/>
      <c r="V1102" s="4"/>
      <c r="W1102" s="4"/>
    </row>
    <row r="1103" spans="1:23" x14ac:dyDescent="0.2">
      <c r="A1103" s="4">
        <v>50</v>
      </c>
      <c r="B1103" s="4">
        <v>0</v>
      </c>
      <c r="C1103" s="4">
        <v>0</v>
      </c>
      <c r="D1103" s="4">
        <v>1</v>
      </c>
      <c r="E1103" s="4">
        <v>207</v>
      </c>
      <c r="F1103" s="4">
        <f>Source!U1081</f>
        <v>0</v>
      </c>
      <c r="G1103" s="4" t="s">
        <v>129</v>
      </c>
      <c r="H1103" s="4" t="s">
        <v>130</v>
      </c>
      <c r="I1103" s="4"/>
      <c r="J1103" s="4"/>
      <c r="K1103" s="4">
        <v>207</v>
      </c>
      <c r="L1103" s="4">
        <v>21</v>
      </c>
      <c r="M1103" s="4">
        <v>3</v>
      </c>
      <c r="N1103" s="4" t="s">
        <v>3</v>
      </c>
      <c r="O1103" s="4">
        <v>-1</v>
      </c>
      <c r="P1103" s="4"/>
      <c r="Q1103" s="4"/>
      <c r="R1103" s="4"/>
      <c r="S1103" s="4"/>
      <c r="T1103" s="4"/>
      <c r="U1103" s="4"/>
      <c r="V1103" s="4"/>
      <c r="W1103" s="4"/>
    </row>
    <row r="1104" spans="1:23" x14ac:dyDescent="0.2">
      <c r="A1104" s="4">
        <v>50</v>
      </c>
      <c r="B1104" s="4">
        <v>0</v>
      </c>
      <c r="C1104" s="4">
        <v>0</v>
      </c>
      <c r="D1104" s="4">
        <v>1</v>
      </c>
      <c r="E1104" s="4">
        <v>208</v>
      </c>
      <c r="F1104" s="4">
        <f>Source!V1081</f>
        <v>0</v>
      </c>
      <c r="G1104" s="4" t="s">
        <v>131</v>
      </c>
      <c r="H1104" s="4" t="s">
        <v>132</v>
      </c>
      <c r="I1104" s="4"/>
      <c r="J1104" s="4"/>
      <c r="K1104" s="4">
        <v>208</v>
      </c>
      <c r="L1104" s="4">
        <v>22</v>
      </c>
      <c r="M1104" s="4">
        <v>3</v>
      </c>
      <c r="N1104" s="4" t="s">
        <v>3</v>
      </c>
      <c r="O1104" s="4">
        <v>-1</v>
      </c>
      <c r="P1104" s="4"/>
      <c r="Q1104" s="4"/>
      <c r="R1104" s="4"/>
      <c r="S1104" s="4"/>
      <c r="T1104" s="4"/>
      <c r="U1104" s="4"/>
      <c r="V1104" s="4"/>
      <c r="W1104" s="4"/>
    </row>
    <row r="1105" spans="1:206" x14ac:dyDescent="0.2">
      <c r="A1105" s="4">
        <v>50</v>
      </c>
      <c r="B1105" s="4">
        <v>0</v>
      </c>
      <c r="C1105" s="4">
        <v>0</v>
      </c>
      <c r="D1105" s="4">
        <v>1</v>
      </c>
      <c r="E1105" s="4">
        <v>209</v>
      </c>
      <c r="F1105" s="4">
        <f>ROUND(Source!W1081,O1105)</f>
        <v>0</v>
      </c>
      <c r="G1105" s="4" t="s">
        <v>133</v>
      </c>
      <c r="H1105" s="4" t="s">
        <v>134</v>
      </c>
      <c r="I1105" s="4"/>
      <c r="J1105" s="4"/>
      <c r="K1105" s="4">
        <v>209</v>
      </c>
      <c r="L1105" s="4">
        <v>23</v>
      </c>
      <c r="M1105" s="4">
        <v>3</v>
      </c>
      <c r="N1105" s="4" t="s">
        <v>3</v>
      </c>
      <c r="O1105" s="4">
        <v>2</v>
      </c>
      <c r="P1105" s="4"/>
      <c r="Q1105" s="4"/>
      <c r="R1105" s="4"/>
      <c r="S1105" s="4"/>
      <c r="T1105" s="4"/>
      <c r="U1105" s="4"/>
      <c r="V1105" s="4"/>
      <c r="W1105" s="4"/>
    </row>
    <row r="1106" spans="1:206" x14ac:dyDescent="0.2">
      <c r="A1106" s="4">
        <v>50</v>
      </c>
      <c r="B1106" s="4">
        <v>0</v>
      </c>
      <c r="C1106" s="4">
        <v>0</v>
      </c>
      <c r="D1106" s="4">
        <v>1</v>
      </c>
      <c r="E1106" s="4">
        <v>233</v>
      </c>
      <c r="F1106" s="4">
        <f>ROUND(Source!BD1081,O1106)</f>
        <v>0</v>
      </c>
      <c r="G1106" s="4" t="s">
        <v>135</v>
      </c>
      <c r="H1106" s="4" t="s">
        <v>136</v>
      </c>
      <c r="I1106" s="4"/>
      <c r="J1106" s="4"/>
      <c r="K1106" s="4">
        <v>233</v>
      </c>
      <c r="L1106" s="4">
        <v>24</v>
      </c>
      <c r="M1106" s="4">
        <v>3</v>
      </c>
      <c r="N1106" s="4" t="s">
        <v>3</v>
      </c>
      <c r="O1106" s="4">
        <v>2</v>
      </c>
      <c r="P1106" s="4"/>
      <c r="Q1106" s="4"/>
      <c r="R1106" s="4"/>
      <c r="S1106" s="4"/>
      <c r="T1106" s="4"/>
      <c r="U1106" s="4"/>
      <c r="V1106" s="4"/>
      <c r="W1106" s="4"/>
    </row>
    <row r="1107" spans="1:206" x14ac:dyDescent="0.2">
      <c r="A1107" s="4">
        <v>50</v>
      </c>
      <c r="B1107" s="4">
        <v>0</v>
      </c>
      <c r="C1107" s="4">
        <v>0</v>
      </c>
      <c r="D1107" s="4">
        <v>1</v>
      </c>
      <c r="E1107" s="4">
        <v>210</v>
      </c>
      <c r="F1107" s="4">
        <f>ROUND(Source!X1081,O1107)</f>
        <v>0</v>
      </c>
      <c r="G1107" s="4" t="s">
        <v>137</v>
      </c>
      <c r="H1107" s="4" t="s">
        <v>138</v>
      </c>
      <c r="I1107" s="4"/>
      <c r="J1107" s="4"/>
      <c r="K1107" s="4">
        <v>210</v>
      </c>
      <c r="L1107" s="4">
        <v>25</v>
      </c>
      <c r="M1107" s="4">
        <v>3</v>
      </c>
      <c r="N1107" s="4" t="s">
        <v>3</v>
      </c>
      <c r="O1107" s="4">
        <v>2</v>
      </c>
      <c r="P1107" s="4"/>
      <c r="Q1107" s="4"/>
      <c r="R1107" s="4"/>
      <c r="S1107" s="4"/>
      <c r="T1107" s="4"/>
      <c r="U1107" s="4"/>
      <c r="V1107" s="4"/>
      <c r="W1107" s="4"/>
    </row>
    <row r="1108" spans="1:206" x14ac:dyDescent="0.2">
      <c r="A1108" s="4">
        <v>50</v>
      </c>
      <c r="B1108" s="4">
        <v>0</v>
      </c>
      <c r="C1108" s="4">
        <v>0</v>
      </c>
      <c r="D1108" s="4">
        <v>1</v>
      </c>
      <c r="E1108" s="4">
        <v>211</v>
      </c>
      <c r="F1108" s="4">
        <f>ROUND(Source!Y1081,O1108)</f>
        <v>0</v>
      </c>
      <c r="G1108" s="4" t="s">
        <v>139</v>
      </c>
      <c r="H1108" s="4" t="s">
        <v>140</v>
      </c>
      <c r="I1108" s="4"/>
      <c r="J1108" s="4"/>
      <c r="K1108" s="4">
        <v>211</v>
      </c>
      <c r="L1108" s="4">
        <v>26</v>
      </c>
      <c r="M1108" s="4">
        <v>3</v>
      </c>
      <c r="N1108" s="4" t="s">
        <v>3</v>
      </c>
      <c r="O1108" s="4">
        <v>2</v>
      </c>
      <c r="P1108" s="4"/>
      <c r="Q1108" s="4"/>
      <c r="R1108" s="4"/>
      <c r="S1108" s="4"/>
      <c r="T1108" s="4"/>
      <c r="U1108" s="4"/>
      <c r="V1108" s="4"/>
      <c r="W1108" s="4"/>
    </row>
    <row r="1109" spans="1:206" x14ac:dyDescent="0.2">
      <c r="A1109" s="4">
        <v>50</v>
      </c>
      <c r="B1109" s="4">
        <v>0</v>
      </c>
      <c r="C1109" s="4">
        <v>0</v>
      </c>
      <c r="D1109" s="4">
        <v>1</v>
      </c>
      <c r="E1109" s="4">
        <v>224</v>
      </c>
      <c r="F1109" s="4">
        <f>ROUND(Source!AR1081,O1109)</f>
        <v>0</v>
      </c>
      <c r="G1109" s="4" t="s">
        <v>141</v>
      </c>
      <c r="H1109" s="4" t="s">
        <v>142</v>
      </c>
      <c r="I1109" s="4"/>
      <c r="J1109" s="4"/>
      <c r="K1109" s="4">
        <v>224</v>
      </c>
      <c r="L1109" s="4">
        <v>27</v>
      </c>
      <c r="M1109" s="4">
        <v>3</v>
      </c>
      <c r="N1109" s="4" t="s">
        <v>3</v>
      </c>
      <c r="O1109" s="4">
        <v>2</v>
      </c>
      <c r="P1109" s="4"/>
      <c r="Q1109" s="4"/>
      <c r="R1109" s="4"/>
      <c r="S1109" s="4"/>
      <c r="T1109" s="4"/>
      <c r="U1109" s="4"/>
      <c r="V1109" s="4"/>
      <c r="W1109" s="4"/>
    </row>
    <row r="1111" spans="1:206" x14ac:dyDescent="0.2">
      <c r="A1111" s="1">
        <v>4</v>
      </c>
      <c r="B1111" s="1">
        <v>1</v>
      </c>
      <c r="C1111" s="1"/>
      <c r="D1111" s="1">
        <f>ROW(A1115)</f>
        <v>1115</v>
      </c>
      <c r="E1111" s="1"/>
      <c r="F1111" s="1" t="s">
        <v>13</v>
      </c>
      <c r="G1111" s="1" t="s">
        <v>553</v>
      </c>
      <c r="H1111" s="1" t="s">
        <v>3</v>
      </c>
      <c r="I1111" s="1">
        <v>0</v>
      </c>
      <c r="J1111" s="1"/>
      <c r="K1111" s="1">
        <v>0</v>
      </c>
      <c r="L1111" s="1"/>
      <c r="M1111" s="1"/>
      <c r="N1111" s="1"/>
      <c r="O1111" s="1"/>
      <c r="P1111" s="1"/>
      <c r="Q1111" s="1"/>
      <c r="R1111" s="1"/>
      <c r="S1111" s="1"/>
      <c r="T1111" s="1"/>
      <c r="U1111" s="1" t="s">
        <v>3</v>
      </c>
      <c r="V1111" s="1">
        <v>0</v>
      </c>
      <c r="W1111" s="1"/>
      <c r="X1111" s="1"/>
      <c r="Y1111" s="1"/>
      <c r="Z1111" s="1"/>
      <c r="AA1111" s="1"/>
      <c r="AB1111" s="1" t="s">
        <v>3</v>
      </c>
      <c r="AC1111" s="1" t="s">
        <v>3</v>
      </c>
      <c r="AD1111" s="1" t="s">
        <v>3</v>
      </c>
      <c r="AE1111" s="1" t="s">
        <v>3</v>
      </c>
      <c r="AF1111" s="1" t="s">
        <v>3</v>
      </c>
      <c r="AG1111" s="1" t="s">
        <v>3</v>
      </c>
      <c r="AH1111" s="1"/>
      <c r="AI1111" s="1"/>
      <c r="AJ1111" s="1"/>
      <c r="AK1111" s="1"/>
      <c r="AL1111" s="1"/>
      <c r="AM1111" s="1"/>
      <c r="AN1111" s="1"/>
      <c r="AO1111" s="1"/>
      <c r="AP1111" s="1" t="s">
        <v>3</v>
      </c>
      <c r="AQ1111" s="1" t="s">
        <v>3</v>
      </c>
      <c r="AR1111" s="1" t="s">
        <v>3</v>
      </c>
      <c r="AS1111" s="1"/>
      <c r="AT1111" s="1"/>
      <c r="AU1111" s="1"/>
      <c r="AV1111" s="1"/>
      <c r="AW1111" s="1"/>
      <c r="AX1111" s="1"/>
      <c r="AY1111" s="1"/>
      <c r="AZ1111" s="1" t="s">
        <v>3</v>
      </c>
      <c r="BA1111" s="1"/>
      <c r="BB1111" s="1" t="s">
        <v>3</v>
      </c>
      <c r="BC1111" s="1" t="s">
        <v>3</v>
      </c>
      <c r="BD1111" s="1" t="s">
        <v>3</v>
      </c>
      <c r="BE1111" s="1" t="s">
        <v>3</v>
      </c>
      <c r="BF1111" s="1" t="s">
        <v>3</v>
      </c>
      <c r="BG1111" s="1" t="s">
        <v>3</v>
      </c>
      <c r="BH1111" s="1" t="s">
        <v>3</v>
      </c>
      <c r="BI1111" s="1" t="s">
        <v>3</v>
      </c>
      <c r="BJ1111" s="1" t="s">
        <v>3</v>
      </c>
      <c r="BK1111" s="1" t="s">
        <v>3</v>
      </c>
      <c r="BL1111" s="1" t="s">
        <v>3</v>
      </c>
      <c r="BM1111" s="1" t="s">
        <v>3</v>
      </c>
      <c r="BN1111" s="1" t="s">
        <v>3</v>
      </c>
      <c r="BO1111" s="1" t="s">
        <v>3</v>
      </c>
      <c r="BP1111" s="1" t="s">
        <v>3</v>
      </c>
      <c r="BQ1111" s="1"/>
      <c r="BR1111" s="1"/>
      <c r="BS1111" s="1"/>
      <c r="BT1111" s="1"/>
      <c r="BU1111" s="1"/>
      <c r="BV1111" s="1"/>
      <c r="BW1111" s="1"/>
      <c r="BX1111" s="1">
        <v>0</v>
      </c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>
        <v>0</v>
      </c>
    </row>
    <row r="1113" spans="1:206" x14ac:dyDescent="0.2">
      <c r="A1113" s="2">
        <v>52</v>
      </c>
      <c r="B1113" s="2">
        <f t="shared" ref="B1113:G1113" si="771">B1115</f>
        <v>1</v>
      </c>
      <c r="C1113" s="2">
        <f t="shared" si="771"/>
        <v>4</v>
      </c>
      <c r="D1113" s="2">
        <f t="shared" si="771"/>
        <v>1111</v>
      </c>
      <c r="E1113" s="2">
        <f t="shared" si="771"/>
        <v>0</v>
      </c>
      <c r="F1113" s="2" t="str">
        <f t="shared" si="771"/>
        <v>Новый раздел</v>
      </c>
      <c r="G1113" s="2" t="str">
        <f t="shared" si="771"/>
        <v>39. Установка металлического ограждениядворовой территории высотой 3 м</v>
      </c>
      <c r="H1113" s="2"/>
      <c r="I1113" s="2"/>
      <c r="J1113" s="2"/>
      <c r="K1113" s="2"/>
      <c r="L1113" s="2"/>
      <c r="M1113" s="2"/>
      <c r="N1113" s="2"/>
      <c r="O1113" s="2">
        <f t="shared" ref="O1113:AT1113" si="772">O1115</f>
        <v>0</v>
      </c>
      <c r="P1113" s="2">
        <f t="shared" si="772"/>
        <v>0</v>
      </c>
      <c r="Q1113" s="2">
        <f t="shared" si="772"/>
        <v>0</v>
      </c>
      <c r="R1113" s="2">
        <f t="shared" si="772"/>
        <v>0</v>
      </c>
      <c r="S1113" s="2">
        <f t="shared" si="772"/>
        <v>0</v>
      </c>
      <c r="T1113" s="2">
        <f t="shared" si="772"/>
        <v>0</v>
      </c>
      <c r="U1113" s="2">
        <f t="shared" si="772"/>
        <v>0</v>
      </c>
      <c r="V1113" s="2">
        <f t="shared" si="772"/>
        <v>0</v>
      </c>
      <c r="W1113" s="2">
        <f t="shared" si="772"/>
        <v>0</v>
      </c>
      <c r="X1113" s="2">
        <f t="shared" si="772"/>
        <v>0</v>
      </c>
      <c r="Y1113" s="2">
        <f t="shared" si="772"/>
        <v>0</v>
      </c>
      <c r="Z1113" s="2">
        <f t="shared" si="772"/>
        <v>0</v>
      </c>
      <c r="AA1113" s="2">
        <f t="shared" si="772"/>
        <v>0</v>
      </c>
      <c r="AB1113" s="2">
        <f t="shared" si="772"/>
        <v>0</v>
      </c>
      <c r="AC1113" s="2">
        <f t="shared" si="772"/>
        <v>0</v>
      </c>
      <c r="AD1113" s="2">
        <f t="shared" si="772"/>
        <v>0</v>
      </c>
      <c r="AE1113" s="2">
        <f t="shared" si="772"/>
        <v>0</v>
      </c>
      <c r="AF1113" s="2">
        <f t="shared" si="772"/>
        <v>0</v>
      </c>
      <c r="AG1113" s="2">
        <f t="shared" si="772"/>
        <v>0</v>
      </c>
      <c r="AH1113" s="2">
        <f t="shared" si="772"/>
        <v>0</v>
      </c>
      <c r="AI1113" s="2">
        <f t="shared" si="772"/>
        <v>0</v>
      </c>
      <c r="AJ1113" s="2">
        <f t="shared" si="772"/>
        <v>0</v>
      </c>
      <c r="AK1113" s="2">
        <f t="shared" si="772"/>
        <v>0</v>
      </c>
      <c r="AL1113" s="2">
        <f t="shared" si="772"/>
        <v>0</v>
      </c>
      <c r="AM1113" s="2">
        <f t="shared" si="772"/>
        <v>0</v>
      </c>
      <c r="AN1113" s="2">
        <f t="shared" si="772"/>
        <v>0</v>
      </c>
      <c r="AO1113" s="2">
        <f t="shared" si="772"/>
        <v>0</v>
      </c>
      <c r="AP1113" s="2">
        <f t="shared" si="772"/>
        <v>0</v>
      </c>
      <c r="AQ1113" s="2">
        <f t="shared" si="772"/>
        <v>0</v>
      </c>
      <c r="AR1113" s="2">
        <f t="shared" si="772"/>
        <v>0</v>
      </c>
      <c r="AS1113" s="2">
        <f t="shared" si="772"/>
        <v>0</v>
      </c>
      <c r="AT1113" s="2">
        <f t="shared" si="772"/>
        <v>0</v>
      </c>
      <c r="AU1113" s="2">
        <f t="shared" ref="AU1113:BZ1113" si="773">AU1115</f>
        <v>0</v>
      </c>
      <c r="AV1113" s="2">
        <f t="shared" si="773"/>
        <v>0</v>
      </c>
      <c r="AW1113" s="2">
        <f t="shared" si="773"/>
        <v>0</v>
      </c>
      <c r="AX1113" s="2">
        <f t="shared" si="773"/>
        <v>0</v>
      </c>
      <c r="AY1113" s="2">
        <f t="shared" si="773"/>
        <v>0</v>
      </c>
      <c r="AZ1113" s="2">
        <f t="shared" si="773"/>
        <v>0</v>
      </c>
      <c r="BA1113" s="2">
        <f t="shared" si="773"/>
        <v>0</v>
      </c>
      <c r="BB1113" s="2">
        <f t="shared" si="773"/>
        <v>0</v>
      </c>
      <c r="BC1113" s="2">
        <f t="shared" si="773"/>
        <v>0</v>
      </c>
      <c r="BD1113" s="2">
        <f t="shared" si="773"/>
        <v>0</v>
      </c>
      <c r="BE1113" s="2">
        <f t="shared" si="773"/>
        <v>0</v>
      </c>
      <c r="BF1113" s="2">
        <f t="shared" si="773"/>
        <v>0</v>
      </c>
      <c r="BG1113" s="2">
        <f t="shared" si="773"/>
        <v>0</v>
      </c>
      <c r="BH1113" s="2">
        <f t="shared" si="773"/>
        <v>0</v>
      </c>
      <c r="BI1113" s="2">
        <f t="shared" si="773"/>
        <v>0</v>
      </c>
      <c r="BJ1113" s="2">
        <f t="shared" si="773"/>
        <v>0</v>
      </c>
      <c r="BK1113" s="2">
        <f t="shared" si="773"/>
        <v>0</v>
      </c>
      <c r="BL1113" s="2">
        <f t="shared" si="773"/>
        <v>0</v>
      </c>
      <c r="BM1113" s="2">
        <f t="shared" si="773"/>
        <v>0</v>
      </c>
      <c r="BN1113" s="2">
        <f t="shared" si="773"/>
        <v>0</v>
      </c>
      <c r="BO1113" s="2">
        <f t="shared" si="773"/>
        <v>0</v>
      </c>
      <c r="BP1113" s="2">
        <f t="shared" si="773"/>
        <v>0</v>
      </c>
      <c r="BQ1113" s="2">
        <f t="shared" si="773"/>
        <v>0</v>
      </c>
      <c r="BR1113" s="2">
        <f t="shared" si="773"/>
        <v>0</v>
      </c>
      <c r="BS1113" s="2">
        <f t="shared" si="773"/>
        <v>0</v>
      </c>
      <c r="BT1113" s="2">
        <f t="shared" si="773"/>
        <v>0</v>
      </c>
      <c r="BU1113" s="2">
        <f t="shared" si="773"/>
        <v>0</v>
      </c>
      <c r="BV1113" s="2">
        <f t="shared" si="773"/>
        <v>0</v>
      </c>
      <c r="BW1113" s="2">
        <f t="shared" si="773"/>
        <v>0</v>
      </c>
      <c r="BX1113" s="2">
        <f t="shared" si="773"/>
        <v>0</v>
      </c>
      <c r="BY1113" s="2">
        <f t="shared" si="773"/>
        <v>0</v>
      </c>
      <c r="BZ1113" s="2">
        <f t="shared" si="773"/>
        <v>0</v>
      </c>
      <c r="CA1113" s="2">
        <f t="shared" ref="CA1113:DF1113" si="774">CA1115</f>
        <v>0</v>
      </c>
      <c r="CB1113" s="2">
        <f t="shared" si="774"/>
        <v>0</v>
      </c>
      <c r="CC1113" s="2">
        <f t="shared" si="774"/>
        <v>0</v>
      </c>
      <c r="CD1113" s="2">
        <f t="shared" si="774"/>
        <v>0</v>
      </c>
      <c r="CE1113" s="2">
        <f t="shared" si="774"/>
        <v>0</v>
      </c>
      <c r="CF1113" s="2">
        <f t="shared" si="774"/>
        <v>0</v>
      </c>
      <c r="CG1113" s="2">
        <f t="shared" si="774"/>
        <v>0</v>
      </c>
      <c r="CH1113" s="2">
        <f t="shared" si="774"/>
        <v>0</v>
      </c>
      <c r="CI1113" s="2">
        <f t="shared" si="774"/>
        <v>0</v>
      </c>
      <c r="CJ1113" s="2">
        <f t="shared" si="774"/>
        <v>0</v>
      </c>
      <c r="CK1113" s="2">
        <f t="shared" si="774"/>
        <v>0</v>
      </c>
      <c r="CL1113" s="2">
        <f t="shared" si="774"/>
        <v>0</v>
      </c>
      <c r="CM1113" s="2">
        <f t="shared" si="774"/>
        <v>0</v>
      </c>
      <c r="CN1113" s="2">
        <f t="shared" si="774"/>
        <v>0</v>
      </c>
      <c r="CO1113" s="2">
        <f t="shared" si="774"/>
        <v>0</v>
      </c>
      <c r="CP1113" s="2">
        <f t="shared" si="774"/>
        <v>0</v>
      </c>
      <c r="CQ1113" s="2">
        <f t="shared" si="774"/>
        <v>0</v>
      </c>
      <c r="CR1113" s="2">
        <f t="shared" si="774"/>
        <v>0</v>
      </c>
      <c r="CS1113" s="2">
        <f t="shared" si="774"/>
        <v>0</v>
      </c>
      <c r="CT1113" s="2">
        <f t="shared" si="774"/>
        <v>0</v>
      </c>
      <c r="CU1113" s="2">
        <f t="shared" si="774"/>
        <v>0</v>
      </c>
      <c r="CV1113" s="2">
        <f t="shared" si="774"/>
        <v>0</v>
      </c>
      <c r="CW1113" s="2">
        <f t="shared" si="774"/>
        <v>0</v>
      </c>
      <c r="CX1113" s="2">
        <f t="shared" si="774"/>
        <v>0</v>
      </c>
      <c r="CY1113" s="2">
        <f t="shared" si="774"/>
        <v>0</v>
      </c>
      <c r="CZ1113" s="2">
        <f t="shared" si="774"/>
        <v>0</v>
      </c>
      <c r="DA1113" s="2">
        <f t="shared" si="774"/>
        <v>0</v>
      </c>
      <c r="DB1113" s="2">
        <f t="shared" si="774"/>
        <v>0</v>
      </c>
      <c r="DC1113" s="2">
        <f t="shared" si="774"/>
        <v>0</v>
      </c>
      <c r="DD1113" s="2">
        <f t="shared" si="774"/>
        <v>0</v>
      </c>
      <c r="DE1113" s="2">
        <f t="shared" si="774"/>
        <v>0</v>
      </c>
      <c r="DF1113" s="2">
        <f t="shared" si="774"/>
        <v>0</v>
      </c>
      <c r="DG1113" s="3">
        <f t="shared" ref="DG1113:EL1113" si="775">DG1115</f>
        <v>0</v>
      </c>
      <c r="DH1113" s="3">
        <f t="shared" si="775"/>
        <v>0</v>
      </c>
      <c r="DI1113" s="3">
        <f t="shared" si="775"/>
        <v>0</v>
      </c>
      <c r="DJ1113" s="3">
        <f t="shared" si="775"/>
        <v>0</v>
      </c>
      <c r="DK1113" s="3">
        <f t="shared" si="775"/>
        <v>0</v>
      </c>
      <c r="DL1113" s="3">
        <f t="shared" si="775"/>
        <v>0</v>
      </c>
      <c r="DM1113" s="3">
        <f t="shared" si="775"/>
        <v>0</v>
      </c>
      <c r="DN1113" s="3">
        <f t="shared" si="775"/>
        <v>0</v>
      </c>
      <c r="DO1113" s="3">
        <f t="shared" si="775"/>
        <v>0</v>
      </c>
      <c r="DP1113" s="3">
        <f t="shared" si="775"/>
        <v>0</v>
      </c>
      <c r="DQ1113" s="3">
        <f t="shared" si="775"/>
        <v>0</v>
      </c>
      <c r="DR1113" s="3">
        <f t="shared" si="775"/>
        <v>0</v>
      </c>
      <c r="DS1113" s="3">
        <f t="shared" si="775"/>
        <v>0</v>
      </c>
      <c r="DT1113" s="3">
        <f t="shared" si="775"/>
        <v>0</v>
      </c>
      <c r="DU1113" s="3">
        <f t="shared" si="775"/>
        <v>0</v>
      </c>
      <c r="DV1113" s="3">
        <f t="shared" si="775"/>
        <v>0</v>
      </c>
      <c r="DW1113" s="3">
        <f t="shared" si="775"/>
        <v>0</v>
      </c>
      <c r="DX1113" s="3">
        <f t="shared" si="775"/>
        <v>0</v>
      </c>
      <c r="DY1113" s="3">
        <f t="shared" si="775"/>
        <v>0</v>
      </c>
      <c r="DZ1113" s="3">
        <f t="shared" si="775"/>
        <v>0</v>
      </c>
      <c r="EA1113" s="3">
        <f t="shared" si="775"/>
        <v>0</v>
      </c>
      <c r="EB1113" s="3">
        <f t="shared" si="775"/>
        <v>0</v>
      </c>
      <c r="EC1113" s="3">
        <f t="shared" si="775"/>
        <v>0</v>
      </c>
      <c r="ED1113" s="3">
        <f t="shared" si="775"/>
        <v>0</v>
      </c>
      <c r="EE1113" s="3">
        <f t="shared" si="775"/>
        <v>0</v>
      </c>
      <c r="EF1113" s="3">
        <f t="shared" si="775"/>
        <v>0</v>
      </c>
      <c r="EG1113" s="3">
        <f t="shared" si="775"/>
        <v>0</v>
      </c>
      <c r="EH1113" s="3">
        <f t="shared" si="775"/>
        <v>0</v>
      </c>
      <c r="EI1113" s="3">
        <f t="shared" si="775"/>
        <v>0</v>
      </c>
      <c r="EJ1113" s="3">
        <f t="shared" si="775"/>
        <v>0</v>
      </c>
      <c r="EK1113" s="3">
        <f t="shared" si="775"/>
        <v>0</v>
      </c>
      <c r="EL1113" s="3">
        <f t="shared" si="775"/>
        <v>0</v>
      </c>
      <c r="EM1113" s="3">
        <f t="shared" ref="EM1113:FR1113" si="776">EM1115</f>
        <v>0</v>
      </c>
      <c r="EN1113" s="3">
        <f t="shared" si="776"/>
        <v>0</v>
      </c>
      <c r="EO1113" s="3">
        <f t="shared" si="776"/>
        <v>0</v>
      </c>
      <c r="EP1113" s="3">
        <f t="shared" si="776"/>
        <v>0</v>
      </c>
      <c r="EQ1113" s="3">
        <f t="shared" si="776"/>
        <v>0</v>
      </c>
      <c r="ER1113" s="3">
        <f t="shared" si="776"/>
        <v>0</v>
      </c>
      <c r="ES1113" s="3">
        <f t="shared" si="776"/>
        <v>0</v>
      </c>
      <c r="ET1113" s="3">
        <f t="shared" si="776"/>
        <v>0</v>
      </c>
      <c r="EU1113" s="3">
        <f t="shared" si="776"/>
        <v>0</v>
      </c>
      <c r="EV1113" s="3">
        <f t="shared" si="776"/>
        <v>0</v>
      </c>
      <c r="EW1113" s="3">
        <f t="shared" si="776"/>
        <v>0</v>
      </c>
      <c r="EX1113" s="3">
        <f t="shared" si="776"/>
        <v>0</v>
      </c>
      <c r="EY1113" s="3">
        <f t="shared" si="776"/>
        <v>0</v>
      </c>
      <c r="EZ1113" s="3">
        <f t="shared" si="776"/>
        <v>0</v>
      </c>
      <c r="FA1113" s="3">
        <f t="shared" si="776"/>
        <v>0</v>
      </c>
      <c r="FB1113" s="3">
        <f t="shared" si="776"/>
        <v>0</v>
      </c>
      <c r="FC1113" s="3">
        <f t="shared" si="776"/>
        <v>0</v>
      </c>
      <c r="FD1113" s="3">
        <f t="shared" si="776"/>
        <v>0</v>
      </c>
      <c r="FE1113" s="3">
        <f t="shared" si="776"/>
        <v>0</v>
      </c>
      <c r="FF1113" s="3">
        <f t="shared" si="776"/>
        <v>0</v>
      </c>
      <c r="FG1113" s="3">
        <f t="shared" si="776"/>
        <v>0</v>
      </c>
      <c r="FH1113" s="3">
        <f t="shared" si="776"/>
        <v>0</v>
      </c>
      <c r="FI1113" s="3">
        <f t="shared" si="776"/>
        <v>0</v>
      </c>
      <c r="FJ1113" s="3">
        <f t="shared" si="776"/>
        <v>0</v>
      </c>
      <c r="FK1113" s="3">
        <f t="shared" si="776"/>
        <v>0</v>
      </c>
      <c r="FL1113" s="3">
        <f t="shared" si="776"/>
        <v>0</v>
      </c>
      <c r="FM1113" s="3">
        <f t="shared" si="776"/>
        <v>0</v>
      </c>
      <c r="FN1113" s="3">
        <f t="shared" si="776"/>
        <v>0</v>
      </c>
      <c r="FO1113" s="3">
        <f t="shared" si="776"/>
        <v>0</v>
      </c>
      <c r="FP1113" s="3">
        <f t="shared" si="776"/>
        <v>0</v>
      </c>
      <c r="FQ1113" s="3">
        <f t="shared" si="776"/>
        <v>0</v>
      </c>
      <c r="FR1113" s="3">
        <f t="shared" si="776"/>
        <v>0</v>
      </c>
      <c r="FS1113" s="3">
        <f t="shared" ref="FS1113:GX1113" si="777">FS1115</f>
        <v>0</v>
      </c>
      <c r="FT1113" s="3">
        <f t="shared" si="777"/>
        <v>0</v>
      </c>
      <c r="FU1113" s="3">
        <f t="shared" si="777"/>
        <v>0</v>
      </c>
      <c r="FV1113" s="3">
        <f t="shared" si="777"/>
        <v>0</v>
      </c>
      <c r="FW1113" s="3">
        <f t="shared" si="777"/>
        <v>0</v>
      </c>
      <c r="FX1113" s="3">
        <f t="shared" si="777"/>
        <v>0</v>
      </c>
      <c r="FY1113" s="3">
        <f t="shared" si="777"/>
        <v>0</v>
      </c>
      <c r="FZ1113" s="3">
        <f t="shared" si="777"/>
        <v>0</v>
      </c>
      <c r="GA1113" s="3">
        <f t="shared" si="777"/>
        <v>0</v>
      </c>
      <c r="GB1113" s="3">
        <f t="shared" si="777"/>
        <v>0</v>
      </c>
      <c r="GC1113" s="3">
        <f t="shared" si="777"/>
        <v>0</v>
      </c>
      <c r="GD1113" s="3">
        <f t="shared" si="777"/>
        <v>0</v>
      </c>
      <c r="GE1113" s="3">
        <f t="shared" si="777"/>
        <v>0</v>
      </c>
      <c r="GF1113" s="3">
        <f t="shared" si="777"/>
        <v>0</v>
      </c>
      <c r="GG1113" s="3">
        <f t="shared" si="777"/>
        <v>0</v>
      </c>
      <c r="GH1113" s="3">
        <f t="shared" si="777"/>
        <v>0</v>
      </c>
      <c r="GI1113" s="3">
        <f t="shared" si="777"/>
        <v>0</v>
      </c>
      <c r="GJ1113" s="3">
        <f t="shared" si="777"/>
        <v>0</v>
      </c>
      <c r="GK1113" s="3">
        <f t="shared" si="777"/>
        <v>0</v>
      </c>
      <c r="GL1113" s="3">
        <f t="shared" si="777"/>
        <v>0</v>
      </c>
      <c r="GM1113" s="3">
        <f t="shared" si="777"/>
        <v>0</v>
      </c>
      <c r="GN1113" s="3">
        <f t="shared" si="777"/>
        <v>0</v>
      </c>
      <c r="GO1113" s="3">
        <f t="shared" si="777"/>
        <v>0</v>
      </c>
      <c r="GP1113" s="3">
        <f t="shared" si="777"/>
        <v>0</v>
      </c>
      <c r="GQ1113" s="3">
        <f t="shared" si="777"/>
        <v>0</v>
      </c>
      <c r="GR1113" s="3">
        <f t="shared" si="777"/>
        <v>0</v>
      </c>
      <c r="GS1113" s="3">
        <f t="shared" si="777"/>
        <v>0</v>
      </c>
      <c r="GT1113" s="3">
        <f t="shared" si="777"/>
        <v>0</v>
      </c>
      <c r="GU1113" s="3">
        <f t="shared" si="777"/>
        <v>0</v>
      </c>
      <c r="GV1113" s="3">
        <f t="shared" si="777"/>
        <v>0</v>
      </c>
      <c r="GW1113" s="3">
        <f t="shared" si="777"/>
        <v>0</v>
      </c>
      <c r="GX1113" s="3">
        <f t="shared" si="777"/>
        <v>0</v>
      </c>
    </row>
    <row r="1115" spans="1:206" x14ac:dyDescent="0.2">
      <c r="A1115" s="2">
        <v>51</v>
      </c>
      <c r="B1115" s="2">
        <f>B1111</f>
        <v>1</v>
      </c>
      <c r="C1115" s="2">
        <f>A1111</f>
        <v>4</v>
      </c>
      <c r="D1115" s="2">
        <f>ROW(A1111)</f>
        <v>1111</v>
      </c>
      <c r="E1115" s="2"/>
      <c r="F1115" s="2" t="str">
        <f>IF(F1111&lt;&gt;"",F1111,"")</f>
        <v>Новый раздел</v>
      </c>
      <c r="G1115" s="2" t="str">
        <f>IF(G1111&lt;&gt;"",G1111,"")</f>
        <v>39. Установка металлического ограждениядворовой территории высотой 3 м</v>
      </c>
      <c r="H1115" s="2">
        <v>0</v>
      </c>
      <c r="I1115" s="2"/>
      <c r="J1115" s="2"/>
      <c r="K1115" s="2"/>
      <c r="L1115" s="2"/>
      <c r="M1115" s="2"/>
      <c r="N1115" s="2"/>
      <c r="O1115" s="2">
        <f t="shared" ref="O1115:T1115" si="778">ROUND(AB1115,2)</f>
        <v>0</v>
      </c>
      <c r="P1115" s="2">
        <f t="shared" si="778"/>
        <v>0</v>
      </c>
      <c r="Q1115" s="2">
        <f t="shared" si="778"/>
        <v>0</v>
      </c>
      <c r="R1115" s="2">
        <f t="shared" si="778"/>
        <v>0</v>
      </c>
      <c r="S1115" s="2">
        <f t="shared" si="778"/>
        <v>0</v>
      </c>
      <c r="T1115" s="2">
        <f t="shared" si="778"/>
        <v>0</v>
      </c>
      <c r="U1115" s="2">
        <f>AH1115</f>
        <v>0</v>
      </c>
      <c r="V1115" s="2">
        <f>AI1115</f>
        <v>0</v>
      </c>
      <c r="W1115" s="2">
        <f>ROUND(AJ1115,2)</f>
        <v>0</v>
      </c>
      <c r="X1115" s="2">
        <f>ROUND(AK1115,2)</f>
        <v>0</v>
      </c>
      <c r="Y1115" s="2">
        <f>ROUND(AL1115,2)</f>
        <v>0</v>
      </c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>
        <f t="shared" ref="AO1115:BD1115" si="779">ROUND(BX1115,2)</f>
        <v>0</v>
      </c>
      <c r="AP1115" s="2">
        <f t="shared" si="779"/>
        <v>0</v>
      </c>
      <c r="AQ1115" s="2">
        <f t="shared" si="779"/>
        <v>0</v>
      </c>
      <c r="AR1115" s="2">
        <f t="shared" si="779"/>
        <v>0</v>
      </c>
      <c r="AS1115" s="2">
        <f t="shared" si="779"/>
        <v>0</v>
      </c>
      <c r="AT1115" s="2">
        <f t="shared" si="779"/>
        <v>0</v>
      </c>
      <c r="AU1115" s="2">
        <f t="shared" si="779"/>
        <v>0</v>
      </c>
      <c r="AV1115" s="2">
        <f t="shared" si="779"/>
        <v>0</v>
      </c>
      <c r="AW1115" s="2">
        <f t="shared" si="779"/>
        <v>0</v>
      </c>
      <c r="AX1115" s="2">
        <f t="shared" si="779"/>
        <v>0</v>
      </c>
      <c r="AY1115" s="2">
        <f t="shared" si="779"/>
        <v>0</v>
      </c>
      <c r="AZ1115" s="2">
        <f t="shared" si="779"/>
        <v>0</v>
      </c>
      <c r="BA1115" s="2">
        <f t="shared" si="779"/>
        <v>0</v>
      </c>
      <c r="BB1115" s="2">
        <f t="shared" si="779"/>
        <v>0</v>
      </c>
      <c r="BC1115" s="2">
        <f t="shared" si="779"/>
        <v>0</v>
      </c>
      <c r="BD1115" s="2">
        <f t="shared" si="779"/>
        <v>0</v>
      </c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3"/>
      <c r="DH1115" s="3"/>
      <c r="DI1115" s="3"/>
      <c r="DJ1115" s="3"/>
      <c r="DK1115" s="3"/>
      <c r="DL1115" s="3"/>
      <c r="DM1115" s="3"/>
      <c r="DN1115" s="3"/>
      <c r="DO1115" s="3"/>
      <c r="DP1115" s="3"/>
      <c r="DQ1115" s="3"/>
      <c r="DR1115" s="3"/>
      <c r="DS1115" s="3"/>
      <c r="DT1115" s="3"/>
      <c r="DU1115" s="3"/>
      <c r="DV1115" s="3"/>
      <c r="DW1115" s="3"/>
      <c r="DX1115" s="3"/>
      <c r="DY1115" s="3"/>
      <c r="DZ1115" s="3"/>
      <c r="EA1115" s="3"/>
      <c r="EB1115" s="3"/>
      <c r="EC1115" s="3"/>
      <c r="ED1115" s="3"/>
      <c r="EE1115" s="3"/>
      <c r="EF1115" s="3"/>
      <c r="EG1115" s="3"/>
      <c r="EH1115" s="3"/>
      <c r="EI1115" s="3"/>
      <c r="EJ1115" s="3"/>
      <c r="EK1115" s="3"/>
      <c r="EL1115" s="3"/>
      <c r="EM1115" s="3"/>
      <c r="EN1115" s="3"/>
      <c r="EO1115" s="3"/>
      <c r="EP1115" s="3"/>
      <c r="EQ1115" s="3"/>
      <c r="ER1115" s="3"/>
      <c r="ES1115" s="3"/>
      <c r="ET1115" s="3"/>
      <c r="EU1115" s="3"/>
      <c r="EV1115" s="3"/>
      <c r="EW1115" s="3"/>
      <c r="EX1115" s="3"/>
      <c r="EY1115" s="3"/>
      <c r="EZ1115" s="3"/>
      <c r="FA1115" s="3"/>
      <c r="FB1115" s="3"/>
      <c r="FC1115" s="3"/>
      <c r="FD1115" s="3"/>
      <c r="FE1115" s="3"/>
      <c r="FF1115" s="3"/>
      <c r="FG1115" s="3"/>
      <c r="FH1115" s="3"/>
      <c r="FI1115" s="3"/>
      <c r="FJ1115" s="3"/>
      <c r="FK1115" s="3"/>
      <c r="FL1115" s="3"/>
      <c r="FM1115" s="3"/>
      <c r="FN1115" s="3"/>
      <c r="FO1115" s="3"/>
      <c r="FP1115" s="3"/>
      <c r="FQ1115" s="3"/>
      <c r="FR1115" s="3"/>
      <c r="FS1115" s="3"/>
      <c r="FT1115" s="3"/>
      <c r="FU1115" s="3"/>
      <c r="FV1115" s="3"/>
      <c r="FW1115" s="3"/>
      <c r="FX1115" s="3"/>
      <c r="FY1115" s="3"/>
      <c r="FZ1115" s="3"/>
      <c r="GA1115" s="3"/>
      <c r="GB1115" s="3"/>
      <c r="GC1115" s="3"/>
      <c r="GD1115" s="3"/>
      <c r="GE1115" s="3"/>
      <c r="GF1115" s="3"/>
      <c r="GG1115" s="3"/>
      <c r="GH1115" s="3"/>
      <c r="GI1115" s="3"/>
      <c r="GJ1115" s="3"/>
      <c r="GK1115" s="3"/>
      <c r="GL1115" s="3"/>
      <c r="GM1115" s="3"/>
      <c r="GN1115" s="3"/>
      <c r="GO1115" s="3"/>
      <c r="GP1115" s="3"/>
      <c r="GQ1115" s="3"/>
      <c r="GR1115" s="3"/>
      <c r="GS1115" s="3"/>
      <c r="GT1115" s="3"/>
      <c r="GU1115" s="3"/>
      <c r="GV1115" s="3"/>
      <c r="GW1115" s="3"/>
      <c r="GX1115" s="3">
        <v>0</v>
      </c>
    </row>
    <row r="1117" spans="1:206" x14ac:dyDescent="0.2">
      <c r="A1117" s="4">
        <v>50</v>
      </c>
      <c r="B1117" s="4">
        <v>0</v>
      </c>
      <c r="C1117" s="4">
        <v>0</v>
      </c>
      <c r="D1117" s="4">
        <v>1</v>
      </c>
      <c r="E1117" s="4">
        <v>201</v>
      </c>
      <c r="F1117" s="4">
        <f>ROUND(Source!O1115,O1117)</f>
        <v>0</v>
      </c>
      <c r="G1117" s="4" t="s">
        <v>89</v>
      </c>
      <c r="H1117" s="4" t="s">
        <v>90</v>
      </c>
      <c r="I1117" s="4"/>
      <c r="J1117" s="4"/>
      <c r="K1117" s="4">
        <v>201</v>
      </c>
      <c r="L1117" s="4">
        <v>1</v>
      </c>
      <c r="M1117" s="4">
        <v>3</v>
      </c>
      <c r="N1117" s="4" t="s">
        <v>3</v>
      </c>
      <c r="O1117" s="4">
        <v>2</v>
      </c>
      <c r="P1117" s="4"/>
      <c r="Q1117" s="4"/>
      <c r="R1117" s="4"/>
      <c r="S1117" s="4"/>
      <c r="T1117" s="4"/>
      <c r="U1117" s="4"/>
      <c r="V1117" s="4"/>
      <c r="W1117" s="4"/>
    </row>
    <row r="1118" spans="1:206" x14ac:dyDescent="0.2">
      <c r="A1118" s="4">
        <v>50</v>
      </c>
      <c r="B1118" s="4">
        <v>0</v>
      </c>
      <c r="C1118" s="4">
        <v>0</v>
      </c>
      <c r="D1118" s="4">
        <v>1</v>
      </c>
      <c r="E1118" s="4">
        <v>202</v>
      </c>
      <c r="F1118" s="4">
        <f>ROUND(Source!P1115,O1118)</f>
        <v>0</v>
      </c>
      <c r="G1118" s="4" t="s">
        <v>91</v>
      </c>
      <c r="H1118" s="4" t="s">
        <v>92</v>
      </c>
      <c r="I1118" s="4"/>
      <c r="J1118" s="4"/>
      <c r="K1118" s="4">
        <v>202</v>
      </c>
      <c r="L1118" s="4">
        <v>2</v>
      </c>
      <c r="M1118" s="4">
        <v>3</v>
      </c>
      <c r="N1118" s="4" t="s">
        <v>3</v>
      </c>
      <c r="O1118" s="4">
        <v>2</v>
      </c>
      <c r="P1118" s="4"/>
      <c r="Q1118" s="4"/>
      <c r="R1118" s="4"/>
      <c r="S1118" s="4"/>
      <c r="T1118" s="4"/>
      <c r="U1118" s="4"/>
      <c r="V1118" s="4"/>
      <c r="W1118" s="4"/>
    </row>
    <row r="1119" spans="1:206" x14ac:dyDescent="0.2">
      <c r="A1119" s="4">
        <v>50</v>
      </c>
      <c r="B1119" s="4">
        <v>0</v>
      </c>
      <c r="C1119" s="4">
        <v>0</v>
      </c>
      <c r="D1119" s="4">
        <v>1</v>
      </c>
      <c r="E1119" s="4">
        <v>222</v>
      </c>
      <c r="F1119" s="4">
        <f>ROUND(Source!AO1115,O1119)</f>
        <v>0</v>
      </c>
      <c r="G1119" s="4" t="s">
        <v>93</v>
      </c>
      <c r="H1119" s="4" t="s">
        <v>94</v>
      </c>
      <c r="I1119" s="4"/>
      <c r="J1119" s="4"/>
      <c r="K1119" s="4">
        <v>222</v>
      </c>
      <c r="L1119" s="4">
        <v>3</v>
      </c>
      <c r="M1119" s="4">
        <v>3</v>
      </c>
      <c r="N1119" s="4" t="s">
        <v>3</v>
      </c>
      <c r="O1119" s="4">
        <v>2</v>
      </c>
      <c r="P1119" s="4"/>
      <c r="Q1119" s="4"/>
      <c r="R1119" s="4"/>
      <c r="S1119" s="4"/>
      <c r="T1119" s="4"/>
      <c r="U1119" s="4"/>
      <c r="V1119" s="4"/>
      <c r="W1119" s="4"/>
    </row>
    <row r="1120" spans="1:206" x14ac:dyDescent="0.2">
      <c r="A1120" s="4">
        <v>50</v>
      </c>
      <c r="B1120" s="4">
        <v>0</v>
      </c>
      <c r="C1120" s="4">
        <v>0</v>
      </c>
      <c r="D1120" s="4">
        <v>1</v>
      </c>
      <c r="E1120" s="4">
        <v>225</v>
      </c>
      <c r="F1120" s="4">
        <f>ROUND(Source!AV1115,O1120)</f>
        <v>0</v>
      </c>
      <c r="G1120" s="4" t="s">
        <v>95</v>
      </c>
      <c r="H1120" s="4" t="s">
        <v>96</v>
      </c>
      <c r="I1120" s="4"/>
      <c r="J1120" s="4"/>
      <c r="K1120" s="4">
        <v>225</v>
      </c>
      <c r="L1120" s="4">
        <v>4</v>
      </c>
      <c r="M1120" s="4">
        <v>3</v>
      </c>
      <c r="N1120" s="4" t="s">
        <v>3</v>
      </c>
      <c r="O1120" s="4">
        <v>2</v>
      </c>
      <c r="P1120" s="4"/>
      <c r="Q1120" s="4"/>
      <c r="R1120" s="4"/>
      <c r="S1120" s="4"/>
      <c r="T1120" s="4"/>
      <c r="U1120" s="4"/>
      <c r="V1120" s="4"/>
      <c r="W1120" s="4"/>
    </row>
    <row r="1121" spans="1:23" x14ac:dyDescent="0.2">
      <c r="A1121" s="4">
        <v>50</v>
      </c>
      <c r="B1121" s="4">
        <v>0</v>
      </c>
      <c r="C1121" s="4">
        <v>0</v>
      </c>
      <c r="D1121" s="4">
        <v>1</v>
      </c>
      <c r="E1121" s="4">
        <v>226</v>
      </c>
      <c r="F1121" s="4">
        <f>ROUND(Source!AW1115,O1121)</f>
        <v>0</v>
      </c>
      <c r="G1121" s="4" t="s">
        <v>97</v>
      </c>
      <c r="H1121" s="4" t="s">
        <v>98</v>
      </c>
      <c r="I1121" s="4"/>
      <c r="J1121" s="4"/>
      <c r="K1121" s="4">
        <v>226</v>
      </c>
      <c r="L1121" s="4">
        <v>5</v>
      </c>
      <c r="M1121" s="4">
        <v>3</v>
      </c>
      <c r="N1121" s="4" t="s">
        <v>3</v>
      </c>
      <c r="O1121" s="4">
        <v>2</v>
      </c>
      <c r="P1121" s="4"/>
      <c r="Q1121" s="4"/>
      <c r="R1121" s="4"/>
      <c r="S1121" s="4"/>
      <c r="T1121" s="4"/>
      <c r="U1121" s="4"/>
      <c r="V1121" s="4"/>
      <c r="W1121" s="4"/>
    </row>
    <row r="1122" spans="1:23" x14ac:dyDescent="0.2">
      <c r="A1122" s="4">
        <v>50</v>
      </c>
      <c r="B1122" s="4">
        <v>0</v>
      </c>
      <c r="C1122" s="4">
        <v>0</v>
      </c>
      <c r="D1122" s="4">
        <v>1</v>
      </c>
      <c r="E1122" s="4">
        <v>227</v>
      </c>
      <c r="F1122" s="4">
        <f>ROUND(Source!AX1115,O1122)</f>
        <v>0</v>
      </c>
      <c r="G1122" s="4" t="s">
        <v>99</v>
      </c>
      <c r="H1122" s="4" t="s">
        <v>100</v>
      </c>
      <c r="I1122" s="4"/>
      <c r="J1122" s="4"/>
      <c r="K1122" s="4">
        <v>227</v>
      </c>
      <c r="L1122" s="4">
        <v>6</v>
      </c>
      <c r="M1122" s="4">
        <v>3</v>
      </c>
      <c r="N1122" s="4" t="s">
        <v>3</v>
      </c>
      <c r="O1122" s="4">
        <v>2</v>
      </c>
      <c r="P1122" s="4"/>
      <c r="Q1122" s="4"/>
      <c r="R1122" s="4"/>
      <c r="S1122" s="4"/>
      <c r="T1122" s="4"/>
      <c r="U1122" s="4"/>
      <c r="V1122" s="4"/>
      <c r="W1122" s="4"/>
    </row>
    <row r="1123" spans="1:23" x14ac:dyDescent="0.2">
      <c r="A1123" s="4">
        <v>50</v>
      </c>
      <c r="B1123" s="4">
        <v>0</v>
      </c>
      <c r="C1123" s="4">
        <v>0</v>
      </c>
      <c r="D1123" s="4">
        <v>1</v>
      </c>
      <c r="E1123" s="4">
        <v>228</v>
      </c>
      <c r="F1123" s="4">
        <f>ROUND(Source!AY1115,O1123)</f>
        <v>0</v>
      </c>
      <c r="G1123" s="4" t="s">
        <v>101</v>
      </c>
      <c r="H1123" s="4" t="s">
        <v>102</v>
      </c>
      <c r="I1123" s="4"/>
      <c r="J1123" s="4"/>
      <c r="K1123" s="4">
        <v>228</v>
      </c>
      <c r="L1123" s="4">
        <v>7</v>
      </c>
      <c r="M1123" s="4">
        <v>3</v>
      </c>
      <c r="N1123" s="4" t="s">
        <v>3</v>
      </c>
      <c r="O1123" s="4">
        <v>2</v>
      </c>
      <c r="P1123" s="4"/>
      <c r="Q1123" s="4"/>
      <c r="R1123" s="4"/>
      <c r="S1123" s="4"/>
      <c r="T1123" s="4"/>
      <c r="U1123" s="4"/>
      <c r="V1123" s="4"/>
      <c r="W1123" s="4"/>
    </row>
    <row r="1124" spans="1:23" x14ac:dyDescent="0.2">
      <c r="A1124" s="4">
        <v>50</v>
      </c>
      <c r="B1124" s="4">
        <v>0</v>
      </c>
      <c r="C1124" s="4">
        <v>0</v>
      </c>
      <c r="D1124" s="4">
        <v>1</v>
      </c>
      <c r="E1124" s="4">
        <v>216</v>
      </c>
      <c r="F1124" s="4">
        <f>ROUND(Source!AP1115,O1124)</f>
        <v>0</v>
      </c>
      <c r="G1124" s="4" t="s">
        <v>103</v>
      </c>
      <c r="H1124" s="4" t="s">
        <v>104</v>
      </c>
      <c r="I1124" s="4"/>
      <c r="J1124" s="4"/>
      <c r="K1124" s="4">
        <v>216</v>
      </c>
      <c r="L1124" s="4">
        <v>8</v>
      </c>
      <c r="M1124" s="4">
        <v>3</v>
      </c>
      <c r="N1124" s="4" t="s">
        <v>3</v>
      </c>
      <c r="O1124" s="4">
        <v>2</v>
      </c>
      <c r="P1124" s="4"/>
      <c r="Q1124" s="4"/>
      <c r="R1124" s="4"/>
      <c r="S1124" s="4"/>
      <c r="T1124" s="4"/>
      <c r="U1124" s="4"/>
      <c r="V1124" s="4"/>
      <c r="W1124" s="4"/>
    </row>
    <row r="1125" spans="1:23" x14ac:dyDescent="0.2">
      <c r="A1125" s="4">
        <v>50</v>
      </c>
      <c r="B1125" s="4">
        <v>0</v>
      </c>
      <c r="C1125" s="4">
        <v>0</v>
      </c>
      <c r="D1125" s="4">
        <v>1</v>
      </c>
      <c r="E1125" s="4">
        <v>223</v>
      </c>
      <c r="F1125" s="4">
        <f>ROUND(Source!AQ1115,O1125)</f>
        <v>0</v>
      </c>
      <c r="G1125" s="4" t="s">
        <v>105</v>
      </c>
      <c r="H1125" s="4" t="s">
        <v>106</v>
      </c>
      <c r="I1125" s="4"/>
      <c r="J1125" s="4"/>
      <c r="K1125" s="4">
        <v>223</v>
      </c>
      <c r="L1125" s="4">
        <v>9</v>
      </c>
      <c r="M1125" s="4">
        <v>3</v>
      </c>
      <c r="N1125" s="4" t="s">
        <v>3</v>
      </c>
      <c r="O1125" s="4">
        <v>2</v>
      </c>
      <c r="P1125" s="4"/>
      <c r="Q1125" s="4"/>
      <c r="R1125" s="4"/>
      <c r="S1125" s="4"/>
      <c r="T1125" s="4"/>
      <c r="U1125" s="4"/>
      <c r="V1125" s="4"/>
      <c r="W1125" s="4"/>
    </row>
    <row r="1126" spans="1:23" x14ac:dyDescent="0.2">
      <c r="A1126" s="4">
        <v>50</v>
      </c>
      <c r="B1126" s="4">
        <v>0</v>
      </c>
      <c r="C1126" s="4">
        <v>0</v>
      </c>
      <c r="D1126" s="4">
        <v>1</v>
      </c>
      <c r="E1126" s="4">
        <v>229</v>
      </c>
      <c r="F1126" s="4">
        <f>ROUND(Source!AZ1115,O1126)</f>
        <v>0</v>
      </c>
      <c r="G1126" s="4" t="s">
        <v>107</v>
      </c>
      <c r="H1126" s="4" t="s">
        <v>108</v>
      </c>
      <c r="I1126" s="4"/>
      <c r="J1126" s="4"/>
      <c r="K1126" s="4">
        <v>229</v>
      </c>
      <c r="L1126" s="4">
        <v>10</v>
      </c>
      <c r="M1126" s="4">
        <v>3</v>
      </c>
      <c r="N1126" s="4" t="s">
        <v>3</v>
      </c>
      <c r="O1126" s="4">
        <v>2</v>
      </c>
      <c r="P1126" s="4"/>
      <c r="Q1126" s="4"/>
      <c r="R1126" s="4"/>
      <c r="S1126" s="4"/>
      <c r="T1126" s="4"/>
      <c r="U1126" s="4"/>
      <c r="V1126" s="4"/>
      <c r="W1126" s="4"/>
    </row>
    <row r="1127" spans="1:23" x14ac:dyDescent="0.2">
      <c r="A1127" s="4">
        <v>50</v>
      </c>
      <c r="B1127" s="4">
        <v>0</v>
      </c>
      <c r="C1127" s="4">
        <v>0</v>
      </c>
      <c r="D1127" s="4">
        <v>1</v>
      </c>
      <c r="E1127" s="4">
        <v>203</v>
      </c>
      <c r="F1127" s="4">
        <f>ROUND(Source!Q1115,O1127)</f>
        <v>0</v>
      </c>
      <c r="G1127" s="4" t="s">
        <v>109</v>
      </c>
      <c r="H1127" s="4" t="s">
        <v>110</v>
      </c>
      <c r="I1127" s="4"/>
      <c r="J1127" s="4"/>
      <c r="K1127" s="4">
        <v>203</v>
      </c>
      <c r="L1127" s="4">
        <v>11</v>
      </c>
      <c r="M1127" s="4">
        <v>3</v>
      </c>
      <c r="N1127" s="4" t="s">
        <v>3</v>
      </c>
      <c r="O1127" s="4">
        <v>2</v>
      </c>
      <c r="P1127" s="4"/>
      <c r="Q1127" s="4"/>
      <c r="R1127" s="4"/>
      <c r="S1127" s="4"/>
      <c r="T1127" s="4"/>
      <c r="U1127" s="4"/>
      <c r="V1127" s="4"/>
      <c r="W1127" s="4"/>
    </row>
    <row r="1128" spans="1:23" x14ac:dyDescent="0.2">
      <c r="A1128" s="4">
        <v>50</v>
      </c>
      <c r="B1128" s="4">
        <v>0</v>
      </c>
      <c r="C1128" s="4">
        <v>0</v>
      </c>
      <c r="D1128" s="4">
        <v>1</v>
      </c>
      <c r="E1128" s="4">
        <v>231</v>
      </c>
      <c r="F1128" s="4">
        <f>ROUND(Source!BB1115,O1128)</f>
        <v>0</v>
      </c>
      <c r="G1128" s="4" t="s">
        <v>111</v>
      </c>
      <c r="H1128" s="4" t="s">
        <v>112</v>
      </c>
      <c r="I1128" s="4"/>
      <c r="J1128" s="4"/>
      <c r="K1128" s="4">
        <v>231</v>
      </c>
      <c r="L1128" s="4">
        <v>12</v>
      </c>
      <c r="M1128" s="4">
        <v>3</v>
      </c>
      <c r="N1128" s="4" t="s">
        <v>3</v>
      </c>
      <c r="O1128" s="4">
        <v>2</v>
      </c>
      <c r="P1128" s="4"/>
      <c r="Q1128" s="4"/>
      <c r="R1128" s="4"/>
      <c r="S1128" s="4"/>
      <c r="T1128" s="4"/>
      <c r="U1128" s="4"/>
      <c r="V1128" s="4"/>
      <c r="W1128" s="4"/>
    </row>
    <row r="1129" spans="1:23" x14ac:dyDescent="0.2">
      <c r="A1129" s="4">
        <v>50</v>
      </c>
      <c r="B1129" s="4">
        <v>0</v>
      </c>
      <c r="C1129" s="4">
        <v>0</v>
      </c>
      <c r="D1129" s="4">
        <v>1</v>
      </c>
      <c r="E1129" s="4">
        <v>204</v>
      </c>
      <c r="F1129" s="4">
        <f>ROUND(Source!R1115,O1129)</f>
        <v>0</v>
      </c>
      <c r="G1129" s="4" t="s">
        <v>113</v>
      </c>
      <c r="H1129" s="4" t="s">
        <v>114</v>
      </c>
      <c r="I1129" s="4"/>
      <c r="J1129" s="4"/>
      <c r="K1129" s="4">
        <v>204</v>
      </c>
      <c r="L1129" s="4">
        <v>13</v>
      </c>
      <c r="M1129" s="4">
        <v>3</v>
      </c>
      <c r="N1129" s="4" t="s">
        <v>3</v>
      </c>
      <c r="O1129" s="4">
        <v>2</v>
      </c>
      <c r="P1129" s="4"/>
      <c r="Q1129" s="4"/>
      <c r="R1129" s="4"/>
      <c r="S1129" s="4"/>
      <c r="T1129" s="4"/>
      <c r="U1129" s="4"/>
      <c r="V1129" s="4"/>
      <c r="W1129" s="4"/>
    </row>
    <row r="1130" spans="1:23" x14ac:dyDescent="0.2">
      <c r="A1130" s="4">
        <v>50</v>
      </c>
      <c r="B1130" s="4">
        <v>0</v>
      </c>
      <c r="C1130" s="4">
        <v>0</v>
      </c>
      <c r="D1130" s="4">
        <v>1</v>
      </c>
      <c r="E1130" s="4">
        <v>205</v>
      </c>
      <c r="F1130" s="4">
        <f>ROUND(Source!S1115,O1130)</f>
        <v>0</v>
      </c>
      <c r="G1130" s="4" t="s">
        <v>115</v>
      </c>
      <c r="H1130" s="4" t="s">
        <v>116</v>
      </c>
      <c r="I1130" s="4"/>
      <c r="J1130" s="4"/>
      <c r="K1130" s="4">
        <v>205</v>
      </c>
      <c r="L1130" s="4">
        <v>14</v>
      </c>
      <c r="M1130" s="4">
        <v>3</v>
      </c>
      <c r="N1130" s="4" t="s">
        <v>3</v>
      </c>
      <c r="O1130" s="4">
        <v>2</v>
      </c>
      <c r="P1130" s="4"/>
      <c r="Q1130" s="4"/>
      <c r="R1130" s="4"/>
      <c r="S1130" s="4"/>
      <c r="T1130" s="4"/>
      <c r="U1130" s="4"/>
      <c r="V1130" s="4"/>
      <c r="W1130" s="4"/>
    </row>
    <row r="1131" spans="1:23" x14ac:dyDescent="0.2">
      <c r="A1131" s="4">
        <v>50</v>
      </c>
      <c r="B1131" s="4">
        <v>0</v>
      </c>
      <c r="C1131" s="4">
        <v>0</v>
      </c>
      <c r="D1131" s="4">
        <v>1</v>
      </c>
      <c r="E1131" s="4">
        <v>232</v>
      </c>
      <c r="F1131" s="4">
        <f>ROUND(Source!BC1115,O1131)</f>
        <v>0</v>
      </c>
      <c r="G1131" s="4" t="s">
        <v>117</v>
      </c>
      <c r="H1131" s="4" t="s">
        <v>118</v>
      </c>
      <c r="I1131" s="4"/>
      <c r="J1131" s="4"/>
      <c r="K1131" s="4">
        <v>232</v>
      </c>
      <c r="L1131" s="4">
        <v>15</v>
      </c>
      <c r="M1131" s="4">
        <v>3</v>
      </c>
      <c r="N1131" s="4" t="s">
        <v>3</v>
      </c>
      <c r="O1131" s="4">
        <v>2</v>
      </c>
      <c r="P1131" s="4"/>
      <c r="Q1131" s="4"/>
      <c r="R1131" s="4"/>
      <c r="S1131" s="4"/>
      <c r="T1131" s="4"/>
      <c r="U1131" s="4"/>
      <c r="V1131" s="4"/>
      <c r="W1131" s="4"/>
    </row>
    <row r="1132" spans="1:23" x14ac:dyDescent="0.2">
      <c r="A1132" s="4">
        <v>50</v>
      </c>
      <c r="B1132" s="4">
        <v>0</v>
      </c>
      <c r="C1132" s="4">
        <v>0</v>
      </c>
      <c r="D1132" s="4">
        <v>1</v>
      </c>
      <c r="E1132" s="4">
        <v>214</v>
      </c>
      <c r="F1132" s="4">
        <f>ROUND(Source!AS1115,O1132)</f>
        <v>0</v>
      </c>
      <c r="G1132" s="4" t="s">
        <v>119</v>
      </c>
      <c r="H1132" s="4" t="s">
        <v>120</v>
      </c>
      <c r="I1132" s="4"/>
      <c r="J1132" s="4"/>
      <c r="K1132" s="4">
        <v>214</v>
      </c>
      <c r="L1132" s="4">
        <v>16</v>
      </c>
      <c r="M1132" s="4">
        <v>3</v>
      </c>
      <c r="N1132" s="4" t="s">
        <v>3</v>
      </c>
      <c r="O1132" s="4">
        <v>2</v>
      </c>
      <c r="P1132" s="4"/>
      <c r="Q1132" s="4"/>
      <c r="R1132" s="4"/>
      <c r="S1132" s="4"/>
      <c r="T1132" s="4"/>
      <c r="U1132" s="4"/>
      <c r="V1132" s="4"/>
      <c r="W1132" s="4"/>
    </row>
    <row r="1133" spans="1:23" x14ac:dyDescent="0.2">
      <c r="A1133" s="4">
        <v>50</v>
      </c>
      <c r="B1133" s="4">
        <v>0</v>
      </c>
      <c r="C1133" s="4">
        <v>0</v>
      </c>
      <c r="D1133" s="4">
        <v>1</v>
      </c>
      <c r="E1133" s="4">
        <v>215</v>
      </c>
      <c r="F1133" s="4">
        <f>ROUND(Source!AT1115,O1133)</f>
        <v>0</v>
      </c>
      <c r="G1133" s="4" t="s">
        <v>121</v>
      </c>
      <c r="H1133" s="4" t="s">
        <v>122</v>
      </c>
      <c r="I1133" s="4"/>
      <c r="J1133" s="4"/>
      <c r="K1133" s="4">
        <v>215</v>
      </c>
      <c r="L1133" s="4">
        <v>17</v>
      </c>
      <c r="M1133" s="4">
        <v>3</v>
      </c>
      <c r="N1133" s="4" t="s">
        <v>3</v>
      </c>
      <c r="O1133" s="4">
        <v>2</v>
      </c>
      <c r="P1133" s="4"/>
      <c r="Q1133" s="4"/>
      <c r="R1133" s="4"/>
      <c r="S1133" s="4"/>
      <c r="T1133" s="4"/>
      <c r="U1133" s="4"/>
      <c r="V1133" s="4"/>
      <c r="W1133" s="4"/>
    </row>
    <row r="1134" spans="1:23" x14ac:dyDescent="0.2">
      <c r="A1134" s="4">
        <v>50</v>
      </c>
      <c r="B1134" s="4">
        <v>0</v>
      </c>
      <c r="C1134" s="4">
        <v>0</v>
      </c>
      <c r="D1134" s="4">
        <v>1</v>
      </c>
      <c r="E1134" s="4">
        <v>217</v>
      </c>
      <c r="F1134" s="4">
        <f>ROUND(Source!AU1115,O1134)</f>
        <v>0</v>
      </c>
      <c r="G1134" s="4" t="s">
        <v>123</v>
      </c>
      <c r="H1134" s="4" t="s">
        <v>124</v>
      </c>
      <c r="I1134" s="4"/>
      <c r="J1134" s="4"/>
      <c r="K1134" s="4">
        <v>217</v>
      </c>
      <c r="L1134" s="4">
        <v>18</v>
      </c>
      <c r="M1134" s="4">
        <v>3</v>
      </c>
      <c r="N1134" s="4" t="s">
        <v>3</v>
      </c>
      <c r="O1134" s="4">
        <v>2</v>
      </c>
      <c r="P1134" s="4"/>
      <c r="Q1134" s="4"/>
      <c r="R1134" s="4"/>
      <c r="S1134" s="4"/>
      <c r="T1134" s="4"/>
      <c r="U1134" s="4"/>
      <c r="V1134" s="4"/>
      <c r="W1134" s="4"/>
    </row>
    <row r="1135" spans="1:23" x14ac:dyDescent="0.2">
      <c r="A1135" s="4">
        <v>50</v>
      </c>
      <c r="B1135" s="4">
        <v>0</v>
      </c>
      <c r="C1135" s="4">
        <v>0</v>
      </c>
      <c r="D1135" s="4">
        <v>1</v>
      </c>
      <c r="E1135" s="4">
        <v>230</v>
      </c>
      <c r="F1135" s="4">
        <f>ROUND(Source!BA1115,O1135)</f>
        <v>0</v>
      </c>
      <c r="G1135" s="4" t="s">
        <v>125</v>
      </c>
      <c r="H1135" s="4" t="s">
        <v>126</v>
      </c>
      <c r="I1135" s="4"/>
      <c r="J1135" s="4"/>
      <c r="K1135" s="4">
        <v>230</v>
      </c>
      <c r="L1135" s="4">
        <v>19</v>
      </c>
      <c r="M1135" s="4">
        <v>3</v>
      </c>
      <c r="N1135" s="4" t="s">
        <v>3</v>
      </c>
      <c r="O1135" s="4">
        <v>2</v>
      </c>
      <c r="P1135" s="4"/>
      <c r="Q1135" s="4"/>
      <c r="R1135" s="4"/>
      <c r="S1135" s="4"/>
      <c r="T1135" s="4"/>
      <c r="U1135" s="4"/>
      <c r="V1135" s="4"/>
      <c r="W1135" s="4"/>
    </row>
    <row r="1136" spans="1:23" x14ac:dyDescent="0.2">
      <c r="A1136" s="4">
        <v>50</v>
      </c>
      <c r="B1136" s="4">
        <v>0</v>
      </c>
      <c r="C1136" s="4">
        <v>0</v>
      </c>
      <c r="D1136" s="4">
        <v>1</v>
      </c>
      <c r="E1136" s="4">
        <v>206</v>
      </c>
      <c r="F1136" s="4">
        <f>ROUND(Source!T1115,O1136)</f>
        <v>0</v>
      </c>
      <c r="G1136" s="4" t="s">
        <v>127</v>
      </c>
      <c r="H1136" s="4" t="s">
        <v>128</v>
      </c>
      <c r="I1136" s="4"/>
      <c r="J1136" s="4"/>
      <c r="K1136" s="4">
        <v>206</v>
      </c>
      <c r="L1136" s="4">
        <v>20</v>
      </c>
      <c r="M1136" s="4">
        <v>3</v>
      </c>
      <c r="N1136" s="4" t="s">
        <v>3</v>
      </c>
      <c r="O1136" s="4">
        <v>2</v>
      </c>
      <c r="P1136" s="4"/>
      <c r="Q1136" s="4"/>
      <c r="R1136" s="4"/>
      <c r="S1136" s="4"/>
      <c r="T1136" s="4"/>
      <c r="U1136" s="4"/>
      <c r="V1136" s="4"/>
      <c r="W1136" s="4"/>
    </row>
    <row r="1137" spans="1:245" x14ac:dyDescent="0.2">
      <c r="A1137" s="4">
        <v>50</v>
      </c>
      <c r="B1137" s="4">
        <v>0</v>
      </c>
      <c r="C1137" s="4">
        <v>0</v>
      </c>
      <c r="D1137" s="4">
        <v>1</v>
      </c>
      <c r="E1137" s="4">
        <v>207</v>
      </c>
      <c r="F1137" s="4">
        <f>Source!U1115</f>
        <v>0</v>
      </c>
      <c r="G1137" s="4" t="s">
        <v>129</v>
      </c>
      <c r="H1137" s="4" t="s">
        <v>130</v>
      </c>
      <c r="I1137" s="4"/>
      <c r="J1137" s="4"/>
      <c r="K1137" s="4">
        <v>207</v>
      </c>
      <c r="L1137" s="4">
        <v>21</v>
      </c>
      <c r="M1137" s="4">
        <v>3</v>
      </c>
      <c r="N1137" s="4" t="s">
        <v>3</v>
      </c>
      <c r="O1137" s="4">
        <v>-1</v>
      </c>
      <c r="P1137" s="4"/>
      <c r="Q1137" s="4"/>
      <c r="R1137" s="4"/>
      <c r="S1137" s="4"/>
      <c r="T1137" s="4"/>
      <c r="U1137" s="4"/>
      <c r="V1137" s="4"/>
      <c r="W1137" s="4"/>
    </row>
    <row r="1138" spans="1:245" x14ac:dyDescent="0.2">
      <c r="A1138" s="4">
        <v>50</v>
      </c>
      <c r="B1138" s="4">
        <v>0</v>
      </c>
      <c r="C1138" s="4">
        <v>0</v>
      </c>
      <c r="D1138" s="4">
        <v>1</v>
      </c>
      <c r="E1138" s="4">
        <v>208</v>
      </c>
      <c r="F1138" s="4">
        <f>Source!V1115</f>
        <v>0</v>
      </c>
      <c r="G1138" s="4" t="s">
        <v>131</v>
      </c>
      <c r="H1138" s="4" t="s">
        <v>132</v>
      </c>
      <c r="I1138" s="4"/>
      <c r="J1138" s="4"/>
      <c r="K1138" s="4">
        <v>208</v>
      </c>
      <c r="L1138" s="4">
        <v>22</v>
      </c>
      <c r="M1138" s="4">
        <v>3</v>
      </c>
      <c r="N1138" s="4" t="s">
        <v>3</v>
      </c>
      <c r="O1138" s="4">
        <v>-1</v>
      </c>
      <c r="P1138" s="4"/>
      <c r="Q1138" s="4"/>
      <c r="R1138" s="4"/>
      <c r="S1138" s="4"/>
      <c r="T1138" s="4"/>
      <c r="U1138" s="4"/>
      <c r="V1138" s="4"/>
      <c r="W1138" s="4"/>
    </row>
    <row r="1139" spans="1:245" x14ac:dyDescent="0.2">
      <c r="A1139" s="4">
        <v>50</v>
      </c>
      <c r="B1139" s="4">
        <v>0</v>
      </c>
      <c r="C1139" s="4">
        <v>0</v>
      </c>
      <c r="D1139" s="4">
        <v>1</v>
      </c>
      <c r="E1139" s="4">
        <v>209</v>
      </c>
      <c r="F1139" s="4">
        <f>ROUND(Source!W1115,O1139)</f>
        <v>0</v>
      </c>
      <c r="G1139" s="4" t="s">
        <v>133</v>
      </c>
      <c r="H1139" s="4" t="s">
        <v>134</v>
      </c>
      <c r="I1139" s="4"/>
      <c r="J1139" s="4"/>
      <c r="K1139" s="4">
        <v>209</v>
      </c>
      <c r="L1139" s="4">
        <v>23</v>
      </c>
      <c r="M1139" s="4">
        <v>3</v>
      </c>
      <c r="N1139" s="4" t="s">
        <v>3</v>
      </c>
      <c r="O1139" s="4">
        <v>2</v>
      </c>
      <c r="P1139" s="4"/>
      <c r="Q1139" s="4"/>
      <c r="R1139" s="4"/>
      <c r="S1139" s="4"/>
      <c r="T1139" s="4"/>
      <c r="U1139" s="4"/>
      <c r="V1139" s="4"/>
      <c r="W1139" s="4"/>
    </row>
    <row r="1140" spans="1:245" x14ac:dyDescent="0.2">
      <c r="A1140" s="4">
        <v>50</v>
      </c>
      <c r="B1140" s="4">
        <v>0</v>
      </c>
      <c r="C1140" s="4">
        <v>0</v>
      </c>
      <c r="D1140" s="4">
        <v>1</v>
      </c>
      <c r="E1140" s="4">
        <v>233</v>
      </c>
      <c r="F1140" s="4">
        <f>ROUND(Source!BD1115,O1140)</f>
        <v>0</v>
      </c>
      <c r="G1140" s="4" t="s">
        <v>135</v>
      </c>
      <c r="H1140" s="4" t="s">
        <v>136</v>
      </c>
      <c r="I1140" s="4"/>
      <c r="J1140" s="4"/>
      <c r="K1140" s="4">
        <v>233</v>
      </c>
      <c r="L1140" s="4">
        <v>24</v>
      </c>
      <c r="M1140" s="4">
        <v>3</v>
      </c>
      <c r="N1140" s="4" t="s">
        <v>3</v>
      </c>
      <c r="O1140" s="4">
        <v>2</v>
      </c>
      <c r="P1140" s="4"/>
      <c r="Q1140" s="4"/>
      <c r="R1140" s="4"/>
      <c r="S1140" s="4"/>
      <c r="T1140" s="4"/>
      <c r="U1140" s="4"/>
      <c r="V1140" s="4"/>
      <c r="W1140" s="4"/>
    </row>
    <row r="1141" spans="1:245" x14ac:dyDescent="0.2">
      <c r="A1141" s="4">
        <v>50</v>
      </c>
      <c r="B1141" s="4">
        <v>0</v>
      </c>
      <c r="C1141" s="4">
        <v>0</v>
      </c>
      <c r="D1141" s="4">
        <v>1</v>
      </c>
      <c r="E1141" s="4">
        <v>210</v>
      </c>
      <c r="F1141" s="4">
        <f>ROUND(Source!X1115,O1141)</f>
        <v>0</v>
      </c>
      <c r="G1141" s="4" t="s">
        <v>137</v>
      </c>
      <c r="H1141" s="4" t="s">
        <v>138</v>
      </c>
      <c r="I1141" s="4"/>
      <c r="J1141" s="4"/>
      <c r="K1141" s="4">
        <v>210</v>
      </c>
      <c r="L1141" s="4">
        <v>25</v>
      </c>
      <c r="M1141" s="4">
        <v>3</v>
      </c>
      <c r="N1141" s="4" t="s">
        <v>3</v>
      </c>
      <c r="O1141" s="4">
        <v>2</v>
      </c>
      <c r="P1141" s="4"/>
      <c r="Q1141" s="4"/>
      <c r="R1141" s="4"/>
      <c r="S1141" s="4"/>
      <c r="T1141" s="4"/>
      <c r="U1141" s="4"/>
      <c r="V1141" s="4"/>
      <c r="W1141" s="4"/>
    </row>
    <row r="1142" spans="1:245" x14ac:dyDescent="0.2">
      <c r="A1142" s="4">
        <v>50</v>
      </c>
      <c r="B1142" s="4">
        <v>0</v>
      </c>
      <c r="C1142" s="4">
        <v>0</v>
      </c>
      <c r="D1142" s="4">
        <v>1</v>
      </c>
      <c r="E1142" s="4">
        <v>211</v>
      </c>
      <c r="F1142" s="4">
        <f>ROUND(Source!Y1115,O1142)</f>
        <v>0</v>
      </c>
      <c r="G1142" s="4" t="s">
        <v>139</v>
      </c>
      <c r="H1142" s="4" t="s">
        <v>140</v>
      </c>
      <c r="I1142" s="4"/>
      <c r="J1142" s="4"/>
      <c r="K1142" s="4">
        <v>211</v>
      </c>
      <c r="L1142" s="4">
        <v>26</v>
      </c>
      <c r="M1142" s="4">
        <v>3</v>
      </c>
      <c r="N1142" s="4" t="s">
        <v>3</v>
      </c>
      <c r="O1142" s="4">
        <v>2</v>
      </c>
      <c r="P1142" s="4"/>
      <c r="Q1142" s="4"/>
      <c r="R1142" s="4"/>
      <c r="S1142" s="4"/>
      <c r="T1142" s="4"/>
      <c r="U1142" s="4"/>
      <c r="V1142" s="4"/>
      <c r="W1142" s="4"/>
    </row>
    <row r="1143" spans="1:245" x14ac:dyDescent="0.2">
      <c r="A1143" s="4">
        <v>50</v>
      </c>
      <c r="B1143" s="4">
        <v>0</v>
      </c>
      <c r="C1143" s="4">
        <v>0</v>
      </c>
      <c r="D1143" s="4">
        <v>1</v>
      </c>
      <c r="E1143" s="4">
        <v>224</v>
      </c>
      <c r="F1143" s="4">
        <f>ROUND(Source!AR1115,O1143)</f>
        <v>0</v>
      </c>
      <c r="G1143" s="4" t="s">
        <v>141</v>
      </c>
      <c r="H1143" s="4" t="s">
        <v>142</v>
      </c>
      <c r="I1143" s="4"/>
      <c r="J1143" s="4"/>
      <c r="K1143" s="4">
        <v>224</v>
      </c>
      <c r="L1143" s="4">
        <v>27</v>
      </c>
      <c r="M1143" s="4">
        <v>3</v>
      </c>
      <c r="N1143" s="4" t="s">
        <v>3</v>
      </c>
      <c r="O1143" s="4">
        <v>2</v>
      </c>
      <c r="P1143" s="4"/>
      <c r="Q1143" s="4"/>
      <c r="R1143" s="4"/>
      <c r="S1143" s="4"/>
      <c r="T1143" s="4"/>
      <c r="U1143" s="4"/>
      <c r="V1143" s="4"/>
      <c r="W1143" s="4"/>
    </row>
    <row r="1145" spans="1:245" x14ac:dyDescent="0.2">
      <c r="A1145" s="1">
        <v>4</v>
      </c>
      <c r="B1145" s="1">
        <v>1</v>
      </c>
      <c r="C1145" s="1"/>
      <c r="D1145" s="1">
        <f>ROW(A1157)</f>
        <v>1157</v>
      </c>
      <c r="E1145" s="1"/>
      <c r="F1145" s="1" t="s">
        <v>13</v>
      </c>
      <c r="G1145" s="1" t="s">
        <v>554</v>
      </c>
      <c r="H1145" s="1" t="s">
        <v>3</v>
      </c>
      <c r="I1145" s="1">
        <v>0</v>
      </c>
      <c r="J1145" s="1"/>
      <c r="K1145" s="1">
        <v>0</v>
      </c>
      <c r="L1145" s="1"/>
      <c r="M1145" s="1"/>
      <c r="N1145" s="1"/>
      <c r="O1145" s="1"/>
      <c r="P1145" s="1"/>
      <c r="Q1145" s="1"/>
      <c r="R1145" s="1"/>
      <c r="S1145" s="1"/>
      <c r="T1145" s="1"/>
      <c r="U1145" s="1" t="s">
        <v>3</v>
      </c>
      <c r="V1145" s="1">
        <v>0</v>
      </c>
      <c r="W1145" s="1"/>
      <c r="X1145" s="1"/>
      <c r="Y1145" s="1"/>
      <c r="Z1145" s="1"/>
      <c r="AA1145" s="1"/>
      <c r="AB1145" s="1" t="s">
        <v>3</v>
      </c>
      <c r="AC1145" s="1" t="s">
        <v>3</v>
      </c>
      <c r="AD1145" s="1" t="s">
        <v>3</v>
      </c>
      <c r="AE1145" s="1" t="s">
        <v>3</v>
      </c>
      <c r="AF1145" s="1" t="s">
        <v>3</v>
      </c>
      <c r="AG1145" s="1" t="s">
        <v>3</v>
      </c>
      <c r="AH1145" s="1"/>
      <c r="AI1145" s="1"/>
      <c r="AJ1145" s="1"/>
      <c r="AK1145" s="1"/>
      <c r="AL1145" s="1"/>
      <c r="AM1145" s="1"/>
      <c r="AN1145" s="1"/>
      <c r="AO1145" s="1"/>
      <c r="AP1145" s="1" t="s">
        <v>3</v>
      </c>
      <c r="AQ1145" s="1" t="s">
        <v>3</v>
      </c>
      <c r="AR1145" s="1" t="s">
        <v>3</v>
      </c>
      <c r="AS1145" s="1"/>
      <c r="AT1145" s="1"/>
      <c r="AU1145" s="1"/>
      <c r="AV1145" s="1"/>
      <c r="AW1145" s="1"/>
      <c r="AX1145" s="1"/>
      <c r="AY1145" s="1"/>
      <c r="AZ1145" s="1" t="s">
        <v>3</v>
      </c>
      <c r="BA1145" s="1"/>
      <c r="BB1145" s="1" t="s">
        <v>3</v>
      </c>
      <c r="BC1145" s="1" t="s">
        <v>3</v>
      </c>
      <c r="BD1145" s="1" t="s">
        <v>3</v>
      </c>
      <c r="BE1145" s="1" t="s">
        <v>3</v>
      </c>
      <c r="BF1145" s="1" t="s">
        <v>3</v>
      </c>
      <c r="BG1145" s="1" t="s">
        <v>3</v>
      </c>
      <c r="BH1145" s="1" t="s">
        <v>3</v>
      </c>
      <c r="BI1145" s="1" t="s">
        <v>3</v>
      </c>
      <c r="BJ1145" s="1" t="s">
        <v>3</v>
      </c>
      <c r="BK1145" s="1" t="s">
        <v>3</v>
      </c>
      <c r="BL1145" s="1" t="s">
        <v>3</v>
      </c>
      <c r="BM1145" s="1" t="s">
        <v>3</v>
      </c>
      <c r="BN1145" s="1" t="s">
        <v>3</v>
      </c>
      <c r="BO1145" s="1" t="s">
        <v>3</v>
      </c>
      <c r="BP1145" s="1" t="s">
        <v>3</v>
      </c>
      <c r="BQ1145" s="1"/>
      <c r="BR1145" s="1"/>
      <c r="BS1145" s="1"/>
      <c r="BT1145" s="1"/>
      <c r="BU1145" s="1"/>
      <c r="BV1145" s="1"/>
      <c r="BW1145" s="1"/>
      <c r="BX1145" s="1">
        <v>0</v>
      </c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>
        <v>0</v>
      </c>
    </row>
    <row r="1147" spans="1:245" x14ac:dyDescent="0.2">
      <c r="A1147" s="2">
        <v>52</v>
      </c>
      <c r="B1147" s="2">
        <f t="shared" ref="B1147:G1147" si="780">B1157</f>
        <v>1</v>
      </c>
      <c r="C1147" s="2">
        <f t="shared" si="780"/>
        <v>4</v>
      </c>
      <c r="D1147" s="2">
        <f t="shared" si="780"/>
        <v>1145</v>
      </c>
      <c r="E1147" s="2">
        <f t="shared" si="780"/>
        <v>0</v>
      </c>
      <c r="F1147" s="2" t="str">
        <f t="shared" si="780"/>
        <v>Новый раздел</v>
      </c>
      <c r="G1147" s="2" t="str">
        <f t="shared" si="780"/>
        <v>41. Установка информационных и дорожных знаков</v>
      </c>
      <c r="H1147" s="2"/>
      <c r="I1147" s="2"/>
      <c r="J1147" s="2"/>
      <c r="K1147" s="2"/>
      <c r="L1147" s="2"/>
      <c r="M1147" s="2"/>
      <c r="N1147" s="2"/>
      <c r="O1147" s="2">
        <f t="shared" ref="O1147:AT1147" si="781">O1157</f>
        <v>75499.240000000005</v>
      </c>
      <c r="P1147" s="2">
        <f t="shared" si="781"/>
        <v>52213.86</v>
      </c>
      <c r="Q1147" s="2">
        <f t="shared" si="781"/>
        <v>2821.71</v>
      </c>
      <c r="R1147" s="2">
        <f t="shared" si="781"/>
        <v>1216.44</v>
      </c>
      <c r="S1147" s="2">
        <f t="shared" si="781"/>
        <v>20463.669999999998</v>
      </c>
      <c r="T1147" s="2">
        <f t="shared" si="781"/>
        <v>0</v>
      </c>
      <c r="U1147" s="2">
        <f t="shared" si="781"/>
        <v>73.372</v>
      </c>
      <c r="V1147" s="2">
        <f t="shared" si="781"/>
        <v>0</v>
      </c>
      <c r="W1147" s="2">
        <f t="shared" si="781"/>
        <v>0</v>
      </c>
      <c r="X1147" s="2">
        <f t="shared" si="781"/>
        <v>17394.12</v>
      </c>
      <c r="Y1147" s="2">
        <f t="shared" si="781"/>
        <v>8390.1</v>
      </c>
      <c r="Z1147" s="2">
        <f t="shared" si="781"/>
        <v>0</v>
      </c>
      <c r="AA1147" s="2">
        <f t="shared" si="781"/>
        <v>0</v>
      </c>
      <c r="AB1147" s="2">
        <f t="shared" si="781"/>
        <v>75499.240000000005</v>
      </c>
      <c r="AC1147" s="2">
        <f t="shared" si="781"/>
        <v>52213.86</v>
      </c>
      <c r="AD1147" s="2">
        <f t="shared" si="781"/>
        <v>2821.71</v>
      </c>
      <c r="AE1147" s="2">
        <f t="shared" si="781"/>
        <v>1216.44</v>
      </c>
      <c r="AF1147" s="2">
        <f t="shared" si="781"/>
        <v>20463.669999999998</v>
      </c>
      <c r="AG1147" s="2">
        <f t="shared" si="781"/>
        <v>0</v>
      </c>
      <c r="AH1147" s="2">
        <f t="shared" si="781"/>
        <v>73.372</v>
      </c>
      <c r="AI1147" s="2">
        <f t="shared" si="781"/>
        <v>0</v>
      </c>
      <c r="AJ1147" s="2">
        <f t="shared" si="781"/>
        <v>0</v>
      </c>
      <c r="AK1147" s="2">
        <f t="shared" si="781"/>
        <v>17394.12</v>
      </c>
      <c r="AL1147" s="2">
        <f t="shared" si="781"/>
        <v>8390.1</v>
      </c>
      <c r="AM1147" s="2">
        <f t="shared" si="781"/>
        <v>0</v>
      </c>
      <c r="AN1147" s="2">
        <f t="shared" si="781"/>
        <v>0</v>
      </c>
      <c r="AO1147" s="2">
        <f t="shared" si="781"/>
        <v>0</v>
      </c>
      <c r="AP1147" s="2">
        <f t="shared" si="781"/>
        <v>0</v>
      </c>
      <c r="AQ1147" s="2">
        <f t="shared" si="781"/>
        <v>0</v>
      </c>
      <c r="AR1147" s="2">
        <f t="shared" si="781"/>
        <v>103193.27</v>
      </c>
      <c r="AS1147" s="2">
        <f t="shared" si="781"/>
        <v>103193.27</v>
      </c>
      <c r="AT1147" s="2">
        <f t="shared" si="781"/>
        <v>0</v>
      </c>
      <c r="AU1147" s="2">
        <f t="shared" ref="AU1147:BZ1147" si="782">AU1157</f>
        <v>0</v>
      </c>
      <c r="AV1147" s="2">
        <f t="shared" si="782"/>
        <v>52213.86</v>
      </c>
      <c r="AW1147" s="2">
        <f t="shared" si="782"/>
        <v>52213.86</v>
      </c>
      <c r="AX1147" s="2">
        <f t="shared" si="782"/>
        <v>0</v>
      </c>
      <c r="AY1147" s="2">
        <f t="shared" si="782"/>
        <v>52213.86</v>
      </c>
      <c r="AZ1147" s="2">
        <f t="shared" si="782"/>
        <v>0</v>
      </c>
      <c r="BA1147" s="2">
        <f t="shared" si="782"/>
        <v>0</v>
      </c>
      <c r="BB1147" s="2">
        <f t="shared" si="782"/>
        <v>0</v>
      </c>
      <c r="BC1147" s="2">
        <f t="shared" si="782"/>
        <v>0</v>
      </c>
      <c r="BD1147" s="2">
        <f t="shared" si="782"/>
        <v>0</v>
      </c>
      <c r="BE1147" s="2">
        <f t="shared" si="782"/>
        <v>0</v>
      </c>
      <c r="BF1147" s="2">
        <f t="shared" si="782"/>
        <v>0</v>
      </c>
      <c r="BG1147" s="2">
        <f t="shared" si="782"/>
        <v>0</v>
      </c>
      <c r="BH1147" s="2">
        <f t="shared" si="782"/>
        <v>0</v>
      </c>
      <c r="BI1147" s="2">
        <f t="shared" si="782"/>
        <v>0</v>
      </c>
      <c r="BJ1147" s="2">
        <f t="shared" si="782"/>
        <v>0</v>
      </c>
      <c r="BK1147" s="2">
        <f t="shared" si="782"/>
        <v>0</v>
      </c>
      <c r="BL1147" s="2">
        <f t="shared" si="782"/>
        <v>0</v>
      </c>
      <c r="BM1147" s="2">
        <f t="shared" si="782"/>
        <v>0</v>
      </c>
      <c r="BN1147" s="2">
        <f t="shared" si="782"/>
        <v>0</v>
      </c>
      <c r="BO1147" s="2">
        <f t="shared" si="782"/>
        <v>0</v>
      </c>
      <c r="BP1147" s="2">
        <f t="shared" si="782"/>
        <v>0</v>
      </c>
      <c r="BQ1147" s="2">
        <f t="shared" si="782"/>
        <v>0</v>
      </c>
      <c r="BR1147" s="2">
        <f t="shared" si="782"/>
        <v>0</v>
      </c>
      <c r="BS1147" s="2">
        <f t="shared" si="782"/>
        <v>0</v>
      </c>
      <c r="BT1147" s="2">
        <f t="shared" si="782"/>
        <v>0</v>
      </c>
      <c r="BU1147" s="2">
        <f t="shared" si="782"/>
        <v>0</v>
      </c>
      <c r="BV1147" s="2">
        <f t="shared" si="782"/>
        <v>0</v>
      </c>
      <c r="BW1147" s="2">
        <f t="shared" si="782"/>
        <v>0</v>
      </c>
      <c r="BX1147" s="2">
        <f t="shared" si="782"/>
        <v>0</v>
      </c>
      <c r="BY1147" s="2">
        <f t="shared" si="782"/>
        <v>0</v>
      </c>
      <c r="BZ1147" s="2">
        <f t="shared" si="782"/>
        <v>0</v>
      </c>
      <c r="CA1147" s="2">
        <f t="shared" ref="CA1147:DF1147" si="783">CA1157</f>
        <v>103193.27</v>
      </c>
      <c r="CB1147" s="2">
        <f t="shared" si="783"/>
        <v>103193.27</v>
      </c>
      <c r="CC1147" s="2">
        <f t="shared" si="783"/>
        <v>0</v>
      </c>
      <c r="CD1147" s="2">
        <f t="shared" si="783"/>
        <v>0</v>
      </c>
      <c r="CE1147" s="2">
        <f t="shared" si="783"/>
        <v>52213.86</v>
      </c>
      <c r="CF1147" s="2">
        <f t="shared" si="783"/>
        <v>52213.86</v>
      </c>
      <c r="CG1147" s="2">
        <f t="shared" si="783"/>
        <v>0</v>
      </c>
      <c r="CH1147" s="2">
        <f t="shared" si="783"/>
        <v>52213.86</v>
      </c>
      <c r="CI1147" s="2">
        <f t="shared" si="783"/>
        <v>0</v>
      </c>
      <c r="CJ1147" s="2">
        <f t="shared" si="783"/>
        <v>0</v>
      </c>
      <c r="CK1147" s="2">
        <f t="shared" si="783"/>
        <v>0</v>
      </c>
      <c r="CL1147" s="2">
        <f t="shared" si="783"/>
        <v>0</v>
      </c>
      <c r="CM1147" s="2">
        <f t="shared" si="783"/>
        <v>0</v>
      </c>
      <c r="CN1147" s="2">
        <f t="shared" si="783"/>
        <v>0</v>
      </c>
      <c r="CO1147" s="2">
        <f t="shared" si="783"/>
        <v>0</v>
      </c>
      <c r="CP1147" s="2">
        <f t="shared" si="783"/>
        <v>0</v>
      </c>
      <c r="CQ1147" s="2">
        <f t="shared" si="783"/>
        <v>0</v>
      </c>
      <c r="CR1147" s="2">
        <f t="shared" si="783"/>
        <v>0</v>
      </c>
      <c r="CS1147" s="2">
        <f t="shared" si="783"/>
        <v>0</v>
      </c>
      <c r="CT1147" s="2">
        <f t="shared" si="783"/>
        <v>0</v>
      </c>
      <c r="CU1147" s="2">
        <f t="shared" si="783"/>
        <v>0</v>
      </c>
      <c r="CV1147" s="2">
        <f t="shared" si="783"/>
        <v>0</v>
      </c>
      <c r="CW1147" s="2">
        <f t="shared" si="783"/>
        <v>0</v>
      </c>
      <c r="CX1147" s="2">
        <f t="shared" si="783"/>
        <v>0</v>
      </c>
      <c r="CY1147" s="2">
        <f t="shared" si="783"/>
        <v>0</v>
      </c>
      <c r="CZ1147" s="2">
        <f t="shared" si="783"/>
        <v>0</v>
      </c>
      <c r="DA1147" s="2">
        <f t="shared" si="783"/>
        <v>0</v>
      </c>
      <c r="DB1147" s="2">
        <f t="shared" si="783"/>
        <v>0</v>
      </c>
      <c r="DC1147" s="2">
        <f t="shared" si="783"/>
        <v>0</v>
      </c>
      <c r="DD1147" s="2">
        <f t="shared" si="783"/>
        <v>0</v>
      </c>
      <c r="DE1147" s="2">
        <f t="shared" si="783"/>
        <v>0</v>
      </c>
      <c r="DF1147" s="2">
        <f t="shared" si="783"/>
        <v>0</v>
      </c>
      <c r="DG1147" s="3">
        <f t="shared" ref="DG1147:EL1147" si="784">DG1157</f>
        <v>0</v>
      </c>
      <c r="DH1147" s="3">
        <f t="shared" si="784"/>
        <v>0</v>
      </c>
      <c r="DI1147" s="3">
        <f t="shared" si="784"/>
        <v>0</v>
      </c>
      <c r="DJ1147" s="3">
        <f t="shared" si="784"/>
        <v>0</v>
      </c>
      <c r="DK1147" s="3">
        <f t="shared" si="784"/>
        <v>0</v>
      </c>
      <c r="DL1147" s="3">
        <f t="shared" si="784"/>
        <v>0</v>
      </c>
      <c r="DM1147" s="3">
        <f t="shared" si="784"/>
        <v>0</v>
      </c>
      <c r="DN1147" s="3">
        <f t="shared" si="784"/>
        <v>0</v>
      </c>
      <c r="DO1147" s="3">
        <f t="shared" si="784"/>
        <v>0</v>
      </c>
      <c r="DP1147" s="3">
        <f t="shared" si="784"/>
        <v>0</v>
      </c>
      <c r="DQ1147" s="3">
        <f t="shared" si="784"/>
        <v>0</v>
      </c>
      <c r="DR1147" s="3">
        <f t="shared" si="784"/>
        <v>0</v>
      </c>
      <c r="DS1147" s="3">
        <f t="shared" si="784"/>
        <v>0</v>
      </c>
      <c r="DT1147" s="3">
        <f t="shared" si="784"/>
        <v>0</v>
      </c>
      <c r="DU1147" s="3">
        <f t="shared" si="784"/>
        <v>0</v>
      </c>
      <c r="DV1147" s="3">
        <f t="shared" si="784"/>
        <v>0</v>
      </c>
      <c r="DW1147" s="3">
        <f t="shared" si="784"/>
        <v>0</v>
      </c>
      <c r="DX1147" s="3">
        <f t="shared" si="784"/>
        <v>0</v>
      </c>
      <c r="DY1147" s="3">
        <f t="shared" si="784"/>
        <v>0</v>
      </c>
      <c r="DZ1147" s="3">
        <f t="shared" si="784"/>
        <v>0</v>
      </c>
      <c r="EA1147" s="3">
        <f t="shared" si="784"/>
        <v>0</v>
      </c>
      <c r="EB1147" s="3">
        <f t="shared" si="784"/>
        <v>0</v>
      </c>
      <c r="EC1147" s="3">
        <f t="shared" si="784"/>
        <v>0</v>
      </c>
      <c r="ED1147" s="3">
        <f t="shared" si="784"/>
        <v>0</v>
      </c>
      <c r="EE1147" s="3">
        <f t="shared" si="784"/>
        <v>0</v>
      </c>
      <c r="EF1147" s="3">
        <f t="shared" si="784"/>
        <v>0</v>
      </c>
      <c r="EG1147" s="3">
        <f t="shared" si="784"/>
        <v>0</v>
      </c>
      <c r="EH1147" s="3">
        <f t="shared" si="784"/>
        <v>0</v>
      </c>
      <c r="EI1147" s="3">
        <f t="shared" si="784"/>
        <v>0</v>
      </c>
      <c r="EJ1147" s="3">
        <f t="shared" si="784"/>
        <v>0</v>
      </c>
      <c r="EK1147" s="3">
        <f t="shared" si="784"/>
        <v>0</v>
      </c>
      <c r="EL1147" s="3">
        <f t="shared" si="784"/>
        <v>0</v>
      </c>
      <c r="EM1147" s="3">
        <f t="shared" ref="EM1147:FR1147" si="785">EM1157</f>
        <v>0</v>
      </c>
      <c r="EN1147" s="3">
        <f t="shared" si="785"/>
        <v>0</v>
      </c>
      <c r="EO1147" s="3">
        <f t="shared" si="785"/>
        <v>0</v>
      </c>
      <c r="EP1147" s="3">
        <f t="shared" si="785"/>
        <v>0</v>
      </c>
      <c r="EQ1147" s="3">
        <f t="shared" si="785"/>
        <v>0</v>
      </c>
      <c r="ER1147" s="3">
        <f t="shared" si="785"/>
        <v>0</v>
      </c>
      <c r="ES1147" s="3">
        <f t="shared" si="785"/>
        <v>0</v>
      </c>
      <c r="ET1147" s="3">
        <f t="shared" si="785"/>
        <v>0</v>
      </c>
      <c r="EU1147" s="3">
        <f t="shared" si="785"/>
        <v>0</v>
      </c>
      <c r="EV1147" s="3">
        <f t="shared" si="785"/>
        <v>0</v>
      </c>
      <c r="EW1147" s="3">
        <f t="shared" si="785"/>
        <v>0</v>
      </c>
      <c r="EX1147" s="3">
        <f t="shared" si="785"/>
        <v>0</v>
      </c>
      <c r="EY1147" s="3">
        <f t="shared" si="785"/>
        <v>0</v>
      </c>
      <c r="EZ1147" s="3">
        <f t="shared" si="785"/>
        <v>0</v>
      </c>
      <c r="FA1147" s="3">
        <f t="shared" si="785"/>
        <v>0</v>
      </c>
      <c r="FB1147" s="3">
        <f t="shared" si="785"/>
        <v>0</v>
      </c>
      <c r="FC1147" s="3">
        <f t="shared" si="785"/>
        <v>0</v>
      </c>
      <c r="FD1147" s="3">
        <f t="shared" si="785"/>
        <v>0</v>
      </c>
      <c r="FE1147" s="3">
        <f t="shared" si="785"/>
        <v>0</v>
      </c>
      <c r="FF1147" s="3">
        <f t="shared" si="785"/>
        <v>0</v>
      </c>
      <c r="FG1147" s="3">
        <f t="shared" si="785"/>
        <v>0</v>
      </c>
      <c r="FH1147" s="3">
        <f t="shared" si="785"/>
        <v>0</v>
      </c>
      <c r="FI1147" s="3">
        <f t="shared" si="785"/>
        <v>0</v>
      </c>
      <c r="FJ1147" s="3">
        <f t="shared" si="785"/>
        <v>0</v>
      </c>
      <c r="FK1147" s="3">
        <f t="shared" si="785"/>
        <v>0</v>
      </c>
      <c r="FL1147" s="3">
        <f t="shared" si="785"/>
        <v>0</v>
      </c>
      <c r="FM1147" s="3">
        <f t="shared" si="785"/>
        <v>0</v>
      </c>
      <c r="FN1147" s="3">
        <f t="shared" si="785"/>
        <v>0</v>
      </c>
      <c r="FO1147" s="3">
        <f t="shared" si="785"/>
        <v>0</v>
      </c>
      <c r="FP1147" s="3">
        <f t="shared" si="785"/>
        <v>0</v>
      </c>
      <c r="FQ1147" s="3">
        <f t="shared" si="785"/>
        <v>0</v>
      </c>
      <c r="FR1147" s="3">
        <f t="shared" si="785"/>
        <v>0</v>
      </c>
      <c r="FS1147" s="3">
        <f t="shared" ref="FS1147:GX1147" si="786">FS1157</f>
        <v>0</v>
      </c>
      <c r="FT1147" s="3">
        <f t="shared" si="786"/>
        <v>0</v>
      </c>
      <c r="FU1147" s="3">
        <f t="shared" si="786"/>
        <v>0</v>
      </c>
      <c r="FV1147" s="3">
        <f t="shared" si="786"/>
        <v>0</v>
      </c>
      <c r="FW1147" s="3">
        <f t="shared" si="786"/>
        <v>0</v>
      </c>
      <c r="FX1147" s="3">
        <f t="shared" si="786"/>
        <v>0</v>
      </c>
      <c r="FY1147" s="3">
        <f t="shared" si="786"/>
        <v>0</v>
      </c>
      <c r="FZ1147" s="3">
        <f t="shared" si="786"/>
        <v>0</v>
      </c>
      <c r="GA1147" s="3">
        <f t="shared" si="786"/>
        <v>0</v>
      </c>
      <c r="GB1147" s="3">
        <f t="shared" si="786"/>
        <v>0</v>
      </c>
      <c r="GC1147" s="3">
        <f t="shared" si="786"/>
        <v>0</v>
      </c>
      <c r="GD1147" s="3">
        <f t="shared" si="786"/>
        <v>0</v>
      </c>
      <c r="GE1147" s="3">
        <f t="shared" si="786"/>
        <v>0</v>
      </c>
      <c r="GF1147" s="3">
        <f t="shared" si="786"/>
        <v>0</v>
      </c>
      <c r="GG1147" s="3">
        <f t="shared" si="786"/>
        <v>0</v>
      </c>
      <c r="GH1147" s="3">
        <f t="shared" si="786"/>
        <v>0</v>
      </c>
      <c r="GI1147" s="3">
        <f t="shared" si="786"/>
        <v>0</v>
      </c>
      <c r="GJ1147" s="3">
        <f t="shared" si="786"/>
        <v>0</v>
      </c>
      <c r="GK1147" s="3">
        <f t="shared" si="786"/>
        <v>0</v>
      </c>
      <c r="GL1147" s="3">
        <f t="shared" si="786"/>
        <v>0</v>
      </c>
      <c r="GM1147" s="3">
        <f t="shared" si="786"/>
        <v>0</v>
      </c>
      <c r="GN1147" s="3">
        <f t="shared" si="786"/>
        <v>0</v>
      </c>
      <c r="GO1147" s="3">
        <f t="shared" si="786"/>
        <v>0</v>
      </c>
      <c r="GP1147" s="3">
        <f t="shared" si="786"/>
        <v>0</v>
      </c>
      <c r="GQ1147" s="3">
        <f t="shared" si="786"/>
        <v>0</v>
      </c>
      <c r="GR1147" s="3">
        <f t="shared" si="786"/>
        <v>0</v>
      </c>
      <c r="GS1147" s="3">
        <f t="shared" si="786"/>
        <v>0</v>
      </c>
      <c r="GT1147" s="3">
        <f t="shared" si="786"/>
        <v>0</v>
      </c>
      <c r="GU1147" s="3">
        <f t="shared" si="786"/>
        <v>0</v>
      </c>
      <c r="GV1147" s="3">
        <f t="shared" si="786"/>
        <v>0</v>
      </c>
      <c r="GW1147" s="3">
        <f t="shared" si="786"/>
        <v>0</v>
      </c>
      <c r="GX1147" s="3">
        <f t="shared" si="786"/>
        <v>0</v>
      </c>
    </row>
    <row r="1149" spans="1:245" x14ac:dyDescent="0.2">
      <c r="A1149">
        <v>17</v>
      </c>
      <c r="B1149">
        <v>1</v>
      </c>
      <c r="C1149">
        <f>ROW(SmtRes!A346)</f>
        <v>346</v>
      </c>
      <c r="D1149">
        <f>ROW(EtalonRes!A347)</f>
        <v>347</v>
      </c>
      <c r="E1149" t="s">
        <v>555</v>
      </c>
      <c r="F1149" t="s">
        <v>556</v>
      </c>
      <c r="G1149" t="s">
        <v>557</v>
      </c>
      <c r="H1149" t="s">
        <v>558</v>
      </c>
      <c r="I1149">
        <f>ROUND(20/100,5)</f>
        <v>0.2</v>
      </c>
      <c r="J1149">
        <v>0</v>
      </c>
      <c r="O1149">
        <f t="shared" ref="O1149:O1155" si="787">ROUND(CP1149,2)</f>
        <v>20061.759999999998</v>
      </c>
      <c r="P1149">
        <f t="shared" ref="P1149:P1155" si="788">ROUND((ROUND((AC1149*AW1149*I1149),2)*BC1149),2)</f>
        <v>902.82</v>
      </c>
      <c r="Q1149">
        <f t="shared" ref="Q1149:Q1155" si="789">(ROUND((ROUND(((ET1149)*AV1149*I1149),2)*BB1149),2)+ROUND((ROUND(((AE1149-(EU1149))*AV1149*I1149),2)*BS1149),2))</f>
        <v>2821.71</v>
      </c>
      <c r="R1149">
        <f t="shared" ref="R1149:R1155" si="790">ROUND((ROUND((AE1149*AV1149*I1149),2)*BS1149),2)</f>
        <v>1216.44</v>
      </c>
      <c r="S1149">
        <f t="shared" ref="S1149:S1155" si="791">ROUND((ROUND((AF1149*AV1149*I1149),2)*BA1149),2)</f>
        <v>16337.23</v>
      </c>
      <c r="T1149">
        <f t="shared" ref="T1149:T1155" si="792">ROUND(CU1149*I1149,2)</f>
        <v>0</v>
      </c>
      <c r="U1149">
        <f t="shared" ref="U1149:U1155" si="793">CV1149*I1149</f>
        <v>59.572000000000003</v>
      </c>
      <c r="V1149">
        <f t="shared" ref="V1149:V1155" si="794">CW1149*I1149</f>
        <v>0</v>
      </c>
      <c r="W1149">
        <f t="shared" ref="W1149:W1155" si="795">ROUND(CX1149*I1149,2)</f>
        <v>0</v>
      </c>
      <c r="X1149">
        <f t="shared" ref="X1149:Y1155" si="796">ROUND(CY1149,2)</f>
        <v>13886.65</v>
      </c>
      <c r="Y1149">
        <f t="shared" si="796"/>
        <v>6698.26</v>
      </c>
      <c r="AA1149">
        <v>33989672</v>
      </c>
      <c r="AB1149">
        <f t="shared" ref="AB1149:AB1155" si="797">ROUND((AC1149+AD1149+AF1149),6)</f>
        <v>5627.04</v>
      </c>
      <c r="AC1149">
        <f t="shared" ref="AC1149:AC1155" si="798">ROUND((ES1149),6)</f>
        <v>1181.68</v>
      </c>
      <c r="AD1149">
        <f t="shared" ref="AD1149:AD1155" si="799">ROUND((((ET1149)-(EU1149))+AE1149),6)</f>
        <v>1115.29</v>
      </c>
      <c r="AE1149">
        <f t="shared" ref="AE1149:AF1155" si="800">ROUND((EU1149),6)</f>
        <v>247.94</v>
      </c>
      <c r="AF1149">
        <f t="shared" si="800"/>
        <v>3330.07</v>
      </c>
      <c r="AG1149">
        <f t="shared" ref="AG1149:AG1155" si="801">ROUND((AP1149),6)</f>
        <v>0</v>
      </c>
      <c r="AH1149">
        <f t="shared" ref="AH1149:AI1155" si="802">(EW1149)</f>
        <v>297.86</v>
      </c>
      <c r="AI1149">
        <f t="shared" si="802"/>
        <v>0</v>
      </c>
      <c r="AJ1149">
        <f t="shared" ref="AJ1149:AJ1155" si="803">(AS1149)</f>
        <v>0</v>
      </c>
      <c r="AK1149">
        <v>5627.04</v>
      </c>
      <c r="AL1149">
        <v>1181.68</v>
      </c>
      <c r="AM1149">
        <v>1115.29</v>
      </c>
      <c r="AN1149">
        <v>247.94</v>
      </c>
      <c r="AO1149">
        <v>3330.07</v>
      </c>
      <c r="AP1149">
        <v>0</v>
      </c>
      <c r="AQ1149">
        <v>297.86</v>
      </c>
      <c r="AR1149">
        <v>0</v>
      </c>
      <c r="AS1149">
        <v>0</v>
      </c>
      <c r="AT1149">
        <v>85</v>
      </c>
      <c r="AU1149">
        <v>41</v>
      </c>
      <c r="AV1149">
        <v>1</v>
      </c>
      <c r="AW1149">
        <v>1</v>
      </c>
      <c r="AZ1149">
        <v>1</v>
      </c>
      <c r="BA1149">
        <v>24.53</v>
      </c>
      <c r="BB1149">
        <v>12.65</v>
      </c>
      <c r="BC1149">
        <v>3.82</v>
      </c>
      <c r="BD1149" t="s">
        <v>3</v>
      </c>
      <c r="BE1149" t="s">
        <v>3</v>
      </c>
      <c r="BF1149" t="s">
        <v>3</v>
      </c>
      <c r="BG1149" t="s">
        <v>3</v>
      </c>
      <c r="BH1149">
        <v>0</v>
      </c>
      <c r="BI1149">
        <v>1</v>
      </c>
      <c r="BJ1149" t="s">
        <v>559</v>
      </c>
      <c r="BM1149">
        <v>167</v>
      </c>
      <c r="BN1149">
        <v>0</v>
      </c>
      <c r="BO1149" t="s">
        <v>556</v>
      </c>
      <c r="BP1149">
        <v>1</v>
      </c>
      <c r="BQ1149">
        <v>30</v>
      </c>
      <c r="BR1149">
        <v>0</v>
      </c>
      <c r="BS1149">
        <v>24.53</v>
      </c>
      <c r="BT1149">
        <v>1</v>
      </c>
      <c r="BU1149">
        <v>1</v>
      </c>
      <c r="BV1149">
        <v>1</v>
      </c>
      <c r="BW1149">
        <v>1</v>
      </c>
      <c r="BX1149">
        <v>1</v>
      </c>
      <c r="BY1149" t="s">
        <v>3</v>
      </c>
      <c r="BZ1149">
        <v>85</v>
      </c>
      <c r="CA1149">
        <v>41</v>
      </c>
      <c r="CE1149">
        <v>30</v>
      </c>
      <c r="CF1149">
        <v>0</v>
      </c>
      <c r="CG1149">
        <v>0</v>
      </c>
      <c r="CM1149">
        <v>0</v>
      </c>
      <c r="CN1149" t="s">
        <v>3</v>
      </c>
      <c r="CO1149">
        <v>0</v>
      </c>
      <c r="CP1149">
        <f t="shared" ref="CP1149:CP1155" si="804">(P1149+Q1149+S1149)</f>
        <v>20061.759999999998</v>
      </c>
      <c r="CQ1149">
        <f t="shared" ref="CQ1149:CQ1155" si="805">ROUND((ROUND((AC1149*AW1149*1),2)*BC1149),2)</f>
        <v>4514.0200000000004</v>
      </c>
      <c r="CR1149">
        <f t="shared" ref="CR1149:CR1155" si="806">(ROUND((ROUND(((ET1149)*AV1149*1),2)*BB1149),2)+ROUND((ROUND(((AE1149-(EU1149))*AV1149*1),2)*BS1149),2))</f>
        <v>14108.42</v>
      </c>
      <c r="CS1149">
        <f t="shared" ref="CS1149:CS1155" si="807">ROUND((ROUND((AE1149*AV1149*1),2)*BS1149),2)</f>
        <v>6081.97</v>
      </c>
      <c r="CT1149">
        <f t="shared" ref="CT1149:CT1155" si="808">ROUND((ROUND((AF1149*AV1149*1),2)*BA1149),2)</f>
        <v>81686.62</v>
      </c>
      <c r="CU1149">
        <f t="shared" ref="CU1149:CU1155" si="809">AG1149</f>
        <v>0</v>
      </c>
      <c r="CV1149">
        <f t="shared" ref="CV1149:CV1155" si="810">(AH1149*AV1149)</f>
        <v>297.86</v>
      </c>
      <c r="CW1149">
        <f t="shared" ref="CW1149:CX1155" si="811">AI1149</f>
        <v>0</v>
      </c>
      <c r="CX1149">
        <f t="shared" si="811"/>
        <v>0</v>
      </c>
      <c r="CY1149">
        <f t="shared" ref="CY1149:CY1155" si="812">S1149*(BZ1149/100)</f>
        <v>13886.645499999999</v>
      </c>
      <c r="CZ1149">
        <f t="shared" ref="CZ1149:CZ1155" si="813">S1149*(CA1149/100)</f>
        <v>6698.2642999999998</v>
      </c>
      <c r="DC1149" t="s">
        <v>3</v>
      </c>
      <c r="DD1149" t="s">
        <v>3</v>
      </c>
      <c r="DE1149" t="s">
        <v>3</v>
      </c>
      <c r="DF1149" t="s">
        <v>3</v>
      </c>
      <c r="DG1149" t="s">
        <v>3</v>
      </c>
      <c r="DH1149" t="s">
        <v>3</v>
      </c>
      <c r="DI1149" t="s">
        <v>3</v>
      </c>
      <c r="DJ1149" t="s">
        <v>3</v>
      </c>
      <c r="DK1149" t="s">
        <v>3</v>
      </c>
      <c r="DL1149" t="s">
        <v>3</v>
      </c>
      <c r="DM1149" t="s">
        <v>3</v>
      </c>
      <c r="DN1149">
        <v>105</v>
      </c>
      <c r="DO1149">
        <v>77</v>
      </c>
      <c r="DP1149">
        <v>1</v>
      </c>
      <c r="DQ1149">
        <v>1</v>
      </c>
      <c r="DU1149">
        <v>1013</v>
      </c>
      <c r="DV1149" t="s">
        <v>558</v>
      </c>
      <c r="DW1149" t="s">
        <v>558</v>
      </c>
      <c r="DX1149">
        <v>1</v>
      </c>
      <c r="EE1149">
        <v>33797806</v>
      </c>
      <c r="EF1149">
        <v>30</v>
      </c>
      <c r="EG1149" t="s">
        <v>77</v>
      </c>
      <c r="EH1149">
        <v>0</v>
      </c>
      <c r="EI1149" t="s">
        <v>3</v>
      </c>
      <c r="EJ1149">
        <v>1</v>
      </c>
      <c r="EK1149">
        <v>167</v>
      </c>
      <c r="EL1149" t="s">
        <v>560</v>
      </c>
      <c r="EM1149" t="s">
        <v>561</v>
      </c>
      <c r="EO1149" t="s">
        <v>3</v>
      </c>
      <c r="EQ1149">
        <v>131072</v>
      </c>
      <c r="ER1149">
        <v>5627.04</v>
      </c>
      <c r="ES1149">
        <v>1181.68</v>
      </c>
      <c r="ET1149">
        <v>1115.29</v>
      </c>
      <c r="EU1149">
        <v>247.94</v>
      </c>
      <c r="EV1149">
        <v>3330.07</v>
      </c>
      <c r="EW1149">
        <v>297.86</v>
      </c>
      <c r="EX1149">
        <v>0</v>
      </c>
      <c r="EY1149">
        <v>0</v>
      </c>
      <c r="FQ1149">
        <v>0</v>
      </c>
      <c r="FR1149">
        <f t="shared" ref="FR1149:FR1155" si="814">ROUND(IF(AND(BH1149=3,BI1149=3),P1149,0),2)</f>
        <v>0</v>
      </c>
      <c r="FS1149">
        <v>0</v>
      </c>
      <c r="FX1149">
        <v>105</v>
      </c>
      <c r="FY1149">
        <v>77</v>
      </c>
      <c r="GA1149" t="s">
        <v>3</v>
      </c>
      <c r="GD1149">
        <v>0</v>
      </c>
      <c r="GF1149">
        <v>-1855580623</v>
      </c>
      <c r="GG1149">
        <v>2</v>
      </c>
      <c r="GH1149">
        <v>1</v>
      </c>
      <c r="GI1149">
        <v>2</v>
      </c>
      <c r="GJ1149">
        <v>0</v>
      </c>
      <c r="GK1149">
        <f>ROUND(R1149*(R12)/100,2)</f>
        <v>1909.81</v>
      </c>
      <c r="GL1149">
        <f t="shared" ref="GL1149:GL1155" si="815">ROUND(IF(AND(BH1149=3,BI1149=3,FS1149&lt;&gt;0),P1149,0),2)</f>
        <v>0</v>
      </c>
      <c r="GM1149">
        <f t="shared" ref="GM1149:GM1155" si="816">ROUND(O1149+X1149+Y1149+GK1149,2)+GX1149</f>
        <v>42556.480000000003</v>
      </c>
      <c r="GN1149">
        <f t="shared" ref="GN1149:GN1155" si="817">IF(OR(BI1149=0,BI1149=1),ROUND(O1149+X1149+Y1149+GK1149,2),0)</f>
        <v>42556.480000000003</v>
      </c>
      <c r="GO1149">
        <f t="shared" ref="GO1149:GO1155" si="818">IF(BI1149=2,ROUND(O1149+X1149+Y1149+GK1149,2),0)</f>
        <v>0</v>
      </c>
      <c r="GP1149">
        <f t="shared" ref="GP1149:GP1155" si="819">IF(BI1149=4,ROUND(O1149+X1149+Y1149+GK1149,2)+GX1149,0)</f>
        <v>0</v>
      </c>
      <c r="GR1149">
        <v>0</v>
      </c>
      <c r="GS1149">
        <v>3</v>
      </c>
      <c r="GT1149">
        <v>0</v>
      </c>
      <c r="GU1149" t="s">
        <v>3</v>
      </c>
      <c r="GV1149">
        <f t="shared" ref="GV1149:GV1155" si="820">ROUND((GT1149),6)</f>
        <v>0</v>
      </c>
      <c r="GW1149">
        <v>1</v>
      </c>
      <c r="GX1149">
        <f t="shared" ref="GX1149:GX1155" si="821">ROUND(HC1149*I1149,2)</f>
        <v>0</v>
      </c>
      <c r="HA1149">
        <v>0</v>
      </c>
      <c r="HB1149">
        <v>0</v>
      </c>
      <c r="HC1149">
        <f t="shared" ref="HC1149:HC1155" si="822">GV1149*GW1149</f>
        <v>0</v>
      </c>
      <c r="IK1149">
        <v>0</v>
      </c>
    </row>
    <row r="1150" spans="1:245" x14ac:dyDescent="0.2">
      <c r="A1150">
        <v>18</v>
      </c>
      <c r="B1150">
        <v>1</v>
      </c>
      <c r="C1150">
        <v>346</v>
      </c>
      <c r="E1150" t="s">
        <v>562</v>
      </c>
      <c r="F1150" t="s">
        <v>563</v>
      </c>
      <c r="G1150" t="s">
        <v>564</v>
      </c>
      <c r="H1150" t="s">
        <v>328</v>
      </c>
      <c r="I1150">
        <f>I1149*J1150</f>
        <v>20</v>
      </c>
      <c r="J1150">
        <v>100</v>
      </c>
      <c r="O1150">
        <f t="shared" si="787"/>
        <v>16298.5</v>
      </c>
      <c r="P1150">
        <f t="shared" si="788"/>
        <v>16298.5</v>
      </c>
      <c r="Q1150">
        <f t="shared" si="789"/>
        <v>0</v>
      </c>
      <c r="R1150">
        <f t="shared" si="790"/>
        <v>0</v>
      </c>
      <c r="S1150">
        <f t="shared" si="791"/>
        <v>0</v>
      </c>
      <c r="T1150">
        <f t="shared" si="792"/>
        <v>0</v>
      </c>
      <c r="U1150">
        <f t="shared" si="793"/>
        <v>0</v>
      </c>
      <c r="V1150">
        <f t="shared" si="794"/>
        <v>0</v>
      </c>
      <c r="W1150">
        <f t="shared" si="795"/>
        <v>0</v>
      </c>
      <c r="X1150">
        <f t="shared" si="796"/>
        <v>0</v>
      </c>
      <c r="Y1150">
        <f t="shared" si="796"/>
        <v>0</v>
      </c>
      <c r="AA1150">
        <v>33989672</v>
      </c>
      <c r="AB1150">
        <f t="shared" si="797"/>
        <v>636.66</v>
      </c>
      <c r="AC1150">
        <f t="shared" si="798"/>
        <v>636.66</v>
      </c>
      <c r="AD1150">
        <f t="shared" si="799"/>
        <v>0</v>
      </c>
      <c r="AE1150">
        <f t="shared" si="800"/>
        <v>0</v>
      </c>
      <c r="AF1150">
        <f t="shared" si="800"/>
        <v>0</v>
      </c>
      <c r="AG1150">
        <f t="shared" si="801"/>
        <v>0</v>
      </c>
      <c r="AH1150">
        <f t="shared" si="802"/>
        <v>0</v>
      </c>
      <c r="AI1150">
        <f t="shared" si="802"/>
        <v>0</v>
      </c>
      <c r="AJ1150">
        <f t="shared" si="803"/>
        <v>0</v>
      </c>
      <c r="AK1150">
        <v>636.66</v>
      </c>
      <c r="AL1150">
        <v>636.66</v>
      </c>
      <c r="AM1150">
        <v>0</v>
      </c>
      <c r="AN1150">
        <v>0</v>
      </c>
      <c r="AO1150">
        <v>0</v>
      </c>
      <c r="AP1150">
        <v>0</v>
      </c>
      <c r="AQ1150">
        <v>0</v>
      </c>
      <c r="AR1150">
        <v>0</v>
      </c>
      <c r="AS1150">
        <v>0</v>
      </c>
      <c r="AT1150">
        <v>0</v>
      </c>
      <c r="AU1150">
        <v>0</v>
      </c>
      <c r="AV1150">
        <v>1</v>
      </c>
      <c r="AW1150">
        <v>1</v>
      </c>
      <c r="AZ1150">
        <v>1</v>
      </c>
      <c r="BA1150">
        <v>1</v>
      </c>
      <c r="BB1150">
        <v>1</v>
      </c>
      <c r="BC1150">
        <v>1.28</v>
      </c>
      <c r="BD1150" t="s">
        <v>3</v>
      </c>
      <c r="BE1150" t="s">
        <v>3</v>
      </c>
      <c r="BF1150" t="s">
        <v>3</v>
      </c>
      <c r="BG1150" t="s">
        <v>3</v>
      </c>
      <c r="BH1150">
        <v>3</v>
      </c>
      <c r="BI1150">
        <v>1</v>
      </c>
      <c r="BJ1150" t="s">
        <v>565</v>
      </c>
      <c r="BM1150">
        <v>167</v>
      </c>
      <c r="BN1150">
        <v>0</v>
      </c>
      <c r="BO1150" t="s">
        <v>563</v>
      </c>
      <c r="BP1150">
        <v>1</v>
      </c>
      <c r="BQ1150">
        <v>30</v>
      </c>
      <c r="BR1150">
        <v>0</v>
      </c>
      <c r="BS1150">
        <v>1</v>
      </c>
      <c r="BT1150">
        <v>1</v>
      </c>
      <c r="BU1150">
        <v>1</v>
      </c>
      <c r="BV1150">
        <v>1</v>
      </c>
      <c r="BW1150">
        <v>1</v>
      </c>
      <c r="BX1150">
        <v>1</v>
      </c>
      <c r="BY1150" t="s">
        <v>3</v>
      </c>
      <c r="BZ1150">
        <v>0</v>
      </c>
      <c r="CA1150">
        <v>0</v>
      </c>
      <c r="CE1150">
        <v>30</v>
      </c>
      <c r="CF1150">
        <v>0</v>
      </c>
      <c r="CG1150">
        <v>0</v>
      </c>
      <c r="CM1150">
        <v>0</v>
      </c>
      <c r="CN1150" t="s">
        <v>3</v>
      </c>
      <c r="CO1150">
        <v>0</v>
      </c>
      <c r="CP1150">
        <f t="shared" si="804"/>
        <v>16298.5</v>
      </c>
      <c r="CQ1150">
        <f t="shared" si="805"/>
        <v>814.92</v>
      </c>
      <c r="CR1150">
        <f t="shared" si="806"/>
        <v>0</v>
      </c>
      <c r="CS1150">
        <f t="shared" si="807"/>
        <v>0</v>
      </c>
      <c r="CT1150">
        <f t="shared" si="808"/>
        <v>0</v>
      </c>
      <c r="CU1150">
        <f t="shared" si="809"/>
        <v>0</v>
      </c>
      <c r="CV1150">
        <f t="shared" si="810"/>
        <v>0</v>
      </c>
      <c r="CW1150">
        <f t="shared" si="811"/>
        <v>0</v>
      </c>
      <c r="CX1150">
        <f t="shared" si="811"/>
        <v>0</v>
      </c>
      <c r="CY1150">
        <f t="shared" si="812"/>
        <v>0</v>
      </c>
      <c r="CZ1150">
        <f t="shared" si="813"/>
        <v>0</v>
      </c>
      <c r="DC1150" t="s">
        <v>3</v>
      </c>
      <c r="DD1150" t="s">
        <v>3</v>
      </c>
      <c r="DE1150" t="s">
        <v>3</v>
      </c>
      <c r="DF1150" t="s">
        <v>3</v>
      </c>
      <c r="DG1150" t="s">
        <v>3</v>
      </c>
      <c r="DH1150" t="s">
        <v>3</v>
      </c>
      <c r="DI1150" t="s">
        <v>3</v>
      </c>
      <c r="DJ1150" t="s">
        <v>3</v>
      </c>
      <c r="DK1150" t="s">
        <v>3</v>
      </c>
      <c r="DL1150" t="s">
        <v>3</v>
      </c>
      <c r="DM1150" t="s">
        <v>3</v>
      </c>
      <c r="DN1150">
        <v>105</v>
      </c>
      <c r="DO1150">
        <v>77</v>
      </c>
      <c r="DP1150">
        <v>1</v>
      </c>
      <c r="DQ1150">
        <v>1</v>
      </c>
      <c r="DU1150">
        <v>1010</v>
      </c>
      <c r="DV1150" t="s">
        <v>328</v>
      </c>
      <c r="DW1150" t="s">
        <v>328</v>
      </c>
      <c r="DX1150">
        <v>1</v>
      </c>
      <c r="EE1150">
        <v>33797806</v>
      </c>
      <c r="EF1150">
        <v>30</v>
      </c>
      <c r="EG1150" t="s">
        <v>77</v>
      </c>
      <c r="EH1150">
        <v>0</v>
      </c>
      <c r="EI1150" t="s">
        <v>3</v>
      </c>
      <c r="EJ1150">
        <v>1</v>
      </c>
      <c r="EK1150">
        <v>167</v>
      </c>
      <c r="EL1150" t="s">
        <v>560</v>
      </c>
      <c r="EM1150" t="s">
        <v>561</v>
      </c>
      <c r="EO1150" t="s">
        <v>3</v>
      </c>
      <c r="EQ1150">
        <v>0</v>
      </c>
      <c r="ER1150">
        <v>636.66</v>
      </c>
      <c r="ES1150">
        <v>636.66</v>
      </c>
      <c r="ET1150">
        <v>0</v>
      </c>
      <c r="EU1150">
        <v>0</v>
      </c>
      <c r="EV1150">
        <v>0</v>
      </c>
      <c r="EW1150">
        <v>0</v>
      </c>
      <c r="EX1150">
        <v>0</v>
      </c>
      <c r="FQ1150">
        <v>0</v>
      </c>
      <c r="FR1150">
        <f t="shared" si="814"/>
        <v>0</v>
      </c>
      <c r="FS1150">
        <v>0</v>
      </c>
      <c r="FX1150">
        <v>105</v>
      </c>
      <c r="FY1150">
        <v>77</v>
      </c>
      <c r="GA1150" t="s">
        <v>3</v>
      </c>
      <c r="GD1150">
        <v>0</v>
      </c>
      <c r="GF1150">
        <v>-1951501916</v>
      </c>
      <c r="GG1150">
        <v>2</v>
      </c>
      <c r="GH1150">
        <v>1</v>
      </c>
      <c r="GI1150">
        <v>2</v>
      </c>
      <c r="GJ1150">
        <v>0</v>
      </c>
      <c r="GK1150">
        <f>ROUND(R1150*(R12)/100,2)</f>
        <v>0</v>
      </c>
      <c r="GL1150">
        <f t="shared" si="815"/>
        <v>0</v>
      </c>
      <c r="GM1150">
        <f t="shared" si="816"/>
        <v>16298.5</v>
      </c>
      <c r="GN1150">
        <f t="shared" si="817"/>
        <v>16298.5</v>
      </c>
      <c r="GO1150">
        <f t="shared" si="818"/>
        <v>0</v>
      </c>
      <c r="GP1150">
        <f t="shared" si="819"/>
        <v>0</v>
      </c>
      <c r="GR1150">
        <v>0</v>
      </c>
      <c r="GS1150">
        <v>3</v>
      </c>
      <c r="GT1150">
        <v>0</v>
      </c>
      <c r="GU1150" t="s">
        <v>3</v>
      </c>
      <c r="GV1150">
        <f t="shared" si="820"/>
        <v>0</v>
      </c>
      <c r="GW1150">
        <v>1</v>
      </c>
      <c r="GX1150">
        <f t="shared" si="821"/>
        <v>0</v>
      </c>
      <c r="HA1150">
        <v>0</v>
      </c>
      <c r="HB1150">
        <v>0</v>
      </c>
      <c r="HC1150">
        <f t="shared" si="822"/>
        <v>0</v>
      </c>
      <c r="IK1150">
        <v>0</v>
      </c>
    </row>
    <row r="1151" spans="1:245" x14ac:dyDescent="0.2">
      <c r="A1151">
        <v>18</v>
      </c>
      <c r="B1151">
        <v>1</v>
      </c>
      <c r="C1151">
        <v>344</v>
      </c>
      <c r="E1151" t="s">
        <v>566</v>
      </c>
      <c r="F1151" t="s">
        <v>567</v>
      </c>
      <c r="G1151" t="s">
        <v>568</v>
      </c>
      <c r="H1151" t="s">
        <v>569</v>
      </c>
      <c r="I1151">
        <f>I1149*J1151</f>
        <v>30</v>
      </c>
      <c r="J1151">
        <v>150</v>
      </c>
      <c r="O1151">
        <f t="shared" si="787"/>
        <v>15394.99</v>
      </c>
      <c r="P1151">
        <f t="shared" si="788"/>
        <v>15394.99</v>
      </c>
      <c r="Q1151">
        <f t="shared" si="789"/>
        <v>0</v>
      </c>
      <c r="R1151">
        <f t="shared" si="790"/>
        <v>0</v>
      </c>
      <c r="S1151">
        <f t="shared" si="791"/>
        <v>0</v>
      </c>
      <c r="T1151">
        <f t="shared" si="792"/>
        <v>0</v>
      </c>
      <c r="U1151">
        <f t="shared" si="793"/>
        <v>0</v>
      </c>
      <c r="V1151">
        <f t="shared" si="794"/>
        <v>0</v>
      </c>
      <c r="W1151">
        <f t="shared" si="795"/>
        <v>0</v>
      </c>
      <c r="X1151">
        <f t="shared" si="796"/>
        <v>0</v>
      </c>
      <c r="Y1151">
        <f t="shared" si="796"/>
        <v>0</v>
      </c>
      <c r="AA1151">
        <v>33989672</v>
      </c>
      <c r="AB1151">
        <f t="shared" si="797"/>
        <v>191.48</v>
      </c>
      <c r="AC1151">
        <f t="shared" si="798"/>
        <v>191.48</v>
      </c>
      <c r="AD1151">
        <f t="shared" si="799"/>
        <v>0</v>
      </c>
      <c r="AE1151">
        <f t="shared" si="800"/>
        <v>0</v>
      </c>
      <c r="AF1151">
        <f t="shared" si="800"/>
        <v>0</v>
      </c>
      <c r="AG1151">
        <f t="shared" si="801"/>
        <v>0</v>
      </c>
      <c r="AH1151">
        <f t="shared" si="802"/>
        <v>0</v>
      </c>
      <c r="AI1151">
        <f t="shared" si="802"/>
        <v>0</v>
      </c>
      <c r="AJ1151">
        <f t="shared" si="803"/>
        <v>0</v>
      </c>
      <c r="AK1151">
        <v>191.48</v>
      </c>
      <c r="AL1151">
        <v>191.48</v>
      </c>
      <c r="AM1151">
        <v>0</v>
      </c>
      <c r="AN1151">
        <v>0</v>
      </c>
      <c r="AO1151">
        <v>0</v>
      </c>
      <c r="AP1151">
        <v>0</v>
      </c>
      <c r="AQ1151">
        <v>0</v>
      </c>
      <c r="AR1151">
        <v>0</v>
      </c>
      <c r="AS1151">
        <v>0</v>
      </c>
      <c r="AT1151">
        <v>0</v>
      </c>
      <c r="AU1151">
        <v>0</v>
      </c>
      <c r="AV1151">
        <v>1</v>
      </c>
      <c r="AW1151">
        <v>1</v>
      </c>
      <c r="AZ1151">
        <v>1</v>
      </c>
      <c r="BA1151">
        <v>1</v>
      </c>
      <c r="BB1151">
        <v>1</v>
      </c>
      <c r="BC1151">
        <v>2.68</v>
      </c>
      <c r="BD1151" t="s">
        <v>3</v>
      </c>
      <c r="BE1151" t="s">
        <v>3</v>
      </c>
      <c r="BF1151" t="s">
        <v>3</v>
      </c>
      <c r="BG1151" t="s">
        <v>3</v>
      </c>
      <c r="BH1151">
        <v>3</v>
      </c>
      <c r="BI1151">
        <v>1</v>
      </c>
      <c r="BJ1151" t="s">
        <v>570</v>
      </c>
      <c r="BM1151">
        <v>167</v>
      </c>
      <c r="BN1151">
        <v>0</v>
      </c>
      <c r="BO1151" t="s">
        <v>567</v>
      </c>
      <c r="BP1151">
        <v>1</v>
      </c>
      <c r="BQ1151">
        <v>30</v>
      </c>
      <c r="BR1151">
        <v>0</v>
      </c>
      <c r="BS1151">
        <v>1</v>
      </c>
      <c r="BT1151">
        <v>1</v>
      </c>
      <c r="BU1151">
        <v>1</v>
      </c>
      <c r="BV1151">
        <v>1</v>
      </c>
      <c r="BW1151">
        <v>1</v>
      </c>
      <c r="BX1151">
        <v>1</v>
      </c>
      <c r="BY1151" t="s">
        <v>3</v>
      </c>
      <c r="BZ1151">
        <v>0</v>
      </c>
      <c r="CA1151">
        <v>0</v>
      </c>
      <c r="CE1151">
        <v>30</v>
      </c>
      <c r="CF1151">
        <v>0</v>
      </c>
      <c r="CG1151">
        <v>0</v>
      </c>
      <c r="CM1151">
        <v>0</v>
      </c>
      <c r="CN1151" t="s">
        <v>3</v>
      </c>
      <c r="CO1151">
        <v>0</v>
      </c>
      <c r="CP1151">
        <f t="shared" si="804"/>
        <v>15394.99</v>
      </c>
      <c r="CQ1151">
        <f t="shared" si="805"/>
        <v>513.16999999999996</v>
      </c>
      <c r="CR1151">
        <f t="shared" si="806"/>
        <v>0</v>
      </c>
      <c r="CS1151">
        <f t="shared" si="807"/>
        <v>0</v>
      </c>
      <c r="CT1151">
        <f t="shared" si="808"/>
        <v>0</v>
      </c>
      <c r="CU1151">
        <f t="shared" si="809"/>
        <v>0</v>
      </c>
      <c r="CV1151">
        <f t="shared" si="810"/>
        <v>0</v>
      </c>
      <c r="CW1151">
        <f t="shared" si="811"/>
        <v>0</v>
      </c>
      <c r="CX1151">
        <f t="shared" si="811"/>
        <v>0</v>
      </c>
      <c r="CY1151">
        <f t="shared" si="812"/>
        <v>0</v>
      </c>
      <c r="CZ1151">
        <f t="shared" si="813"/>
        <v>0</v>
      </c>
      <c r="DC1151" t="s">
        <v>3</v>
      </c>
      <c r="DD1151" t="s">
        <v>3</v>
      </c>
      <c r="DE1151" t="s">
        <v>3</v>
      </c>
      <c r="DF1151" t="s">
        <v>3</v>
      </c>
      <c r="DG1151" t="s">
        <v>3</v>
      </c>
      <c r="DH1151" t="s">
        <v>3</v>
      </c>
      <c r="DI1151" t="s">
        <v>3</v>
      </c>
      <c r="DJ1151" t="s">
        <v>3</v>
      </c>
      <c r="DK1151" t="s">
        <v>3</v>
      </c>
      <c r="DL1151" t="s">
        <v>3</v>
      </c>
      <c r="DM1151" t="s">
        <v>3</v>
      </c>
      <c r="DN1151">
        <v>105</v>
      </c>
      <c r="DO1151">
        <v>77</v>
      </c>
      <c r="DP1151">
        <v>1</v>
      </c>
      <c r="DQ1151">
        <v>1</v>
      </c>
      <c r="DU1151">
        <v>1003</v>
      </c>
      <c r="DV1151" t="s">
        <v>569</v>
      </c>
      <c r="DW1151" t="s">
        <v>569</v>
      </c>
      <c r="DX1151">
        <v>1</v>
      </c>
      <c r="EE1151">
        <v>33797806</v>
      </c>
      <c r="EF1151">
        <v>30</v>
      </c>
      <c r="EG1151" t="s">
        <v>77</v>
      </c>
      <c r="EH1151">
        <v>0</v>
      </c>
      <c r="EI1151" t="s">
        <v>3</v>
      </c>
      <c r="EJ1151">
        <v>1</v>
      </c>
      <c r="EK1151">
        <v>167</v>
      </c>
      <c r="EL1151" t="s">
        <v>560</v>
      </c>
      <c r="EM1151" t="s">
        <v>561</v>
      </c>
      <c r="EO1151" t="s">
        <v>3</v>
      </c>
      <c r="EQ1151">
        <v>0</v>
      </c>
      <c r="ER1151">
        <v>191.48</v>
      </c>
      <c r="ES1151">
        <v>191.48</v>
      </c>
      <c r="ET1151">
        <v>0</v>
      </c>
      <c r="EU1151">
        <v>0</v>
      </c>
      <c r="EV1151">
        <v>0</v>
      </c>
      <c r="EW1151">
        <v>0</v>
      </c>
      <c r="EX1151">
        <v>0</v>
      </c>
      <c r="FQ1151">
        <v>0</v>
      </c>
      <c r="FR1151">
        <f t="shared" si="814"/>
        <v>0</v>
      </c>
      <c r="FS1151">
        <v>0</v>
      </c>
      <c r="FX1151">
        <v>105</v>
      </c>
      <c r="FY1151">
        <v>77</v>
      </c>
      <c r="GA1151" t="s">
        <v>3</v>
      </c>
      <c r="GD1151">
        <v>0</v>
      </c>
      <c r="GF1151">
        <v>1643840078</v>
      </c>
      <c r="GG1151">
        <v>2</v>
      </c>
      <c r="GH1151">
        <v>1</v>
      </c>
      <c r="GI1151">
        <v>2</v>
      </c>
      <c r="GJ1151">
        <v>0</v>
      </c>
      <c r="GK1151">
        <f>ROUND(R1151*(R12)/100,2)</f>
        <v>0</v>
      </c>
      <c r="GL1151">
        <f t="shared" si="815"/>
        <v>0</v>
      </c>
      <c r="GM1151">
        <f t="shared" si="816"/>
        <v>15394.99</v>
      </c>
      <c r="GN1151">
        <f t="shared" si="817"/>
        <v>15394.99</v>
      </c>
      <c r="GO1151">
        <f t="shared" si="818"/>
        <v>0</v>
      </c>
      <c r="GP1151">
        <f t="shared" si="819"/>
        <v>0</v>
      </c>
      <c r="GR1151">
        <v>0</v>
      </c>
      <c r="GS1151">
        <v>3</v>
      </c>
      <c r="GT1151">
        <v>0</v>
      </c>
      <c r="GU1151" t="s">
        <v>3</v>
      </c>
      <c r="GV1151">
        <f t="shared" si="820"/>
        <v>0</v>
      </c>
      <c r="GW1151">
        <v>1</v>
      </c>
      <c r="GX1151">
        <f t="shared" si="821"/>
        <v>0</v>
      </c>
      <c r="HA1151">
        <v>0</v>
      </c>
      <c r="HB1151">
        <v>0</v>
      </c>
      <c r="HC1151">
        <f t="shared" si="822"/>
        <v>0</v>
      </c>
      <c r="IK1151">
        <v>0</v>
      </c>
    </row>
    <row r="1152" spans="1:245" x14ac:dyDescent="0.2">
      <c r="A1152">
        <v>18</v>
      </c>
      <c r="B1152">
        <v>1</v>
      </c>
      <c r="C1152">
        <v>345</v>
      </c>
      <c r="E1152" t="s">
        <v>571</v>
      </c>
      <c r="F1152" t="s">
        <v>572</v>
      </c>
      <c r="G1152" t="s">
        <v>573</v>
      </c>
      <c r="H1152" t="s">
        <v>328</v>
      </c>
      <c r="I1152">
        <f>I1149*J1152</f>
        <v>20</v>
      </c>
      <c r="J1152">
        <v>100</v>
      </c>
      <c r="O1152">
        <f t="shared" si="787"/>
        <v>1106.3499999999999</v>
      </c>
      <c r="P1152">
        <f t="shared" si="788"/>
        <v>1106.3499999999999</v>
      </c>
      <c r="Q1152">
        <f t="shared" si="789"/>
        <v>0</v>
      </c>
      <c r="R1152">
        <f t="shared" si="790"/>
        <v>0</v>
      </c>
      <c r="S1152">
        <f t="shared" si="791"/>
        <v>0</v>
      </c>
      <c r="T1152">
        <f t="shared" si="792"/>
        <v>0</v>
      </c>
      <c r="U1152">
        <f t="shared" si="793"/>
        <v>0</v>
      </c>
      <c r="V1152">
        <f t="shared" si="794"/>
        <v>0</v>
      </c>
      <c r="W1152">
        <f t="shared" si="795"/>
        <v>0</v>
      </c>
      <c r="X1152">
        <f t="shared" si="796"/>
        <v>0</v>
      </c>
      <c r="Y1152">
        <f t="shared" si="796"/>
        <v>0</v>
      </c>
      <c r="AA1152">
        <v>33989672</v>
      </c>
      <c r="AB1152">
        <f t="shared" si="797"/>
        <v>47.28</v>
      </c>
      <c r="AC1152">
        <f t="shared" si="798"/>
        <v>47.28</v>
      </c>
      <c r="AD1152">
        <f t="shared" si="799"/>
        <v>0</v>
      </c>
      <c r="AE1152">
        <f t="shared" si="800"/>
        <v>0</v>
      </c>
      <c r="AF1152">
        <f t="shared" si="800"/>
        <v>0</v>
      </c>
      <c r="AG1152">
        <f t="shared" si="801"/>
        <v>0</v>
      </c>
      <c r="AH1152">
        <f t="shared" si="802"/>
        <v>0</v>
      </c>
      <c r="AI1152">
        <f t="shared" si="802"/>
        <v>0</v>
      </c>
      <c r="AJ1152">
        <f t="shared" si="803"/>
        <v>0</v>
      </c>
      <c r="AK1152">
        <v>47.28</v>
      </c>
      <c r="AL1152">
        <v>47.28</v>
      </c>
      <c r="AM1152">
        <v>0</v>
      </c>
      <c r="AN1152">
        <v>0</v>
      </c>
      <c r="AO1152">
        <v>0</v>
      </c>
      <c r="AP1152">
        <v>0</v>
      </c>
      <c r="AQ1152">
        <v>0</v>
      </c>
      <c r="AR1152">
        <v>0</v>
      </c>
      <c r="AS1152">
        <v>0</v>
      </c>
      <c r="AT1152">
        <v>0</v>
      </c>
      <c r="AU1152">
        <v>0</v>
      </c>
      <c r="AV1152">
        <v>1</v>
      </c>
      <c r="AW1152">
        <v>1</v>
      </c>
      <c r="AZ1152">
        <v>1</v>
      </c>
      <c r="BA1152">
        <v>1</v>
      </c>
      <c r="BB1152">
        <v>1</v>
      </c>
      <c r="BC1152">
        <v>1.17</v>
      </c>
      <c r="BD1152" t="s">
        <v>3</v>
      </c>
      <c r="BE1152" t="s">
        <v>3</v>
      </c>
      <c r="BF1152" t="s">
        <v>3</v>
      </c>
      <c r="BG1152" t="s">
        <v>3</v>
      </c>
      <c r="BH1152">
        <v>3</v>
      </c>
      <c r="BI1152">
        <v>1</v>
      </c>
      <c r="BJ1152" t="s">
        <v>574</v>
      </c>
      <c r="BM1152">
        <v>167</v>
      </c>
      <c r="BN1152">
        <v>0</v>
      </c>
      <c r="BO1152" t="s">
        <v>572</v>
      </c>
      <c r="BP1152">
        <v>1</v>
      </c>
      <c r="BQ1152">
        <v>30</v>
      </c>
      <c r="BR1152">
        <v>0</v>
      </c>
      <c r="BS1152">
        <v>1</v>
      </c>
      <c r="BT1152">
        <v>1</v>
      </c>
      <c r="BU1152">
        <v>1</v>
      </c>
      <c r="BV1152">
        <v>1</v>
      </c>
      <c r="BW1152">
        <v>1</v>
      </c>
      <c r="BX1152">
        <v>1</v>
      </c>
      <c r="BY1152" t="s">
        <v>3</v>
      </c>
      <c r="BZ1152">
        <v>0</v>
      </c>
      <c r="CA1152">
        <v>0</v>
      </c>
      <c r="CE1152">
        <v>30</v>
      </c>
      <c r="CF1152">
        <v>0</v>
      </c>
      <c r="CG1152">
        <v>0</v>
      </c>
      <c r="CM1152">
        <v>0</v>
      </c>
      <c r="CN1152" t="s">
        <v>3</v>
      </c>
      <c r="CO1152">
        <v>0</v>
      </c>
      <c r="CP1152">
        <f t="shared" si="804"/>
        <v>1106.3499999999999</v>
      </c>
      <c r="CQ1152">
        <f t="shared" si="805"/>
        <v>55.32</v>
      </c>
      <c r="CR1152">
        <f t="shared" si="806"/>
        <v>0</v>
      </c>
      <c r="CS1152">
        <f t="shared" si="807"/>
        <v>0</v>
      </c>
      <c r="CT1152">
        <f t="shared" si="808"/>
        <v>0</v>
      </c>
      <c r="CU1152">
        <f t="shared" si="809"/>
        <v>0</v>
      </c>
      <c r="CV1152">
        <f t="shared" si="810"/>
        <v>0</v>
      </c>
      <c r="CW1152">
        <f t="shared" si="811"/>
        <v>0</v>
      </c>
      <c r="CX1152">
        <f t="shared" si="811"/>
        <v>0</v>
      </c>
      <c r="CY1152">
        <f t="shared" si="812"/>
        <v>0</v>
      </c>
      <c r="CZ1152">
        <f t="shared" si="813"/>
        <v>0</v>
      </c>
      <c r="DC1152" t="s">
        <v>3</v>
      </c>
      <c r="DD1152" t="s">
        <v>3</v>
      </c>
      <c r="DE1152" t="s">
        <v>3</v>
      </c>
      <c r="DF1152" t="s">
        <v>3</v>
      </c>
      <c r="DG1152" t="s">
        <v>3</v>
      </c>
      <c r="DH1152" t="s">
        <v>3</v>
      </c>
      <c r="DI1152" t="s">
        <v>3</v>
      </c>
      <c r="DJ1152" t="s">
        <v>3</v>
      </c>
      <c r="DK1152" t="s">
        <v>3</v>
      </c>
      <c r="DL1152" t="s">
        <v>3</v>
      </c>
      <c r="DM1152" t="s">
        <v>3</v>
      </c>
      <c r="DN1152">
        <v>105</v>
      </c>
      <c r="DO1152">
        <v>77</v>
      </c>
      <c r="DP1152">
        <v>1</v>
      </c>
      <c r="DQ1152">
        <v>1</v>
      </c>
      <c r="DU1152">
        <v>1010</v>
      </c>
      <c r="DV1152" t="s">
        <v>328</v>
      </c>
      <c r="DW1152" t="s">
        <v>328</v>
      </c>
      <c r="DX1152">
        <v>1</v>
      </c>
      <c r="EE1152">
        <v>33797806</v>
      </c>
      <c r="EF1152">
        <v>30</v>
      </c>
      <c r="EG1152" t="s">
        <v>77</v>
      </c>
      <c r="EH1152">
        <v>0</v>
      </c>
      <c r="EI1152" t="s">
        <v>3</v>
      </c>
      <c r="EJ1152">
        <v>1</v>
      </c>
      <c r="EK1152">
        <v>167</v>
      </c>
      <c r="EL1152" t="s">
        <v>560</v>
      </c>
      <c r="EM1152" t="s">
        <v>561</v>
      </c>
      <c r="EO1152" t="s">
        <v>3</v>
      </c>
      <c r="EQ1152">
        <v>0</v>
      </c>
      <c r="ER1152">
        <v>47.28</v>
      </c>
      <c r="ES1152">
        <v>47.28</v>
      </c>
      <c r="ET1152">
        <v>0</v>
      </c>
      <c r="EU1152">
        <v>0</v>
      </c>
      <c r="EV1152">
        <v>0</v>
      </c>
      <c r="EW1152">
        <v>0</v>
      </c>
      <c r="EX1152">
        <v>0</v>
      </c>
      <c r="FQ1152">
        <v>0</v>
      </c>
      <c r="FR1152">
        <f t="shared" si="814"/>
        <v>0</v>
      </c>
      <c r="FS1152">
        <v>0</v>
      </c>
      <c r="FX1152">
        <v>105</v>
      </c>
      <c r="FY1152">
        <v>77</v>
      </c>
      <c r="GA1152" t="s">
        <v>3</v>
      </c>
      <c r="GD1152">
        <v>0</v>
      </c>
      <c r="GF1152">
        <v>645346249</v>
      </c>
      <c r="GG1152">
        <v>2</v>
      </c>
      <c r="GH1152">
        <v>1</v>
      </c>
      <c r="GI1152">
        <v>2</v>
      </c>
      <c r="GJ1152">
        <v>0</v>
      </c>
      <c r="GK1152">
        <f>ROUND(R1152*(R12)/100,2)</f>
        <v>0</v>
      </c>
      <c r="GL1152">
        <f t="shared" si="815"/>
        <v>0</v>
      </c>
      <c r="GM1152">
        <f t="shared" si="816"/>
        <v>1106.3499999999999</v>
      </c>
      <c r="GN1152">
        <f t="shared" si="817"/>
        <v>1106.3499999999999</v>
      </c>
      <c r="GO1152">
        <f t="shared" si="818"/>
        <v>0</v>
      </c>
      <c r="GP1152">
        <f t="shared" si="819"/>
        <v>0</v>
      </c>
      <c r="GR1152">
        <v>0</v>
      </c>
      <c r="GS1152">
        <v>3</v>
      </c>
      <c r="GT1152">
        <v>0</v>
      </c>
      <c r="GU1152" t="s">
        <v>3</v>
      </c>
      <c r="GV1152">
        <f t="shared" si="820"/>
        <v>0</v>
      </c>
      <c r="GW1152">
        <v>1</v>
      </c>
      <c r="GX1152">
        <f t="shared" si="821"/>
        <v>0</v>
      </c>
      <c r="HA1152">
        <v>0</v>
      </c>
      <c r="HB1152">
        <v>0</v>
      </c>
      <c r="HC1152">
        <f t="shared" si="822"/>
        <v>0</v>
      </c>
      <c r="IK1152">
        <v>0</v>
      </c>
    </row>
    <row r="1153" spans="1:245" x14ac:dyDescent="0.2">
      <c r="A1153">
        <v>17</v>
      </c>
      <c r="B1153">
        <v>1</v>
      </c>
      <c r="C1153">
        <f>ROW(SmtRes!A350)</f>
        <v>350</v>
      </c>
      <c r="D1153">
        <f>ROW(EtalonRes!A350)</f>
        <v>350</v>
      </c>
      <c r="E1153" t="s">
        <v>575</v>
      </c>
      <c r="F1153" t="s">
        <v>576</v>
      </c>
      <c r="G1153" t="s">
        <v>577</v>
      </c>
      <c r="H1153" t="s">
        <v>558</v>
      </c>
      <c r="I1153">
        <f>ROUND(20/100,5)</f>
        <v>0.2</v>
      </c>
      <c r="J1153">
        <v>0</v>
      </c>
      <c r="O1153">
        <f t="shared" si="787"/>
        <v>5232.79</v>
      </c>
      <c r="P1153">
        <f t="shared" si="788"/>
        <v>1106.3499999999999</v>
      </c>
      <c r="Q1153">
        <f t="shared" si="789"/>
        <v>0</v>
      </c>
      <c r="R1153">
        <f t="shared" si="790"/>
        <v>0</v>
      </c>
      <c r="S1153">
        <f t="shared" si="791"/>
        <v>4126.4399999999996</v>
      </c>
      <c r="T1153">
        <f t="shared" si="792"/>
        <v>0</v>
      </c>
      <c r="U1153">
        <f t="shared" si="793"/>
        <v>13.8</v>
      </c>
      <c r="V1153">
        <f t="shared" si="794"/>
        <v>0</v>
      </c>
      <c r="W1153">
        <f t="shared" si="795"/>
        <v>0</v>
      </c>
      <c r="X1153">
        <f t="shared" si="796"/>
        <v>3507.47</v>
      </c>
      <c r="Y1153">
        <f t="shared" si="796"/>
        <v>1691.84</v>
      </c>
      <c r="AA1153">
        <v>33989672</v>
      </c>
      <c r="AB1153">
        <f t="shared" si="797"/>
        <v>5569.11</v>
      </c>
      <c r="AC1153">
        <f t="shared" si="798"/>
        <v>4728</v>
      </c>
      <c r="AD1153">
        <f t="shared" si="799"/>
        <v>0</v>
      </c>
      <c r="AE1153">
        <f t="shared" si="800"/>
        <v>0</v>
      </c>
      <c r="AF1153">
        <f t="shared" si="800"/>
        <v>841.11</v>
      </c>
      <c r="AG1153">
        <f t="shared" si="801"/>
        <v>0</v>
      </c>
      <c r="AH1153">
        <f t="shared" si="802"/>
        <v>69</v>
      </c>
      <c r="AI1153">
        <f t="shared" si="802"/>
        <v>0</v>
      </c>
      <c r="AJ1153">
        <f t="shared" si="803"/>
        <v>0</v>
      </c>
      <c r="AK1153">
        <v>5569.11</v>
      </c>
      <c r="AL1153">
        <v>4728</v>
      </c>
      <c r="AM1153">
        <v>0</v>
      </c>
      <c r="AN1153">
        <v>0</v>
      </c>
      <c r="AO1153">
        <v>841.11</v>
      </c>
      <c r="AP1153">
        <v>0</v>
      </c>
      <c r="AQ1153">
        <v>69</v>
      </c>
      <c r="AR1153">
        <v>0</v>
      </c>
      <c r="AS1153">
        <v>0</v>
      </c>
      <c r="AT1153">
        <v>85</v>
      </c>
      <c r="AU1153">
        <v>41</v>
      </c>
      <c r="AV1153">
        <v>1</v>
      </c>
      <c r="AW1153">
        <v>1</v>
      </c>
      <c r="AZ1153">
        <v>1</v>
      </c>
      <c r="BA1153">
        <v>24.53</v>
      </c>
      <c r="BB1153">
        <v>1</v>
      </c>
      <c r="BC1153">
        <v>1.17</v>
      </c>
      <c r="BD1153" t="s">
        <v>3</v>
      </c>
      <c r="BE1153" t="s">
        <v>3</v>
      </c>
      <c r="BF1153" t="s">
        <v>3</v>
      </c>
      <c r="BG1153" t="s">
        <v>3</v>
      </c>
      <c r="BH1153">
        <v>0</v>
      </c>
      <c r="BI1153">
        <v>1</v>
      </c>
      <c r="BJ1153" t="s">
        <v>578</v>
      </c>
      <c r="BM1153">
        <v>167</v>
      </c>
      <c r="BN1153">
        <v>0</v>
      </c>
      <c r="BO1153" t="s">
        <v>576</v>
      </c>
      <c r="BP1153">
        <v>1</v>
      </c>
      <c r="BQ1153">
        <v>30</v>
      </c>
      <c r="BR1153">
        <v>0</v>
      </c>
      <c r="BS1153">
        <v>24.53</v>
      </c>
      <c r="BT1153">
        <v>1</v>
      </c>
      <c r="BU1153">
        <v>1</v>
      </c>
      <c r="BV1153">
        <v>1</v>
      </c>
      <c r="BW1153">
        <v>1</v>
      </c>
      <c r="BX1153">
        <v>1</v>
      </c>
      <c r="BY1153" t="s">
        <v>3</v>
      </c>
      <c r="BZ1153">
        <v>85</v>
      </c>
      <c r="CA1153">
        <v>41</v>
      </c>
      <c r="CE1153">
        <v>30</v>
      </c>
      <c r="CF1153">
        <v>0</v>
      </c>
      <c r="CG1153">
        <v>0</v>
      </c>
      <c r="CM1153">
        <v>0</v>
      </c>
      <c r="CN1153" t="s">
        <v>3</v>
      </c>
      <c r="CO1153">
        <v>0</v>
      </c>
      <c r="CP1153">
        <f t="shared" si="804"/>
        <v>5232.7899999999991</v>
      </c>
      <c r="CQ1153">
        <f t="shared" si="805"/>
        <v>5531.76</v>
      </c>
      <c r="CR1153">
        <f t="shared" si="806"/>
        <v>0</v>
      </c>
      <c r="CS1153">
        <f t="shared" si="807"/>
        <v>0</v>
      </c>
      <c r="CT1153">
        <f t="shared" si="808"/>
        <v>20632.43</v>
      </c>
      <c r="CU1153">
        <f t="shared" si="809"/>
        <v>0</v>
      </c>
      <c r="CV1153">
        <f t="shared" si="810"/>
        <v>69</v>
      </c>
      <c r="CW1153">
        <f t="shared" si="811"/>
        <v>0</v>
      </c>
      <c r="CX1153">
        <f t="shared" si="811"/>
        <v>0</v>
      </c>
      <c r="CY1153">
        <f t="shared" si="812"/>
        <v>3507.4739999999997</v>
      </c>
      <c r="CZ1153">
        <f t="shared" si="813"/>
        <v>1691.8403999999998</v>
      </c>
      <c r="DC1153" t="s">
        <v>3</v>
      </c>
      <c r="DD1153" t="s">
        <v>3</v>
      </c>
      <c r="DE1153" t="s">
        <v>3</v>
      </c>
      <c r="DF1153" t="s">
        <v>3</v>
      </c>
      <c r="DG1153" t="s">
        <v>3</v>
      </c>
      <c r="DH1153" t="s">
        <v>3</v>
      </c>
      <c r="DI1153" t="s">
        <v>3</v>
      </c>
      <c r="DJ1153" t="s">
        <v>3</v>
      </c>
      <c r="DK1153" t="s">
        <v>3</v>
      </c>
      <c r="DL1153" t="s">
        <v>3</v>
      </c>
      <c r="DM1153" t="s">
        <v>3</v>
      </c>
      <c r="DN1153">
        <v>105</v>
      </c>
      <c r="DO1153">
        <v>77</v>
      </c>
      <c r="DP1153">
        <v>1</v>
      </c>
      <c r="DQ1153">
        <v>1</v>
      </c>
      <c r="DU1153">
        <v>1013</v>
      </c>
      <c r="DV1153" t="s">
        <v>558</v>
      </c>
      <c r="DW1153" t="s">
        <v>558</v>
      </c>
      <c r="DX1153">
        <v>1</v>
      </c>
      <c r="EE1153">
        <v>33797806</v>
      </c>
      <c r="EF1153">
        <v>30</v>
      </c>
      <c r="EG1153" t="s">
        <v>77</v>
      </c>
      <c r="EH1153">
        <v>0</v>
      </c>
      <c r="EI1153" t="s">
        <v>3</v>
      </c>
      <c r="EJ1153">
        <v>1</v>
      </c>
      <c r="EK1153">
        <v>167</v>
      </c>
      <c r="EL1153" t="s">
        <v>560</v>
      </c>
      <c r="EM1153" t="s">
        <v>561</v>
      </c>
      <c r="EO1153" t="s">
        <v>3</v>
      </c>
      <c r="EQ1153">
        <v>131072</v>
      </c>
      <c r="ER1153">
        <v>5569.11</v>
      </c>
      <c r="ES1153">
        <v>4728</v>
      </c>
      <c r="ET1153">
        <v>0</v>
      </c>
      <c r="EU1153">
        <v>0</v>
      </c>
      <c r="EV1153">
        <v>841.11</v>
      </c>
      <c r="EW1153">
        <v>69</v>
      </c>
      <c r="EX1153">
        <v>0</v>
      </c>
      <c r="EY1153">
        <v>0</v>
      </c>
      <c r="FQ1153">
        <v>0</v>
      </c>
      <c r="FR1153">
        <f t="shared" si="814"/>
        <v>0</v>
      </c>
      <c r="FS1153">
        <v>0</v>
      </c>
      <c r="FX1153">
        <v>105</v>
      </c>
      <c r="FY1153">
        <v>77</v>
      </c>
      <c r="GA1153" t="s">
        <v>3</v>
      </c>
      <c r="GD1153">
        <v>0</v>
      </c>
      <c r="GF1153">
        <v>1000380177</v>
      </c>
      <c r="GG1153">
        <v>2</v>
      </c>
      <c r="GH1153">
        <v>1</v>
      </c>
      <c r="GI1153">
        <v>2</v>
      </c>
      <c r="GJ1153">
        <v>0</v>
      </c>
      <c r="GK1153">
        <f>ROUND(R1153*(R12)/100,2)</f>
        <v>0</v>
      </c>
      <c r="GL1153">
        <f t="shared" si="815"/>
        <v>0</v>
      </c>
      <c r="GM1153">
        <f t="shared" si="816"/>
        <v>10432.1</v>
      </c>
      <c r="GN1153">
        <f t="shared" si="817"/>
        <v>10432.1</v>
      </c>
      <c r="GO1153">
        <f t="shared" si="818"/>
        <v>0</v>
      </c>
      <c r="GP1153">
        <f t="shared" si="819"/>
        <v>0</v>
      </c>
      <c r="GR1153">
        <v>0</v>
      </c>
      <c r="GS1153">
        <v>3</v>
      </c>
      <c r="GT1153">
        <v>0</v>
      </c>
      <c r="GU1153" t="s">
        <v>3</v>
      </c>
      <c r="GV1153">
        <f t="shared" si="820"/>
        <v>0</v>
      </c>
      <c r="GW1153">
        <v>1</v>
      </c>
      <c r="GX1153">
        <f t="shared" si="821"/>
        <v>0</v>
      </c>
      <c r="HA1153">
        <v>0</v>
      </c>
      <c r="HB1153">
        <v>0</v>
      </c>
      <c r="HC1153">
        <f t="shared" si="822"/>
        <v>0</v>
      </c>
      <c r="IK1153">
        <v>0</v>
      </c>
    </row>
    <row r="1154" spans="1:245" x14ac:dyDescent="0.2">
      <c r="A1154">
        <v>18</v>
      </c>
      <c r="B1154">
        <v>1</v>
      </c>
      <c r="C1154">
        <v>350</v>
      </c>
      <c r="E1154" t="s">
        <v>579</v>
      </c>
      <c r="F1154" t="s">
        <v>563</v>
      </c>
      <c r="G1154" t="s">
        <v>564</v>
      </c>
      <c r="H1154" t="s">
        <v>328</v>
      </c>
      <c r="I1154">
        <f>I1153*J1154</f>
        <v>20</v>
      </c>
      <c r="J1154">
        <v>100</v>
      </c>
      <c r="O1154">
        <f t="shared" si="787"/>
        <v>16298.5</v>
      </c>
      <c r="P1154">
        <f t="shared" si="788"/>
        <v>16298.5</v>
      </c>
      <c r="Q1154">
        <f t="shared" si="789"/>
        <v>0</v>
      </c>
      <c r="R1154">
        <f t="shared" si="790"/>
        <v>0</v>
      </c>
      <c r="S1154">
        <f t="shared" si="791"/>
        <v>0</v>
      </c>
      <c r="T1154">
        <f t="shared" si="792"/>
        <v>0</v>
      </c>
      <c r="U1154">
        <f t="shared" si="793"/>
        <v>0</v>
      </c>
      <c r="V1154">
        <f t="shared" si="794"/>
        <v>0</v>
      </c>
      <c r="W1154">
        <f t="shared" si="795"/>
        <v>0</v>
      </c>
      <c r="X1154">
        <f t="shared" si="796"/>
        <v>0</v>
      </c>
      <c r="Y1154">
        <f t="shared" si="796"/>
        <v>0</v>
      </c>
      <c r="AA1154">
        <v>33989672</v>
      </c>
      <c r="AB1154">
        <f t="shared" si="797"/>
        <v>636.66</v>
      </c>
      <c r="AC1154">
        <f t="shared" si="798"/>
        <v>636.66</v>
      </c>
      <c r="AD1154">
        <f t="shared" si="799"/>
        <v>0</v>
      </c>
      <c r="AE1154">
        <f t="shared" si="800"/>
        <v>0</v>
      </c>
      <c r="AF1154">
        <f t="shared" si="800"/>
        <v>0</v>
      </c>
      <c r="AG1154">
        <f t="shared" si="801"/>
        <v>0</v>
      </c>
      <c r="AH1154">
        <f t="shared" si="802"/>
        <v>0</v>
      </c>
      <c r="AI1154">
        <f t="shared" si="802"/>
        <v>0</v>
      </c>
      <c r="AJ1154">
        <f t="shared" si="803"/>
        <v>0</v>
      </c>
      <c r="AK1154">
        <v>636.66</v>
      </c>
      <c r="AL1154">
        <v>636.66</v>
      </c>
      <c r="AM1154">
        <v>0</v>
      </c>
      <c r="AN1154">
        <v>0</v>
      </c>
      <c r="AO1154">
        <v>0</v>
      </c>
      <c r="AP1154">
        <v>0</v>
      </c>
      <c r="AQ1154">
        <v>0</v>
      </c>
      <c r="AR1154">
        <v>0</v>
      </c>
      <c r="AS1154">
        <v>0</v>
      </c>
      <c r="AT1154">
        <v>0</v>
      </c>
      <c r="AU1154">
        <v>0</v>
      </c>
      <c r="AV1154">
        <v>1</v>
      </c>
      <c r="AW1154">
        <v>1</v>
      </c>
      <c r="AZ1154">
        <v>1</v>
      </c>
      <c r="BA1154">
        <v>1</v>
      </c>
      <c r="BB1154">
        <v>1</v>
      </c>
      <c r="BC1154">
        <v>1.28</v>
      </c>
      <c r="BD1154" t="s">
        <v>3</v>
      </c>
      <c r="BE1154" t="s">
        <v>3</v>
      </c>
      <c r="BF1154" t="s">
        <v>3</v>
      </c>
      <c r="BG1154" t="s">
        <v>3</v>
      </c>
      <c r="BH1154">
        <v>3</v>
      </c>
      <c r="BI1154">
        <v>1</v>
      </c>
      <c r="BJ1154" t="s">
        <v>565</v>
      </c>
      <c r="BM1154">
        <v>167</v>
      </c>
      <c r="BN1154">
        <v>0</v>
      </c>
      <c r="BO1154" t="s">
        <v>563</v>
      </c>
      <c r="BP1154">
        <v>1</v>
      </c>
      <c r="BQ1154">
        <v>30</v>
      </c>
      <c r="BR1154">
        <v>0</v>
      </c>
      <c r="BS1154">
        <v>1</v>
      </c>
      <c r="BT1154">
        <v>1</v>
      </c>
      <c r="BU1154">
        <v>1</v>
      </c>
      <c r="BV1154">
        <v>1</v>
      </c>
      <c r="BW1154">
        <v>1</v>
      </c>
      <c r="BX1154">
        <v>1</v>
      </c>
      <c r="BY1154" t="s">
        <v>3</v>
      </c>
      <c r="BZ1154">
        <v>0</v>
      </c>
      <c r="CA1154">
        <v>0</v>
      </c>
      <c r="CE1154">
        <v>30</v>
      </c>
      <c r="CF1154">
        <v>0</v>
      </c>
      <c r="CG1154">
        <v>0</v>
      </c>
      <c r="CM1154">
        <v>0</v>
      </c>
      <c r="CN1154" t="s">
        <v>3</v>
      </c>
      <c r="CO1154">
        <v>0</v>
      </c>
      <c r="CP1154">
        <f t="shared" si="804"/>
        <v>16298.5</v>
      </c>
      <c r="CQ1154">
        <f t="shared" si="805"/>
        <v>814.92</v>
      </c>
      <c r="CR1154">
        <f t="shared" si="806"/>
        <v>0</v>
      </c>
      <c r="CS1154">
        <f t="shared" si="807"/>
        <v>0</v>
      </c>
      <c r="CT1154">
        <f t="shared" si="808"/>
        <v>0</v>
      </c>
      <c r="CU1154">
        <f t="shared" si="809"/>
        <v>0</v>
      </c>
      <c r="CV1154">
        <f t="shared" si="810"/>
        <v>0</v>
      </c>
      <c r="CW1154">
        <f t="shared" si="811"/>
        <v>0</v>
      </c>
      <c r="CX1154">
        <f t="shared" si="811"/>
        <v>0</v>
      </c>
      <c r="CY1154">
        <f t="shared" si="812"/>
        <v>0</v>
      </c>
      <c r="CZ1154">
        <f t="shared" si="813"/>
        <v>0</v>
      </c>
      <c r="DC1154" t="s">
        <v>3</v>
      </c>
      <c r="DD1154" t="s">
        <v>3</v>
      </c>
      <c r="DE1154" t="s">
        <v>3</v>
      </c>
      <c r="DF1154" t="s">
        <v>3</v>
      </c>
      <c r="DG1154" t="s">
        <v>3</v>
      </c>
      <c r="DH1154" t="s">
        <v>3</v>
      </c>
      <c r="DI1154" t="s">
        <v>3</v>
      </c>
      <c r="DJ1154" t="s">
        <v>3</v>
      </c>
      <c r="DK1154" t="s">
        <v>3</v>
      </c>
      <c r="DL1154" t="s">
        <v>3</v>
      </c>
      <c r="DM1154" t="s">
        <v>3</v>
      </c>
      <c r="DN1154">
        <v>105</v>
      </c>
      <c r="DO1154">
        <v>77</v>
      </c>
      <c r="DP1154">
        <v>1</v>
      </c>
      <c r="DQ1154">
        <v>1</v>
      </c>
      <c r="DU1154">
        <v>1010</v>
      </c>
      <c r="DV1154" t="s">
        <v>328</v>
      </c>
      <c r="DW1154" t="s">
        <v>328</v>
      </c>
      <c r="DX1154">
        <v>1</v>
      </c>
      <c r="EE1154">
        <v>33797806</v>
      </c>
      <c r="EF1154">
        <v>30</v>
      </c>
      <c r="EG1154" t="s">
        <v>77</v>
      </c>
      <c r="EH1154">
        <v>0</v>
      </c>
      <c r="EI1154" t="s">
        <v>3</v>
      </c>
      <c r="EJ1154">
        <v>1</v>
      </c>
      <c r="EK1154">
        <v>167</v>
      </c>
      <c r="EL1154" t="s">
        <v>560</v>
      </c>
      <c r="EM1154" t="s">
        <v>561</v>
      </c>
      <c r="EO1154" t="s">
        <v>3</v>
      </c>
      <c r="EQ1154">
        <v>0</v>
      </c>
      <c r="ER1154">
        <v>636.66</v>
      </c>
      <c r="ES1154">
        <v>636.66</v>
      </c>
      <c r="ET1154">
        <v>0</v>
      </c>
      <c r="EU1154">
        <v>0</v>
      </c>
      <c r="EV1154">
        <v>0</v>
      </c>
      <c r="EW1154">
        <v>0</v>
      </c>
      <c r="EX1154">
        <v>0</v>
      </c>
      <c r="FQ1154">
        <v>0</v>
      </c>
      <c r="FR1154">
        <f t="shared" si="814"/>
        <v>0</v>
      </c>
      <c r="FS1154">
        <v>0</v>
      </c>
      <c r="FX1154">
        <v>105</v>
      </c>
      <c r="FY1154">
        <v>77</v>
      </c>
      <c r="GA1154" t="s">
        <v>3</v>
      </c>
      <c r="GD1154">
        <v>0</v>
      </c>
      <c r="GF1154">
        <v>-1951501916</v>
      </c>
      <c r="GG1154">
        <v>2</v>
      </c>
      <c r="GH1154">
        <v>1</v>
      </c>
      <c r="GI1154">
        <v>2</v>
      </c>
      <c r="GJ1154">
        <v>0</v>
      </c>
      <c r="GK1154">
        <f>ROUND(R1154*(R12)/100,2)</f>
        <v>0</v>
      </c>
      <c r="GL1154">
        <f t="shared" si="815"/>
        <v>0</v>
      </c>
      <c r="GM1154">
        <f t="shared" si="816"/>
        <v>16298.5</v>
      </c>
      <c r="GN1154">
        <f t="shared" si="817"/>
        <v>16298.5</v>
      </c>
      <c r="GO1154">
        <f t="shared" si="818"/>
        <v>0</v>
      </c>
      <c r="GP1154">
        <f t="shared" si="819"/>
        <v>0</v>
      </c>
      <c r="GR1154">
        <v>0</v>
      </c>
      <c r="GS1154">
        <v>3</v>
      </c>
      <c r="GT1154">
        <v>0</v>
      </c>
      <c r="GU1154" t="s">
        <v>3</v>
      </c>
      <c r="GV1154">
        <f t="shared" si="820"/>
        <v>0</v>
      </c>
      <c r="GW1154">
        <v>1</v>
      </c>
      <c r="GX1154">
        <f t="shared" si="821"/>
        <v>0</v>
      </c>
      <c r="HA1154">
        <v>0</v>
      </c>
      <c r="HB1154">
        <v>0</v>
      </c>
      <c r="HC1154">
        <f t="shared" si="822"/>
        <v>0</v>
      </c>
      <c r="IK1154">
        <v>0</v>
      </c>
    </row>
    <row r="1155" spans="1:245" x14ac:dyDescent="0.2">
      <c r="A1155">
        <v>18</v>
      </c>
      <c r="B1155">
        <v>1</v>
      </c>
      <c r="C1155">
        <v>349</v>
      </c>
      <c r="E1155" t="s">
        <v>580</v>
      </c>
      <c r="F1155" t="s">
        <v>572</v>
      </c>
      <c r="G1155" t="s">
        <v>573</v>
      </c>
      <c r="H1155" t="s">
        <v>328</v>
      </c>
      <c r="I1155">
        <f>I1153*J1155</f>
        <v>20</v>
      </c>
      <c r="J1155">
        <v>100</v>
      </c>
      <c r="O1155">
        <f t="shared" si="787"/>
        <v>1106.3499999999999</v>
      </c>
      <c r="P1155">
        <f t="shared" si="788"/>
        <v>1106.3499999999999</v>
      </c>
      <c r="Q1155">
        <f t="shared" si="789"/>
        <v>0</v>
      </c>
      <c r="R1155">
        <f t="shared" si="790"/>
        <v>0</v>
      </c>
      <c r="S1155">
        <f t="shared" si="791"/>
        <v>0</v>
      </c>
      <c r="T1155">
        <f t="shared" si="792"/>
        <v>0</v>
      </c>
      <c r="U1155">
        <f t="shared" si="793"/>
        <v>0</v>
      </c>
      <c r="V1155">
        <f t="shared" si="794"/>
        <v>0</v>
      </c>
      <c r="W1155">
        <f t="shared" si="795"/>
        <v>0</v>
      </c>
      <c r="X1155">
        <f t="shared" si="796"/>
        <v>0</v>
      </c>
      <c r="Y1155">
        <f t="shared" si="796"/>
        <v>0</v>
      </c>
      <c r="AA1155">
        <v>33989672</v>
      </c>
      <c r="AB1155">
        <f t="shared" si="797"/>
        <v>47.28</v>
      </c>
      <c r="AC1155">
        <f t="shared" si="798"/>
        <v>47.28</v>
      </c>
      <c r="AD1155">
        <f t="shared" si="799"/>
        <v>0</v>
      </c>
      <c r="AE1155">
        <f t="shared" si="800"/>
        <v>0</v>
      </c>
      <c r="AF1155">
        <f t="shared" si="800"/>
        <v>0</v>
      </c>
      <c r="AG1155">
        <f t="shared" si="801"/>
        <v>0</v>
      </c>
      <c r="AH1155">
        <f t="shared" si="802"/>
        <v>0</v>
      </c>
      <c r="AI1155">
        <f t="shared" si="802"/>
        <v>0</v>
      </c>
      <c r="AJ1155">
        <f t="shared" si="803"/>
        <v>0</v>
      </c>
      <c r="AK1155">
        <v>47.28</v>
      </c>
      <c r="AL1155">
        <v>47.28</v>
      </c>
      <c r="AM1155">
        <v>0</v>
      </c>
      <c r="AN1155">
        <v>0</v>
      </c>
      <c r="AO1155">
        <v>0</v>
      </c>
      <c r="AP1155">
        <v>0</v>
      </c>
      <c r="AQ1155">
        <v>0</v>
      </c>
      <c r="AR1155">
        <v>0</v>
      </c>
      <c r="AS1155">
        <v>0</v>
      </c>
      <c r="AT1155">
        <v>0</v>
      </c>
      <c r="AU1155">
        <v>0</v>
      </c>
      <c r="AV1155">
        <v>1</v>
      </c>
      <c r="AW1155">
        <v>1</v>
      </c>
      <c r="AZ1155">
        <v>1</v>
      </c>
      <c r="BA1155">
        <v>1</v>
      </c>
      <c r="BB1155">
        <v>1</v>
      </c>
      <c r="BC1155">
        <v>1.17</v>
      </c>
      <c r="BD1155" t="s">
        <v>3</v>
      </c>
      <c r="BE1155" t="s">
        <v>3</v>
      </c>
      <c r="BF1155" t="s">
        <v>3</v>
      </c>
      <c r="BG1155" t="s">
        <v>3</v>
      </c>
      <c r="BH1155">
        <v>3</v>
      </c>
      <c r="BI1155">
        <v>1</v>
      </c>
      <c r="BJ1155" t="s">
        <v>574</v>
      </c>
      <c r="BM1155">
        <v>167</v>
      </c>
      <c r="BN1155">
        <v>0</v>
      </c>
      <c r="BO1155" t="s">
        <v>572</v>
      </c>
      <c r="BP1155">
        <v>1</v>
      </c>
      <c r="BQ1155">
        <v>30</v>
      </c>
      <c r="BR1155">
        <v>0</v>
      </c>
      <c r="BS1155">
        <v>1</v>
      </c>
      <c r="BT1155">
        <v>1</v>
      </c>
      <c r="BU1155">
        <v>1</v>
      </c>
      <c r="BV1155">
        <v>1</v>
      </c>
      <c r="BW1155">
        <v>1</v>
      </c>
      <c r="BX1155">
        <v>1</v>
      </c>
      <c r="BY1155" t="s">
        <v>3</v>
      </c>
      <c r="BZ1155">
        <v>0</v>
      </c>
      <c r="CA1155">
        <v>0</v>
      </c>
      <c r="CE1155">
        <v>30</v>
      </c>
      <c r="CF1155">
        <v>0</v>
      </c>
      <c r="CG1155">
        <v>0</v>
      </c>
      <c r="CM1155">
        <v>0</v>
      </c>
      <c r="CN1155" t="s">
        <v>3</v>
      </c>
      <c r="CO1155">
        <v>0</v>
      </c>
      <c r="CP1155">
        <f t="shared" si="804"/>
        <v>1106.3499999999999</v>
      </c>
      <c r="CQ1155">
        <f t="shared" si="805"/>
        <v>55.32</v>
      </c>
      <c r="CR1155">
        <f t="shared" si="806"/>
        <v>0</v>
      </c>
      <c r="CS1155">
        <f t="shared" si="807"/>
        <v>0</v>
      </c>
      <c r="CT1155">
        <f t="shared" si="808"/>
        <v>0</v>
      </c>
      <c r="CU1155">
        <f t="shared" si="809"/>
        <v>0</v>
      </c>
      <c r="CV1155">
        <f t="shared" si="810"/>
        <v>0</v>
      </c>
      <c r="CW1155">
        <f t="shared" si="811"/>
        <v>0</v>
      </c>
      <c r="CX1155">
        <f t="shared" si="811"/>
        <v>0</v>
      </c>
      <c r="CY1155">
        <f t="shared" si="812"/>
        <v>0</v>
      </c>
      <c r="CZ1155">
        <f t="shared" si="813"/>
        <v>0</v>
      </c>
      <c r="DC1155" t="s">
        <v>3</v>
      </c>
      <c r="DD1155" t="s">
        <v>3</v>
      </c>
      <c r="DE1155" t="s">
        <v>3</v>
      </c>
      <c r="DF1155" t="s">
        <v>3</v>
      </c>
      <c r="DG1155" t="s">
        <v>3</v>
      </c>
      <c r="DH1155" t="s">
        <v>3</v>
      </c>
      <c r="DI1155" t="s">
        <v>3</v>
      </c>
      <c r="DJ1155" t="s">
        <v>3</v>
      </c>
      <c r="DK1155" t="s">
        <v>3</v>
      </c>
      <c r="DL1155" t="s">
        <v>3</v>
      </c>
      <c r="DM1155" t="s">
        <v>3</v>
      </c>
      <c r="DN1155">
        <v>105</v>
      </c>
      <c r="DO1155">
        <v>77</v>
      </c>
      <c r="DP1155">
        <v>1</v>
      </c>
      <c r="DQ1155">
        <v>1</v>
      </c>
      <c r="DU1155">
        <v>1010</v>
      </c>
      <c r="DV1155" t="s">
        <v>328</v>
      </c>
      <c r="DW1155" t="s">
        <v>328</v>
      </c>
      <c r="DX1155">
        <v>1</v>
      </c>
      <c r="EE1155">
        <v>33797806</v>
      </c>
      <c r="EF1155">
        <v>30</v>
      </c>
      <c r="EG1155" t="s">
        <v>77</v>
      </c>
      <c r="EH1155">
        <v>0</v>
      </c>
      <c r="EI1155" t="s">
        <v>3</v>
      </c>
      <c r="EJ1155">
        <v>1</v>
      </c>
      <c r="EK1155">
        <v>167</v>
      </c>
      <c r="EL1155" t="s">
        <v>560</v>
      </c>
      <c r="EM1155" t="s">
        <v>561</v>
      </c>
      <c r="EO1155" t="s">
        <v>3</v>
      </c>
      <c r="EQ1155">
        <v>0</v>
      </c>
      <c r="ER1155">
        <v>47.28</v>
      </c>
      <c r="ES1155">
        <v>47.28</v>
      </c>
      <c r="ET1155">
        <v>0</v>
      </c>
      <c r="EU1155">
        <v>0</v>
      </c>
      <c r="EV1155">
        <v>0</v>
      </c>
      <c r="EW1155">
        <v>0</v>
      </c>
      <c r="EX1155">
        <v>0</v>
      </c>
      <c r="FQ1155">
        <v>0</v>
      </c>
      <c r="FR1155">
        <f t="shared" si="814"/>
        <v>0</v>
      </c>
      <c r="FS1155">
        <v>0</v>
      </c>
      <c r="FX1155">
        <v>105</v>
      </c>
      <c r="FY1155">
        <v>77</v>
      </c>
      <c r="GA1155" t="s">
        <v>3</v>
      </c>
      <c r="GD1155">
        <v>0</v>
      </c>
      <c r="GF1155">
        <v>645346249</v>
      </c>
      <c r="GG1155">
        <v>2</v>
      </c>
      <c r="GH1155">
        <v>1</v>
      </c>
      <c r="GI1155">
        <v>2</v>
      </c>
      <c r="GJ1155">
        <v>0</v>
      </c>
      <c r="GK1155">
        <f>ROUND(R1155*(R12)/100,2)</f>
        <v>0</v>
      </c>
      <c r="GL1155">
        <f t="shared" si="815"/>
        <v>0</v>
      </c>
      <c r="GM1155">
        <f t="shared" si="816"/>
        <v>1106.3499999999999</v>
      </c>
      <c r="GN1155">
        <f t="shared" si="817"/>
        <v>1106.3499999999999</v>
      </c>
      <c r="GO1155">
        <f t="shared" si="818"/>
        <v>0</v>
      </c>
      <c r="GP1155">
        <f t="shared" si="819"/>
        <v>0</v>
      </c>
      <c r="GR1155">
        <v>0</v>
      </c>
      <c r="GS1155">
        <v>3</v>
      </c>
      <c r="GT1155">
        <v>0</v>
      </c>
      <c r="GU1155" t="s">
        <v>3</v>
      </c>
      <c r="GV1155">
        <f t="shared" si="820"/>
        <v>0</v>
      </c>
      <c r="GW1155">
        <v>1</v>
      </c>
      <c r="GX1155">
        <f t="shared" si="821"/>
        <v>0</v>
      </c>
      <c r="HA1155">
        <v>0</v>
      </c>
      <c r="HB1155">
        <v>0</v>
      </c>
      <c r="HC1155">
        <f t="shared" si="822"/>
        <v>0</v>
      </c>
      <c r="IK1155">
        <v>0</v>
      </c>
    </row>
    <row r="1157" spans="1:245" x14ac:dyDescent="0.2">
      <c r="A1157" s="2">
        <v>51</v>
      </c>
      <c r="B1157" s="2">
        <f>B1145</f>
        <v>1</v>
      </c>
      <c r="C1157" s="2">
        <f>A1145</f>
        <v>4</v>
      </c>
      <c r="D1157" s="2">
        <f>ROW(A1145)</f>
        <v>1145</v>
      </c>
      <c r="E1157" s="2"/>
      <c r="F1157" s="2" t="str">
        <f>IF(F1145&lt;&gt;"",F1145,"")</f>
        <v>Новый раздел</v>
      </c>
      <c r="G1157" s="2" t="str">
        <f>IF(G1145&lt;&gt;"",G1145,"")</f>
        <v>41. Установка информационных и дорожных знаков</v>
      </c>
      <c r="H1157" s="2">
        <v>0</v>
      </c>
      <c r="I1157" s="2"/>
      <c r="J1157" s="2"/>
      <c r="K1157" s="2"/>
      <c r="L1157" s="2"/>
      <c r="M1157" s="2"/>
      <c r="N1157" s="2"/>
      <c r="O1157" s="2">
        <f t="shared" ref="O1157:T1157" si="823">ROUND(AB1157,2)</f>
        <v>75499.240000000005</v>
      </c>
      <c r="P1157" s="2">
        <f t="shared" si="823"/>
        <v>52213.86</v>
      </c>
      <c r="Q1157" s="2">
        <f t="shared" si="823"/>
        <v>2821.71</v>
      </c>
      <c r="R1157" s="2">
        <f t="shared" si="823"/>
        <v>1216.44</v>
      </c>
      <c r="S1157" s="2">
        <f t="shared" si="823"/>
        <v>20463.669999999998</v>
      </c>
      <c r="T1157" s="2">
        <f t="shared" si="823"/>
        <v>0</v>
      </c>
      <c r="U1157" s="2">
        <f>AH1157</f>
        <v>73.372</v>
      </c>
      <c r="V1157" s="2">
        <f>AI1157</f>
        <v>0</v>
      </c>
      <c r="W1157" s="2">
        <f>ROUND(AJ1157,2)</f>
        <v>0</v>
      </c>
      <c r="X1157" s="2">
        <f>ROUND(AK1157,2)</f>
        <v>17394.12</v>
      </c>
      <c r="Y1157" s="2">
        <f>ROUND(AL1157,2)</f>
        <v>8390.1</v>
      </c>
      <c r="Z1157" s="2"/>
      <c r="AA1157" s="2"/>
      <c r="AB1157" s="2">
        <f>ROUND(SUMIF(AA1149:AA1155,"=33989672",O1149:O1155),2)</f>
        <v>75499.240000000005</v>
      </c>
      <c r="AC1157" s="2">
        <f>ROUND(SUMIF(AA1149:AA1155,"=33989672",P1149:P1155),2)</f>
        <v>52213.86</v>
      </c>
      <c r="AD1157" s="2">
        <f>ROUND(SUMIF(AA1149:AA1155,"=33989672",Q1149:Q1155),2)</f>
        <v>2821.71</v>
      </c>
      <c r="AE1157" s="2">
        <f>ROUND(SUMIF(AA1149:AA1155,"=33989672",R1149:R1155),2)</f>
        <v>1216.44</v>
      </c>
      <c r="AF1157" s="2">
        <f>ROUND(SUMIF(AA1149:AA1155,"=33989672",S1149:S1155),2)</f>
        <v>20463.669999999998</v>
      </c>
      <c r="AG1157" s="2">
        <f>ROUND(SUMIF(AA1149:AA1155,"=33989672",T1149:T1155),2)</f>
        <v>0</v>
      </c>
      <c r="AH1157" s="2">
        <f>SUMIF(AA1149:AA1155,"=33989672",U1149:U1155)</f>
        <v>73.372</v>
      </c>
      <c r="AI1157" s="2">
        <f>SUMIF(AA1149:AA1155,"=33989672",V1149:V1155)</f>
        <v>0</v>
      </c>
      <c r="AJ1157" s="2">
        <f>ROUND(SUMIF(AA1149:AA1155,"=33989672",W1149:W1155),2)</f>
        <v>0</v>
      </c>
      <c r="AK1157" s="2">
        <f>ROUND(SUMIF(AA1149:AA1155,"=33989672",X1149:X1155),2)</f>
        <v>17394.12</v>
      </c>
      <c r="AL1157" s="2">
        <f>ROUND(SUMIF(AA1149:AA1155,"=33989672",Y1149:Y1155),2)</f>
        <v>8390.1</v>
      </c>
      <c r="AM1157" s="2"/>
      <c r="AN1157" s="2"/>
      <c r="AO1157" s="2">
        <f t="shared" ref="AO1157:BD1157" si="824">ROUND(BX1157,2)</f>
        <v>0</v>
      </c>
      <c r="AP1157" s="2">
        <f t="shared" si="824"/>
        <v>0</v>
      </c>
      <c r="AQ1157" s="2">
        <f t="shared" si="824"/>
        <v>0</v>
      </c>
      <c r="AR1157" s="2">
        <f t="shared" si="824"/>
        <v>103193.27</v>
      </c>
      <c r="AS1157" s="2">
        <f t="shared" si="824"/>
        <v>103193.27</v>
      </c>
      <c r="AT1157" s="2">
        <f t="shared" si="824"/>
        <v>0</v>
      </c>
      <c r="AU1157" s="2">
        <f t="shared" si="824"/>
        <v>0</v>
      </c>
      <c r="AV1157" s="2">
        <f t="shared" si="824"/>
        <v>52213.86</v>
      </c>
      <c r="AW1157" s="2">
        <f t="shared" si="824"/>
        <v>52213.86</v>
      </c>
      <c r="AX1157" s="2">
        <f t="shared" si="824"/>
        <v>0</v>
      </c>
      <c r="AY1157" s="2">
        <f t="shared" si="824"/>
        <v>52213.86</v>
      </c>
      <c r="AZ1157" s="2">
        <f t="shared" si="824"/>
        <v>0</v>
      </c>
      <c r="BA1157" s="2">
        <f t="shared" si="824"/>
        <v>0</v>
      </c>
      <c r="BB1157" s="2">
        <f t="shared" si="824"/>
        <v>0</v>
      </c>
      <c r="BC1157" s="2">
        <f t="shared" si="824"/>
        <v>0</v>
      </c>
      <c r="BD1157" s="2">
        <f t="shared" si="824"/>
        <v>0</v>
      </c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>
        <f>ROUND(SUMIF(AA1149:AA1155,"=33989672",FQ1149:FQ1155),2)</f>
        <v>0</v>
      </c>
      <c r="BY1157" s="2">
        <f>ROUND(SUMIF(AA1149:AA1155,"=33989672",FR1149:FR1155),2)</f>
        <v>0</v>
      </c>
      <c r="BZ1157" s="2">
        <f>ROUND(SUMIF(AA1149:AA1155,"=33989672",GL1149:GL1155),2)</f>
        <v>0</v>
      </c>
      <c r="CA1157" s="2">
        <f>ROUND(SUMIF(AA1149:AA1155,"=33989672",GM1149:GM1155),2)</f>
        <v>103193.27</v>
      </c>
      <c r="CB1157" s="2">
        <f>ROUND(SUMIF(AA1149:AA1155,"=33989672",GN1149:GN1155),2)</f>
        <v>103193.27</v>
      </c>
      <c r="CC1157" s="2">
        <f>ROUND(SUMIF(AA1149:AA1155,"=33989672",GO1149:GO1155),2)</f>
        <v>0</v>
      </c>
      <c r="CD1157" s="2">
        <f>ROUND(SUMIF(AA1149:AA1155,"=33989672",GP1149:GP1155),2)</f>
        <v>0</v>
      </c>
      <c r="CE1157" s="2">
        <f>AC1157-BX1157</f>
        <v>52213.86</v>
      </c>
      <c r="CF1157" s="2">
        <f>AC1157-BY1157</f>
        <v>52213.86</v>
      </c>
      <c r="CG1157" s="2">
        <f>BX1157-BZ1157</f>
        <v>0</v>
      </c>
      <c r="CH1157" s="2">
        <f>AC1157-BX1157-BY1157+BZ1157</f>
        <v>52213.86</v>
      </c>
      <c r="CI1157" s="2">
        <f>BY1157-BZ1157</f>
        <v>0</v>
      </c>
      <c r="CJ1157" s="2">
        <f>ROUND(SUMIF(AA1149:AA1155,"=33989672",GX1149:GX1155),2)</f>
        <v>0</v>
      </c>
      <c r="CK1157" s="2">
        <f>ROUND(SUMIF(AA1149:AA1155,"=33989672",GY1149:GY1155),2)</f>
        <v>0</v>
      </c>
      <c r="CL1157" s="2">
        <f>ROUND(SUMIF(AA1149:AA1155,"=33989672",GZ1149:GZ1155),2)</f>
        <v>0</v>
      </c>
      <c r="CM1157" s="2">
        <f>ROUND(SUMIF(AA1149:AA1155,"=33989672",HD1149:HD1155),2)</f>
        <v>0</v>
      </c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3"/>
      <c r="DH1157" s="3"/>
      <c r="DI1157" s="3"/>
      <c r="DJ1157" s="3"/>
      <c r="DK1157" s="3"/>
      <c r="DL1157" s="3"/>
      <c r="DM1157" s="3"/>
      <c r="DN1157" s="3"/>
      <c r="DO1157" s="3"/>
      <c r="DP1157" s="3"/>
      <c r="DQ1157" s="3"/>
      <c r="DR1157" s="3"/>
      <c r="DS1157" s="3"/>
      <c r="DT1157" s="3"/>
      <c r="DU1157" s="3"/>
      <c r="DV1157" s="3"/>
      <c r="DW1157" s="3"/>
      <c r="DX1157" s="3"/>
      <c r="DY1157" s="3"/>
      <c r="DZ1157" s="3"/>
      <c r="EA1157" s="3"/>
      <c r="EB1157" s="3"/>
      <c r="EC1157" s="3"/>
      <c r="ED1157" s="3"/>
      <c r="EE1157" s="3"/>
      <c r="EF1157" s="3"/>
      <c r="EG1157" s="3"/>
      <c r="EH1157" s="3"/>
      <c r="EI1157" s="3"/>
      <c r="EJ1157" s="3"/>
      <c r="EK1157" s="3"/>
      <c r="EL1157" s="3"/>
      <c r="EM1157" s="3"/>
      <c r="EN1157" s="3"/>
      <c r="EO1157" s="3"/>
      <c r="EP1157" s="3"/>
      <c r="EQ1157" s="3"/>
      <c r="ER1157" s="3"/>
      <c r="ES1157" s="3"/>
      <c r="ET1157" s="3"/>
      <c r="EU1157" s="3"/>
      <c r="EV1157" s="3"/>
      <c r="EW1157" s="3"/>
      <c r="EX1157" s="3"/>
      <c r="EY1157" s="3"/>
      <c r="EZ1157" s="3"/>
      <c r="FA1157" s="3"/>
      <c r="FB1157" s="3"/>
      <c r="FC1157" s="3"/>
      <c r="FD1157" s="3"/>
      <c r="FE1157" s="3"/>
      <c r="FF1157" s="3"/>
      <c r="FG1157" s="3"/>
      <c r="FH1157" s="3"/>
      <c r="FI1157" s="3"/>
      <c r="FJ1157" s="3"/>
      <c r="FK1157" s="3"/>
      <c r="FL1157" s="3"/>
      <c r="FM1157" s="3"/>
      <c r="FN1157" s="3"/>
      <c r="FO1157" s="3"/>
      <c r="FP1157" s="3"/>
      <c r="FQ1157" s="3"/>
      <c r="FR1157" s="3"/>
      <c r="FS1157" s="3"/>
      <c r="FT1157" s="3"/>
      <c r="FU1157" s="3"/>
      <c r="FV1157" s="3"/>
      <c r="FW1157" s="3"/>
      <c r="FX1157" s="3"/>
      <c r="FY1157" s="3"/>
      <c r="FZ1157" s="3"/>
      <c r="GA1157" s="3"/>
      <c r="GB1157" s="3"/>
      <c r="GC1157" s="3"/>
      <c r="GD1157" s="3"/>
      <c r="GE1157" s="3"/>
      <c r="GF1157" s="3"/>
      <c r="GG1157" s="3"/>
      <c r="GH1157" s="3"/>
      <c r="GI1157" s="3"/>
      <c r="GJ1157" s="3"/>
      <c r="GK1157" s="3"/>
      <c r="GL1157" s="3"/>
      <c r="GM1157" s="3"/>
      <c r="GN1157" s="3"/>
      <c r="GO1157" s="3"/>
      <c r="GP1157" s="3"/>
      <c r="GQ1157" s="3"/>
      <c r="GR1157" s="3"/>
      <c r="GS1157" s="3"/>
      <c r="GT1157" s="3"/>
      <c r="GU1157" s="3"/>
      <c r="GV1157" s="3"/>
      <c r="GW1157" s="3"/>
      <c r="GX1157" s="3">
        <v>0</v>
      </c>
    </row>
    <row r="1159" spans="1:245" x14ac:dyDescent="0.2">
      <c r="A1159" s="4">
        <v>50</v>
      </c>
      <c r="B1159" s="4">
        <v>0</v>
      </c>
      <c r="C1159" s="4">
        <v>0</v>
      </c>
      <c r="D1159" s="4">
        <v>1</v>
      </c>
      <c r="E1159" s="4">
        <v>201</v>
      </c>
      <c r="F1159" s="4">
        <f>ROUND(Source!O1157,O1159)</f>
        <v>75499.240000000005</v>
      </c>
      <c r="G1159" s="4" t="s">
        <v>89</v>
      </c>
      <c r="H1159" s="4" t="s">
        <v>90</v>
      </c>
      <c r="I1159" s="4"/>
      <c r="J1159" s="4"/>
      <c r="K1159" s="4">
        <v>201</v>
      </c>
      <c r="L1159" s="4">
        <v>1</v>
      </c>
      <c r="M1159" s="4">
        <v>3</v>
      </c>
      <c r="N1159" s="4" t="s">
        <v>3</v>
      </c>
      <c r="O1159" s="4">
        <v>2</v>
      </c>
      <c r="P1159" s="4"/>
      <c r="Q1159" s="4"/>
      <c r="R1159" s="4"/>
      <c r="S1159" s="4"/>
      <c r="T1159" s="4"/>
      <c r="U1159" s="4"/>
      <c r="V1159" s="4"/>
      <c r="W1159" s="4"/>
    </row>
    <row r="1160" spans="1:245" x14ac:dyDescent="0.2">
      <c r="A1160" s="4">
        <v>50</v>
      </c>
      <c r="B1160" s="4">
        <v>0</v>
      </c>
      <c r="C1160" s="4">
        <v>0</v>
      </c>
      <c r="D1160" s="4">
        <v>1</v>
      </c>
      <c r="E1160" s="4">
        <v>202</v>
      </c>
      <c r="F1160" s="4">
        <f>ROUND(Source!P1157,O1160)</f>
        <v>52213.86</v>
      </c>
      <c r="G1160" s="4" t="s">
        <v>91</v>
      </c>
      <c r="H1160" s="4" t="s">
        <v>92</v>
      </c>
      <c r="I1160" s="4"/>
      <c r="J1160" s="4"/>
      <c r="K1160" s="4">
        <v>202</v>
      </c>
      <c r="L1160" s="4">
        <v>2</v>
      </c>
      <c r="M1160" s="4">
        <v>3</v>
      </c>
      <c r="N1160" s="4" t="s">
        <v>3</v>
      </c>
      <c r="O1160" s="4">
        <v>2</v>
      </c>
      <c r="P1160" s="4"/>
      <c r="Q1160" s="4"/>
      <c r="R1160" s="4"/>
      <c r="S1160" s="4"/>
      <c r="T1160" s="4"/>
      <c r="U1160" s="4"/>
      <c r="V1160" s="4"/>
      <c r="W1160" s="4"/>
    </row>
    <row r="1161" spans="1:245" x14ac:dyDescent="0.2">
      <c r="A1161" s="4">
        <v>50</v>
      </c>
      <c r="B1161" s="4">
        <v>0</v>
      </c>
      <c r="C1161" s="4">
        <v>0</v>
      </c>
      <c r="D1161" s="4">
        <v>1</v>
      </c>
      <c r="E1161" s="4">
        <v>222</v>
      </c>
      <c r="F1161" s="4">
        <f>ROUND(Source!AO1157,O1161)</f>
        <v>0</v>
      </c>
      <c r="G1161" s="4" t="s">
        <v>93</v>
      </c>
      <c r="H1161" s="4" t="s">
        <v>94</v>
      </c>
      <c r="I1161" s="4"/>
      <c r="J1161" s="4"/>
      <c r="K1161" s="4">
        <v>222</v>
      </c>
      <c r="L1161" s="4">
        <v>3</v>
      </c>
      <c r="M1161" s="4">
        <v>3</v>
      </c>
      <c r="N1161" s="4" t="s">
        <v>3</v>
      </c>
      <c r="O1161" s="4">
        <v>2</v>
      </c>
      <c r="P1161" s="4"/>
      <c r="Q1161" s="4"/>
      <c r="R1161" s="4"/>
      <c r="S1161" s="4"/>
      <c r="T1161" s="4"/>
      <c r="U1161" s="4"/>
      <c r="V1161" s="4"/>
      <c r="W1161" s="4"/>
    </row>
    <row r="1162" spans="1:245" x14ac:dyDescent="0.2">
      <c r="A1162" s="4">
        <v>50</v>
      </c>
      <c r="B1162" s="4">
        <v>0</v>
      </c>
      <c r="C1162" s="4">
        <v>0</v>
      </c>
      <c r="D1162" s="4">
        <v>1</v>
      </c>
      <c r="E1162" s="4">
        <v>225</v>
      </c>
      <c r="F1162" s="4">
        <f>ROUND(Source!AV1157,O1162)</f>
        <v>52213.86</v>
      </c>
      <c r="G1162" s="4" t="s">
        <v>95</v>
      </c>
      <c r="H1162" s="4" t="s">
        <v>96</v>
      </c>
      <c r="I1162" s="4"/>
      <c r="J1162" s="4"/>
      <c r="K1162" s="4">
        <v>225</v>
      </c>
      <c r="L1162" s="4">
        <v>4</v>
      </c>
      <c r="M1162" s="4">
        <v>3</v>
      </c>
      <c r="N1162" s="4" t="s">
        <v>3</v>
      </c>
      <c r="O1162" s="4">
        <v>2</v>
      </c>
      <c r="P1162" s="4"/>
      <c r="Q1162" s="4"/>
      <c r="R1162" s="4"/>
      <c r="S1162" s="4"/>
      <c r="T1162" s="4"/>
      <c r="U1162" s="4"/>
      <c r="V1162" s="4"/>
      <c r="W1162" s="4"/>
    </row>
    <row r="1163" spans="1:245" x14ac:dyDescent="0.2">
      <c r="A1163" s="4">
        <v>50</v>
      </c>
      <c r="B1163" s="4">
        <v>0</v>
      </c>
      <c r="C1163" s="4">
        <v>0</v>
      </c>
      <c r="D1163" s="4">
        <v>1</v>
      </c>
      <c r="E1163" s="4">
        <v>226</v>
      </c>
      <c r="F1163" s="4">
        <f>ROUND(Source!AW1157,O1163)</f>
        <v>52213.86</v>
      </c>
      <c r="G1163" s="4" t="s">
        <v>97</v>
      </c>
      <c r="H1163" s="4" t="s">
        <v>98</v>
      </c>
      <c r="I1163" s="4"/>
      <c r="J1163" s="4"/>
      <c r="K1163" s="4">
        <v>226</v>
      </c>
      <c r="L1163" s="4">
        <v>5</v>
      </c>
      <c r="M1163" s="4">
        <v>3</v>
      </c>
      <c r="N1163" s="4" t="s">
        <v>3</v>
      </c>
      <c r="O1163" s="4">
        <v>2</v>
      </c>
      <c r="P1163" s="4"/>
      <c r="Q1163" s="4"/>
      <c r="R1163" s="4"/>
      <c r="S1163" s="4"/>
      <c r="T1163" s="4"/>
      <c r="U1163" s="4"/>
      <c r="V1163" s="4"/>
      <c r="W1163" s="4"/>
    </row>
    <row r="1164" spans="1:245" x14ac:dyDescent="0.2">
      <c r="A1164" s="4">
        <v>50</v>
      </c>
      <c r="B1164" s="4">
        <v>0</v>
      </c>
      <c r="C1164" s="4">
        <v>0</v>
      </c>
      <c r="D1164" s="4">
        <v>1</v>
      </c>
      <c r="E1164" s="4">
        <v>227</v>
      </c>
      <c r="F1164" s="4">
        <f>ROUND(Source!AX1157,O1164)</f>
        <v>0</v>
      </c>
      <c r="G1164" s="4" t="s">
        <v>99</v>
      </c>
      <c r="H1164" s="4" t="s">
        <v>100</v>
      </c>
      <c r="I1164" s="4"/>
      <c r="J1164" s="4"/>
      <c r="K1164" s="4">
        <v>227</v>
      </c>
      <c r="L1164" s="4">
        <v>6</v>
      </c>
      <c r="M1164" s="4">
        <v>3</v>
      </c>
      <c r="N1164" s="4" t="s">
        <v>3</v>
      </c>
      <c r="O1164" s="4">
        <v>2</v>
      </c>
      <c r="P1164" s="4"/>
      <c r="Q1164" s="4"/>
      <c r="R1164" s="4"/>
      <c r="S1164" s="4"/>
      <c r="T1164" s="4"/>
      <c r="U1164" s="4"/>
      <c r="V1164" s="4"/>
      <c r="W1164" s="4"/>
    </row>
    <row r="1165" spans="1:245" x14ac:dyDescent="0.2">
      <c r="A1165" s="4">
        <v>50</v>
      </c>
      <c r="B1165" s="4">
        <v>0</v>
      </c>
      <c r="C1165" s="4">
        <v>0</v>
      </c>
      <c r="D1165" s="4">
        <v>1</v>
      </c>
      <c r="E1165" s="4">
        <v>228</v>
      </c>
      <c r="F1165" s="4">
        <f>ROUND(Source!AY1157,O1165)</f>
        <v>52213.86</v>
      </c>
      <c r="G1165" s="4" t="s">
        <v>101</v>
      </c>
      <c r="H1165" s="4" t="s">
        <v>102</v>
      </c>
      <c r="I1165" s="4"/>
      <c r="J1165" s="4"/>
      <c r="K1165" s="4">
        <v>228</v>
      </c>
      <c r="L1165" s="4">
        <v>7</v>
      </c>
      <c r="M1165" s="4">
        <v>3</v>
      </c>
      <c r="N1165" s="4" t="s">
        <v>3</v>
      </c>
      <c r="O1165" s="4">
        <v>2</v>
      </c>
      <c r="P1165" s="4"/>
      <c r="Q1165" s="4"/>
      <c r="R1165" s="4"/>
      <c r="S1165" s="4"/>
      <c r="T1165" s="4"/>
      <c r="U1165" s="4"/>
      <c r="V1165" s="4"/>
      <c r="W1165" s="4"/>
    </row>
    <row r="1166" spans="1:245" x14ac:dyDescent="0.2">
      <c r="A1166" s="4">
        <v>50</v>
      </c>
      <c r="B1166" s="4">
        <v>0</v>
      </c>
      <c r="C1166" s="4">
        <v>0</v>
      </c>
      <c r="D1166" s="4">
        <v>1</v>
      </c>
      <c r="E1166" s="4">
        <v>216</v>
      </c>
      <c r="F1166" s="4">
        <f>ROUND(Source!AP1157,O1166)</f>
        <v>0</v>
      </c>
      <c r="G1166" s="4" t="s">
        <v>103</v>
      </c>
      <c r="H1166" s="4" t="s">
        <v>104</v>
      </c>
      <c r="I1166" s="4"/>
      <c r="J1166" s="4"/>
      <c r="K1166" s="4">
        <v>216</v>
      </c>
      <c r="L1166" s="4">
        <v>8</v>
      </c>
      <c r="M1166" s="4">
        <v>3</v>
      </c>
      <c r="N1166" s="4" t="s">
        <v>3</v>
      </c>
      <c r="O1166" s="4">
        <v>2</v>
      </c>
      <c r="P1166" s="4"/>
      <c r="Q1166" s="4"/>
      <c r="R1166" s="4"/>
      <c r="S1166" s="4"/>
      <c r="T1166" s="4"/>
      <c r="U1166" s="4"/>
      <c r="V1166" s="4"/>
      <c r="W1166" s="4"/>
    </row>
    <row r="1167" spans="1:245" x14ac:dyDescent="0.2">
      <c r="A1167" s="4">
        <v>50</v>
      </c>
      <c r="B1167" s="4">
        <v>0</v>
      </c>
      <c r="C1167" s="4">
        <v>0</v>
      </c>
      <c r="D1167" s="4">
        <v>1</v>
      </c>
      <c r="E1167" s="4">
        <v>223</v>
      </c>
      <c r="F1167" s="4">
        <f>ROUND(Source!AQ1157,O1167)</f>
        <v>0</v>
      </c>
      <c r="G1167" s="4" t="s">
        <v>105</v>
      </c>
      <c r="H1167" s="4" t="s">
        <v>106</v>
      </c>
      <c r="I1167" s="4"/>
      <c r="J1167" s="4"/>
      <c r="K1167" s="4">
        <v>223</v>
      </c>
      <c r="L1167" s="4">
        <v>9</v>
      </c>
      <c r="M1167" s="4">
        <v>3</v>
      </c>
      <c r="N1167" s="4" t="s">
        <v>3</v>
      </c>
      <c r="O1167" s="4">
        <v>2</v>
      </c>
      <c r="P1167" s="4"/>
      <c r="Q1167" s="4"/>
      <c r="R1167" s="4"/>
      <c r="S1167" s="4"/>
      <c r="T1167" s="4"/>
      <c r="U1167" s="4"/>
      <c r="V1167" s="4"/>
      <c r="W1167" s="4"/>
    </row>
    <row r="1168" spans="1:245" x14ac:dyDescent="0.2">
      <c r="A1168" s="4">
        <v>50</v>
      </c>
      <c r="B1168" s="4">
        <v>0</v>
      </c>
      <c r="C1168" s="4">
        <v>0</v>
      </c>
      <c r="D1168" s="4">
        <v>1</v>
      </c>
      <c r="E1168" s="4">
        <v>229</v>
      </c>
      <c r="F1168" s="4">
        <f>ROUND(Source!AZ1157,O1168)</f>
        <v>0</v>
      </c>
      <c r="G1168" s="4" t="s">
        <v>107</v>
      </c>
      <c r="H1168" s="4" t="s">
        <v>108</v>
      </c>
      <c r="I1168" s="4"/>
      <c r="J1168" s="4"/>
      <c r="K1168" s="4">
        <v>229</v>
      </c>
      <c r="L1168" s="4">
        <v>10</v>
      </c>
      <c r="M1168" s="4">
        <v>3</v>
      </c>
      <c r="N1168" s="4" t="s">
        <v>3</v>
      </c>
      <c r="O1168" s="4">
        <v>2</v>
      </c>
      <c r="P1168" s="4"/>
      <c r="Q1168" s="4"/>
      <c r="R1168" s="4"/>
      <c r="S1168" s="4"/>
      <c r="T1168" s="4"/>
      <c r="U1168" s="4"/>
      <c r="V1168" s="4"/>
      <c r="W1168" s="4"/>
    </row>
    <row r="1169" spans="1:23" x14ac:dyDescent="0.2">
      <c r="A1169" s="4">
        <v>50</v>
      </c>
      <c r="B1169" s="4">
        <v>0</v>
      </c>
      <c r="C1169" s="4">
        <v>0</v>
      </c>
      <c r="D1169" s="4">
        <v>1</v>
      </c>
      <c r="E1169" s="4">
        <v>203</v>
      </c>
      <c r="F1169" s="4">
        <f>ROUND(Source!Q1157,O1169)</f>
        <v>2821.71</v>
      </c>
      <c r="G1169" s="4" t="s">
        <v>109</v>
      </c>
      <c r="H1169" s="4" t="s">
        <v>110</v>
      </c>
      <c r="I1169" s="4"/>
      <c r="J1169" s="4"/>
      <c r="K1169" s="4">
        <v>203</v>
      </c>
      <c r="L1169" s="4">
        <v>11</v>
      </c>
      <c r="M1169" s="4">
        <v>3</v>
      </c>
      <c r="N1169" s="4" t="s">
        <v>3</v>
      </c>
      <c r="O1169" s="4">
        <v>2</v>
      </c>
      <c r="P1169" s="4"/>
      <c r="Q1169" s="4"/>
      <c r="R1169" s="4"/>
      <c r="S1169" s="4"/>
      <c r="T1169" s="4"/>
      <c r="U1169" s="4"/>
      <c r="V1169" s="4"/>
      <c r="W1169" s="4"/>
    </row>
    <row r="1170" spans="1:23" x14ac:dyDescent="0.2">
      <c r="A1170" s="4">
        <v>50</v>
      </c>
      <c r="B1170" s="4">
        <v>0</v>
      </c>
      <c r="C1170" s="4">
        <v>0</v>
      </c>
      <c r="D1170" s="4">
        <v>1</v>
      </c>
      <c r="E1170" s="4">
        <v>231</v>
      </c>
      <c r="F1170" s="4">
        <f>ROUND(Source!BB1157,O1170)</f>
        <v>0</v>
      </c>
      <c r="G1170" s="4" t="s">
        <v>111</v>
      </c>
      <c r="H1170" s="4" t="s">
        <v>112</v>
      </c>
      <c r="I1170" s="4"/>
      <c r="J1170" s="4"/>
      <c r="K1170" s="4">
        <v>231</v>
      </c>
      <c r="L1170" s="4">
        <v>12</v>
      </c>
      <c r="M1170" s="4">
        <v>3</v>
      </c>
      <c r="N1170" s="4" t="s">
        <v>3</v>
      </c>
      <c r="O1170" s="4">
        <v>2</v>
      </c>
      <c r="P1170" s="4"/>
      <c r="Q1170" s="4"/>
      <c r="R1170" s="4"/>
      <c r="S1170" s="4"/>
      <c r="T1170" s="4"/>
      <c r="U1170" s="4"/>
      <c r="V1170" s="4"/>
      <c r="W1170" s="4"/>
    </row>
    <row r="1171" spans="1:23" x14ac:dyDescent="0.2">
      <c r="A1171" s="4">
        <v>50</v>
      </c>
      <c r="B1171" s="4">
        <v>0</v>
      </c>
      <c r="C1171" s="4">
        <v>0</v>
      </c>
      <c r="D1171" s="4">
        <v>1</v>
      </c>
      <c r="E1171" s="4">
        <v>204</v>
      </c>
      <c r="F1171" s="4">
        <f>ROUND(Source!R1157,O1171)</f>
        <v>1216.44</v>
      </c>
      <c r="G1171" s="4" t="s">
        <v>113</v>
      </c>
      <c r="H1171" s="4" t="s">
        <v>114</v>
      </c>
      <c r="I1171" s="4"/>
      <c r="J1171" s="4"/>
      <c r="K1171" s="4">
        <v>204</v>
      </c>
      <c r="L1171" s="4">
        <v>13</v>
      </c>
      <c r="M1171" s="4">
        <v>3</v>
      </c>
      <c r="N1171" s="4" t="s">
        <v>3</v>
      </c>
      <c r="O1171" s="4">
        <v>2</v>
      </c>
      <c r="P1171" s="4"/>
      <c r="Q1171" s="4"/>
      <c r="R1171" s="4"/>
      <c r="S1171" s="4"/>
      <c r="T1171" s="4"/>
      <c r="U1171" s="4"/>
      <c r="V1171" s="4"/>
      <c r="W1171" s="4"/>
    </row>
    <row r="1172" spans="1:23" x14ac:dyDescent="0.2">
      <c r="A1172" s="4">
        <v>50</v>
      </c>
      <c r="B1172" s="4">
        <v>0</v>
      </c>
      <c r="C1172" s="4">
        <v>0</v>
      </c>
      <c r="D1172" s="4">
        <v>1</v>
      </c>
      <c r="E1172" s="4">
        <v>205</v>
      </c>
      <c r="F1172" s="4">
        <f>ROUND(Source!S1157,O1172)</f>
        <v>20463.669999999998</v>
      </c>
      <c r="G1172" s="4" t="s">
        <v>115</v>
      </c>
      <c r="H1172" s="4" t="s">
        <v>116</v>
      </c>
      <c r="I1172" s="4"/>
      <c r="J1172" s="4"/>
      <c r="K1172" s="4">
        <v>205</v>
      </c>
      <c r="L1172" s="4">
        <v>14</v>
      </c>
      <c r="M1172" s="4">
        <v>3</v>
      </c>
      <c r="N1172" s="4" t="s">
        <v>3</v>
      </c>
      <c r="O1172" s="4">
        <v>2</v>
      </c>
      <c r="P1172" s="4"/>
      <c r="Q1172" s="4"/>
      <c r="R1172" s="4"/>
      <c r="S1172" s="4"/>
      <c r="T1172" s="4"/>
      <c r="U1172" s="4"/>
      <c r="V1172" s="4"/>
      <c r="W1172" s="4"/>
    </row>
    <row r="1173" spans="1:23" x14ac:dyDescent="0.2">
      <c r="A1173" s="4">
        <v>50</v>
      </c>
      <c r="B1173" s="4">
        <v>0</v>
      </c>
      <c r="C1173" s="4">
        <v>0</v>
      </c>
      <c r="D1173" s="4">
        <v>1</v>
      </c>
      <c r="E1173" s="4">
        <v>232</v>
      </c>
      <c r="F1173" s="4">
        <f>ROUND(Source!BC1157,O1173)</f>
        <v>0</v>
      </c>
      <c r="G1173" s="4" t="s">
        <v>117</v>
      </c>
      <c r="H1173" s="4" t="s">
        <v>118</v>
      </c>
      <c r="I1173" s="4"/>
      <c r="J1173" s="4"/>
      <c r="K1173" s="4">
        <v>232</v>
      </c>
      <c r="L1173" s="4">
        <v>15</v>
      </c>
      <c r="M1173" s="4">
        <v>3</v>
      </c>
      <c r="N1173" s="4" t="s">
        <v>3</v>
      </c>
      <c r="O1173" s="4">
        <v>2</v>
      </c>
      <c r="P1173" s="4"/>
      <c r="Q1173" s="4"/>
      <c r="R1173" s="4"/>
      <c r="S1173" s="4"/>
      <c r="T1173" s="4"/>
      <c r="U1173" s="4"/>
      <c r="V1173" s="4"/>
      <c r="W1173" s="4"/>
    </row>
    <row r="1174" spans="1:23" x14ac:dyDescent="0.2">
      <c r="A1174" s="4">
        <v>50</v>
      </c>
      <c r="B1174" s="4">
        <v>0</v>
      </c>
      <c r="C1174" s="4">
        <v>0</v>
      </c>
      <c r="D1174" s="4">
        <v>1</v>
      </c>
      <c r="E1174" s="4">
        <v>214</v>
      </c>
      <c r="F1174" s="4">
        <f>ROUND(Source!AS1157,O1174)</f>
        <v>103193.27</v>
      </c>
      <c r="G1174" s="4" t="s">
        <v>119</v>
      </c>
      <c r="H1174" s="4" t="s">
        <v>120</v>
      </c>
      <c r="I1174" s="4"/>
      <c r="J1174" s="4"/>
      <c r="K1174" s="4">
        <v>214</v>
      </c>
      <c r="L1174" s="4">
        <v>16</v>
      </c>
      <c r="M1174" s="4">
        <v>3</v>
      </c>
      <c r="N1174" s="4" t="s">
        <v>3</v>
      </c>
      <c r="O1174" s="4">
        <v>2</v>
      </c>
      <c r="P1174" s="4"/>
      <c r="Q1174" s="4"/>
      <c r="R1174" s="4"/>
      <c r="S1174" s="4"/>
      <c r="T1174" s="4"/>
      <c r="U1174" s="4"/>
      <c r="V1174" s="4"/>
      <c r="W1174" s="4"/>
    </row>
    <row r="1175" spans="1:23" x14ac:dyDescent="0.2">
      <c r="A1175" s="4">
        <v>50</v>
      </c>
      <c r="B1175" s="4">
        <v>0</v>
      </c>
      <c r="C1175" s="4">
        <v>0</v>
      </c>
      <c r="D1175" s="4">
        <v>1</v>
      </c>
      <c r="E1175" s="4">
        <v>215</v>
      </c>
      <c r="F1175" s="4">
        <f>ROUND(Source!AT1157,O1175)</f>
        <v>0</v>
      </c>
      <c r="G1175" s="4" t="s">
        <v>121</v>
      </c>
      <c r="H1175" s="4" t="s">
        <v>122</v>
      </c>
      <c r="I1175" s="4"/>
      <c r="J1175" s="4"/>
      <c r="K1175" s="4">
        <v>215</v>
      </c>
      <c r="L1175" s="4">
        <v>17</v>
      </c>
      <c r="M1175" s="4">
        <v>3</v>
      </c>
      <c r="N1175" s="4" t="s">
        <v>3</v>
      </c>
      <c r="O1175" s="4">
        <v>2</v>
      </c>
      <c r="P1175" s="4"/>
      <c r="Q1175" s="4"/>
      <c r="R1175" s="4"/>
      <c r="S1175" s="4"/>
      <c r="T1175" s="4"/>
      <c r="U1175" s="4"/>
      <c r="V1175" s="4"/>
      <c r="W1175" s="4"/>
    </row>
    <row r="1176" spans="1:23" x14ac:dyDescent="0.2">
      <c r="A1176" s="4">
        <v>50</v>
      </c>
      <c r="B1176" s="4">
        <v>0</v>
      </c>
      <c r="C1176" s="4">
        <v>0</v>
      </c>
      <c r="D1176" s="4">
        <v>1</v>
      </c>
      <c r="E1176" s="4">
        <v>217</v>
      </c>
      <c r="F1176" s="4">
        <f>ROUND(Source!AU1157,O1176)</f>
        <v>0</v>
      </c>
      <c r="G1176" s="4" t="s">
        <v>123</v>
      </c>
      <c r="H1176" s="4" t="s">
        <v>124</v>
      </c>
      <c r="I1176" s="4"/>
      <c r="J1176" s="4"/>
      <c r="K1176" s="4">
        <v>217</v>
      </c>
      <c r="L1176" s="4">
        <v>18</v>
      </c>
      <c r="M1176" s="4">
        <v>3</v>
      </c>
      <c r="N1176" s="4" t="s">
        <v>3</v>
      </c>
      <c r="O1176" s="4">
        <v>2</v>
      </c>
      <c r="P1176" s="4"/>
      <c r="Q1176" s="4"/>
      <c r="R1176" s="4"/>
      <c r="S1176" s="4"/>
      <c r="T1176" s="4"/>
      <c r="U1176" s="4"/>
      <c r="V1176" s="4"/>
      <c r="W1176" s="4"/>
    </row>
    <row r="1177" spans="1:23" x14ac:dyDescent="0.2">
      <c r="A1177" s="4">
        <v>50</v>
      </c>
      <c r="B1177" s="4">
        <v>0</v>
      </c>
      <c r="C1177" s="4">
        <v>0</v>
      </c>
      <c r="D1177" s="4">
        <v>1</v>
      </c>
      <c r="E1177" s="4">
        <v>230</v>
      </c>
      <c r="F1177" s="4">
        <f>ROUND(Source!BA1157,O1177)</f>
        <v>0</v>
      </c>
      <c r="G1177" s="4" t="s">
        <v>125</v>
      </c>
      <c r="H1177" s="4" t="s">
        <v>126</v>
      </c>
      <c r="I1177" s="4"/>
      <c r="J1177" s="4"/>
      <c r="K1177" s="4">
        <v>230</v>
      </c>
      <c r="L1177" s="4">
        <v>19</v>
      </c>
      <c r="M1177" s="4">
        <v>3</v>
      </c>
      <c r="N1177" s="4" t="s">
        <v>3</v>
      </c>
      <c r="O1177" s="4">
        <v>2</v>
      </c>
      <c r="P1177" s="4"/>
      <c r="Q1177" s="4"/>
      <c r="R1177" s="4"/>
      <c r="S1177" s="4"/>
      <c r="T1177" s="4"/>
      <c r="U1177" s="4"/>
      <c r="V1177" s="4"/>
      <c r="W1177" s="4"/>
    </row>
    <row r="1178" spans="1:23" x14ac:dyDescent="0.2">
      <c r="A1178" s="4">
        <v>50</v>
      </c>
      <c r="B1178" s="4">
        <v>0</v>
      </c>
      <c r="C1178" s="4">
        <v>0</v>
      </c>
      <c r="D1178" s="4">
        <v>1</v>
      </c>
      <c r="E1178" s="4">
        <v>206</v>
      </c>
      <c r="F1178" s="4">
        <f>ROUND(Source!T1157,O1178)</f>
        <v>0</v>
      </c>
      <c r="G1178" s="4" t="s">
        <v>127</v>
      </c>
      <c r="H1178" s="4" t="s">
        <v>128</v>
      </c>
      <c r="I1178" s="4"/>
      <c r="J1178" s="4"/>
      <c r="K1178" s="4">
        <v>206</v>
      </c>
      <c r="L1178" s="4">
        <v>20</v>
      </c>
      <c r="M1178" s="4">
        <v>3</v>
      </c>
      <c r="N1178" s="4" t="s">
        <v>3</v>
      </c>
      <c r="O1178" s="4">
        <v>2</v>
      </c>
      <c r="P1178" s="4"/>
      <c r="Q1178" s="4"/>
      <c r="R1178" s="4"/>
      <c r="S1178" s="4"/>
      <c r="T1178" s="4"/>
      <c r="U1178" s="4"/>
      <c r="V1178" s="4"/>
      <c r="W1178" s="4"/>
    </row>
    <row r="1179" spans="1:23" x14ac:dyDescent="0.2">
      <c r="A1179" s="4">
        <v>50</v>
      </c>
      <c r="B1179" s="4">
        <v>0</v>
      </c>
      <c r="C1179" s="4">
        <v>0</v>
      </c>
      <c r="D1179" s="4">
        <v>1</v>
      </c>
      <c r="E1179" s="4">
        <v>207</v>
      </c>
      <c r="F1179" s="4">
        <f>Source!U1157</f>
        <v>73.372</v>
      </c>
      <c r="G1179" s="4" t="s">
        <v>129</v>
      </c>
      <c r="H1179" s="4" t="s">
        <v>130</v>
      </c>
      <c r="I1179" s="4"/>
      <c r="J1179" s="4"/>
      <c r="K1179" s="4">
        <v>207</v>
      </c>
      <c r="L1179" s="4">
        <v>21</v>
      </c>
      <c r="M1179" s="4">
        <v>3</v>
      </c>
      <c r="N1179" s="4" t="s">
        <v>3</v>
      </c>
      <c r="O1179" s="4">
        <v>-1</v>
      </c>
      <c r="P1179" s="4"/>
      <c r="Q1179" s="4"/>
      <c r="R1179" s="4"/>
      <c r="S1179" s="4"/>
      <c r="T1179" s="4"/>
      <c r="U1179" s="4"/>
      <c r="V1179" s="4"/>
      <c r="W1179" s="4"/>
    </row>
    <row r="1180" spans="1:23" x14ac:dyDescent="0.2">
      <c r="A1180" s="4">
        <v>50</v>
      </c>
      <c r="B1180" s="4">
        <v>0</v>
      </c>
      <c r="C1180" s="4">
        <v>0</v>
      </c>
      <c r="D1180" s="4">
        <v>1</v>
      </c>
      <c r="E1180" s="4">
        <v>208</v>
      </c>
      <c r="F1180" s="4">
        <f>Source!V1157</f>
        <v>0</v>
      </c>
      <c r="G1180" s="4" t="s">
        <v>131</v>
      </c>
      <c r="H1180" s="4" t="s">
        <v>132</v>
      </c>
      <c r="I1180" s="4"/>
      <c r="J1180" s="4"/>
      <c r="K1180" s="4">
        <v>208</v>
      </c>
      <c r="L1180" s="4">
        <v>22</v>
      </c>
      <c r="M1180" s="4">
        <v>3</v>
      </c>
      <c r="N1180" s="4" t="s">
        <v>3</v>
      </c>
      <c r="O1180" s="4">
        <v>-1</v>
      </c>
      <c r="P1180" s="4"/>
      <c r="Q1180" s="4"/>
      <c r="R1180" s="4"/>
      <c r="S1180" s="4"/>
      <c r="T1180" s="4"/>
      <c r="U1180" s="4"/>
      <c r="V1180" s="4"/>
      <c r="W1180" s="4"/>
    </row>
    <row r="1181" spans="1:23" x14ac:dyDescent="0.2">
      <c r="A1181" s="4">
        <v>50</v>
      </c>
      <c r="B1181" s="4">
        <v>0</v>
      </c>
      <c r="C1181" s="4">
        <v>0</v>
      </c>
      <c r="D1181" s="4">
        <v>1</v>
      </c>
      <c r="E1181" s="4">
        <v>209</v>
      </c>
      <c r="F1181" s="4">
        <f>ROUND(Source!W1157,O1181)</f>
        <v>0</v>
      </c>
      <c r="G1181" s="4" t="s">
        <v>133</v>
      </c>
      <c r="H1181" s="4" t="s">
        <v>134</v>
      </c>
      <c r="I1181" s="4"/>
      <c r="J1181" s="4"/>
      <c r="K1181" s="4">
        <v>209</v>
      </c>
      <c r="L1181" s="4">
        <v>23</v>
      </c>
      <c r="M1181" s="4">
        <v>3</v>
      </c>
      <c r="N1181" s="4" t="s">
        <v>3</v>
      </c>
      <c r="O1181" s="4">
        <v>2</v>
      </c>
      <c r="P1181" s="4"/>
      <c r="Q1181" s="4"/>
      <c r="R1181" s="4"/>
      <c r="S1181" s="4"/>
      <c r="T1181" s="4"/>
      <c r="U1181" s="4"/>
      <c r="V1181" s="4"/>
      <c r="W1181" s="4"/>
    </row>
    <row r="1182" spans="1:23" x14ac:dyDescent="0.2">
      <c r="A1182" s="4">
        <v>50</v>
      </c>
      <c r="B1182" s="4">
        <v>0</v>
      </c>
      <c r="C1182" s="4">
        <v>0</v>
      </c>
      <c r="D1182" s="4">
        <v>1</v>
      </c>
      <c r="E1182" s="4">
        <v>233</v>
      </c>
      <c r="F1182" s="4">
        <f>ROUND(Source!BD1157,O1182)</f>
        <v>0</v>
      </c>
      <c r="G1182" s="4" t="s">
        <v>135</v>
      </c>
      <c r="H1182" s="4" t="s">
        <v>136</v>
      </c>
      <c r="I1182" s="4"/>
      <c r="J1182" s="4"/>
      <c r="K1182" s="4">
        <v>233</v>
      </c>
      <c r="L1182" s="4">
        <v>24</v>
      </c>
      <c r="M1182" s="4">
        <v>3</v>
      </c>
      <c r="N1182" s="4" t="s">
        <v>3</v>
      </c>
      <c r="O1182" s="4">
        <v>2</v>
      </c>
      <c r="P1182" s="4"/>
      <c r="Q1182" s="4"/>
      <c r="R1182" s="4"/>
      <c r="S1182" s="4"/>
      <c r="T1182" s="4"/>
      <c r="U1182" s="4"/>
      <c r="V1182" s="4"/>
      <c r="W1182" s="4"/>
    </row>
    <row r="1183" spans="1:23" x14ac:dyDescent="0.2">
      <c r="A1183" s="4">
        <v>50</v>
      </c>
      <c r="B1183" s="4">
        <v>0</v>
      </c>
      <c r="C1183" s="4">
        <v>0</v>
      </c>
      <c r="D1183" s="4">
        <v>1</v>
      </c>
      <c r="E1183" s="4">
        <v>210</v>
      </c>
      <c r="F1183" s="4">
        <f>ROUND(Source!X1157,O1183)</f>
        <v>17394.12</v>
      </c>
      <c r="G1183" s="4" t="s">
        <v>137</v>
      </c>
      <c r="H1183" s="4" t="s">
        <v>138</v>
      </c>
      <c r="I1183" s="4"/>
      <c r="J1183" s="4"/>
      <c r="K1183" s="4">
        <v>210</v>
      </c>
      <c r="L1183" s="4">
        <v>25</v>
      </c>
      <c r="M1183" s="4">
        <v>3</v>
      </c>
      <c r="N1183" s="4" t="s">
        <v>3</v>
      </c>
      <c r="O1183" s="4">
        <v>2</v>
      </c>
      <c r="P1183" s="4"/>
      <c r="Q1183" s="4"/>
      <c r="R1183" s="4"/>
      <c r="S1183" s="4"/>
      <c r="T1183" s="4"/>
      <c r="U1183" s="4"/>
      <c r="V1183" s="4"/>
      <c r="W1183" s="4"/>
    </row>
    <row r="1184" spans="1:23" x14ac:dyDescent="0.2">
      <c r="A1184" s="4">
        <v>50</v>
      </c>
      <c r="B1184" s="4">
        <v>0</v>
      </c>
      <c r="C1184" s="4">
        <v>0</v>
      </c>
      <c r="D1184" s="4">
        <v>1</v>
      </c>
      <c r="E1184" s="4">
        <v>211</v>
      </c>
      <c r="F1184" s="4">
        <f>ROUND(Source!Y1157,O1184)</f>
        <v>8390.1</v>
      </c>
      <c r="G1184" s="4" t="s">
        <v>139</v>
      </c>
      <c r="H1184" s="4" t="s">
        <v>140</v>
      </c>
      <c r="I1184" s="4"/>
      <c r="J1184" s="4"/>
      <c r="K1184" s="4">
        <v>211</v>
      </c>
      <c r="L1184" s="4">
        <v>26</v>
      </c>
      <c r="M1184" s="4">
        <v>3</v>
      </c>
      <c r="N1184" s="4" t="s">
        <v>3</v>
      </c>
      <c r="O1184" s="4">
        <v>2</v>
      </c>
      <c r="P1184" s="4"/>
      <c r="Q1184" s="4"/>
      <c r="R1184" s="4"/>
      <c r="S1184" s="4"/>
      <c r="T1184" s="4"/>
      <c r="U1184" s="4"/>
      <c r="V1184" s="4"/>
      <c r="W1184" s="4"/>
    </row>
    <row r="1185" spans="1:245" x14ac:dyDescent="0.2">
      <c r="A1185" s="4">
        <v>50</v>
      </c>
      <c r="B1185" s="4">
        <v>0</v>
      </c>
      <c r="C1185" s="4">
        <v>0</v>
      </c>
      <c r="D1185" s="4">
        <v>1</v>
      </c>
      <c r="E1185" s="4">
        <v>224</v>
      </c>
      <c r="F1185" s="4">
        <f>ROUND(Source!AR1157,O1185)</f>
        <v>103193.27</v>
      </c>
      <c r="G1185" s="4" t="s">
        <v>141</v>
      </c>
      <c r="H1185" s="4" t="s">
        <v>142</v>
      </c>
      <c r="I1185" s="4"/>
      <c r="J1185" s="4"/>
      <c r="K1185" s="4">
        <v>224</v>
      </c>
      <c r="L1185" s="4">
        <v>27</v>
      </c>
      <c r="M1185" s="4">
        <v>3</v>
      </c>
      <c r="N1185" s="4" t="s">
        <v>3</v>
      </c>
      <c r="O1185" s="4">
        <v>2</v>
      </c>
      <c r="P1185" s="4"/>
      <c r="Q1185" s="4"/>
      <c r="R1185" s="4"/>
      <c r="S1185" s="4"/>
      <c r="T1185" s="4"/>
      <c r="U1185" s="4"/>
      <c r="V1185" s="4"/>
      <c r="W1185" s="4"/>
    </row>
    <row r="1186" spans="1:245" x14ac:dyDescent="0.2">
      <c r="A1186" s="4">
        <v>50</v>
      </c>
      <c r="B1186" s="4">
        <v>1</v>
      </c>
      <c r="C1186" s="4">
        <v>0</v>
      </c>
      <c r="D1186" s="4">
        <v>2</v>
      </c>
      <c r="E1186" s="4">
        <v>0</v>
      </c>
      <c r="F1186" s="4">
        <f>ROUND(F1185*1.2,O1186)</f>
        <v>123831.92</v>
      </c>
      <c r="G1186" s="4" t="s">
        <v>15</v>
      </c>
      <c r="H1186" s="4" t="s">
        <v>239</v>
      </c>
      <c r="I1186" s="4"/>
      <c r="J1186" s="4"/>
      <c r="K1186" s="4">
        <v>212</v>
      </c>
      <c r="L1186" s="4">
        <v>28</v>
      </c>
      <c r="M1186" s="4">
        <v>0</v>
      </c>
      <c r="N1186" s="4" t="s">
        <v>3</v>
      </c>
      <c r="O1186" s="4">
        <v>2</v>
      </c>
      <c r="P1186" s="4"/>
      <c r="Q1186" s="4"/>
      <c r="R1186" s="4"/>
      <c r="S1186" s="4"/>
      <c r="T1186" s="4"/>
      <c r="U1186" s="4"/>
      <c r="V1186" s="4"/>
      <c r="W1186" s="4"/>
    </row>
    <row r="1188" spans="1:245" x14ac:dyDescent="0.2">
      <c r="A1188" s="1">
        <v>4</v>
      </c>
      <c r="B1188" s="1">
        <v>1</v>
      </c>
      <c r="C1188" s="1"/>
      <c r="D1188" s="1">
        <f>ROW(A1197)</f>
        <v>1197</v>
      </c>
      <c r="E1188" s="1"/>
      <c r="F1188" s="1" t="s">
        <v>13</v>
      </c>
      <c r="G1188" s="1" t="s">
        <v>581</v>
      </c>
      <c r="H1188" s="1" t="s">
        <v>3</v>
      </c>
      <c r="I1188" s="1">
        <v>0</v>
      </c>
      <c r="J1188" s="1"/>
      <c r="K1188" s="1">
        <v>0</v>
      </c>
      <c r="L1188" s="1"/>
      <c r="M1188" s="1"/>
      <c r="N1188" s="1"/>
      <c r="O1188" s="1"/>
      <c r="P1188" s="1"/>
      <c r="Q1188" s="1"/>
      <c r="R1188" s="1"/>
      <c r="S1188" s="1"/>
      <c r="T1188" s="1"/>
      <c r="U1188" s="1" t="s">
        <v>3</v>
      </c>
      <c r="V1188" s="1">
        <v>0</v>
      </c>
      <c r="W1188" s="1"/>
      <c r="X1188" s="1"/>
      <c r="Y1188" s="1"/>
      <c r="Z1188" s="1"/>
      <c r="AA1188" s="1"/>
      <c r="AB1188" s="1" t="s">
        <v>3</v>
      </c>
      <c r="AC1188" s="1" t="s">
        <v>3</v>
      </c>
      <c r="AD1188" s="1" t="s">
        <v>3</v>
      </c>
      <c r="AE1188" s="1" t="s">
        <v>3</v>
      </c>
      <c r="AF1188" s="1" t="s">
        <v>3</v>
      </c>
      <c r="AG1188" s="1" t="s">
        <v>3</v>
      </c>
      <c r="AH1188" s="1"/>
      <c r="AI1188" s="1"/>
      <c r="AJ1188" s="1"/>
      <c r="AK1188" s="1"/>
      <c r="AL1188" s="1"/>
      <c r="AM1188" s="1"/>
      <c r="AN1188" s="1"/>
      <c r="AO1188" s="1"/>
      <c r="AP1188" s="1" t="s">
        <v>3</v>
      </c>
      <c r="AQ1188" s="1" t="s">
        <v>3</v>
      </c>
      <c r="AR1188" s="1" t="s">
        <v>3</v>
      </c>
      <c r="AS1188" s="1"/>
      <c r="AT1188" s="1"/>
      <c r="AU1188" s="1"/>
      <c r="AV1188" s="1"/>
      <c r="AW1188" s="1"/>
      <c r="AX1188" s="1"/>
      <c r="AY1188" s="1"/>
      <c r="AZ1188" s="1" t="s">
        <v>3</v>
      </c>
      <c r="BA1188" s="1"/>
      <c r="BB1188" s="1" t="s">
        <v>3</v>
      </c>
      <c r="BC1188" s="1" t="s">
        <v>3</v>
      </c>
      <c r="BD1188" s="1" t="s">
        <v>3</v>
      </c>
      <c r="BE1188" s="1" t="s">
        <v>3</v>
      </c>
      <c r="BF1188" s="1" t="s">
        <v>3</v>
      </c>
      <c r="BG1188" s="1" t="s">
        <v>3</v>
      </c>
      <c r="BH1188" s="1" t="s">
        <v>3</v>
      </c>
      <c r="BI1188" s="1" t="s">
        <v>3</v>
      </c>
      <c r="BJ1188" s="1" t="s">
        <v>3</v>
      </c>
      <c r="BK1188" s="1" t="s">
        <v>3</v>
      </c>
      <c r="BL1188" s="1" t="s">
        <v>3</v>
      </c>
      <c r="BM1188" s="1" t="s">
        <v>3</v>
      </c>
      <c r="BN1188" s="1" t="s">
        <v>3</v>
      </c>
      <c r="BO1188" s="1" t="s">
        <v>3</v>
      </c>
      <c r="BP1188" s="1" t="s">
        <v>3</v>
      </c>
      <c r="BQ1188" s="1"/>
      <c r="BR1188" s="1"/>
      <c r="BS1188" s="1"/>
      <c r="BT1188" s="1"/>
      <c r="BU1188" s="1"/>
      <c r="BV1188" s="1"/>
      <c r="BW1188" s="1"/>
      <c r="BX1188" s="1">
        <v>0</v>
      </c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>
        <v>0</v>
      </c>
    </row>
    <row r="1190" spans="1:245" x14ac:dyDescent="0.2">
      <c r="A1190" s="2">
        <v>52</v>
      </c>
      <c r="B1190" s="2">
        <f t="shared" ref="B1190:G1190" si="825">B1197</f>
        <v>1</v>
      </c>
      <c r="C1190" s="2">
        <f t="shared" si="825"/>
        <v>4</v>
      </c>
      <c r="D1190" s="2">
        <f t="shared" si="825"/>
        <v>1188</v>
      </c>
      <c r="E1190" s="2">
        <f t="shared" si="825"/>
        <v>0</v>
      </c>
      <c r="F1190" s="2" t="str">
        <f t="shared" si="825"/>
        <v>Новый раздел</v>
      </c>
      <c r="G1190" s="2" t="str">
        <f t="shared" si="825"/>
        <v>42. Установка ИДН  (3,5м)</v>
      </c>
      <c r="H1190" s="2"/>
      <c r="I1190" s="2"/>
      <c r="J1190" s="2"/>
      <c r="K1190" s="2"/>
      <c r="L1190" s="2"/>
      <c r="M1190" s="2"/>
      <c r="N1190" s="2"/>
      <c r="O1190" s="2">
        <f t="shared" ref="O1190:AT1190" si="826">O1197</f>
        <v>227243.67</v>
      </c>
      <c r="P1190" s="2">
        <f t="shared" si="826"/>
        <v>181278.9</v>
      </c>
      <c r="Q1190" s="2">
        <f t="shared" si="826"/>
        <v>1010.36</v>
      </c>
      <c r="R1190" s="2">
        <f t="shared" si="826"/>
        <v>301.47000000000003</v>
      </c>
      <c r="S1190" s="2">
        <f t="shared" si="826"/>
        <v>44954.41</v>
      </c>
      <c r="T1190" s="2">
        <f t="shared" si="826"/>
        <v>0</v>
      </c>
      <c r="U1190" s="2">
        <f t="shared" si="826"/>
        <v>137.34</v>
      </c>
      <c r="V1190" s="2">
        <f t="shared" si="826"/>
        <v>0</v>
      </c>
      <c r="W1190" s="2">
        <f t="shared" si="826"/>
        <v>0</v>
      </c>
      <c r="X1190" s="2">
        <f t="shared" si="826"/>
        <v>58890.28</v>
      </c>
      <c r="Y1190" s="2">
        <f t="shared" si="826"/>
        <v>24275.38</v>
      </c>
      <c r="Z1190" s="2">
        <f t="shared" si="826"/>
        <v>0</v>
      </c>
      <c r="AA1190" s="2">
        <f t="shared" si="826"/>
        <v>0</v>
      </c>
      <c r="AB1190" s="2">
        <f t="shared" si="826"/>
        <v>227243.67</v>
      </c>
      <c r="AC1190" s="2">
        <f t="shared" si="826"/>
        <v>181278.9</v>
      </c>
      <c r="AD1190" s="2">
        <f t="shared" si="826"/>
        <v>1010.36</v>
      </c>
      <c r="AE1190" s="2">
        <f t="shared" si="826"/>
        <v>301.47000000000003</v>
      </c>
      <c r="AF1190" s="2">
        <f t="shared" si="826"/>
        <v>44954.41</v>
      </c>
      <c r="AG1190" s="2">
        <f t="shared" si="826"/>
        <v>0</v>
      </c>
      <c r="AH1190" s="2">
        <f t="shared" si="826"/>
        <v>137.34</v>
      </c>
      <c r="AI1190" s="2">
        <f t="shared" si="826"/>
        <v>0</v>
      </c>
      <c r="AJ1190" s="2">
        <f t="shared" si="826"/>
        <v>0</v>
      </c>
      <c r="AK1190" s="2">
        <f t="shared" si="826"/>
        <v>58890.28</v>
      </c>
      <c r="AL1190" s="2">
        <f t="shared" si="826"/>
        <v>24275.38</v>
      </c>
      <c r="AM1190" s="2">
        <f t="shared" si="826"/>
        <v>0</v>
      </c>
      <c r="AN1190" s="2">
        <f t="shared" si="826"/>
        <v>0</v>
      </c>
      <c r="AO1190" s="2">
        <f t="shared" si="826"/>
        <v>0</v>
      </c>
      <c r="AP1190" s="2">
        <f t="shared" si="826"/>
        <v>0</v>
      </c>
      <c r="AQ1190" s="2">
        <f t="shared" si="826"/>
        <v>0</v>
      </c>
      <c r="AR1190" s="2">
        <f t="shared" si="826"/>
        <v>310882.64</v>
      </c>
      <c r="AS1190" s="2">
        <f t="shared" si="826"/>
        <v>310882.64</v>
      </c>
      <c r="AT1190" s="2">
        <f t="shared" si="826"/>
        <v>0</v>
      </c>
      <c r="AU1190" s="2">
        <f t="shared" ref="AU1190:BZ1190" si="827">AU1197</f>
        <v>0</v>
      </c>
      <c r="AV1190" s="2">
        <f t="shared" si="827"/>
        <v>181278.9</v>
      </c>
      <c r="AW1190" s="2">
        <f t="shared" si="827"/>
        <v>181278.9</v>
      </c>
      <c r="AX1190" s="2">
        <f t="shared" si="827"/>
        <v>0</v>
      </c>
      <c r="AY1190" s="2">
        <f t="shared" si="827"/>
        <v>181278.9</v>
      </c>
      <c r="AZ1190" s="2">
        <f t="shared" si="827"/>
        <v>0</v>
      </c>
      <c r="BA1190" s="2">
        <f t="shared" si="827"/>
        <v>0</v>
      </c>
      <c r="BB1190" s="2">
        <f t="shared" si="827"/>
        <v>0</v>
      </c>
      <c r="BC1190" s="2">
        <f t="shared" si="827"/>
        <v>0</v>
      </c>
      <c r="BD1190" s="2">
        <f t="shared" si="827"/>
        <v>0</v>
      </c>
      <c r="BE1190" s="2">
        <f t="shared" si="827"/>
        <v>0</v>
      </c>
      <c r="BF1190" s="2">
        <f t="shared" si="827"/>
        <v>0</v>
      </c>
      <c r="BG1190" s="2">
        <f t="shared" si="827"/>
        <v>0</v>
      </c>
      <c r="BH1190" s="2">
        <f t="shared" si="827"/>
        <v>0</v>
      </c>
      <c r="BI1190" s="2">
        <f t="shared" si="827"/>
        <v>0</v>
      </c>
      <c r="BJ1190" s="2">
        <f t="shared" si="827"/>
        <v>0</v>
      </c>
      <c r="BK1190" s="2">
        <f t="shared" si="827"/>
        <v>0</v>
      </c>
      <c r="BL1190" s="2">
        <f t="shared" si="827"/>
        <v>0</v>
      </c>
      <c r="BM1190" s="2">
        <f t="shared" si="827"/>
        <v>0</v>
      </c>
      <c r="BN1190" s="2">
        <f t="shared" si="827"/>
        <v>0</v>
      </c>
      <c r="BO1190" s="2">
        <f t="shared" si="827"/>
        <v>0</v>
      </c>
      <c r="BP1190" s="2">
        <f t="shared" si="827"/>
        <v>0</v>
      </c>
      <c r="BQ1190" s="2">
        <f t="shared" si="827"/>
        <v>0</v>
      </c>
      <c r="BR1190" s="2">
        <f t="shared" si="827"/>
        <v>0</v>
      </c>
      <c r="BS1190" s="2">
        <f t="shared" si="827"/>
        <v>0</v>
      </c>
      <c r="BT1190" s="2">
        <f t="shared" si="827"/>
        <v>0</v>
      </c>
      <c r="BU1190" s="2">
        <f t="shared" si="827"/>
        <v>0</v>
      </c>
      <c r="BV1190" s="2">
        <f t="shared" si="827"/>
        <v>0</v>
      </c>
      <c r="BW1190" s="2">
        <f t="shared" si="827"/>
        <v>0</v>
      </c>
      <c r="BX1190" s="2">
        <f t="shared" si="827"/>
        <v>0</v>
      </c>
      <c r="BY1190" s="2">
        <f t="shared" si="827"/>
        <v>0</v>
      </c>
      <c r="BZ1190" s="2">
        <f t="shared" si="827"/>
        <v>0</v>
      </c>
      <c r="CA1190" s="2">
        <f t="shared" ref="CA1190:DF1190" si="828">CA1197</f>
        <v>310882.64</v>
      </c>
      <c r="CB1190" s="2">
        <f t="shared" si="828"/>
        <v>310882.64</v>
      </c>
      <c r="CC1190" s="2">
        <f t="shared" si="828"/>
        <v>0</v>
      </c>
      <c r="CD1190" s="2">
        <f t="shared" si="828"/>
        <v>0</v>
      </c>
      <c r="CE1190" s="2">
        <f t="shared" si="828"/>
        <v>181278.9</v>
      </c>
      <c r="CF1190" s="2">
        <f t="shared" si="828"/>
        <v>181278.9</v>
      </c>
      <c r="CG1190" s="2">
        <f t="shared" si="828"/>
        <v>0</v>
      </c>
      <c r="CH1190" s="2">
        <f t="shared" si="828"/>
        <v>181278.9</v>
      </c>
      <c r="CI1190" s="2">
        <f t="shared" si="828"/>
        <v>0</v>
      </c>
      <c r="CJ1190" s="2">
        <f t="shared" si="828"/>
        <v>0</v>
      </c>
      <c r="CK1190" s="2">
        <f t="shared" si="828"/>
        <v>0</v>
      </c>
      <c r="CL1190" s="2">
        <f t="shared" si="828"/>
        <v>0</v>
      </c>
      <c r="CM1190" s="2">
        <f t="shared" si="828"/>
        <v>0</v>
      </c>
      <c r="CN1190" s="2">
        <f t="shared" si="828"/>
        <v>0</v>
      </c>
      <c r="CO1190" s="2">
        <f t="shared" si="828"/>
        <v>0</v>
      </c>
      <c r="CP1190" s="2">
        <f t="shared" si="828"/>
        <v>0</v>
      </c>
      <c r="CQ1190" s="2">
        <f t="shared" si="828"/>
        <v>0</v>
      </c>
      <c r="CR1190" s="2">
        <f t="shared" si="828"/>
        <v>0</v>
      </c>
      <c r="CS1190" s="2">
        <f t="shared" si="828"/>
        <v>0</v>
      </c>
      <c r="CT1190" s="2">
        <f t="shared" si="828"/>
        <v>0</v>
      </c>
      <c r="CU1190" s="2">
        <f t="shared" si="828"/>
        <v>0</v>
      </c>
      <c r="CV1190" s="2">
        <f t="shared" si="828"/>
        <v>0</v>
      </c>
      <c r="CW1190" s="2">
        <f t="shared" si="828"/>
        <v>0</v>
      </c>
      <c r="CX1190" s="2">
        <f t="shared" si="828"/>
        <v>0</v>
      </c>
      <c r="CY1190" s="2">
        <f t="shared" si="828"/>
        <v>0</v>
      </c>
      <c r="CZ1190" s="2">
        <f t="shared" si="828"/>
        <v>0</v>
      </c>
      <c r="DA1190" s="2">
        <f t="shared" si="828"/>
        <v>0</v>
      </c>
      <c r="DB1190" s="2">
        <f t="shared" si="828"/>
        <v>0</v>
      </c>
      <c r="DC1190" s="2">
        <f t="shared" si="828"/>
        <v>0</v>
      </c>
      <c r="DD1190" s="2">
        <f t="shared" si="828"/>
        <v>0</v>
      </c>
      <c r="DE1190" s="2">
        <f t="shared" si="828"/>
        <v>0</v>
      </c>
      <c r="DF1190" s="2">
        <f t="shared" si="828"/>
        <v>0</v>
      </c>
      <c r="DG1190" s="3">
        <f t="shared" ref="DG1190:EL1190" si="829">DG1197</f>
        <v>0</v>
      </c>
      <c r="DH1190" s="3">
        <f t="shared" si="829"/>
        <v>0</v>
      </c>
      <c r="DI1190" s="3">
        <f t="shared" si="829"/>
        <v>0</v>
      </c>
      <c r="DJ1190" s="3">
        <f t="shared" si="829"/>
        <v>0</v>
      </c>
      <c r="DK1190" s="3">
        <f t="shared" si="829"/>
        <v>0</v>
      </c>
      <c r="DL1190" s="3">
        <f t="shared" si="829"/>
        <v>0</v>
      </c>
      <c r="DM1190" s="3">
        <f t="shared" si="829"/>
        <v>0</v>
      </c>
      <c r="DN1190" s="3">
        <f t="shared" si="829"/>
        <v>0</v>
      </c>
      <c r="DO1190" s="3">
        <f t="shared" si="829"/>
        <v>0</v>
      </c>
      <c r="DP1190" s="3">
        <f t="shared" si="829"/>
        <v>0</v>
      </c>
      <c r="DQ1190" s="3">
        <f t="shared" si="829"/>
        <v>0</v>
      </c>
      <c r="DR1190" s="3">
        <f t="shared" si="829"/>
        <v>0</v>
      </c>
      <c r="DS1190" s="3">
        <f t="shared" si="829"/>
        <v>0</v>
      </c>
      <c r="DT1190" s="3">
        <f t="shared" si="829"/>
        <v>0</v>
      </c>
      <c r="DU1190" s="3">
        <f t="shared" si="829"/>
        <v>0</v>
      </c>
      <c r="DV1190" s="3">
        <f t="shared" si="829"/>
        <v>0</v>
      </c>
      <c r="DW1190" s="3">
        <f t="shared" si="829"/>
        <v>0</v>
      </c>
      <c r="DX1190" s="3">
        <f t="shared" si="829"/>
        <v>0</v>
      </c>
      <c r="DY1190" s="3">
        <f t="shared" si="829"/>
        <v>0</v>
      </c>
      <c r="DZ1190" s="3">
        <f t="shared" si="829"/>
        <v>0</v>
      </c>
      <c r="EA1190" s="3">
        <f t="shared" si="829"/>
        <v>0</v>
      </c>
      <c r="EB1190" s="3">
        <f t="shared" si="829"/>
        <v>0</v>
      </c>
      <c r="EC1190" s="3">
        <f t="shared" si="829"/>
        <v>0</v>
      </c>
      <c r="ED1190" s="3">
        <f t="shared" si="829"/>
        <v>0</v>
      </c>
      <c r="EE1190" s="3">
        <f t="shared" si="829"/>
        <v>0</v>
      </c>
      <c r="EF1190" s="3">
        <f t="shared" si="829"/>
        <v>0</v>
      </c>
      <c r="EG1190" s="3">
        <f t="shared" si="829"/>
        <v>0</v>
      </c>
      <c r="EH1190" s="3">
        <f t="shared" si="829"/>
        <v>0</v>
      </c>
      <c r="EI1190" s="3">
        <f t="shared" si="829"/>
        <v>0</v>
      </c>
      <c r="EJ1190" s="3">
        <f t="shared" si="829"/>
        <v>0</v>
      </c>
      <c r="EK1190" s="3">
        <f t="shared" si="829"/>
        <v>0</v>
      </c>
      <c r="EL1190" s="3">
        <f t="shared" si="829"/>
        <v>0</v>
      </c>
      <c r="EM1190" s="3">
        <f t="shared" ref="EM1190:FR1190" si="830">EM1197</f>
        <v>0</v>
      </c>
      <c r="EN1190" s="3">
        <f t="shared" si="830"/>
        <v>0</v>
      </c>
      <c r="EO1190" s="3">
        <f t="shared" si="830"/>
        <v>0</v>
      </c>
      <c r="EP1190" s="3">
        <f t="shared" si="830"/>
        <v>0</v>
      </c>
      <c r="EQ1190" s="3">
        <f t="shared" si="830"/>
        <v>0</v>
      </c>
      <c r="ER1190" s="3">
        <f t="shared" si="830"/>
        <v>0</v>
      </c>
      <c r="ES1190" s="3">
        <f t="shared" si="830"/>
        <v>0</v>
      </c>
      <c r="ET1190" s="3">
        <f t="shared" si="830"/>
        <v>0</v>
      </c>
      <c r="EU1190" s="3">
        <f t="shared" si="830"/>
        <v>0</v>
      </c>
      <c r="EV1190" s="3">
        <f t="shared" si="830"/>
        <v>0</v>
      </c>
      <c r="EW1190" s="3">
        <f t="shared" si="830"/>
        <v>0</v>
      </c>
      <c r="EX1190" s="3">
        <f t="shared" si="830"/>
        <v>0</v>
      </c>
      <c r="EY1190" s="3">
        <f t="shared" si="830"/>
        <v>0</v>
      </c>
      <c r="EZ1190" s="3">
        <f t="shared" si="830"/>
        <v>0</v>
      </c>
      <c r="FA1190" s="3">
        <f t="shared" si="830"/>
        <v>0</v>
      </c>
      <c r="FB1190" s="3">
        <f t="shared" si="830"/>
        <v>0</v>
      </c>
      <c r="FC1190" s="3">
        <f t="shared" si="830"/>
        <v>0</v>
      </c>
      <c r="FD1190" s="3">
        <f t="shared" si="830"/>
        <v>0</v>
      </c>
      <c r="FE1190" s="3">
        <f t="shared" si="830"/>
        <v>0</v>
      </c>
      <c r="FF1190" s="3">
        <f t="shared" si="830"/>
        <v>0</v>
      </c>
      <c r="FG1190" s="3">
        <f t="shared" si="830"/>
        <v>0</v>
      </c>
      <c r="FH1190" s="3">
        <f t="shared" si="830"/>
        <v>0</v>
      </c>
      <c r="FI1190" s="3">
        <f t="shared" si="830"/>
        <v>0</v>
      </c>
      <c r="FJ1190" s="3">
        <f t="shared" si="830"/>
        <v>0</v>
      </c>
      <c r="FK1190" s="3">
        <f t="shared" si="830"/>
        <v>0</v>
      </c>
      <c r="FL1190" s="3">
        <f t="shared" si="830"/>
        <v>0</v>
      </c>
      <c r="FM1190" s="3">
        <f t="shared" si="830"/>
        <v>0</v>
      </c>
      <c r="FN1190" s="3">
        <f t="shared" si="830"/>
        <v>0</v>
      </c>
      <c r="FO1190" s="3">
        <f t="shared" si="830"/>
        <v>0</v>
      </c>
      <c r="FP1190" s="3">
        <f t="shared" si="830"/>
        <v>0</v>
      </c>
      <c r="FQ1190" s="3">
        <f t="shared" si="830"/>
        <v>0</v>
      </c>
      <c r="FR1190" s="3">
        <f t="shared" si="830"/>
        <v>0</v>
      </c>
      <c r="FS1190" s="3">
        <f t="shared" ref="FS1190:GX1190" si="831">FS1197</f>
        <v>0</v>
      </c>
      <c r="FT1190" s="3">
        <f t="shared" si="831"/>
        <v>0</v>
      </c>
      <c r="FU1190" s="3">
        <f t="shared" si="831"/>
        <v>0</v>
      </c>
      <c r="FV1190" s="3">
        <f t="shared" si="831"/>
        <v>0</v>
      </c>
      <c r="FW1190" s="3">
        <f t="shared" si="831"/>
        <v>0</v>
      </c>
      <c r="FX1190" s="3">
        <f t="shared" si="831"/>
        <v>0</v>
      </c>
      <c r="FY1190" s="3">
        <f t="shared" si="831"/>
        <v>0</v>
      </c>
      <c r="FZ1190" s="3">
        <f t="shared" si="831"/>
        <v>0</v>
      </c>
      <c r="GA1190" s="3">
        <f t="shared" si="831"/>
        <v>0</v>
      </c>
      <c r="GB1190" s="3">
        <f t="shared" si="831"/>
        <v>0</v>
      </c>
      <c r="GC1190" s="3">
        <f t="shared" si="831"/>
        <v>0</v>
      </c>
      <c r="GD1190" s="3">
        <f t="shared" si="831"/>
        <v>0</v>
      </c>
      <c r="GE1190" s="3">
        <f t="shared" si="831"/>
        <v>0</v>
      </c>
      <c r="GF1190" s="3">
        <f t="shared" si="831"/>
        <v>0</v>
      </c>
      <c r="GG1190" s="3">
        <f t="shared" si="831"/>
        <v>0</v>
      </c>
      <c r="GH1190" s="3">
        <f t="shared" si="831"/>
        <v>0</v>
      </c>
      <c r="GI1190" s="3">
        <f t="shared" si="831"/>
        <v>0</v>
      </c>
      <c r="GJ1190" s="3">
        <f t="shared" si="831"/>
        <v>0</v>
      </c>
      <c r="GK1190" s="3">
        <f t="shared" si="831"/>
        <v>0</v>
      </c>
      <c r="GL1190" s="3">
        <f t="shared" si="831"/>
        <v>0</v>
      </c>
      <c r="GM1190" s="3">
        <f t="shared" si="831"/>
        <v>0</v>
      </c>
      <c r="GN1190" s="3">
        <f t="shared" si="831"/>
        <v>0</v>
      </c>
      <c r="GO1190" s="3">
        <f t="shared" si="831"/>
        <v>0</v>
      </c>
      <c r="GP1190" s="3">
        <f t="shared" si="831"/>
        <v>0</v>
      </c>
      <c r="GQ1190" s="3">
        <f t="shared" si="831"/>
        <v>0</v>
      </c>
      <c r="GR1190" s="3">
        <f t="shared" si="831"/>
        <v>0</v>
      </c>
      <c r="GS1190" s="3">
        <f t="shared" si="831"/>
        <v>0</v>
      </c>
      <c r="GT1190" s="3">
        <f t="shared" si="831"/>
        <v>0</v>
      </c>
      <c r="GU1190" s="3">
        <f t="shared" si="831"/>
        <v>0</v>
      </c>
      <c r="GV1190" s="3">
        <f t="shared" si="831"/>
        <v>0</v>
      </c>
      <c r="GW1190" s="3">
        <f t="shared" si="831"/>
        <v>0</v>
      </c>
      <c r="GX1190" s="3">
        <f t="shared" si="831"/>
        <v>0</v>
      </c>
    </row>
    <row r="1192" spans="1:245" x14ac:dyDescent="0.2">
      <c r="A1192">
        <v>17</v>
      </c>
      <c r="B1192">
        <v>1</v>
      </c>
      <c r="C1192">
        <f>ROW(SmtRes!A359)</f>
        <v>359</v>
      </c>
      <c r="D1192">
        <f>ROW(EtalonRes!A359)</f>
        <v>359</v>
      </c>
      <c r="E1192" t="s">
        <v>582</v>
      </c>
      <c r="F1192" t="s">
        <v>583</v>
      </c>
      <c r="G1192" t="s">
        <v>584</v>
      </c>
      <c r="H1192" t="s">
        <v>585</v>
      </c>
      <c r="I1192">
        <f>ROUND(10*0.9*3,5)</f>
        <v>27</v>
      </c>
      <c r="J1192">
        <v>0</v>
      </c>
      <c r="O1192">
        <f>ROUND(CP1192,2)</f>
        <v>101770.4</v>
      </c>
      <c r="P1192">
        <f>ROUND((ROUND((AC1192*AW1192*I1192),2)*BC1192),2)</f>
        <v>63602.82</v>
      </c>
      <c r="Q1192">
        <f>(ROUND((ROUND(((ET1192)*AV1192*I1192),2)*BB1192),2)+ROUND((ROUND(((AE1192-(EU1192))*AV1192*I1192),2)*BS1192),2))</f>
        <v>833.17</v>
      </c>
      <c r="R1192">
        <f>ROUND((ROUND((AE1192*AV1192*I1192),2)*BS1192),2)</f>
        <v>245.05</v>
      </c>
      <c r="S1192">
        <f>ROUND((ROUND((AF1192*AV1192*I1192),2)*BA1192),2)</f>
        <v>37334.410000000003</v>
      </c>
      <c r="T1192">
        <f>ROUND(CU1192*I1192,2)</f>
        <v>0</v>
      </c>
      <c r="U1192">
        <f>CV1192*I1192</f>
        <v>113.4</v>
      </c>
      <c r="V1192">
        <f>CW1192*I1192</f>
        <v>0</v>
      </c>
      <c r="W1192">
        <f>ROUND(CX1192*I1192,2)</f>
        <v>0</v>
      </c>
      <c r="X1192">
        <f t="shared" ref="X1192:Y1195" si="832">ROUND(CY1192,2)</f>
        <v>48908.08</v>
      </c>
      <c r="Y1192">
        <f t="shared" si="832"/>
        <v>20160.580000000002</v>
      </c>
      <c r="AA1192">
        <v>33989672</v>
      </c>
      <c r="AB1192">
        <f>ROUND((AC1192+AD1192+AF1192),6)</f>
        <v>1086.1300000000001</v>
      </c>
      <c r="AC1192">
        <f>ROUND((ES1192),6)</f>
        <v>1024.2</v>
      </c>
      <c r="AD1192">
        <f>ROUND((((ET1192)-(EU1192))+AE1192),6)</f>
        <v>5.56</v>
      </c>
      <c r="AE1192">
        <f t="shared" ref="AE1192:AF1195" si="833">ROUND((EU1192),6)</f>
        <v>0.37</v>
      </c>
      <c r="AF1192">
        <f t="shared" si="833"/>
        <v>56.37</v>
      </c>
      <c r="AG1192">
        <f>ROUND((AP1192),6)</f>
        <v>0</v>
      </c>
      <c r="AH1192">
        <f t="shared" ref="AH1192:AI1195" si="834">(EW1192)</f>
        <v>4.2</v>
      </c>
      <c r="AI1192">
        <f t="shared" si="834"/>
        <v>0</v>
      </c>
      <c r="AJ1192">
        <f>(AS1192)</f>
        <v>0</v>
      </c>
      <c r="AK1192">
        <v>1086.1300000000001</v>
      </c>
      <c r="AL1192">
        <v>1024.2</v>
      </c>
      <c r="AM1192">
        <v>5.56</v>
      </c>
      <c r="AN1192">
        <v>0.37</v>
      </c>
      <c r="AO1192">
        <v>56.37</v>
      </c>
      <c r="AP1192">
        <v>0</v>
      </c>
      <c r="AQ1192">
        <v>4.2</v>
      </c>
      <c r="AR1192">
        <v>0</v>
      </c>
      <c r="AS1192">
        <v>0</v>
      </c>
      <c r="AT1192">
        <v>131</v>
      </c>
      <c r="AU1192">
        <v>54</v>
      </c>
      <c r="AV1192">
        <v>1</v>
      </c>
      <c r="AW1192">
        <v>1</v>
      </c>
      <c r="AZ1192">
        <v>1</v>
      </c>
      <c r="BA1192">
        <v>24.53</v>
      </c>
      <c r="BB1192">
        <v>5.55</v>
      </c>
      <c r="BC1192">
        <v>2.2999999999999998</v>
      </c>
      <c r="BD1192" t="s">
        <v>3</v>
      </c>
      <c r="BE1192" t="s">
        <v>3</v>
      </c>
      <c r="BF1192" t="s">
        <v>3</v>
      </c>
      <c r="BG1192" t="s">
        <v>3</v>
      </c>
      <c r="BH1192">
        <v>0</v>
      </c>
      <c r="BI1192">
        <v>1</v>
      </c>
      <c r="BJ1192" t="s">
        <v>586</v>
      </c>
      <c r="BM1192">
        <v>1978</v>
      </c>
      <c r="BN1192">
        <v>0</v>
      </c>
      <c r="BO1192" t="s">
        <v>583</v>
      </c>
      <c r="BP1192">
        <v>1</v>
      </c>
      <c r="BQ1192">
        <v>30</v>
      </c>
      <c r="BR1192">
        <v>0</v>
      </c>
      <c r="BS1192">
        <v>24.53</v>
      </c>
      <c r="BT1192">
        <v>1</v>
      </c>
      <c r="BU1192">
        <v>1</v>
      </c>
      <c r="BV1192">
        <v>1</v>
      </c>
      <c r="BW1192">
        <v>1</v>
      </c>
      <c r="BX1192">
        <v>1</v>
      </c>
      <c r="BY1192" t="s">
        <v>3</v>
      </c>
      <c r="BZ1192">
        <v>131</v>
      </c>
      <c r="CA1192">
        <v>54</v>
      </c>
      <c r="CE1192">
        <v>30</v>
      </c>
      <c r="CF1192">
        <v>0</v>
      </c>
      <c r="CG1192">
        <v>0</v>
      </c>
      <c r="CM1192">
        <v>0</v>
      </c>
      <c r="CN1192" t="s">
        <v>3</v>
      </c>
      <c r="CO1192">
        <v>0</v>
      </c>
      <c r="CP1192">
        <f>(P1192+Q1192+S1192)</f>
        <v>101770.4</v>
      </c>
      <c r="CQ1192">
        <f>ROUND((ROUND((AC1192*AW1192*1),2)*BC1192),2)</f>
        <v>2355.66</v>
      </c>
      <c r="CR1192">
        <f>(ROUND((ROUND(((ET1192)*AV1192*1),2)*BB1192),2)+ROUND((ROUND(((AE1192-(EU1192))*AV1192*1),2)*BS1192),2))</f>
        <v>30.86</v>
      </c>
      <c r="CS1192">
        <f>ROUND((ROUND((AE1192*AV1192*1),2)*BS1192),2)</f>
        <v>9.08</v>
      </c>
      <c r="CT1192">
        <f>ROUND((ROUND((AF1192*AV1192*1),2)*BA1192),2)</f>
        <v>1382.76</v>
      </c>
      <c r="CU1192">
        <f>AG1192</f>
        <v>0</v>
      </c>
      <c r="CV1192">
        <f>(AH1192*AV1192)</f>
        <v>4.2</v>
      </c>
      <c r="CW1192">
        <f t="shared" ref="CW1192:CX1195" si="835">AI1192</f>
        <v>0</v>
      </c>
      <c r="CX1192">
        <f t="shared" si="835"/>
        <v>0</v>
      </c>
      <c r="CY1192">
        <f>S1192*(BZ1192/100)</f>
        <v>48908.07710000001</v>
      </c>
      <c r="CZ1192">
        <f>S1192*(CA1192/100)</f>
        <v>20160.581400000003</v>
      </c>
      <c r="DC1192" t="s">
        <v>3</v>
      </c>
      <c r="DD1192" t="s">
        <v>3</v>
      </c>
      <c r="DE1192" t="s">
        <v>3</v>
      </c>
      <c r="DF1192" t="s">
        <v>3</v>
      </c>
      <c r="DG1192" t="s">
        <v>3</v>
      </c>
      <c r="DH1192" t="s">
        <v>3</v>
      </c>
      <c r="DI1192" t="s">
        <v>3</v>
      </c>
      <c r="DJ1192" t="s">
        <v>3</v>
      </c>
      <c r="DK1192" t="s">
        <v>3</v>
      </c>
      <c r="DL1192" t="s">
        <v>3</v>
      </c>
      <c r="DM1192" t="s">
        <v>3</v>
      </c>
      <c r="DN1192">
        <v>161</v>
      </c>
      <c r="DO1192">
        <v>107</v>
      </c>
      <c r="DP1192">
        <v>1</v>
      </c>
      <c r="DQ1192">
        <v>1</v>
      </c>
      <c r="DU1192">
        <v>29983640</v>
      </c>
      <c r="DV1192" t="s">
        <v>585</v>
      </c>
      <c r="DW1192" t="s">
        <v>585</v>
      </c>
      <c r="DX1192">
        <v>0</v>
      </c>
      <c r="EE1192">
        <v>33799619</v>
      </c>
      <c r="EF1192">
        <v>30</v>
      </c>
      <c r="EG1192" t="s">
        <v>77</v>
      </c>
      <c r="EH1192">
        <v>0</v>
      </c>
      <c r="EI1192" t="s">
        <v>3</v>
      </c>
      <c r="EJ1192">
        <v>1</v>
      </c>
      <c r="EK1192">
        <v>1978</v>
      </c>
      <c r="EL1192" t="s">
        <v>587</v>
      </c>
      <c r="EM1192" t="s">
        <v>588</v>
      </c>
      <c r="EO1192" t="s">
        <v>3</v>
      </c>
      <c r="EQ1192">
        <v>131072</v>
      </c>
      <c r="ER1192">
        <v>1086.1300000000001</v>
      </c>
      <c r="ES1192">
        <v>1024.2</v>
      </c>
      <c r="ET1192">
        <v>5.56</v>
      </c>
      <c r="EU1192">
        <v>0.37</v>
      </c>
      <c r="EV1192">
        <v>56.37</v>
      </c>
      <c r="EW1192">
        <v>4.2</v>
      </c>
      <c r="EX1192">
        <v>0</v>
      </c>
      <c r="EY1192">
        <v>0</v>
      </c>
      <c r="FQ1192">
        <v>0</v>
      </c>
      <c r="FR1192">
        <f>ROUND(IF(AND(BH1192=3,BI1192=3),P1192,0),2)</f>
        <v>0</v>
      </c>
      <c r="FS1192">
        <v>0</v>
      </c>
      <c r="FX1192">
        <v>161</v>
      </c>
      <c r="FY1192">
        <v>107</v>
      </c>
      <c r="GA1192" t="s">
        <v>3</v>
      </c>
      <c r="GD1192">
        <v>0</v>
      </c>
      <c r="GF1192">
        <v>-1670256706</v>
      </c>
      <c r="GG1192">
        <v>2</v>
      </c>
      <c r="GH1192">
        <v>1</v>
      </c>
      <c r="GI1192">
        <v>2</v>
      </c>
      <c r="GJ1192">
        <v>0</v>
      </c>
      <c r="GK1192">
        <f>ROUND(R1192*(R12)/100,2)</f>
        <v>384.73</v>
      </c>
      <c r="GL1192">
        <f>ROUND(IF(AND(BH1192=3,BI1192=3,FS1192&lt;&gt;0),P1192,0),2)</f>
        <v>0</v>
      </c>
      <c r="GM1192">
        <f>ROUND(O1192+X1192+Y1192+GK1192,2)+GX1192</f>
        <v>171223.79</v>
      </c>
      <c r="GN1192">
        <f>IF(OR(BI1192=0,BI1192=1),ROUND(O1192+X1192+Y1192+GK1192,2),0)</f>
        <v>171223.79</v>
      </c>
      <c r="GO1192">
        <f>IF(BI1192=2,ROUND(O1192+X1192+Y1192+GK1192,2),0)</f>
        <v>0</v>
      </c>
      <c r="GP1192">
        <f>IF(BI1192=4,ROUND(O1192+X1192+Y1192+GK1192,2)+GX1192,0)</f>
        <v>0</v>
      </c>
      <c r="GR1192">
        <v>0</v>
      </c>
      <c r="GS1192">
        <v>3</v>
      </c>
      <c r="GT1192">
        <v>0</v>
      </c>
      <c r="GU1192" t="s">
        <v>3</v>
      </c>
      <c r="GV1192">
        <f>ROUND((GT1192),6)</f>
        <v>0</v>
      </c>
      <c r="GW1192">
        <v>1</v>
      </c>
      <c r="GX1192">
        <f>ROUND(HC1192*I1192,2)</f>
        <v>0</v>
      </c>
      <c r="HA1192">
        <v>0</v>
      </c>
      <c r="HB1192">
        <v>0</v>
      </c>
      <c r="HC1192">
        <f>GV1192*GW1192</f>
        <v>0</v>
      </c>
      <c r="IK1192">
        <v>0</v>
      </c>
    </row>
    <row r="1193" spans="1:245" x14ac:dyDescent="0.2">
      <c r="A1193">
        <v>18</v>
      </c>
      <c r="B1193">
        <v>1</v>
      </c>
      <c r="C1193">
        <v>355</v>
      </c>
      <c r="E1193" t="s">
        <v>589</v>
      </c>
      <c r="F1193" t="s">
        <v>590</v>
      </c>
      <c r="G1193" t="s">
        <v>591</v>
      </c>
      <c r="H1193" t="s">
        <v>328</v>
      </c>
      <c r="I1193">
        <f>I1192*J1193</f>
        <v>60</v>
      </c>
      <c r="J1193">
        <v>2.2222222222222223</v>
      </c>
      <c r="O1193">
        <f>ROUND(CP1193,2)</f>
        <v>91689.05</v>
      </c>
      <c r="P1193">
        <f>ROUND((ROUND((AC1193*AW1193*I1193),2)*BC1193),2)</f>
        <v>91689.05</v>
      </c>
      <c r="Q1193">
        <f>(ROUND((ROUND(((ET1193)*AV1193*I1193),2)*BB1193),2)+ROUND((ROUND(((AE1193-(EU1193))*AV1193*I1193),2)*BS1193),2))</f>
        <v>0</v>
      </c>
      <c r="R1193">
        <f>ROUND((ROUND((AE1193*AV1193*I1193),2)*BS1193),2)</f>
        <v>0</v>
      </c>
      <c r="S1193">
        <f>ROUND((ROUND((AF1193*AV1193*I1193),2)*BA1193),2)</f>
        <v>0</v>
      </c>
      <c r="T1193">
        <f>ROUND(CU1193*I1193,2)</f>
        <v>0</v>
      </c>
      <c r="U1193">
        <f>CV1193*I1193</f>
        <v>0</v>
      </c>
      <c r="V1193">
        <f>CW1193*I1193</f>
        <v>0</v>
      </c>
      <c r="W1193">
        <f>ROUND(CX1193*I1193,2)</f>
        <v>0</v>
      </c>
      <c r="X1193">
        <f t="shared" si="832"/>
        <v>0</v>
      </c>
      <c r="Y1193">
        <f t="shared" si="832"/>
        <v>0</v>
      </c>
      <c r="AA1193">
        <v>33989672</v>
      </c>
      <c r="AB1193">
        <f>ROUND((AC1193+AD1193+AF1193),6)</f>
        <v>1157.69</v>
      </c>
      <c r="AC1193">
        <f>ROUND((ES1193),6)</f>
        <v>1157.69</v>
      </c>
      <c r="AD1193">
        <f>ROUND((((ET1193)-(EU1193))+AE1193),6)</f>
        <v>0</v>
      </c>
      <c r="AE1193">
        <f t="shared" si="833"/>
        <v>0</v>
      </c>
      <c r="AF1193">
        <f t="shared" si="833"/>
        <v>0</v>
      </c>
      <c r="AG1193">
        <f>ROUND((AP1193),6)</f>
        <v>0</v>
      </c>
      <c r="AH1193">
        <f t="shared" si="834"/>
        <v>0</v>
      </c>
      <c r="AI1193">
        <f t="shared" si="834"/>
        <v>0</v>
      </c>
      <c r="AJ1193">
        <f>(AS1193)</f>
        <v>0</v>
      </c>
      <c r="AK1193">
        <v>1157.69</v>
      </c>
      <c r="AL1193">
        <v>1157.69</v>
      </c>
      <c r="AM1193">
        <v>0</v>
      </c>
      <c r="AN1193">
        <v>0</v>
      </c>
      <c r="AO1193">
        <v>0</v>
      </c>
      <c r="AP1193">
        <v>0</v>
      </c>
      <c r="AQ1193">
        <v>0</v>
      </c>
      <c r="AR1193">
        <v>0</v>
      </c>
      <c r="AS1193">
        <v>0</v>
      </c>
      <c r="AT1193">
        <v>0</v>
      </c>
      <c r="AU1193">
        <v>0</v>
      </c>
      <c r="AV1193">
        <v>1</v>
      </c>
      <c r="AW1193">
        <v>1</v>
      </c>
      <c r="AZ1193">
        <v>1</v>
      </c>
      <c r="BA1193">
        <v>1</v>
      </c>
      <c r="BB1193">
        <v>1</v>
      </c>
      <c r="BC1193">
        <v>1.32</v>
      </c>
      <c r="BD1193" t="s">
        <v>3</v>
      </c>
      <c r="BE1193" t="s">
        <v>3</v>
      </c>
      <c r="BF1193" t="s">
        <v>3</v>
      </c>
      <c r="BG1193" t="s">
        <v>3</v>
      </c>
      <c r="BH1193">
        <v>3</v>
      </c>
      <c r="BI1193">
        <v>1</v>
      </c>
      <c r="BJ1193" t="s">
        <v>592</v>
      </c>
      <c r="BM1193">
        <v>1978</v>
      </c>
      <c r="BN1193">
        <v>0</v>
      </c>
      <c r="BO1193" t="s">
        <v>590</v>
      </c>
      <c r="BP1193">
        <v>1</v>
      </c>
      <c r="BQ1193">
        <v>30</v>
      </c>
      <c r="BR1193">
        <v>0</v>
      </c>
      <c r="BS1193">
        <v>1</v>
      </c>
      <c r="BT1193">
        <v>1</v>
      </c>
      <c r="BU1193">
        <v>1</v>
      </c>
      <c r="BV1193">
        <v>1</v>
      </c>
      <c r="BW1193">
        <v>1</v>
      </c>
      <c r="BX1193">
        <v>1</v>
      </c>
      <c r="BY1193" t="s">
        <v>3</v>
      </c>
      <c r="BZ1193">
        <v>0</v>
      </c>
      <c r="CA1193">
        <v>0</v>
      </c>
      <c r="CE1193">
        <v>30</v>
      </c>
      <c r="CF1193">
        <v>0</v>
      </c>
      <c r="CG1193">
        <v>0</v>
      </c>
      <c r="CM1193">
        <v>0</v>
      </c>
      <c r="CN1193" t="s">
        <v>3</v>
      </c>
      <c r="CO1193">
        <v>0</v>
      </c>
      <c r="CP1193">
        <f>(P1193+Q1193+S1193)</f>
        <v>91689.05</v>
      </c>
      <c r="CQ1193">
        <f>ROUND((ROUND((AC1193*AW1193*1),2)*BC1193),2)</f>
        <v>1528.15</v>
      </c>
      <c r="CR1193">
        <f>(ROUND((ROUND(((ET1193)*AV1193*1),2)*BB1193),2)+ROUND((ROUND(((AE1193-(EU1193))*AV1193*1),2)*BS1193),2))</f>
        <v>0</v>
      </c>
      <c r="CS1193">
        <f>ROUND((ROUND((AE1193*AV1193*1),2)*BS1193),2)</f>
        <v>0</v>
      </c>
      <c r="CT1193">
        <f>ROUND((ROUND((AF1193*AV1193*1),2)*BA1193),2)</f>
        <v>0</v>
      </c>
      <c r="CU1193">
        <f>AG1193</f>
        <v>0</v>
      </c>
      <c r="CV1193">
        <f>(AH1193*AV1193)</f>
        <v>0</v>
      </c>
      <c r="CW1193">
        <f t="shared" si="835"/>
        <v>0</v>
      </c>
      <c r="CX1193">
        <f t="shared" si="835"/>
        <v>0</v>
      </c>
      <c r="CY1193">
        <f>S1193*(BZ1193/100)</f>
        <v>0</v>
      </c>
      <c r="CZ1193">
        <f>S1193*(CA1193/100)</f>
        <v>0</v>
      </c>
      <c r="DC1193" t="s">
        <v>3</v>
      </c>
      <c r="DD1193" t="s">
        <v>3</v>
      </c>
      <c r="DE1193" t="s">
        <v>3</v>
      </c>
      <c r="DF1193" t="s">
        <v>3</v>
      </c>
      <c r="DG1193" t="s">
        <v>3</v>
      </c>
      <c r="DH1193" t="s">
        <v>3</v>
      </c>
      <c r="DI1193" t="s">
        <v>3</v>
      </c>
      <c r="DJ1193" t="s">
        <v>3</v>
      </c>
      <c r="DK1193" t="s">
        <v>3</v>
      </c>
      <c r="DL1193" t="s">
        <v>3</v>
      </c>
      <c r="DM1193" t="s">
        <v>3</v>
      </c>
      <c r="DN1193">
        <v>161</v>
      </c>
      <c r="DO1193">
        <v>107</v>
      </c>
      <c r="DP1193">
        <v>1</v>
      </c>
      <c r="DQ1193">
        <v>1</v>
      </c>
      <c r="DU1193">
        <v>1010</v>
      </c>
      <c r="DV1193" t="s">
        <v>328</v>
      </c>
      <c r="DW1193" t="s">
        <v>328</v>
      </c>
      <c r="DX1193">
        <v>1</v>
      </c>
      <c r="EE1193">
        <v>33799619</v>
      </c>
      <c r="EF1193">
        <v>30</v>
      </c>
      <c r="EG1193" t="s">
        <v>77</v>
      </c>
      <c r="EH1193">
        <v>0</v>
      </c>
      <c r="EI1193" t="s">
        <v>3</v>
      </c>
      <c r="EJ1193">
        <v>1</v>
      </c>
      <c r="EK1193">
        <v>1978</v>
      </c>
      <c r="EL1193" t="s">
        <v>587</v>
      </c>
      <c r="EM1193" t="s">
        <v>588</v>
      </c>
      <c r="EO1193" t="s">
        <v>3</v>
      </c>
      <c r="EQ1193">
        <v>0</v>
      </c>
      <c r="ER1193">
        <v>1157.69</v>
      </c>
      <c r="ES1193">
        <v>1157.69</v>
      </c>
      <c r="ET1193">
        <v>0</v>
      </c>
      <c r="EU1193">
        <v>0</v>
      </c>
      <c r="EV1193">
        <v>0</v>
      </c>
      <c r="EW1193">
        <v>0</v>
      </c>
      <c r="EX1193">
        <v>0</v>
      </c>
      <c r="FQ1193">
        <v>0</v>
      </c>
      <c r="FR1193">
        <f>ROUND(IF(AND(BH1193=3,BI1193=3),P1193,0),2)</f>
        <v>0</v>
      </c>
      <c r="FS1193">
        <v>0</v>
      </c>
      <c r="FX1193">
        <v>161</v>
      </c>
      <c r="FY1193">
        <v>107</v>
      </c>
      <c r="GA1193" t="s">
        <v>3</v>
      </c>
      <c r="GD1193">
        <v>0</v>
      </c>
      <c r="GF1193">
        <v>727499281</v>
      </c>
      <c r="GG1193">
        <v>2</v>
      </c>
      <c r="GH1193">
        <v>1</v>
      </c>
      <c r="GI1193">
        <v>2</v>
      </c>
      <c r="GJ1193">
        <v>0</v>
      </c>
      <c r="GK1193">
        <f>ROUND(R1193*(R12)/100,2)</f>
        <v>0</v>
      </c>
      <c r="GL1193">
        <f>ROUND(IF(AND(BH1193=3,BI1193=3,FS1193&lt;&gt;0),P1193,0),2)</f>
        <v>0</v>
      </c>
      <c r="GM1193">
        <f>ROUND(O1193+X1193+Y1193+GK1193,2)+GX1193</f>
        <v>91689.05</v>
      </c>
      <c r="GN1193">
        <f>IF(OR(BI1193=0,BI1193=1),ROUND(O1193+X1193+Y1193+GK1193,2),0)</f>
        <v>91689.05</v>
      </c>
      <c r="GO1193">
        <f>IF(BI1193=2,ROUND(O1193+X1193+Y1193+GK1193,2),0)</f>
        <v>0</v>
      </c>
      <c r="GP1193">
        <f>IF(BI1193=4,ROUND(O1193+X1193+Y1193+GK1193,2)+GX1193,0)</f>
        <v>0</v>
      </c>
      <c r="GR1193">
        <v>0</v>
      </c>
      <c r="GS1193">
        <v>3</v>
      </c>
      <c r="GT1193">
        <v>0</v>
      </c>
      <c r="GU1193" t="s">
        <v>3</v>
      </c>
      <c r="GV1193">
        <f>ROUND((GT1193),6)</f>
        <v>0</v>
      </c>
      <c r="GW1193">
        <v>1</v>
      </c>
      <c r="GX1193">
        <f>ROUND(HC1193*I1193,2)</f>
        <v>0</v>
      </c>
      <c r="HA1193">
        <v>0</v>
      </c>
      <c r="HB1193">
        <v>0</v>
      </c>
      <c r="HC1193">
        <f>GV1193*GW1193</f>
        <v>0</v>
      </c>
      <c r="IK1193">
        <v>0</v>
      </c>
    </row>
    <row r="1194" spans="1:245" x14ac:dyDescent="0.2">
      <c r="A1194">
        <v>17</v>
      </c>
      <c r="B1194">
        <v>1</v>
      </c>
      <c r="C1194">
        <f>ROW(SmtRes!A367)</f>
        <v>367</v>
      </c>
      <c r="D1194">
        <f>ROW(EtalonRes!A367)</f>
        <v>367</v>
      </c>
      <c r="E1194" t="s">
        <v>593</v>
      </c>
      <c r="F1194" t="s">
        <v>594</v>
      </c>
      <c r="G1194" t="s">
        <v>595</v>
      </c>
      <c r="H1194" t="s">
        <v>585</v>
      </c>
      <c r="I1194">
        <f>ROUND(20*0.9*0.25,5)</f>
        <v>4.5</v>
      </c>
      <c r="J1194">
        <v>0</v>
      </c>
      <c r="O1194">
        <f>ROUND(CP1194,2)</f>
        <v>19523.72</v>
      </c>
      <c r="P1194">
        <f>ROUND((ROUND((AC1194*AW1194*I1194),2)*BC1194),2)</f>
        <v>11726.53</v>
      </c>
      <c r="Q1194">
        <f>(ROUND((ROUND(((ET1194)*AV1194*I1194),2)*BB1194),2)+ROUND((ROUND(((AE1194-(EU1194))*AV1194*I1194),2)*BS1194),2))</f>
        <v>177.19</v>
      </c>
      <c r="R1194">
        <f>ROUND((ROUND((AE1194*AV1194*I1194),2)*BS1194),2)</f>
        <v>56.42</v>
      </c>
      <c r="S1194">
        <f>ROUND((ROUND((AF1194*AV1194*I1194),2)*BA1194),2)</f>
        <v>7620</v>
      </c>
      <c r="T1194">
        <f>ROUND(CU1194*I1194,2)</f>
        <v>0</v>
      </c>
      <c r="U1194">
        <f>CV1194*I1194</f>
        <v>23.94</v>
      </c>
      <c r="V1194">
        <f>CW1194*I1194</f>
        <v>0</v>
      </c>
      <c r="W1194">
        <f>ROUND(CX1194*I1194,2)</f>
        <v>0</v>
      </c>
      <c r="X1194">
        <f t="shared" si="832"/>
        <v>9982.2000000000007</v>
      </c>
      <c r="Y1194">
        <f t="shared" si="832"/>
        <v>4114.8</v>
      </c>
      <c r="AA1194">
        <v>33989672</v>
      </c>
      <c r="AB1194">
        <f>ROUND((AC1194+AD1194+AF1194),6)</f>
        <v>1228.73</v>
      </c>
      <c r="AC1194">
        <f>ROUND((ES1194),6)</f>
        <v>1153.05</v>
      </c>
      <c r="AD1194">
        <f>ROUND((((ET1194)-(EU1194))+AE1194),6)</f>
        <v>6.65</v>
      </c>
      <c r="AE1194">
        <f t="shared" si="833"/>
        <v>0.51</v>
      </c>
      <c r="AF1194">
        <f t="shared" si="833"/>
        <v>69.03</v>
      </c>
      <c r="AG1194">
        <f>ROUND((AP1194),6)</f>
        <v>0</v>
      </c>
      <c r="AH1194">
        <f t="shared" si="834"/>
        <v>5.32</v>
      </c>
      <c r="AI1194">
        <f t="shared" si="834"/>
        <v>0</v>
      </c>
      <c r="AJ1194">
        <f>(AS1194)</f>
        <v>0</v>
      </c>
      <c r="AK1194">
        <v>1228.73</v>
      </c>
      <c r="AL1194">
        <v>1153.05</v>
      </c>
      <c r="AM1194">
        <v>6.65</v>
      </c>
      <c r="AN1194">
        <v>0.51</v>
      </c>
      <c r="AO1194">
        <v>69.03</v>
      </c>
      <c r="AP1194">
        <v>0</v>
      </c>
      <c r="AQ1194">
        <v>5.32</v>
      </c>
      <c r="AR1194">
        <v>0</v>
      </c>
      <c r="AS1194">
        <v>0</v>
      </c>
      <c r="AT1194">
        <v>131</v>
      </c>
      <c r="AU1194">
        <v>54</v>
      </c>
      <c r="AV1194">
        <v>1</v>
      </c>
      <c r="AW1194">
        <v>1</v>
      </c>
      <c r="AZ1194">
        <v>1</v>
      </c>
      <c r="BA1194">
        <v>24.53</v>
      </c>
      <c r="BB1194">
        <v>5.92</v>
      </c>
      <c r="BC1194">
        <v>2.2599999999999998</v>
      </c>
      <c r="BD1194" t="s">
        <v>3</v>
      </c>
      <c r="BE1194" t="s">
        <v>3</v>
      </c>
      <c r="BF1194" t="s">
        <v>3</v>
      </c>
      <c r="BG1194" t="s">
        <v>3</v>
      </c>
      <c r="BH1194">
        <v>0</v>
      </c>
      <c r="BI1194">
        <v>1</v>
      </c>
      <c r="BJ1194" t="s">
        <v>596</v>
      </c>
      <c r="BM1194">
        <v>1978</v>
      </c>
      <c r="BN1194">
        <v>0</v>
      </c>
      <c r="BO1194" t="s">
        <v>594</v>
      </c>
      <c r="BP1194">
        <v>1</v>
      </c>
      <c r="BQ1194">
        <v>30</v>
      </c>
      <c r="BR1194">
        <v>0</v>
      </c>
      <c r="BS1194">
        <v>24.53</v>
      </c>
      <c r="BT1194">
        <v>1</v>
      </c>
      <c r="BU1194">
        <v>1</v>
      </c>
      <c r="BV1194">
        <v>1</v>
      </c>
      <c r="BW1194">
        <v>1</v>
      </c>
      <c r="BX1194">
        <v>1</v>
      </c>
      <c r="BY1194" t="s">
        <v>3</v>
      </c>
      <c r="BZ1194">
        <v>131</v>
      </c>
      <c r="CA1194">
        <v>54</v>
      </c>
      <c r="CE1194">
        <v>30</v>
      </c>
      <c r="CF1194">
        <v>0</v>
      </c>
      <c r="CG1194">
        <v>0</v>
      </c>
      <c r="CM1194">
        <v>0</v>
      </c>
      <c r="CN1194" t="s">
        <v>3</v>
      </c>
      <c r="CO1194">
        <v>0</v>
      </c>
      <c r="CP1194">
        <f>(P1194+Q1194+S1194)</f>
        <v>19523.72</v>
      </c>
      <c r="CQ1194">
        <f>ROUND((ROUND((AC1194*AW1194*1),2)*BC1194),2)</f>
        <v>2605.89</v>
      </c>
      <c r="CR1194">
        <f>(ROUND((ROUND(((ET1194)*AV1194*1),2)*BB1194),2)+ROUND((ROUND(((AE1194-(EU1194))*AV1194*1),2)*BS1194),2))</f>
        <v>39.369999999999997</v>
      </c>
      <c r="CS1194">
        <f>ROUND((ROUND((AE1194*AV1194*1),2)*BS1194),2)</f>
        <v>12.51</v>
      </c>
      <c r="CT1194">
        <f>ROUND((ROUND((AF1194*AV1194*1),2)*BA1194),2)</f>
        <v>1693.31</v>
      </c>
      <c r="CU1194">
        <f>AG1194</f>
        <v>0</v>
      </c>
      <c r="CV1194">
        <f>(AH1194*AV1194)</f>
        <v>5.32</v>
      </c>
      <c r="CW1194">
        <f t="shared" si="835"/>
        <v>0</v>
      </c>
      <c r="CX1194">
        <f t="shared" si="835"/>
        <v>0</v>
      </c>
      <c r="CY1194">
        <f>S1194*(BZ1194/100)</f>
        <v>9982.2000000000007</v>
      </c>
      <c r="CZ1194">
        <f>S1194*(CA1194/100)</f>
        <v>4114.8</v>
      </c>
      <c r="DC1194" t="s">
        <v>3</v>
      </c>
      <c r="DD1194" t="s">
        <v>3</v>
      </c>
      <c r="DE1194" t="s">
        <v>3</v>
      </c>
      <c r="DF1194" t="s">
        <v>3</v>
      </c>
      <c r="DG1194" t="s">
        <v>3</v>
      </c>
      <c r="DH1194" t="s">
        <v>3</v>
      </c>
      <c r="DI1194" t="s">
        <v>3</v>
      </c>
      <c r="DJ1194" t="s">
        <v>3</v>
      </c>
      <c r="DK1194" t="s">
        <v>3</v>
      </c>
      <c r="DL1194" t="s">
        <v>3</v>
      </c>
      <c r="DM1194" t="s">
        <v>3</v>
      </c>
      <c r="DN1194">
        <v>161</v>
      </c>
      <c r="DO1194">
        <v>107</v>
      </c>
      <c r="DP1194">
        <v>1</v>
      </c>
      <c r="DQ1194">
        <v>1</v>
      </c>
      <c r="DU1194">
        <v>29983640</v>
      </c>
      <c r="DV1194" t="s">
        <v>585</v>
      </c>
      <c r="DW1194" t="s">
        <v>585</v>
      </c>
      <c r="DX1194">
        <v>0</v>
      </c>
      <c r="EE1194">
        <v>33799619</v>
      </c>
      <c r="EF1194">
        <v>30</v>
      </c>
      <c r="EG1194" t="s">
        <v>77</v>
      </c>
      <c r="EH1194">
        <v>0</v>
      </c>
      <c r="EI1194" t="s">
        <v>3</v>
      </c>
      <c r="EJ1194">
        <v>1</v>
      </c>
      <c r="EK1194">
        <v>1978</v>
      </c>
      <c r="EL1194" t="s">
        <v>587</v>
      </c>
      <c r="EM1194" t="s">
        <v>588</v>
      </c>
      <c r="EO1194" t="s">
        <v>3</v>
      </c>
      <c r="EQ1194">
        <v>131072</v>
      </c>
      <c r="ER1194">
        <v>1228.73</v>
      </c>
      <c r="ES1194">
        <v>1153.05</v>
      </c>
      <c r="ET1194">
        <v>6.65</v>
      </c>
      <c r="EU1194">
        <v>0.51</v>
      </c>
      <c r="EV1194">
        <v>69.03</v>
      </c>
      <c r="EW1194">
        <v>5.32</v>
      </c>
      <c r="EX1194">
        <v>0</v>
      </c>
      <c r="EY1194">
        <v>0</v>
      </c>
      <c r="FQ1194">
        <v>0</v>
      </c>
      <c r="FR1194">
        <f>ROUND(IF(AND(BH1194=3,BI1194=3),P1194,0),2)</f>
        <v>0</v>
      </c>
      <c r="FS1194">
        <v>0</v>
      </c>
      <c r="FX1194">
        <v>161</v>
      </c>
      <c r="FY1194">
        <v>107</v>
      </c>
      <c r="GA1194" t="s">
        <v>3</v>
      </c>
      <c r="GD1194">
        <v>0</v>
      </c>
      <c r="GF1194">
        <v>-1988417128</v>
      </c>
      <c r="GG1194">
        <v>2</v>
      </c>
      <c r="GH1194">
        <v>1</v>
      </c>
      <c r="GI1194">
        <v>2</v>
      </c>
      <c r="GJ1194">
        <v>0</v>
      </c>
      <c r="GK1194">
        <f>ROUND(R1194*(R12)/100,2)</f>
        <v>88.58</v>
      </c>
      <c r="GL1194">
        <f>ROUND(IF(AND(BH1194=3,BI1194=3,FS1194&lt;&gt;0),P1194,0),2)</f>
        <v>0</v>
      </c>
      <c r="GM1194">
        <f>ROUND(O1194+X1194+Y1194+GK1194,2)+GX1194</f>
        <v>33709.300000000003</v>
      </c>
      <c r="GN1194">
        <f>IF(OR(BI1194=0,BI1194=1),ROUND(O1194+X1194+Y1194+GK1194,2),0)</f>
        <v>33709.300000000003</v>
      </c>
      <c r="GO1194">
        <f>IF(BI1194=2,ROUND(O1194+X1194+Y1194+GK1194,2),0)</f>
        <v>0</v>
      </c>
      <c r="GP1194">
        <f>IF(BI1194=4,ROUND(O1194+X1194+Y1194+GK1194,2)+GX1194,0)</f>
        <v>0</v>
      </c>
      <c r="GR1194">
        <v>0</v>
      </c>
      <c r="GS1194">
        <v>3</v>
      </c>
      <c r="GT1194">
        <v>0</v>
      </c>
      <c r="GU1194" t="s">
        <v>3</v>
      </c>
      <c r="GV1194">
        <f>ROUND((GT1194),6)</f>
        <v>0</v>
      </c>
      <c r="GW1194">
        <v>1</v>
      </c>
      <c r="GX1194">
        <f>ROUND(HC1194*I1194,2)</f>
        <v>0</v>
      </c>
      <c r="HA1194">
        <v>0</v>
      </c>
      <c r="HB1194">
        <v>0</v>
      </c>
      <c r="HC1194">
        <f>GV1194*GW1194</f>
        <v>0</v>
      </c>
      <c r="IK1194">
        <v>0</v>
      </c>
    </row>
    <row r="1195" spans="1:245" x14ac:dyDescent="0.2">
      <c r="A1195">
        <v>18</v>
      </c>
      <c r="B1195">
        <v>1</v>
      </c>
      <c r="C1195">
        <v>364</v>
      </c>
      <c r="E1195" t="s">
        <v>597</v>
      </c>
      <c r="F1195" t="s">
        <v>598</v>
      </c>
      <c r="G1195" t="s">
        <v>599</v>
      </c>
      <c r="H1195" t="s">
        <v>328</v>
      </c>
      <c r="I1195">
        <f>I1194*J1195</f>
        <v>20</v>
      </c>
      <c r="J1195">
        <v>4.4444444444444446</v>
      </c>
      <c r="O1195">
        <f>ROUND(CP1195,2)</f>
        <v>14260.5</v>
      </c>
      <c r="P1195">
        <f>ROUND((ROUND((AC1195*AW1195*I1195),2)*BC1195),2)</f>
        <v>14260.5</v>
      </c>
      <c r="Q1195">
        <f>(ROUND((ROUND(((ET1195)*AV1195*I1195),2)*BB1195),2)+ROUND((ROUND(((AE1195-(EU1195))*AV1195*I1195),2)*BS1195),2))</f>
        <v>0</v>
      </c>
      <c r="R1195">
        <f>ROUND((ROUND((AE1195*AV1195*I1195),2)*BS1195),2)</f>
        <v>0</v>
      </c>
      <c r="S1195">
        <f>ROUND((ROUND((AF1195*AV1195*I1195),2)*BA1195),2)</f>
        <v>0</v>
      </c>
      <c r="T1195">
        <f>ROUND(CU1195*I1195,2)</f>
        <v>0</v>
      </c>
      <c r="U1195">
        <f>CV1195*I1195</f>
        <v>0</v>
      </c>
      <c r="V1195">
        <f>CW1195*I1195</f>
        <v>0</v>
      </c>
      <c r="W1195">
        <f>ROUND(CX1195*I1195,2)</f>
        <v>0</v>
      </c>
      <c r="X1195">
        <f t="shared" si="832"/>
        <v>0</v>
      </c>
      <c r="Y1195">
        <f t="shared" si="832"/>
        <v>0</v>
      </c>
      <c r="AA1195">
        <v>33989672</v>
      </c>
      <c r="AB1195">
        <f>ROUND((AC1195+AD1195+AF1195),6)</f>
        <v>950.7</v>
      </c>
      <c r="AC1195">
        <f>ROUND((ES1195),6)</f>
        <v>950.7</v>
      </c>
      <c r="AD1195">
        <f>ROUND((((ET1195)-(EU1195))+AE1195),6)</f>
        <v>0</v>
      </c>
      <c r="AE1195">
        <f t="shared" si="833"/>
        <v>0</v>
      </c>
      <c r="AF1195">
        <f t="shared" si="833"/>
        <v>0</v>
      </c>
      <c r="AG1195">
        <f>ROUND((AP1195),6)</f>
        <v>0</v>
      </c>
      <c r="AH1195">
        <f t="shared" si="834"/>
        <v>0</v>
      </c>
      <c r="AI1195">
        <f t="shared" si="834"/>
        <v>0</v>
      </c>
      <c r="AJ1195">
        <f>(AS1195)</f>
        <v>0</v>
      </c>
      <c r="AK1195">
        <v>950.7</v>
      </c>
      <c r="AL1195">
        <v>950.7</v>
      </c>
      <c r="AM1195">
        <v>0</v>
      </c>
      <c r="AN1195">
        <v>0</v>
      </c>
      <c r="AO1195">
        <v>0</v>
      </c>
      <c r="AP1195">
        <v>0</v>
      </c>
      <c r="AQ1195">
        <v>0</v>
      </c>
      <c r="AR1195">
        <v>0</v>
      </c>
      <c r="AS1195">
        <v>0</v>
      </c>
      <c r="AT1195">
        <v>0</v>
      </c>
      <c r="AU1195">
        <v>0</v>
      </c>
      <c r="AV1195">
        <v>1</v>
      </c>
      <c r="AW1195">
        <v>1</v>
      </c>
      <c r="AZ1195">
        <v>1</v>
      </c>
      <c r="BA1195">
        <v>1</v>
      </c>
      <c r="BB1195">
        <v>1</v>
      </c>
      <c r="BC1195">
        <v>0.75</v>
      </c>
      <c r="BD1195" t="s">
        <v>3</v>
      </c>
      <c r="BE1195" t="s">
        <v>3</v>
      </c>
      <c r="BF1195" t="s">
        <v>3</v>
      </c>
      <c r="BG1195" t="s">
        <v>3</v>
      </c>
      <c r="BH1195">
        <v>3</v>
      </c>
      <c r="BI1195">
        <v>1</v>
      </c>
      <c r="BJ1195" t="s">
        <v>600</v>
      </c>
      <c r="BM1195">
        <v>1978</v>
      </c>
      <c r="BN1195">
        <v>0</v>
      </c>
      <c r="BO1195" t="s">
        <v>598</v>
      </c>
      <c r="BP1195">
        <v>1</v>
      </c>
      <c r="BQ1195">
        <v>30</v>
      </c>
      <c r="BR1195">
        <v>0</v>
      </c>
      <c r="BS1195">
        <v>1</v>
      </c>
      <c r="BT1195">
        <v>1</v>
      </c>
      <c r="BU1195">
        <v>1</v>
      </c>
      <c r="BV1195">
        <v>1</v>
      </c>
      <c r="BW1195">
        <v>1</v>
      </c>
      <c r="BX1195">
        <v>1</v>
      </c>
      <c r="BY1195" t="s">
        <v>3</v>
      </c>
      <c r="BZ1195">
        <v>0</v>
      </c>
      <c r="CA1195">
        <v>0</v>
      </c>
      <c r="CE1195">
        <v>30</v>
      </c>
      <c r="CF1195">
        <v>0</v>
      </c>
      <c r="CG1195">
        <v>0</v>
      </c>
      <c r="CM1195">
        <v>0</v>
      </c>
      <c r="CN1195" t="s">
        <v>3</v>
      </c>
      <c r="CO1195">
        <v>0</v>
      </c>
      <c r="CP1195">
        <f>(P1195+Q1195+S1195)</f>
        <v>14260.5</v>
      </c>
      <c r="CQ1195">
        <f>ROUND((ROUND((AC1195*AW1195*1),2)*BC1195),2)</f>
        <v>713.03</v>
      </c>
      <c r="CR1195">
        <f>(ROUND((ROUND(((ET1195)*AV1195*1),2)*BB1195),2)+ROUND((ROUND(((AE1195-(EU1195))*AV1195*1),2)*BS1195),2))</f>
        <v>0</v>
      </c>
      <c r="CS1195">
        <f>ROUND((ROUND((AE1195*AV1195*1),2)*BS1195),2)</f>
        <v>0</v>
      </c>
      <c r="CT1195">
        <f>ROUND((ROUND((AF1195*AV1195*1),2)*BA1195),2)</f>
        <v>0</v>
      </c>
      <c r="CU1195">
        <f>AG1195</f>
        <v>0</v>
      </c>
      <c r="CV1195">
        <f>(AH1195*AV1195)</f>
        <v>0</v>
      </c>
      <c r="CW1195">
        <f t="shared" si="835"/>
        <v>0</v>
      </c>
      <c r="CX1195">
        <f t="shared" si="835"/>
        <v>0</v>
      </c>
      <c r="CY1195">
        <f>S1195*(BZ1195/100)</f>
        <v>0</v>
      </c>
      <c r="CZ1195">
        <f>S1195*(CA1195/100)</f>
        <v>0</v>
      </c>
      <c r="DC1195" t="s">
        <v>3</v>
      </c>
      <c r="DD1195" t="s">
        <v>3</v>
      </c>
      <c r="DE1195" t="s">
        <v>3</v>
      </c>
      <c r="DF1195" t="s">
        <v>3</v>
      </c>
      <c r="DG1195" t="s">
        <v>3</v>
      </c>
      <c r="DH1195" t="s">
        <v>3</v>
      </c>
      <c r="DI1195" t="s">
        <v>3</v>
      </c>
      <c r="DJ1195" t="s">
        <v>3</v>
      </c>
      <c r="DK1195" t="s">
        <v>3</v>
      </c>
      <c r="DL1195" t="s">
        <v>3</v>
      </c>
      <c r="DM1195" t="s">
        <v>3</v>
      </c>
      <c r="DN1195">
        <v>161</v>
      </c>
      <c r="DO1195">
        <v>107</v>
      </c>
      <c r="DP1195">
        <v>1</v>
      </c>
      <c r="DQ1195">
        <v>1</v>
      </c>
      <c r="DU1195">
        <v>1010</v>
      </c>
      <c r="DV1195" t="s">
        <v>328</v>
      </c>
      <c r="DW1195" t="s">
        <v>328</v>
      </c>
      <c r="DX1195">
        <v>1</v>
      </c>
      <c r="EE1195">
        <v>33799619</v>
      </c>
      <c r="EF1195">
        <v>30</v>
      </c>
      <c r="EG1195" t="s">
        <v>77</v>
      </c>
      <c r="EH1195">
        <v>0</v>
      </c>
      <c r="EI1195" t="s">
        <v>3</v>
      </c>
      <c r="EJ1195">
        <v>1</v>
      </c>
      <c r="EK1195">
        <v>1978</v>
      </c>
      <c r="EL1195" t="s">
        <v>587</v>
      </c>
      <c r="EM1195" t="s">
        <v>588</v>
      </c>
      <c r="EO1195" t="s">
        <v>3</v>
      </c>
      <c r="EQ1195">
        <v>0</v>
      </c>
      <c r="ER1195">
        <v>950.7</v>
      </c>
      <c r="ES1195">
        <v>950.7</v>
      </c>
      <c r="ET1195">
        <v>0</v>
      </c>
      <c r="EU1195">
        <v>0</v>
      </c>
      <c r="EV1195">
        <v>0</v>
      </c>
      <c r="EW1195">
        <v>0</v>
      </c>
      <c r="EX1195">
        <v>0</v>
      </c>
      <c r="FQ1195">
        <v>0</v>
      </c>
      <c r="FR1195">
        <f>ROUND(IF(AND(BH1195=3,BI1195=3),P1195,0),2)</f>
        <v>0</v>
      </c>
      <c r="FS1195">
        <v>0</v>
      </c>
      <c r="FX1195">
        <v>161</v>
      </c>
      <c r="FY1195">
        <v>107</v>
      </c>
      <c r="GA1195" t="s">
        <v>3</v>
      </c>
      <c r="GD1195">
        <v>0</v>
      </c>
      <c r="GF1195">
        <v>-1569363204</v>
      </c>
      <c r="GG1195">
        <v>2</v>
      </c>
      <c r="GH1195">
        <v>1</v>
      </c>
      <c r="GI1195">
        <v>2</v>
      </c>
      <c r="GJ1195">
        <v>0</v>
      </c>
      <c r="GK1195">
        <f>ROUND(R1195*(R12)/100,2)</f>
        <v>0</v>
      </c>
      <c r="GL1195">
        <f>ROUND(IF(AND(BH1195=3,BI1195=3,FS1195&lt;&gt;0),P1195,0),2)</f>
        <v>0</v>
      </c>
      <c r="GM1195">
        <f>ROUND(O1195+X1195+Y1195+GK1195,2)+GX1195</f>
        <v>14260.5</v>
      </c>
      <c r="GN1195">
        <f>IF(OR(BI1195=0,BI1195=1),ROUND(O1195+X1195+Y1195+GK1195,2),0)</f>
        <v>14260.5</v>
      </c>
      <c r="GO1195">
        <f>IF(BI1195=2,ROUND(O1195+X1195+Y1195+GK1195,2),0)</f>
        <v>0</v>
      </c>
      <c r="GP1195">
        <f>IF(BI1195=4,ROUND(O1195+X1195+Y1195+GK1195,2)+GX1195,0)</f>
        <v>0</v>
      </c>
      <c r="GR1195">
        <v>0</v>
      </c>
      <c r="GS1195">
        <v>3</v>
      </c>
      <c r="GT1195">
        <v>0</v>
      </c>
      <c r="GU1195" t="s">
        <v>3</v>
      </c>
      <c r="GV1195">
        <f>ROUND((GT1195),6)</f>
        <v>0</v>
      </c>
      <c r="GW1195">
        <v>1</v>
      </c>
      <c r="GX1195">
        <f>ROUND(HC1195*I1195,2)</f>
        <v>0</v>
      </c>
      <c r="HA1195">
        <v>0</v>
      </c>
      <c r="HB1195">
        <v>0</v>
      </c>
      <c r="HC1195">
        <f>GV1195*GW1195</f>
        <v>0</v>
      </c>
      <c r="IK1195">
        <v>0</v>
      </c>
    </row>
    <row r="1197" spans="1:245" x14ac:dyDescent="0.2">
      <c r="A1197" s="2">
        <v>51</v>
      </c>
      <c r="B1197" s="2">
        <f>B1188</f>
        <v>1</v>
      </c>
      <c r="C1197" s="2">
        <f>A1188</f>
        <v>4</v>
      </c>
      <c r="D1197" s="2">
        <f>ROW(A1188)</f>
        <v>1188</v>
      </c>
      <c r="E1197" s="2"/>
      <c r="F1197" s="2" t="str">
        <f>IF(F1188&lt;&gt;"",F1188,"")</f>
        <v>Новый раздел</v>
      </c>
      <c r="G1197" s="2" t="str">
        <f>IF(G1188&lt;&gt;"",G1188,"")</f>
        <v>42. Установка ИДН  (3,5м)</v>
      </c>
      <c r="H1197" s="2">
        <v>0</v>
      </c>
      <c r="I1197" s="2"/>
      <c r="J1197" s="2"/>
      <c r="K1197" s="2"/>
      <c r="L1197" s="2"/>
      <c r="M1197" s="2"/>
      <c r="N1197" s="2"/>
      <c r="O1197" s="2">
        <f t="shared" ref="O1197:T1197" si="836">ROUND(AB1197,2)</f>
        <v>227243.67</v>
      </c>
      <c r="P1197" s="2">
        <f t="shared" si="836"/>
        <v>181278.9</v>
      </c>
      <c r="Q1197" s="2">
        <f t="shared" si="836"/>
        <v>1010.36</v>
      </c>
      <c r="R1197" s="2">
        <f t="shared" si="836"/>
        <v>301.47000000000003</v>
      </c>
      <c r="S1197" s="2">
        <f t="shared" si="836"/>
        <v>44954.41</v>
      </c>
      <c r="T1197" s="2">
        <f t="shared" si="836"/>
        <v>0</v>
      </c>
      <c r="U1197" s="2">
        <f>AH1197</f>
        <v>137.34</v>
      </c>
      <c r="V1197" s="2">
        <f>AI1197</f>
        <v>0</v>
      </c>
      <c r="W1197" s="2">
        <f>ROUND(AJ1197,2)</f>
        <v>0</v>
      </c>
      <c r="X1197" s="2">
        <f>ROUND(AK1197,2)</f>
        <v>58890.28</v>
      </c>
      <c r="Y1197" s="2">
        <f>ROUND(AL1197,2)</f>
        <v>24275.38</v>
      </c>
      <c r="Z1197" s="2"/>
      <c r="AA1197" s="2"/>
      <c r="AB1197" s="2">
        <f>ROUND(SUMIF(AA1192:AA1195,"=33989672",O1192:O1195),2)</f>
        <v>227243.67</v>
      </c>
      <c r="AC1197" s="2">
        <f>ROUND(SUMIF(AA1192:AA1195,"=33989672",P1192:P1195),2)</f>
        <v>181278.9</v>
      </c>
      <c r="AD1197" s="2">
        <f>ROUND(SUMIF(AA1192:AA1195,"=33989672",Q1192:Q1195),2)</f>
        <v>1010.36</v>
      </c>
      <c r="AE1197" s="2">
        <f>ROUND(SUMIF(AA1192:AA1195,"=33989672",R1192:R1195),2)</f>
        <v>301.47000000000003</v>
      </c>
      <c r="AF1197" s="2">
        <f>ROUND(SUMIF(AA1192:AA1195,"=33989672",S1192:S1195),2)</f>
        <v>44954.41</v>
      </c>
      <c r="AG1197" s="2">
        <f>ROUND(SUMIF(AA1192:AA1195,"=33989672",T1192:T1195),2)</f>
        <v>0</v>
      </c>
      <c r="AH1197" s="2">
        <f>SUMIF(AA1192:AA1195,"=33989672",U1192:U1195)</f>
        <v>137.34</v>
      </c>
      <c r="AI1197" s="2">
        <f>SUMIF(AA1192:AA1195,"=33989672",V1192:V1195)</f>
        <v>0</v>
      </c>
      <c r="AJ1197" s="2">
        <f>ROUND(SUMIF(AA1192:AA1195,"=33989672",W1192:W1195),2)</f>
        <v>0</v>
      </c>
      <c r="AK1197" s="2">
        <f>ROUND(SUMIF(AA1192:AA1195,"=33989672",X1192:X1195),2)</f>
        <v>58890.28</v>
      </c>
      <c r="AL1197" s="2">
        <f>ROUND(SUMIF(AA1192:AA1195,"=33989672",Y1192:Y1195),2)</f>
        <v>24275.38</v>
      </c>
      <c r="AM1197" s="2"/>
      <c r="AN1197" s="2"/>
      <c r="AO1197" s="2">
        <f t="shared" ref="AO1197:BD1197" si="837">ROUND(BX1197,2)</f>
        <v>0</v>
      </c>
      <c r="AP1197" s="2">
        <f t="shared" si="837"/>
        <v>0</v>
      </c>
      <c r="AQ1197" s="2">
        <f t="shared" si="837"/>
        <v>0</v>
      </c>
      <c r="AR1197" s="2">
        <f t="shared" si="837"/>
        <v>310882.64</v>
      </c>
      <c r="AS1197" s="2">
        <f t="shared" si="837"/>
        <v>310882.64</v>
      </c>
      <c r="AT1197" s="2">
        <f t="shared" si="837"/>
        <v>0</v>
      </c>
      <c r="AU1197" s="2">
        <f t="shared" si="837"/>
        <v>0</v>
      </c>
      <c r="AV1197" s="2">
        <f t="shared" si="837"/>
        <v>181278.9</v>
      </c>
      <c r="AW1197" s="2">
        <f t="shared" si="837"/>
        <v>181278.9</v>
      </c>
      <c r="AX1197" s="2">
        <f t="shared" si="837"/>
        <v>0</v>
      </c>
      <c r="AY1197" s="2">
        <f t="shared" si="837"/>
        <v>181278.9</v>
      </c>
      <c r="AZ1197" s="2">
        <f t="shared" si="837"/>
        <v>0</v>
      </c>
      <c r="BA1197" s="2">
        <f t="shared" si="837"/>
        <v>0</v>
      </c>
      <c r="BB1197" s="2">
        <f t="shared" si="837"/>
        <v>0</v>
      </c>
      <c r="BC1197" s="2">
        <f t="shared" si="837"/>
        <v>0</v>
      </c>
      <c r="BD1197" s="2">
        <f t="shared" si="837"/>
        <v>0</v>
      </c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>
        <f>ROUND(SUMIF(AA1192:AA1195,"=33989672",FQ1192:FQ1195),2)</f>
        <v>0</v>
      </c>
      <c r="BY1197" s="2">
        <f>ROUND(SUMIF(AA1192:AA1195,"=33989672",FR1192:FR1195),2)</f>
        <v>0</v>
      </c>
      <c r="BZ1197" s="2">
        <f>ROUND(SUMIF(AA1192:AA1195,"=33989672",GL1192:GL1195),2)</f>
        <v>0</v>
      </c>
      <c r="CA1197" s="2">
        <f>ROUND(SUMIF(AA1192:AA1195,"=33989672",GM1192:GM1195),2)</f>
        <v>310882.64</v>
      </c>
      <c r="CB1197" s="2">
        <f>ROUND(SUMIF(AA1192:AA1195,"=33989672",GN1192:GN1195),2)</f>
        <v>310882.64</v>
      </c>
      <c r="CC1197" s="2">
        <f>ROUND(SUMIF(AA1192:AA1195,"=33989672",GO1192:GO1195),2)</f>
        <v>0</v>
      </c>
      <c r="CD1197" s="2">
        <f>ROUND(SUMIF(AA1192:AA1195,"=33989672",GP1192:GP1195),2)</f>
        <v>0</v>
      </c>
      <c r="CE1197" s="2">
        <f>AC1197-BX1197</f>
        <v>181278.9</v>
      </c>
      <c r="CF1197" s="2">
        <f>AC1197-BY1197</f>
        <v>181278.9</v>
      </c>
      <c r="CG1197" s="2">
        <f>BX1197-BZ1197</f>
        <v>0</v>
      </c>
      <c r="CH1197" s="2">
        <f>AC1197-BX1197-BY1197+BZ1197</f>
        <v>181278.9</v>
      </c>
      <c r="CI1197" s="2">
        <f>BY1197-BZ1197</f>
        <v>0</v>
      </c>
      <c r="CJ1197" s="2">
        <f>ROUND(SUMIF(AA1192:AA1195,"=33989672",GX1192:GX1195),2)</f>
        <v>0</v>
      </c>
      <c r="CK1197" s="2">
        <f>ROUND(SUMIF(AA1192:AA1195,"=33989672",GY1192:GY1195),2)</f>
        <v>0</v>
      </c>
      <c r="CL1197" s="2">
        <f>ROUND(SUMIF(AA1192:AA1195,"=33989672",GZ1192:GZ1195),2)</f>
        <v>0</v>
      </c>
      <c r="CM1197" s="2">
        <f>ROUND(SUMIF(AA1192:AA1195,"=33989672",HD1192:HD1195),2)</f>
        <v>0</v>
      </c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3"/>
      <c r="DH1197" s="3"/>
      <c r="DI1197" s="3"/>
      <c r="DJ1197" s="3"/>
      <c r="DK1197" s="3"/>
      <c r="DL1197" s="3"/>
      <c r="DM1197" s="3"/>
      <c r="DN1197" s="3"/>
      <c r="DO1197" s="3"/>
      <c r="DP1197" s="3"/>
      <c r="DQ1197" s="3"/>
      <c r="DR1197" s="3"/>
      <c r="DS1197" s="3"/>
      <c r="DT1197" s="3"/>
      <c r="DU1197" s="3"/>
      <c r="DV1197" s="3"/>
      <c r="DW1197" s="3"/>
      <c r="DX1197" s="3"/>
      <c r="DY1197" s="3"/>
      <c r="DZ1197" s="3"/>
      <c r="EA1197" s="3"/>
      <c r="EB1197" s="3"/>
      <c r="EC1197" s="3"/>
      <c r="ED1197" s="3"/>
      <c r="EE1197" s="3"/>
      <c r="EF1197" s="3"/>
      <c r="EG1197" s="3"/>
      <c r="EH1197" s="3"/>
      <c r="EI1197" s="3"/>
      <c r="EJ1197" s="3"/>
      <c r="EK1197" s="3"/>
      <c r="EL1197" s="3"/>
      <c r="EM1197" s="3"/>
      <c r="EN1197" s="3"/>
      <c r="EO1197" s="3"/>
      <c r="EP1197" s="3"/>
      <c r="EQ1197" s="3"/>
      <c r="ER1197" s="3"/>
      <c r="ES1197" s="3"/>
      <c r="ET1197" s="3"/>
      <c r="EU1197" s="3"/>
      <c r="EV1197" s="3"/>
      <c r="EW1197" s="3"/>
      <c r="EX1197" s="3"/>
      <c r="EY1197" s="3"/>
      <c r="EZ1197" s="3"/>
      <c r="FA1197" s="3"/>
      <c r="FB1197" s="3"/>
      <c r="FC1197" s="3"/>
      <c r="FD1197" s="3"/>
      <c r="FE1197" s="3"/>
      <c r="FF1197" s="3"/>
      <c r="FG1197" s="3"/>
      <c r="FH1197" s="3"/>
      <c r="FI1197" s="3"/>
      <c r="FJ1197" s="3"/>
      <c r="FK1197" s="3"/>
      <c r="FL1197" s="3"/>
      <c r="FM1197" s="3"/>
      <c r="FN1197" s="3"/>
      <c r="FO1197" s="3"/>
      <c r="FP1197" s="3"/>
      <c r="FQ1197" s="3"/>
      <c r="FR1197" s="3"/>
      <c r="FS1197" s="3"/>
      <c r="FT1197" s="3"/>
      <c r="FU1197" s="3"/>
      <c r="FV1197" s="3"/>
      <c r="FW1197" s="3"/>
      <c r="FX1197" s="3"/>
      <c r="FY1197" s="3"/>
      <c r="FZ1197" s="3"/>
      <c r="GA1197" s="3"/>
      <c r="GB1197" s="3"/>
      <c r="GC1197" s="3"/>
      <c r="GD1197" s="3"/>
      <c r="GE1197" s="3"/>
      <c r="GF1197" s="3"/>
      <c r="GG1197" s="3"/>
      <c r="GH1197" s="3"/>
      <c r="GI1197" s="3"/>
      <c r="GJ1197" s="3"/>
      <c r="GK1197" s="3"/>
      <c r="GL1197" s="3"/>
      <c r="GM1197" s="3"/>
      <c r="GN1197" s="3"/>
      <c r="GO1197" s="3"/>
      <c r="GP1197" s="3"/>
      <c r="GQ1197" s="3"/>
      <c r="GR1197" s="3"/>
      <c r="GS1197" s="3"/>
      <c r="GT1197" s="3"/>
      <c r="GU1197" s="3"/>
      <c r="GV1197" s="3"/>
      <c r="GW1197" s="3"/>
      <c r="GX1197" s="3">
        <v>0</v>
      </c>
    </row>
    <row r="1199" spans="1:245" x14ac:dyDescent="0.2">
      <c r="A1199" s="4">
        <v>50</v>
      </c>
      <c r="B1199" s="4">
        <v>0</v>
      </c>
      <c r="C1199" s="4">
        <v>0</v>
      </c>
      <c r="D1199" s="4">
        <v>1</v>
      </c>
      <c r="E1199" s="4">
        <v>201</v>
      </c>
      <c r="F1199" s="4">
        <f>ROUND(Source!O1197,O1199)</f>
        <v>227243.67</v>
      </c>
      <c r="G1199" s="4" t="s">
        <v>89</v>
      </c>
      <c r="H1199" s="4" t="s">
        <v>90</v>
      </c>
      <c r="I1199" s="4"/>
      <c r="J1199" s="4"/>
      <c r="K1199" s="4">
        <v>201</v>
      </c>
      <c r="L1199" s="4">
        <v>1</v>
      </c>
      <c r="M1199" s="4">
        <v>3</v>
      </c>
      <c r="N1199" s="4" t="s">
        <v>3</v>
      </c>
      <c r="O1199" s="4">
        <v>2</v>
      </c>
      <c r="P1199" s="4"/>
      <c r="Q1199" s="4"/>
      <c r="R1199" s="4"/>
      <c r="S1199" s="4"/>
      <c r="T1199" s="4"/>
      <c r="U1199" s="4"/>
      <c r="V1199" s="4"/>
      <c r="W1199" s="4"/>
    </row>
    <row r="1200" spans="1:245" x14ac:dyDescent="0.2">
      <c r="A1200" s="4">
        <v>50</v>
      </c>
      <c r="B1200" s="4">
        <v>0</v>
      </c>
      <c r="C1200" s="4">
        <v>0</v>
      </c>
      <c r="D1200" s="4">
        <v>1</v>
      </c>
      <c r="E1200" s="4">
        <v>202</v>
      </c>
      <c r="F1200" s="4">
        <f>ROUND(Source!P1197,O1200)</f>
        <v>181278.9</v>
      </c>
      <c r="G1200" s="4" t="s">
        <v>91</v>
      </c>
      <c r="H1200" s="4" t="s">
        <v>92</v>
      </c>
      <c r="I1200" s="4"/>
      <c r="J1200" s="4"/>
      <c r="K1200" s="4">
        <v>202</v>
      </c>
      <c r="L1200" s="4">
        <v>2</v>
      </c>
      <c r="M1200" s="4">
        <v>3</v>
      </c>
      <c r="N1200" s="4" t="s">
        <v>3</v>
      </c>
      <c r="O1200" s="4">
        <v>2</v>
      </c>
      <c r="P1200" s="4"/>
      <c r="Q1200" s="4"/>
      <c r="R1200" s="4"/>
      <c r="S1200" s="4"/>
      <c r="T1200" s="4"/>
      <c r="U1200" s="4"/>
      <c r="V1200" s="4"/>
      <c r="W1200" s="4"/>
    </row>
    <row r="1201" spans="1:23" x14ac:dyDescent="0.2">
      <c r="A1201" s="4">
        <v>50</v>
      </c>
      <c r="B1201" s="4">
        <v>0</v>
      </c>
      <c r="C1201" s="4">
        <v>0</v>
      </c>
      <c r="D1201" s="4">
        <v>1</v>
      </c>
      <c r="E1201" s="4">
        <v>222</v>
      </c>
      <c r="F1201" s="4">
        <f>ROUND(Source!AO1197,O1201)</f>
        <v>0</v>
      </c>
      <c r="G1201" s="4" t="s">
        <v>93</v>
      </c>
      <c r="H1201" s="4" t="s">
        <v>94</v>
      </c>
      <c r="I1201" s="4"/>
      <c r="J1201" s="4"/>
      <c r="K1201" s="4">
        <v>222</v>
      </c>
      <c r="L1201" s="4">
        <v>3</v>
      </c>
      <c r="M1201" s="4">
        <v>3</v>
      </c>
      <c r="N1201" s="4" t="s">
        <v>3</v>
      </c>
      <c r="O1201" s="4">
        <v>2</v>
      </c>
      <c r="P1201" s="4"/>
      <c r="Q1201" s="4"/>
      <c r="R1201" s="4"/>
      <c r="S1201" s="4"/>
      <c r="T1201" s="4"/>
      <c r="U1201" s="4"/>
      <c r="V1201" s="4"/>
      <c r="W1201" s="4"/>
    </row>
    <row r="1202" spans="1:23" x14ac:dyDescent="0.2">
      <c r="A1202" s="4">
        <v>50</v>
      </c>
      <c r="B1202" s="4">
        <v>0</v>
      </c>
      <c r="C1202" s="4">
        <v>0</v>
      </c>
      <c r="D1202" s="4">
        <v>1</v>
      </c>
      <c r="E1202" s="4">
        <v>225</v>
      </c>
      <c r="F1202" s="4">
        <f>ROUND(Source!AV1197,O1202)</f>
        <v>181278.9</v>
      </c>
      <c r="G1202" s="4" t="s">
        <v>95</v>
      </c>
      <c r="H1202" s="4" t="s">
        <v>96</v>
      </c>
      <c r="I1202" s="4"/>
      <c r="J1202" s="4"/>
      <c r="K1202" s="4">
        <v>225</v>
      </c>
      <c r="L1202" s="4">
        <v>4</v>
      </c>
      <c r="M1202" s="4">
        <v>3</v>
      </c>
      <c r="N1202" s="4" t="s">
        <v>3</v>
      </c>
      <c r="O1202" s="4">
        <v>2</v>
      </c>
      <c r="P1202" s="4"/>
      <c r="Q1202" s="4"/>
      <c r="R1202" s="4"/>
      <c r="S1202" s="4"/>
      <c r="T1202" s="4"/>
      <c r="U1202" s="4"/>
      <c r="V1202" s="4"/>
      <c r="W1202" s="4"/>
    </row>
    <row r="1203" spans="1:23" x14ac:dyDescent="0.2">
      <c r="A1203" s="4">
        <v>50</v>
      </c>
      <c r="B1203" s="4">
        <v>0</v>
      </c>
      <c r="C1203" s="4">
        <v>0</v>
      </c>
      <c r="D1203" s="4">
        <v>1</v>
      </c>
      <c r="E1203" s="4">
        <v>226</v>
      </c>
      <c r="F1203" s="4">
        <f>ROUND(Source!AW1197,O1203)</f>
        <v>181278.9</v>
      </c>
      <c r="G1203" s="4" t="s">
        <v>97</v>
      </c>
      <c r="H1203" s="4" t="s">
        <v>98</v>
      </c>
      <c r="I1203" s="4"/>
      <c r="J1203" s="4"/>
      <c r="K1203" s="4">
        <v>226</v>
      </c>
      <c r="L1203" s="4">
        <v>5</v>
      </c>
      <c r="M1203" s="4">
        <v>3</v>
      </c>
      <c r="N1203" s="4" t="s">
        <v>3</v>
      </c>
      <c r="O1203" s="4">
        <v>2</v>
      </c>
      <c r="P1203" s="4"/>
      <c r="Q1203" s="4"/>
      <c r="R1203" s="4"/>
      <c r="S1203" s="4"/>
      <c r="T1203" s="4"/>
      <c r="U1203" s="4"/>
      <c r="V1203" s="4"/>
      <c r="W1203" s="4"/>
    </row>
    <row r="1204" spans="1:23" x14ac:dyDescent="0.2">
      <c r="A1204" s="4">
        <v>50</v>
      </c>
      <c r="B1204" s="4">
        <v>0</v>
      </c>
      <c r="C1204" s="4">
        <v>0</v>
      </c>
      <c r="D1204" s="4">
        <v>1</v>
      </c>
      <c r="E1204" s="4">
        <v>227</v>
      </c>
      <c r="F1204" s="4">
        <f>ROUND(Source!AX1197,O1204)</f>
        <v>0</v>
      </c>
      <c r="G1204" s="4" t="s">
        <v>99</v>
      </c>
      <c r="H1204" s="4" t="s">
        <v>100</v>
      </c>
      <c r="I1204" s="4"/>
      <c r="J1204" s="4"/>
      <c r="K1204" s="4">
        <v>227</v>
      </c>
      <c r="L1204" s="4">
        <v>6</v>
      </c>
      <c r="M1204" s="4">
        <v>3</v>
      </c>
      <c r="N1204" s="4" t="s">
        <v>3</v>
      </c>
      <c r="O1204" s="4">
        <v>2</v>
      </c>
      <c r="P1204" s="4"/>
      <c r="Q1204" s="4"/>
      <c r="R1204" s="4"/>
      <c r="S1204" s="4"/>
      <c r="T1204" s="4"/>
      <c r="U1204" s="4"/>
      <c r="V1204" s="4"/>
      <c r="W1204" s="4"/>
    </row>
    <row r="1205" spans="1:23" x14ac:dyDescent="0.2">
      <c r="A1205" s="4">
        <v>50</v>
      </c>
      <c r="B1205" s="4">
        <v>0</v>
      </c>
      <c r="C1205" s="4">
        <v>0</v>
      </c>
      <c r="D1205" s="4">
        <v>1</v>
      </c>
      <c r="E1205" s="4">
        <v>228</v>
      </c>
      <c r="F1205" s="4">
        <f>ROUND(Source!AY1197,O1205)</f>
        <v>181278.9</v>
      </c>
      <c r="G1205" s="4" t="s">
        <v>101</v>
      </c>
      <c r="H1205" s="4" t="s">
        <v>102</v>
      </c>
      <c r="I1205" s="4"/>
      <c r="J1205" s="4"/>
      <c r="K1205" s="4">
        <v>228</v>
      </c>
      <c r="L1205" s="4">
        <v>7</v>
      </c>
      <c r="M1205" s="4">
        <v>3</v>
      </c>
      <c r="N1205" s="4" t="s">
        <v>3</v>
      </c>
      <c r="O1205" s="4">
        <v>2</v>
      </c>
      <c r="P1205" s="4"/>
      <c r="Q1205" s="4"/>
      <c r="R1205" s="4"/>
      <c r="S1205" s="4"/>
      <c r="T1205" s="4"/>
      <c r="U1205" s="4"/>
      <c r="V1205" s="4"/>
      <c r="W1205" s="4"/>
    </row>
    <row r="1206" spans="1:23" x14ac:dyDescent="0.2">
      <c r="A1206" s="4">
        <v>50</v>
      </c>
      <c r="B1206" s="4">
        <v>0</v>
      </c>
      <c r="C1206" s="4">
        <v>0</v>
      </c>
      <c r="D1206" s="4">
        <v>1</v>
      </c>
      <c r="E1206" s="4">
        <v>216</v>
      </c>
      <c r="F1206" s="4">
        <f>ROUND(Source!AP1197,O1206)</f>
        <v>0</v>
      </c>
      <c r="G1206" s="4" t="s">
        <v>103</v>
      </c>
      <c r="H1206" s="4" t="s">
        <v>104</v>
      </c>
      <c r="I1206" s="4"/>
      <c r="J1206" s="4"/>
      <c r="K1206" s="4">
        <v>216</v>
      </c>
      <c r="L1206" s="4">
        <v>8</v>
      </c>
      <c r="M1206" s="4">
        <v>3</v>
      </c>
      <c r="N1206" s="4" t="s">
        <v>3</v>
      </c>
      <c r="O1206" s="4">
        <v>2</v>
      </c>
      <c r="P1206" s="4"/>
      <c r="Q1206" s="4"/>
      <c r="R1206" s="4"/>
      <c r="S1206" s="4"/>
      <c r="T1206" s="4"/>
      <c r="U1206" s="4"/>
      <c r="V1206" s="4"/>
      <c r="W1206" s="4"/>
    </row>
    <row r="1207" spans="1:23" x14ac:dyDescent="0.2">
      <c r="A1207" s="4">
        <v>50</v>
      </c>
      <c r="B1207" s="4">
        <v>0</v>
      </c>
      <c r="C1207" s="4">
        <v>0</v>
      </c>
      <c r="D1207" s="4">
        <v>1</v>
      </c>
      <c r="E1207" s="4">
        <v>223</v>
      </c>
      <c r="F1207" s="4">
        <f>ROUND(Source!AQ1197,O1207)</f>
        <v>0</v>
      </c>
      <c r="G1207" s="4" t="s">
        <v>105</v>
      </c>
      <c r="H1207" s="4" t="s">
        <v>106</v>
      </c>
      <c r="I1207" s="4"/>
      <c r="J1207" s="4"/>
      <c r="K1207" s="4">
        <v>223</v>
      </c>
      <c r="L1207" s="4">
        <v>9</v>
      </c>
      <c r="M1207" s="4">
        <v>3</v>
      </c>
      <c r="N1207" s="4" t="s">
        <v>3</v>
      </c>
      <c r="O1207" s="4">
        <v>2</v>
      </c>
      <c r="P1207" s="4"/>
      <c r="Q1207" s="4"/>
      <c r="R1207" s="4"/>
      <c r="S1207" s="4"/>
      <c r="T1207" s="4"/>
      <c r="U1207" s="4"/>
      <c r="V1207" s="4"/>
      <c r="W1207" s="4"/>
    </row>
    <row r="1208" spans="1:23" x14ac:dyDescent="0.2">
      <c r="A1208" s="4">
        <v>50</v>
      </c>
      <c r="B1208" s="4">
        <v>0</v>
      </c>
      <c r="C1208" s="4">
        <v>0</v>
      </c>
      <c r="D1208" s="4">
        <v>1</v>
      </c>
      <c r="E1208" s="4">
        <v>229</v>
      </c>
      <c r="F1208" s="4">
        <f>ROUND(Source!AZ1197,O1208)</f>
        <v>0</v>
      </c>
      <c r="G1208" s="4" t="s">
        <v>107</v>
      </c>
      <c r="H1208" s="4" t="s">
        <v>108</v>
      </c>
      <c r="I1208" s="4"/>
      <c r="J1208" s="4"/>
      <c r="K1208" s="4">
        <v>229</v>
      </c>
      <c r="L1208" s="4">
        <v>10</v>
      </c>
      <c r="M1208" s="4">
        <v>3</v>
      </c>
      <c r="N1208" s="4" t="s">
        <v>3</v>
      </c>
      <c r="O1208" s="4">
        <v>2</v>
      </c>
      <c r="P1208" s="4"/>
      <c r="Q1208" s="4"/>
      <c r="R1208" s="4"/>
      <c r="S1208" s="4"/>
      <c r="T1208" s="4"/>
      <c r="U1208" s="4"/>
      <c r="V1208" s="4"/>
      <c r="W1208" s="4"/>
    </row>
    <row r="1209" spans="1:23" x14ac:dyDescent="0.2">
      <c r="A1209" s="4">
        <v>50</v>
      </c>
      <c r="B1209" s="4">
        <v>0</v>
      </c>
      <c r="C1209" s="4">
        <v>0</v>
      </c>
      <c r="D1209" s="4">
        <v>1</v>
      </c>
      <c r="E1209" s="4">
        <v>203</v>
      </c>
      <c r="F1209" s="4">
        <f>ROUND(Source!Q1197,O1209)</f>
        <v>1010.36</v>
      </c>
      <c r="G1209" s="4" t="s">
        <v>109</v>
      </c>
      <c r="H1209" s="4" t="s">
        <v>110</v>
      </c>
      <c r="I1209" s="4"/>
      <c r="J1209" s="4"/>
      <c r="K1209" s="4">
        <v>203</v>
      </c>
      <c r="L1209" s="4">
        <v>11</v>
      </c>
      <c r="M1209" s="4">
        <v>3</v>
      </c>
      <c r="N1209" s="4" t="s">
        <v>3</v>
      </c>
      <c r="O1209" s="4">
        <v>2</v>
      </c>
      <c r="P1209" s="4"/>
      <c r="Q1209" s="4"/>
      <c r="R1209" s="4"/>
      <c r="S1209" s="4"/>
      <c r="T1209" s="4"/>
      <c r="U1209" s="4"/>
      <c r="V1209" s="4"/>
      <c r="W1209" s="4"/>
    </row>
    <row r="1210" spans="1:23" x14ac:dyDescent="0.2">
      <c r="A1210" s="4">
        <v>50</v>
      </c>
      <c r="B1210" s="4">
        <v>0</v>
      </c>
      <c r="C1210" s="4">
        <v>0</v>
      </c>
      <c r="D1210" s="4">
        <v>1</v>
      </c>
      <c r="E1210" s="4">
        <v>231</v>
      </c>
      <c r="F1210" s="4">
        <f>ROUND(Source!BB1197,O1210)</f>
        <v>0</v>
      </c>
      <c r="G1210" s="4" t="s">
        <v>111</v>
      </c>
      <c r="H1210" s="4" t="s">
        <v>112</v>
      </c>
      <c r="I1210" s="4"/>
      <c r="J1210" s="4"/>
      <c r="K1210" s="4">
        <v>231</v>
      </c>
      <c r="L1210" s="4">
        <v>12</v>
      </c>
      <c r="M1210" s="4">
        <v>3</v>
      </c>
      <c r="N1210" s="4" t="s">
        <v>3</v>
      </c>
      <c r="O1210" s="4">
        <v>2</v>
      </c>
      <c r="P1210" s="4"/>
      <c r="Q1210" s="4"/>
      <c r="R1210" s="4"/>
      <c r="S1210" s="4"/>
      <c r="T1210" s="4"/>
      <c r="U1210" s="4"/>
      <c r="V1210" s="4"/>
      <c r="W1210" s="4"/>
    </row>
    <row r="1211" spans="1:23" x14ac:dyDescent="0.2">
      <c r="A1211" s="4">
        <v>50</v>
      </c>
      <c r="B1211" s="4">
        <v>0</v>
      </c>
      <c r="C1211" s="4">
        <v>0</v>
      </c>
      <c r="D1211" s="4">
        <v>1</v>
      </c>
      <c r="E1211" s="4">
        <v>204</v>
      </c>
      <c r="F1211" s="4">
        <f>ROUND(Source!R1197,O1211)</f>
        <v>301.47000000000003</v>
      </c>
      <c r="G1211" s="4" t="s">
        <v>113</v>
      </c>
      <c r="H1211" s="4" t="s">
        <v>114</v>
      </c>
      <c r="I1211" s="4"/>
      <c r="J1211" s="4"/>
      <c r="K1211" s="4">
        <v>204</v>
      </c>
      <c r="L1211" s="4">
        <v>13</v>
      </c>
      <c r="M1211" s="4">
        <v>3</v>
      </c>
      <c r="N1211" s="4" t="s">
        <v>3</v>
      </c>
      <c r="O1211" s="4">
        <v>2</v>
      </c>
      <c r="P1211" s="4"/>
      <c r="Q1211" s="4"/>
      <c r="R1211" s="4"/>
      <c r="S1211" s="4"/>
      <c r="T1211" s="4"/>
      <c r="U1211" s="4"/>
      <c r="V1211" s="4"/>
      <c r="W1211" s="4"/>
    </row>
    <row r="1212" spans="1:23" x14ac:dyDescent="0.2">
      <c r="A1212" s="4">
        <v>50</v>
      </c>
      <c r="B1212" s="4">
        <v>0</v>
      </c>
      <c r="C1212" s="4">
        <v>0</v>
      </c>
      <c r="D1212" s="4">
        <v>1</v>
      </c>
      <c r="E1212" s="4">
        <v>205</v>
      </c>
      <c r="F1212" s="4">
        <f>ROUND(Source!S1197,O1212)</f>
        <v>44954.41</v>
      </c>
      <c r="G1212" s="4" t="s">
        <v>115</v>
      </c>
      <c r="H1212" s="4" t="s">
        <v>116</v>
      </c>
      <c r="I1212" s="4"/>
      <c r="J1212" s="4"/>
      <c r="K1212" s="4">
        <v>205</v>
      </c>
      <c r="L1212" s="4">
        <v>14</v>
      </c>
      <c r="M1212" s="4">
        <v>3</v>
      </c>
      <c r="N1212" s="4" t="s">
        <v>3</v>
      </c>
      <c r="O1212" s="4">
        <v>2</v>
      </c>
      <c r="P1212" s="4"/>
      <c r="Q1212" s="4"/>
      <c r="R1212" s="4"/>
      <c r="S1212" s="4"/>
      <c r="T1212" s="4"/>
      <c r="U1212" s="4"/>
      <c r="V1212" s="4"/>
      <c r="W1212" s="4"/>
    </row>
    <row r="1213" spans="1:23" x14ac:dyDescent="0.2">
      <c r="A1213" s="4">
        <v>50</v>
      </c>
      <c r="B1213" s="4">
        <v>0</v>
      </c>
      <c r="C1213" s="4">
        <v>0</v>
      </c>
      <c r="D1213" s="4">
        <v>1</v>
      </c>
      <c r="E1213" s="4">
        <v>232</v>
      </c>
      <c r="F1213" s="4">
        <f>ROUND(Source!BC1197,O1213)</f>
        <v>0</v>
      </c>
      <c r="G1213" s="4" t="s">
        <v>117</v>
      </c>
      <c r="H1213" s="4" t="s">
        <v>118</v>
      </c>
      <c r="I1213" s="4"/>
      <c r="J1213" s="4"/>
      <c r="K1213" s="4">
        <v>232</v>
      </c>
      <c r="L1213" s="4">
        <v>15</v>
      </c>
      <c r="M1213" s="4">
        <v>3</v>
      </c>
      <c r="N1213" s="4" t="s">
        <v>3</v>
      </c>
      <c r="O1213" s="4">
        <v>2</v>
      </c>
      <c r="P1213" s="4"/>
      <c r="Q1213" s="4"/>
      <c r="R1213" s="4"/>
      <c r="S1213" s="4"/>
      <c r="T1213" s="4"/>
      <c r="U1213" s="4"/>
      <c r="V1213" s="4"/>
      <c r="W1213" s="4"/>
    </row>
    <row r="1214" spans="1:23" x14ac:dyDescent="0.2">
      <c r="A1214" s="4">
        <v>50</v>
      </c>
      <c r="B1214" s="4">
        <v>0</v>
      </c>
      <c r="C1214" s="4">
        <v>0</v>
      </c>
      <c r="D1214" s="4">
        <v>1</v>
      </c>
      <c r="E1214" s="4">
        <v>214</v>
      </c>
      <c r="F1214" s="4">
        <f>ROUND(Source!AS1197,O1214)</f>
        <v>310882.64</v>
      </c>
      <c r="G1214" s="4" t="s">
        <v>119</v>
      </c>
      <c r="H1214" s="4" t="s">
        <v>120</v>
      </c>
      <c r="I1214" s="4"/>
      <c r="J1214" s="4"/>
      <c r="K1214" s="4">
        <v>214</v>
      </c>
      <c r="L1214" s="4">
        <v>16</v>
      </c>
      <c r="M1214" s="4">
        <v>3</v>
      </c>
      <c r="N1214" s="4" t="s">
        <v>3</v>
      </c>
      <c r="O1214" s="4">
        <v>2</v>
      </c>
      <c r="P1214" s="4"/>
      <c r="Q1214" s="4"/>
      <c r="R1214" s="4"/>
      <c r="S1214" s="4"/>
      <c r="T1214" s="4"/>
      <c r="U1214" s="4"/>
      <c r="V1214" s="4"/>
      <c r="W1214" s="4"/>
    </row>
    <row r="1215" spans="1:23" x14ac:dyDescent="0.2">
      <c r="A1215" s="4">
        <v>50</v>
      </c>
      <c r="B1215" s="4">
        <v>0</v>
      </c>
      <c r="C1215" s="4">
        <v>0</v>
      </c>
      <c r="D1215" s="4">
        <v>1</v>
      </c>
      <c r="E1215" s="4">
        <v>215</v>
      </c>
      <c r="F1215" s="4">
        <f>ROUND(Source!AT1197,O1215)</f>
        <v>0</v>
      </c>
      <c r="G1215" s="4" t="s">
        <v>121</v>
      </c>
      <c r="H1215" s="4" t="s">
        <v>122</v>
      </c>
      <c r="I1215" s="4"/>
      <c r="J1215" s="4"/>
      <c r="K1215" s="4">
        <v>215</v>
      </c>
      <c r="L1215" s="4">
        <v>17</v>
      </c>
      <c r="M1215" s="4">
        <v>3</v>
      </c>
      <c r="N1215" s="4" t="s">
        <v>3</v>
      </c>
      <c r="O1215" s="4">
        <v>2</v>
      </c>
      <c r="P1215" s="4"/>
      <c r="Q1215" s="4"/>
      <c r="R1215" s="4"/>
      <c r="S1215" s="4"/>
      <c r="T1215" s="4"/>
      <c r="U1215" s="4"/>
      <c r="V1215" s="4"/>
      <c r="W1215" s="4"/>
    </row>
    <row r="1216" spans="1:23" x14ac:dyDescent="0.2">
      <c r="A1216" s="4">
        <v>50</v>
      </c>
      <c r="B1216" s="4">
        <v>0</v>
      </c>
      <c r="C1216" s="4">
        <v>0</v>
      </c>
      <c r="D1216" s="4">
        <v>1</v>
      </c>
      <c r="E1216" s="4">
        <v>217</v>
      </c>
      <c r="F1216" s="4">
        <f>ROUND(Source!AU1197,O1216)</f>
        <v>0</v>
      </c>
      <c r="G1216" s="4" t="s">
        <v>123</v>
      </c>
      <c r="H1216" s="4" t="s">
        <v>124</v>
      </c>
      <c r="I1216" s="4"/>
      <c r="J1216" s="4"/>
      <c r="K1216" s="4">
        <v>217</v>
      </c>
      <c r="L1216" s="4">
        <v>18</v>
      </c>
      <c r="M1216" s="4">
        <v>3</v>
      </c>
      <c r="N1216" s="4" t="s">
        <v>3</v>
      </c>
      <c r="O1216" s="4">
        <v>2</v>
      </c>
      <c r="P1216" s="4"/>
      <c r="Q1216" s="4"/>
      <c r="R1216" s="4"/>
      <c r="S1216" s="4"/>
      <c r="T1216" s="4"/>
      <c r="U1216" s="4"/>
      <c r="V1216" s="4"/>
      <c r="W1216" s="4"/>
    </row>
    <row r="1217" spans="1:206" x14ac:dyDescent="0.2">
      <c r="A1217" s="4">
        <v>50</v>
      </c>
      <c r="B1217" s="4">
        <v>0</v>
      </c>
      <c r="C1217" s="4">
        <v>0</v>
      </c>
      <c r="D1217" s="4">
        <v>1</v>
      </c>
      <c r="E1217" s="4">
        <v>230</v>
      </c>
      <c r="F1217" s="4">
        <f>ROUND(Source!BA1197,O1217)</f>
        <v>0</v>
      </c>
      <c r="G1217" s="4" t="s">
        <v>125</v>
      </c>
      <c r="H1217" s="4" t="s">
        <v>126</v>
      </c>
      <c r="I1217" s="4"/>
      <c r="J1217" s="4"/>
      <c r="K1217" s="4">
        <v>230</v>
      </c>
      <c r="L1217" s="4">
        <v>19</v>
      </c>
      <c r="M1217" s="4">
        <v>3</v>
      </c>
      <c r="N1217" s="4" t="s">
        <v>3</v>
      </c>
      <c r="O1217" s="4">
        <v>2</v>
      </c>
      <c r="P1217" s="4"/>
      <c r="Q1217" s="4"/>
      <c r="R1217" s="4"/>
      <c r="S1217" s="4"/>
      <c r="T1217" s="4"/>
      <c r="U1217" s="4"/>
      <c r="V1217" s="4"/>
      <c r="W1217" s="4"/>
    </row>
    <row r="1218" spans="1:206" x14ac:dyDescent="0.2">
      <c r="A1218" s="4">
        <v>50</v>
      </c>
      <c r="B1218" s="4">
        <v>0</v>
      </c>
      <c r="C1218" s="4">
        <v>0</v>
      </c>
      <c r="D1218" s="4">
        <v>1</v>
      </c>
      <c r="E1218" s="4">
        <v>206</v>
      </c>
      <c r="F1218" s="4">
        <f>ROUND(Source!T1197,O1218)</f>
        <v>0</v>
      </c>
      <c r="G1218" s="4" t="s">
        <v>127</v>
      </c>
      <c r="H1218" s="4" t="s">
        <v>128</v>
      </c>
      <c r="I1218" s="4"/>
      <c r="J1218" s="4"/>
      <c r="K1218" s="4">
        <v>206</v>
      </c>
      <c r="L1218" s="4">
        <v>20</v>
      </c>
      <c r="M1218" s="4">
        <v>3</v>
      </c>
      <c r="N1218" s="4" t="s">
        <v>3</v>
      </c>
      <c r="O1218" s="4">
        <v>2</v>
      </c>
      <c r="P1218" s="4"/>
      <c r="Q1218" s="4"/>
      <c r="R1218" s="4"/>
      <c r="S1218" s="4"/>
      <c r="T1218" s="4"/>
      <c r="U1218" s="4"/>
      <c r="V1218" s="4"/>
      <c r="W1218" s="4"/>
    </row>
    <row r="1219" spans="1:206" x14ac:dyDescent="0.2">
      <c r="A1219" s="4">
        <v>50</v>
      </c>
      <c r="B1219" s="4">
        <v>0</v>
      </c>
      <c r="C1219" s="4">
        <v>0</v>
      </c>
      <c r="D1219" s="4">
        <v>1</v>
      </c>
      <c r="E1219" s="4">
        <v>207</v>
      </c>
      <c r="F1219" s="4">
        <f>Source!U1197</f>
        <v>137.34</v>
      </c>
      <c r="G1219" s="4" t="s">
        <v>129</v>
      </c>
      <c r="H1219" s="4" t="s">
        <v>130</v>
      </c>
      <c r="I1219" s="4"/>
      <c r="J1219" s="4"/>
      <c r="K1219" s="4">
        <v>207</v>
      </c>
      <c r="L1219" s="4">
        <v>21</v>
      </c>
      <c r="M1219" s="4">
        <v>3</v>
      </c>
      <c r="N1219" s="4" t="s">
        <v>3</v>
      </c>
      <c r="O1219" s="4">
        <v>-1</v>
      </c>
      <c r="P1219" s="4"/>
      <c r="Q1219" s="4"/>
      <c r="R1219" s="4"/>
      <c r="S1219" s="4"/>
      <c r="T1219" s="4"/>
      <c r="U1219" s="4"/>
      <c r="V1219" s="4"/>
      <c r="W1219" s="4"/>
    </row>
    <row r="1220" spans="1:206" x14ac:dyDescent="0.2">
      <c r="A1220" s="4">
        <v>50</v>
      </c>
      <c r="B1220" s="4">
        <v>0</v>
      </c>
      <c r="C1220" s="4">
        <v>0</v>
      </c>
      <c r="D1220" s="4">
        <v>1</v>
      </c>
      <c r="E1220" s="4">
        <v>208</v>
      </c>
      <c r="F1220" s="4">
        <f>Source!V1197</f>
        <v>0</v>
      </c>
      <c r="G1220" s="4" t="s">
        <v>131</v>
      </c>
      <c r="H1220" s="4" t="s">
        <v>132</v>
      </c>
      <c r="I1220" s="4"/>
      <c r="J1220" s="4"/>
      <c r="K1220" s="4">
        <v>208</v>
      </c>
      <c r="L1220" s="4">
        <v>22</v>
      </c>
      <c r="M1220" s="4">
        <v>3</v>
      </c>
      <c r="N1220" s="4" t="s">
        <v>3</v>
      </c>
      <c r="O1220" s="4">
        <v>-1</v>
      </c>
      <c r="P1220" s="4"/>
      <c r="Q1220" s="4"/>
      <c r="R1220" s="4"/>
      <c r="S1220" s="4"/>
      <c r="T1220" s="4"/>
      <c r="U1220" s="4"/>
      <c r="V1220" s="4"/>
      <c r="W1220" s="4"/>
    </row>
    <row r="1221" spans="1:206" x14ac:dyDescent="0.2">
      <c r="A1221" s="4">
        <v>50</v>
      </c>
      <c r="B1221" s="4">
        <v>0</v>
      </c>
      <c r="C1221" s="4">
        <v>0</v>
      </c>
      <c r="D1221" s="4">
        <v>1</v>
      </c>
      <c r="E1221" s="4">
        <v>209</v>
      </c>
      <c r="F1221" s="4">
        <f>ROUND(Source!W1197,O1221)</f>
        <v>0</v>
      </c>
      <c r="G1221" s="4" t="s">
        <v>133</v>
      </c>
      <c r="H1221" s="4" t="s">
        <v>134</v>
      </c>
      <c r="I1221" s="4"/>
      <c r="J1221" s="4"/>
      <c r="K1221" s="4">
        <v>209</v>
      </c>
      <c r="L1221" s="4">
        <v>23</v>
      </c>
      <c r="M1221" s="4">
        <v>3</v>
      </c>
      <c r="N1221" s="4" t="s">
        <v>3</v>
      </c>
      <c r="O1221" s="4">
        <v>2</v>
      </c>
      <c r="P1221" s="4"/>
      <c r="Q1221" s="4"/>
      <c r="R1221" s="4"/>
      <c r="S1221" s="4"/>
      <c r="T1221" s="4"/>
      <c r="U1221" s="4"/>
      <c r="V1221" s="4"/>
      <c r="W1221" s="4"/>
    </row>
    <row r="1222" spans="1:206" x14ac:dyDescent="0.2">
      <c r="A1222" s="4">
        <v>50</v>
      </c>
      <c r="B1222" s="4">
        <v>0</v>
      </c>
      <c r="C1222" s="4">
        <v>0</v>
      </c>
      <c r="D1222" s="4">
        <v>1</v>
      </c>
      <c r="E1222" s="4">
        <v>233</v>
      </c>
      <c r="F1222" s="4">
        <f>ROUND(Source!BD1197,O1222)</f>
        <v>0</v>
      </c>
      <c r="G1222" s="4" t="s">
        <v>135</v>
      </c>
      <c r="H1222" s="4" t="s">
        <v>136</v>
      </c>
      <c r="I1222" s="4"/>
      <c r="J1222" s="4"/>
      <c r="K1222" s="4">
        <v>233</v>
      </c>
      <c r="L1222" s="4">
        <v>24</v>
      </c>
      <c r="M1222" s="4">
        <v>3</v>
      </c>
      <c r="N1222" s="4" t="s">
        <v>3</v>
      </c>
      <c r="O1222" s="4">
        <v>2</v>
      </c>
      <c r="P1222" s="4"/>
      <c r="Q1222" s="4"/>
      <c r="R1222" s="4"/>
      <c r="S1222" s="4"/>
      <c r="T1222" s="4"/>
      <c r="U1222" s="4"/>
      <c r="V1222" s="4"/>
      <c r="W1222" s="4"/>
    </row>
    <row r="1223" spans="1:206" x14ac:dyDescent="0.2">
      <c r="A1223" s="4">
        <v>50</v>
      </c>
      <c r="B1223" s="4">
        <v>0</v>
      </c>
      <c r="C1223" s="4">
        <v>0</v>
      </c>
      <c r="D1223" s="4">
        <v>1</v>
      </c>
      <c r="E1223" s="4">
        <v>210</v>
      </c>
      <c r="F1223" s="4">
        <f>ROUND(Source!X1197,O1223)</f>
        <v>58890.28</v>
      </c>
      <c r="G1223" s="4" t="s">
        <v>137</v>
      </c>
      <c r="H1223" s="4" t="s">
        <v>138</v>
      </c>
      <c r="I1223" s="4"/>
      <c r="J1223" s="4"/>
      <c r="K1223" s="4">
        <v>210</v>
      </c>
      <c r="L1223" s="4">
        <v>25</v>
      </c>
      <c r="M1223" s="4">
        <v>3</v>
      </c>
      <c r="N1223" s="4" t="s">
        <v>3</v>
      </c>
      <c r="O1223" s="4">
        <v>2</v>
      </c>
      <c r="P1223" s="4"/>
      <c r="Q1223" s="4"/>
      <c r="R1223" s="4"/>
      <c r="S1223" s="4"/>
      <c r="T1223" s="4"/>
      <c r="U1223" s="4"/>
      <c r="V1223" s="4"/>
      <c r="W1223" s="4"/>
    </row>
    <row r="1224" spans="1:206" x14ac:dyDescent="0.2">
      <c r="A1224" s="4">
        <v>50</v>
      </c>
      <c r="B1224" s="4">
        <v>0</v>
      </c>
      <c r="C1224" s="4">
        <v>0</v>
      </c>
      <c r="D1224" s="4">
        <v>1</v>
      </c>
      <c r="E1224" s="4">
        <v>211</v>
      </c>
      <c r="F1224" s="4">
        <f>ROUND(Source!Y1197,O1224)</f>
        <v>24275.38</v>
      </c>
      <c r="G1224" s="4" t="s">
        <v>139</v>
      </c>
      <c r="H1224" s="4" t="s">
        <v>140</v>
      </c>
      <c r="I1224" s="4"/>
      <c r="J1224" s="4"/>
      <c r="K1224" s="4">
        <v>211</v>
      </c>
      <c r="L1224" s="4">
        <v>26</v>
      </c>
      <c r="M1224" s="4">
        <v>3</v>
      </c>
      <c r="N1224" s="4" t="s">
        <v>3</v>
      </c>
      <c r="O1224" s="4">
        <v>2</v>
      </c>
      <c r="P1224" s="4"/>
      <c r="Q1224" s="4"/>
      <c r="R1224" s="4"/>
      <c r="S1224" s="4"/>
      <c r="T1224" s="4"/>
      <c r="U1224" s="4"/>
      <c r="V1224" s="4"/>
      <c r="W1224" s="4"/>
    </row>
    <row r="1225" spans="1:206" x14ac:dyDescent="0.2">
      <c r="A1225" s="4">
        <v>50</v>
      </c>
      <c r="B1225" s="4">
        <v>0</v>
      </c>
      <c r="C1225" s="4">
        <v>0</v>
      </c>
      <c r="D1225" s="4">
        <v>1</v>
      </c>
      <c r="E1225" s="4">
        <v>224</v>
      </c>
      <c r="F1225" s="4">
        <f>ROUND(Source!AR1197,O1225)</f>
        <v>310882.64</v>
      </c>
      <c r="G1225" s="4" t="s">
        <v>141</v>
      </c>
      <c r="H1225" s="4" t="s">
        <v>142</v>
      </c>
      <c r="I1225" s="4"/>
      <c r="J1225" s="4"/>
      <c r="K1225" s="4">
        <v>224</v>
      </c>
      <c r="L1225" s="4">
        <v>27</v>
      </c>
      <c r="M1225" s="4">
        <v>3</v>
      </c>
      <c r="N1225" s="4" t="s">
        <v>3</v>
      </c>
      <c r="O1225" s="4">
        <v>2</v>
      </c>
      <c r="P1225" s="4"/>
      <c r="Q1225" s="4"/>
      <c r="R1225" s="4"/>
      <c r="S1225" s="4"/>
      <c r="T1225" s="4"/>
      <c r="U1225" s="4"/>
      <c r="V1225" s="4"/>
      <c r="W1225" s="4"/>
    </row>
    <row r="1226" spans="1:206" x14ac:dyDescent="0.2">
      <c r="A1226" s="4">
        <v>50</v>
      </c>
      <c r="B1226" s="4">
        <v>1</v>
      </c>
      <c r="C1226" s="4">
        <v>0</v>
      </c>
      <c r="D1226" s="4">
        <v>2</v>
      </c>
      <c r="E1226" s="4">
        <v>0</v>
      </c>
      <c r="F1226" s="4">
        <f>ROUND(F1225*1.2,O1226)</f>
        <v>373059.17</v>
      </c>
      <c r="G1226" s="4" t="s">
        <v>15</v>
      </c>
      <c r="H1226" s="4" t="s">
        <v>239</v>
      </c>
      <c r="I1226" s="4"/>
      <c r="J1226" s="4"/>
      <c r="K1226" s="4">
        <v>212</v>
      </c>
      <c r="L1226" s="4">
        <v>28</v>
      </c>
      <c r="M1226" s="4">
        <v>0</v>
      </c>
      <c r="N1226" s="4" t="s">
        <v>3</v>
      </c>
      <c r="O1226" s="4">
        <v>2</v>
      </c>
      <c r="P1226" s="4"/>
      <c r="Q1226" s="4"/>
      <c r="R1226" s="4"/>
      <c r="S1226" s="4"/>
      <c r="T1226" s="4"/>
      <c r="U1226" s="4"/>
      <c r="V1226" s="4"/>
      <c r="W1226" s="4"/>
    </row>
    <row r="1228" spans="1:206" x14ac:dyDescent="0.2">
      <c r="A1228" s="1">
        <v>4</v>
      </c>
      <c r="B1228" s="1">
        <v>1</v>
      </c>
      <c r="C1228" s="1"/>
      <c r="D1228" s="1">
        <f>ROW(A1232)</f>
        <v>1232</v>
      </c>
      <c r="E1228" s="1"/>
      <c r="F1228" s="1" t="s">
        <v>13</v>
      </c>
      <c r="G1228" s="1" t="s">
        <v>601</v>
      </c>
      <c r="H1228" s="1" t="s">
        <v>3</v>
      </c>
      <c r="I1228" s="1">
        <v>0</v>
      </c>
      <c r="J1228" s="1"/>
      <c r="K1228" s="1">
        <v>0</v>
      </c>
      <c r="L1228" s="1"/>
      <c r="M1228" s="1"/>
      <c r="N1228" s="1"/>
      <c r="O1228" s="1"/>
      <c r="P1228" s="1"/>
      <c r="Q1228" s="1"/>
      <c r="R1228" s="1"/>
      <c r="S1228" s="1"/>
      <c r="T1228" s="1"/>
      <c r="U1228" s="1" t="s">
        <v>3</v>
      </c>
      <c r="V1228" s="1">
        <v>0</v>
      </c>
      <c r="W1228" s="1"/>
      <c r="X1228" s="1"/>
      <c r="Y1228" s="1"/>
      <c r="Z1228" s="1"/>
      <c r="AA1228" s="1"/>
      <c r="AB1228" s="1" t="s">
        <v>3</v>
      </c>
      <c r="AC1228" s="1" t="s">
        <v>3</v>
      </c>
      <c r="AD1228" s="1" t="s">
        <v>3</v>
      </c>
      <c r="AE1228" s="1" t="s">
        <v>3</v>
      </c>
      <c r="AF1228" s="1" t="s">
        <v>3</v>
      </c>
      <c r="AG1228" s="1" t="s">
        <v>3</v>
      </c>
      <c r="AH1228" s="1"/>
      <c r="AI1228" s="1"/>
      <c r="AJ1228" s="1"/>
      <c r="AK1228" s="1"/>
      <c r="AL1228" s="1"/>
      <c r="AM1228" s="1"/>
      <c r="AN1228" s="1"/>
      <c r="AO1228" s="1"/>
      <c r="AP1228" s="1" t="s">
        <v>3</v>
      </c>
      <c r="AQ1228" s="1" t="s">
        <v>3</v>
      </c>
      <c r="AR1228" s="1" t="s">
        <v>3</v>
      </c>
      <c r="AS1228" s="1"/>
      <c r="AT1228" s="1"/>
      <c r="AU1228" s="1"/>
      <c r="AV1228" s="1"/>
      <c r="AW1228" s="1"/>
      <c r="AX1228" s="1"/>
      <c r="AY1228" s="1"/>
      <c r="AZ1228" s="1" t="s">
        <v>3</v>
      </c>
      <c r="BA1228" s="1"/>
      <c r="BB1228" s="1" t="s">
        <v>3</v>
      </c>
      <c r="BC1228" s="1" t="s">
        <v>3</v>
      </c>
      <c r="BD1228" s="1" t="s">
        <v>3</v>
      </c>
      <c r="BE1228" s="1" t="s">
        <v>3</v>
      </c>
      <c r="BF1228" s="1" t="s">
        <v>3</v>
      </c>
      <c r="BG1228" s="1" t="s">
        <v>3</v>
      </c>
      <c r="BH1228" s="1" t="s">
        <v>3</v>
      </c>
      <c r="BI1228" s="1" t="s">
        <v>3</v>
      </c>
      <c r="BJ1228" s="1" t="s">
        <v>3</v>
      </c>
      <c r="BK1228" s="1" t="s">
        <v>3</v>
      </c>
      <c r="BL1228" s="1" t="s">
        <v>3</v>
      </c>
      <c r="BM1228" s="1" t="s">
        <v>3</v>
      </c>
      <c r="BN1228" s="1" t="s">
        <v>3</v>
      </c>
      <c r="BO1228" s="1" t="s">
        <v>3</v>
      </c>
      <c r="BP1228" s="1" t="s">
        <v>3</v>
      </c>
      <c r="BQ1228" s="1"/>
      <c r="BR1228" s="1"/>
      <c r="BS1228" s="1"/>
      <c r="BT1228" s="1"/>
      <c r="BU1228" s="1"/>
      <c r="BV1228" s="1"/>
      <c r="BW1228" s="1"/>
      <c r="BX1228" s="1">
        <v>0</v>
      </c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>
        <v>0</v>
      </c>
    </row>
    <row r="1230" spans="1:206" x14ac:dyDescent="0.2">
      <c r="A1230" s="2">
        <v>52</v>
      </c>
      <c r="B1230" s="2">
        <f t="shared" ref="B1230:G1230" si="838">B1232</f>
        <v>1</v>
      </c>
      <c r="C1230" s="2">
        <f t="shared" si="838"/>
        <v>4</v>
      </c>
      <c r="D1230" s="2">
        <f t="shared" si="838"/>
        <v>1228</v>
      </c>
      <c r="E1230" s="2">
        <f t="shared" si="838"/>
        <v>0</v>
      </c>
      <c r="F1230" s="2" t="str">
        <f t="shared" si="838"/>
        <v>Новый раздел</v>
      </c>
      <c r="G1230" s="2" t="str">
        <f t="shared" si="838"/>
        <v>43. Установка антипарковочных столбиков</v>
      </c>
      <c r="H1230" s="2"/>
      <c r="I1230" s="2"/>
      <c r="J1230" s="2"/>
      <c r="K1230" s="2"/>
      <c r="L1230" s="2"/>
      <c r="M1230" s="2"/>
      <c r="N1230" s="2"/>
      <c r="O1230" s="2">
        <f t="shared" ref="O1230:AT1230" si="839">O1232</f>
        <v>0</v>
      </c>
      <c r="P1230" s="2">
        <f t="shared" si="839"/>
        <v>0</v>
      </c>
      <c r="Q1230" s="2">
        <f t="shared" si="839"/>
        <v>0</v>
      </c>
      <c r="R1230" s="2">
        <f t="shared" si="839"/>
        <v>0</v>
      </c>
      <c r="S1230" s="2">
        <f t="shared" si="839"/>
        <v>0</v>
      </c>
      <c r="T1230" s="2">
        <f t="shared" si="839"/>
        <v>0</v>
      </c>
      <c r="U1230" s="2">
        <f t="shared" si="839"/>
        <v>0</v>
      </c>
      <c r="V1230" s="2">
        <f t="shared" si="839"/>
        <v>0</v>
      </c>
      <c r="W1230" s="2">
        <f t="shared" si="839"/>
        <v>0</v>
      </c>
      <c r="X1230" s="2">
        <f t="shared" si="839"/>
        <v>0</v>
      </c>
      <c r="Y1230" s="2">
        <f t="shared" si="839"/>
        <v>0</v>
      </c>
      <c r="Z1230" s="2">
        <f t="shared" si="839"/>
        <v>0</v>
      </c>
      <c r="AA1230" s="2">
        <f t="shared" si="839"/>
        <v>0</v>
      </c>
      <c r="AB1230" s="2">
        <f t="shared" si="839"/>
        <v>0</v>
      </c>
      <c r="AC1230" s="2">
        <f t="shared" si="839"/>
        <v>0</v>
      </c>
      <c r="AD1230" s="2">
        <f t="shared" si="839"/>
        <v>0</v>
      </c>
      <c r="AE1230" s="2">
        <f t="shared" si="839"/>
        <v>0</v>
      </c>
      <c r="AF1230" s="2">
        <f t="shared" si="839"/>
        <v>0</v>
      </c>
      <c r="AG1230" s="2">
        <f t="shared" si="839"/>
        <v>0</v>
      </c>
      <c r="AH1230" s="2">
        <f t="shared" si="839"/>
        <v>0</v>
      </c>
      <c r="AI1230" s="2">
        <f t="shared" si="839"/>
        <v>0</v>
      </c>
      <c r="AJ1230" s="2">
        <f t="shared" si="839"/>
        <v>0</v>
      </c>
      <c r="AK1230" s="2">
        <f t="shared" si="839"/>
        <v>0</v>
      </c>
      <c r="AL1230" s="2">
        <f t="shared" si="839"/>
        <v>0</v>
      </c>
      <c r="AM1230" s="2">
        <f t="shared" si="839"/>
        <v>0</v>
      </c>
      <c r="AN1230" s="2">
        <f t="shared" si="839"/>
        <v>0</v>
      </c>
      <c r="AO1230" s="2">
        <f t="shared" si="839"/>
        <v>0</v>
      </c>
      <c r="AP1230" s="2">
        <f t="shared" si="839"/>
        <v>0</v>
      </c>
      <c r="AQ1230" s="2">
        <f t="shared" si="839"/>
        <v>0</v>
      </c>
      <c r="AR1230" s="2">
        <f t="shared" si="839"/>
        <v>0</v>
      </c>
      <c r="AS1230" s="2">
        <f t="shared" si="839"/>
        <v>0</v>
      </c>
      <c r="AT1230" s="2">
        <f t="shared" si="839"/>
        <v>0</v>
      </c>
      <c r="AU1230" s="2">
        <f t="shared" ref="AU1230:BZ1230" si="840">AU1232</f>
        <v>0</v>
      </c>
      <c r="AV1230" s="2">
        <f t="shared" si="840"/>
        <v>0</v>
      </c>
      <c r="AW1230" s="2">
        <f t="shared" si="840"/>
        <v>0</v>
      </c>
      <c r="AX1230" s="2">
        <f t="shared" si="840"/>
        <v>0</v>
      </c>
      <c r="AY1230" s="2">
        <f t="shared" si="840"/>
        <v>0</v>
      </c>
      <c r="AZ1230" s="2">
        <f t="shared" si="840"/>
        <v>0</v>
      </c>
      <c r="BA1230" s="2">
        <f t="shared" si="840"/>
        <v>0</v>
      </c>
      <c r="BB1230" s="2">
        <f t="shared" si="840"/>
        <v>0</v>
      </c>
      <c r="BC1230" s="2">
        <f t="shared" si="840"/>
        <v>0</v>
      </c>
      <c r="BD1230" s="2">
        <f t="shared" si="840"/>
        <v>0</v>
      </c>
      <c r="BE1230" s="2">
        <f t="shared" si="840"/>
        <v>0</v>
      </c>
      <c r="BF1230" s="2">
        <f t="shared" si="840"/>
        <v>0</v>
      </c>
      <c r="BG1230" s="2">
        <f t="shared" si="840"/>
        <v>0</v>
      </c>
      <c r="BH1230" s="2">
        <f t="shared" si="840"/>
        <v>0</v>
      </c>
      <c r="BI1230" s="2">
        <f t="shared" si="840"/>
        <v>0</v>
      </c>
      <c r="BJ1230" s="2">
        <f t="shared" si="840"/>
        <v>0</v>
      </c>
      <c r="BK1230" s="2">
        <f t="shared" si="840"/>
        <v>0</v>
      </c>
      <c r="BL1230" s="2">
        <f t="shared" si="840"/>
        <v>0</v>
      </c>
      <c r="BM1230" s="2">
        <f t="shared" si="840"/>
        <v>0</v>
      </c>
      <c r="BN1230" s="2">
        <f t="shared" si="840"/>
        <v>0</v>
      </c>
      <c r="BO1230" s="2">
        <f t="shared" si="840"/>
        <v>0</v>
      </c>
      <c r="BP1230" s="2">
        <f t="shared" si="840"/>
        <v>0</v>
      </c>
      <c r="BQ1230" s="2">
        <f t="shared" si="840"/>
        <v>0</v>
      </c>
      <c r="BR1230" s="2">
        <f t="shared" si="840"/>
        <v>0</v>
      </c>
      <c r="BS1230" s="2">
        <f t="shared" si="840"/>
        <v>0</v>
      </c>
      <c r="BT1230" s="2">
        <f t="shared" si="840"/>
        <v>0</v>
      </c>
      <c r="BU1230" s="2">
        <f t="shared" si="840"/>
        <v>0</v>
      </c>
      <c r="BV1230" s="2">
        <f t="shared" si="840"/>
        <v>0</v>
      </c>
      <c r="BW1230" s="2">
        <f t="shared" si="840"/>
        <v>0</v>
      </c>
      <c r="BX1230" s="2">
        <f t="shared" si="840"/>
        <v>0</v>
      </c>
      <c r="BY1230" s="2">
        <f t="shared" si="840"/>
        <v>0</v>
      </c>
      <c r="BZ1230" s="2">
        <f t="shared" si="840"/>
        <v>0</v>
      </c>
      <c r="CA1230" s="2">
        <f t="shared" ref="CA1230:DF1230" si="841">CA1232</f>
        <v>0</v>
      </c>
      <c r="CB1230" s="2">
        <f t="shared" si="841"/>
        <v>0</v>
      </c>
      <c r="CC1230" s="2">
        <f t="shared" si="841"/>
        <v>0</v>
      </c>
      <c r="CD1230" s="2">
        <f t="shared" si="841"/>
        <v>0</v>
      </c>
      <c r="CE1230" s="2">
        <f t="shared" si="841"/>
        <v>0</v>
      </c>
      <c r="CF1230" s="2">
        <f t="shared" si="841"/>
        <v>0</v>
      </c>
      <c r="CG1230" s="2">
        <f t="shared" si="841"/>
        <v>0</v>
      </c>
      <c r="CH1230" s="2">
        <f t="shared" si="841"/>
        <v>0</v>
      </c>
      <c r="CI1230" s="2">
        <f t="shared" si="841"/>
        <v>0</v>
      </c>
      <c r="CJ1230" s="2">
        <f t="shared" si="841"/>
        <v>0</v>
      </c>
      <c r="CK1230" s="2">
        <f t="shared" si="841"/>
        <v>0</v>
      </c>
      <c r="CL1230" s="2">
        <f t="shared" si="841"/>
        <v>0</v>
      </c>
      <c r="CM1230" s="2">
        <f t="shared" si="841"/>
        <v>0</v>
      </c>
      <c r="CN1230" s="2">
        <f t="shared" si="841"/>
        <v>0</v>
      </c>
      <c r="CO1230" s="2">
        <f t="shared" si="841"/>
        <v>0</v>
      </c>
      <c r="CP1230" s="2">
        <f t="shared" si="841"/>
        <v>0</v>
      </c>
      <c r="CQ1230" s="2">
        <f t="shared" si="841"/>
        <v>0</v>
      </c>
      <c r="CR1230" s="2">
        <f t="shared" si="841"/>
        <v>0</v>
      </c>
      <c r="CS1230" s="2">
        <f t="shared" si="841"/>
        <v>0</v>
      </c>
      <c r="CT1230" s="2">
        <f t="shared" si="841"/>
        <v>0</v>
      </c>
      <c r="CU1230" s="2">
        <f t="shared" si="841"/>
        <v>0</v>
      </c>
      <c r="CV1230" s="2">
        <f t="shared" si="841"/>
        <v>0</v>
      </c>
      <c r="CW1230" s="2">
        <f t="shared" si="841"/>
        <v>0</v>
      </c>
      <c r="CX1230" s="2">
        <f t="shared" si="841"/>
        <v>0</v>
      </c>
      <c r="CY1230" s="2">
        <f t="shared" si="841"/>
        <v>0</v>
      </c>
      <c r="CZ1230" s="2">
        <f t="shared" si="841"/>
        <v>0</v>
      </c>
      <c r="DA1230" s="2">
        <f t="shared" si="841"/>
        <v>0</v>
      </c>
      <c r="DB1230" s="2">
        <f t="shared" si="841"/>
        <v>0</v>
      </c>
      <c r="DC1230" s="2">
        <f t="shared" si="841"/>
        <v>0</v>
      </c>
      <c r="DD1230" s="2">
        <f t="shared" si="841"/>
        <v>0</v>
      </c>
      <c r="DE1230" s="2">
        <f t="shared" si="841"/>
        <v>0</v>
      </c>
      <c r="DF1230" s="2">
        <f t="shared" si="841"/>
        <v>0</v>
      </c>
      <c r="DG1230" s="3">
        <f t="shared" ref="DG1230:EL1230" si="842">DG1232</f>
        <v>0</v>
      </c>
      <c r="DH1230" s="3">
        <f t="shared" si="842"/>
        <v>0</v>
      </c>
      <c r="DI1230" s="3">
        <f t="shared" si="842"/>
        <v>0</v>
      </c>
      <c r="DJ1230" s="3">
        <f t="shared" si="842"/>
        <v>0</v>
      </c>
      <c r="DK1230" s="3">
        <f t="shared" si="842"/>
        <v>0</v>
      </c>
      <c r="DL1230" s="3">
        <f t="shared" si="842"/>
        <v>0</v>
      </c>
      <c r="DM1230" s="3">
        <f t="shared" si="842"/>
        <v>0</v>
      </c>
      <c r="DN1230" s="3">
        <f t="shared" si="842"/>
        <v>0</v>
      </c>
      <c r="DO1230" s="3">
        <f t="shared" si="842"/>
        <v>0</v>
      </c>
      <c r="DP1230" s="3">
        <f t="shared" si="842"/>
        <v>0</v>
      </c>
      <c r="DQ1230" s="3">
        <f t="shared" si="842"/>
        <v>0</v>
      </c>
      <c r="DR1230" s="3">
        <f t="shared" si="842"/>
        <v>0</v>
      </c>
      <c r="DS1230" s="3">
        <f t="shared" si="842"/>
        <v>0</v>
      </c>
      <c r="DT1230" s="3">
        <f t="shared" si="842"/>
        <v>0</v>
      </c>
      <c r="DU1230" s="3">
        <f t="shared" si="842"/>
        <v>0</v>
      </c>
      <c r="DV1230" s="3">
        <f t="shared" si="842"/>
        <v>0</v>
      </c>
      <c r="DW1230" s="3">
        <f t="shared" si="842"/>
        <v>0</v>
      </c>
      <c r="DX1230" s="3">
        <f t="shared" si="842"/>
        <v>0</v>
      </c>
      <c r="DY1230" s="3">
        <f t="shared" si="842"/>
        <v>0</v>
      </c>
      <c r="DZ1230" s="3">
        <f t="shared" si="842"/>
        <v>0</v>
      </c>
      <c r="EA1230" s="3">
        <f t="shared" si="842"/>
        <v>0</v>
      </c>
      <c r="EB1230" s="3">
        <f t="shared" si="842"/>
        <v>0</v>
      </c>
      <c r="EC1230" s="3">
        <f t="shared" si="842"/>
        <v>0</v>
      </c>
      <c r="ED1230" s="3">
        <f t="shared" si="842"/>
        <v>0</v>
      </c>
      <c r="EE1230" s="3">
        <f t="shared" si="842"/>
        <v>0</v>
      </c>
      <c r="EF1230" s="3">
        <f t="shared" si="842"/>
        <v>0</v>
      </c>
      <c r="EG1230" s="3">
        <f t="shared" si="842"/>
        <v>0</v>
      </c>
      <c r="EH1230" s="3">
        <f t="shared" si="842"/>
        <v>0</v>
      </c>
      <c r="EI1230" s="3">
        <f t="shared" si="842"/>
        <v>0</v>
      </c>
      <c r="EJ1230" s="3">
        <f t="shared" si="842"/>
        <v>0</v>
      </c>
      <c r="EK1230" s="3">
        <f t="shared" si="842"/>
        <v>0</v>
      </c>
      <c r="EL1230" s="3">
        <f t="shared" si="842"/>
        <v>0</v>
      </c>
      <c r="EM1230" s="3">
        <f t="shared" ref="EM1230:FR1230" si="843">EM1232</f>
        <v>0</v>
      </c>
      <c r="EN1230" s="3">
        <f t="shared" si="843"/>
        <v>0</v>
      </c>
      <c r="EO1230" s="3">
        <f t="shared" si="843"/>
        <v>0</v>
      </c>
      <c r="EP1230" s="3">
        <f t="shared" si="843"/>
        <v>0</v>
      </c>
      <c r="EQ1230" s="3">
        <f t="shared" si="843"/>
        <v>0</v>
      </c>
      <c r="ER1230" s="3">
        <f t="shared" si="843"/>
        <v>0</v>
      </c>
      <c r="ES1230" s="3">
        <f t="shared" si="843"/>
        <v>0</v>
      </c>
      <c r="ET1230" s="3">
        <f t="shared" si="843"/>
        <v>0</v>
      </c>
      <c r="EU1230" s="3">
        <f t="shared" si="843"/>
        <v>0</v>
      </c>
      <c r="EV1230" s="3">
        <f t="shared" si="843"/>
        <v>0</v>
      </c>
      <c r="EW1230" s="3">
        <f t="shared" si="843"/>
        <v>0</v>
      </c>
      <c r="EX1230" s="3">
        <f t="shared" si="843"/>
        <v>0</v>
      </c>
      <c r="EY1230" s="3">
        <f t="shared" si="843"/>
        <v>0</v>
      </c>
      <c r="EZ1230" s="3">
        <f t="shared" si="843"/>
        <v>0</v>
      </c>
      <c r="FA1230" s="3">
        <f t="shared" si="843"/>
        <v>0</v>
      </c>
      <c r="FB1230" s="3">
        <f t="shared" si="843"/>
        <v>0</v>
      </c>
      <c r="FC1230" s="3">
        <f t="shared" si="843"/>
        <v>0</v>
      </c>
      <c r="FD1230" s="3">
        <f t="shared" si="843"/>
        <v>0</v>
      </c>
      <c r="FE1230" s="3">
        <f t="shared" si="843"/>
        <v>0</v>
      </c>
      <c r="FF1230" s="3">
        <f t="shared" si="843"/>
        <v>0</v>
      </c>
      <c r="FG1230" s="3">
        <f t="shared" si="843"/>
        <v>0</v>
      </c>
      <c r="FH1230" s="3">
        <f t="shared" si="843"/>
        <v>0</v>
      </c>
      <c r="FI1230" s="3">
        <f t="shared" si="843"/>
        <v>0</v>
      </c>
      <c r="FJ1230" s="3">
        <f t="shared" si="843"/>
        <v>0</v>
      </c>
      <c r="FK1230" s="3">
        <f t="shared" si="843"/>
        <v>0</v>
      </c>
      <c r="FL1230" s="3">
        <f t="shared" si="843"/>
        <v>0</v>
      </c>
      <c r="FM1230" s="3">
        <f t="shared" si="843"/>
        <v>0</v>
      </c>
      <c r="FN1230" s="3">
        <f t="shared" si="843"/>
        <v>0</v>
      </c>
      <c r="FO1230" s="3">
        <f t="shared" si="843"/>
        <v>0</v>
      </c>
      <c r="FP1230" s="3">
        <f t="shared" si="843"/>
        <v>0</v>
      </c>
      <c r="FQ1230" s="3">
        <f t="shared" si="843"/>
        <v>0</v>
      </c>
      <c r="FR1230" s="3">
        <f t="shared" si="843"/>
        <v>0</v>
      </c>
      <c r="FS1230" s="3">
        <f t="shared" ref="FS1230:GX1230" si="844">FS1232</f>
        <v>0</v>
      </c>
      <c r="FT1230" s="3">
        <f t="shared" si="844"/>
        <v>0</v>
      </c>
      <c r="FU1230" s="3">
        <f t="shared" si="844"/>
        <v>0</v>
      </c>
      <c r="FV1230" s="3">
        <f t="shared" si="844"/>
        <v>0</v>
      </c>
      <c r="FW1230" s="3">
        <f t="shared" si="844"/>
        <v>0</v>
      </c>
      <c r="FX1230" s="3">
        <f t="shared" si="844"/>
        <v>0</v>
      </c>
      <c r="FY1230" s="3">
        <f t="shared" si="844"/>
        <v>0</v>
      </c>
      <c r="FZ1230" s="3">
        <f t="shared" si="844"/>
        <v>0</v>
      </c>
      <c r="GA1230" s="3">
        <f t="shared" si="844"/>
        <v>0</v>
      </c>
      <c r="GB1230" s="3">
        <f t="shared" si="844"/>
        <v>0</v>
      </c>
      <c r="GC1230" s="3">
        <f t="shared" si="844"/>
        <v>0</v>
      </c>
      <c r="GD1230" s="3">
        <f t="shared" si="844"/>
        <v>0</v>
      </c>
      <c r="GE1230" s="3">
        <f t="shared" si="844"/>
        <v>0</v>
      </c>
      <c r="GF1230" s="3">
        <f t="shared" si="844"/>
        <v>0</v>
      </c>
      <c r="GG1230" s="3">
        <f t="shared" si="844"/>
        <v>0</v>
      </c>
      <c r="GH1230" s="3">
        <f t="shared" si="844"/>
        <v>0</v>
      </c>
      <c r="GI1230" s="3">
        <f t="shared" si="844"/>
        <v>0</v>
      </c>
      <c r="GJ1230" s="3">
        <f t="shared" si="844"/>
        <v>0</v>
      </c>
      <c r="GK1230" s="3">
        <f t="shared" si="844"/>
        <v>0</v>
      </c>
      <c r="GL1230" s="3">
        <f t="shared" si="844"/>
        <v>0</v>
      </c>
      <c r="GM1230" s="3">
        <f t="shared" si="844"/>
        <v>0</v>
      </c>
      <c r="GN1230" s="3">
        <f t="shared" si="844"/>
        <v>0</v>
      </c>
      <c r="GO1230" s="3">
        <f t="shared" si="844"/>
        <v>0</v>
      </c>
      <c r="GP1230" s="3">
        <f t="shared" si="844"/>
        <v>0</v>
      </c>
      <c r="GQ1230" s="3">
        <f t="shared" si="844"/>
        <v>0</v>
      </c>
      <c r="GR1230" s="3">
        <f t="shared" si="844"/>
        <v>0</v>
      </c>
      <c r="GS1230" s="3">
        <f t="shared" si="844"/>
        <v>0</v>
      </c>
      <c r="GT1230" s="3">
        <f t="shared" si="844"/>
        <v>0</v>
      </c>
      <c r="GU1230" s="3">
        <f t="shared" si="844"/>
        <v>0</v>
      </c>
      <c r="GV1230" s="3">
        <f t="shared" si="844"/>
        <v>0</v>
      </c>
      <c r="GW1230" s="3">
        <f t="shared" si="844"/>
        <v>0</v>
      </c>
      <c r="GX1230" s="3">
        <f t="shared" si="844"/>
        <v>0</v>
      </c>
    </row>
    <row r="1232" spans="1:206" x14ac:dyDescent="0.2">
      <c r="A1232" s="2">
        <v>51</v>
      </c>
      <c r="B1232" s="2">
        <f>B1228</f>
        <v>1</v>
      </c>
      <c r="C1232" s="2">
        <f>A1228</f>
        <v>4</v>
      </c>
      <c r="D1232" s="2">
        <f>ROW(A1228)</f>
        <v>1228</v>
      </c>
      <c r="E1232" s="2"/>
      <c r="F1232" s="2" t="str">
        <f>IF(F1228&lt;&gt;"",F1228,"")</f>
        <v>Новый раздел</v>
      </c>
      <c r="G1232" s="2" t="str">
        <f>IF(G1228&lt;&gt;"",G1228,"")</f>
        <v>43. Установка антипарковочных столбиков</v>
      </c>
      <c r="H1232" s="2">
        <v>0</v>
      </c>
      <c r="I1232" s="2"/>
      <c r="J1232" s="2"/>
      <c r="K1232" s="2"/>
      <c r="L1232" s="2"/>
      <c r="M1232" s="2"/>
      <c r="N1232" s="2"/>
      <c r="O1232" s="2">
        <f t="shared" ref="O1232:T1232" si="845">ROUND(AB1232,2)</f>
        <v>0</v>
      </c>
      <c r="P1232" s="2">
        <f t="shared" si="845"/>
        <v>0</v>
      </c>
      <c r="Q1232" s="2">
        <f t="shared" si="845"/>
        <v>0</v>
      </c>
      <c r="R1232" s="2">
        <f t="shared" si="845"/>
        <v>0</v>
      </c>
      <c r="S1232" s="2">
        <f t="shared" si="845"/>
        <v>0</v>
      </c>
      <c r="T1232" s="2">
        <f t="shared" si="845"/>
        <v>0</v>
      </c>
      <c r="U1232" s="2">
        <f>AH1232</f>
        <v>0</v>
      </c>
      <c r="V1232" s="2">
        <f>AI1232</f>
        <v>0</v>
      </c>
      <c r="W1232" s="2">
        <f>ROUND(AJ1232,2)</f>
        <v>0</v>
      </c>
      <c r="X1232" s="2">
        <f>ROUND(AK1232,2)</f>
        <v>0</v>
      </c>
      <c r="Y1232" s="2">
        <f>ROUND(AL1232,2)</f>
        <v>0</v>
      </c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>
        <f t="shared" ref="AO1232:BD1232" si="846">ROUND(BX1232,2)</f>
        <v>0</v>
      </c>
      <c r="AP1232" s="2">
        <f t="shared" si="846"/>
        <v>0</v>
      </c>
      <c r="AQ1232" s="2">
        <f t="shared" si="846"/>
        <v>0</v>
      </c>
      <c r="AR1232" s="2">
        <f t="shared" si="846"/>
        <v>0</v>
      </c>
      <c r="AS1232" s="2">
        <f t="shared" si="846"/>
        <v>0</v>
      </c>
      <c r="AT1232" s="2">
        <f t="shared" si="846"/>
        <v>0</v>
      </c>
      <c r="AU1232" s="2">
        <f t="shared" si="846"/>
        <v>0</v>
      </c>
      <c r="AV1232" s="2">
        <f t="shared" si="846"/>
        <v>0</v>
      </c>
      <c r="AW1232" s="2">
        <f t="shared" si="846"/>
        <v>0</v>
      </c>
      <c r="AX1232" s="2">
        <f t="shared" si="846"/>
        <v>0</v>
      </c>
      <c r="AY1232" s="2">
        <f t="shared" si="846"/>
        <v>0</v>
      </c>
      <c r="AZ1232" s="2">
        <f t="shared" si="846"/>
        <v>0</v>
      </c>
      <c r="BA1232" s="2">
        <f t="shared" si="846"/>
        <v>0</v>
      </c>
      <c r="BB1232" s="2">
        <f t="shared" si="846"/>
        <v>0</v>
      </c>
      <c r="BC1232" s="2">
        <f t="shared" si="846"/>
        <v>0</v>
      </c>
      <c r="BD1232" s="2">
        <f t="shared" si="846"/>
        <v>0</v>
      </c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3"/>
      <c r="DH1232" s="3"/>
      <c r="DI1232" s="3"/>
      <c r="DJ1232" s="3"/>
      <c r="DK1232" s="3"/>
      <c r="DL1232" s="3"/>
      <c r="DM1232" s="3"/>
      <c r="DN1232" s="3"/>
      <c r="DO1232" s="3"/>
      <c r="DP1232" s="3"/>
      <c r="DQ1232" s="3"/>
      <c r="DR1232" s="3"/>
      <c r="DS1232" s="3"/>
      <c r="DT1232" s="3"/>
      <c r="DU1232" s="3"/>
      <c r="DV1232" s="3"/>
      <c r="DW1232" s="3"/>
      <c r="DX1232" s="3"/>
      <c r="DY1232" s="3"/>
      <c r="DZ1232" s="3"/>
      <c r="EA1232" s="3"/>
      <c r="EB1232" s="3"/>
      <c r="EC1232" s="3"/>
      <c r="ED1232" s="3"/>
      <c r="EE1232" s="3"/>
      <c r="EF1232" s="3"/>
      <c r="EG1232" s="3"/>
      <c r="EH1232" s="3"/>
      <c r="EI1232" s="3"/>
      <c r="EJ1232" s="3"/>
      <c r="EK1232" s="3"/>
      <c r="EL1232" s="3"/>
      <c r="EM1232" s="3"/>
      <c r="EN1232" s="3"/>
      <c r="EO1232" s="3"/>
      <c r="EP1232" s="3"/>
      <c r="EQ1232" s="3"/>
      <c r="ER1232" s="3"/>
      <c r="ES1232" s="3"/>
      <c r="ET1232" s="3"/>
      <c r="EU1232" s="3"/>
      <c r="EV1232" s="3"/>
      <c r="EW1232" s="3"/>
      <c r="EX1232" s="3"/>
      <c r="EY1232" s="3"/>
      <c r="EZ1232" s="3"/>
      <c r="FA1232" s="3"/>
      <c r="FB1232" s="3"/>
      <c r="FC1232" s="3"/>
      <c r="FD1232" s="3"/>
      <c r="FE1232" s="3"/>
      <c r="FF1232" s="3"/>
      <c r="FG1232" s="3"/>
      <c r="FH1232" s="3"/>
      <c r="FI1232" s="3"/>
      <c r="FJ1232" s="3"/>
      <c r="FK1232" s="3"/>
      <c r="FL1232" s="3"/>
      <c r="FM1232" s="3"/>
      <c r="FN1232" s="3"/>
      <c r="FO1232" s="3"/>
      <c r="FP1232" s="3"/>
      <c r="FQ1232" s="3"/>
      <c r="FR1232" s="3"/>
      <c r="FS1232" s="3"/>
      <c r="FT1232" s="3"/>
      <c r="FU1232" s="3"/>
      <c r="FV1232" s="3"/>
      <c r="FW1232" s="3"/>
      <c r="FX1232" s="3"/>
      <c r="FY1232" s="3"/>
      <c r="FZ1232" s="3"/>
      <c r="GA1232" s="3"/>
      <c r="GB1232" s="3"/>
      <c r="GC1232" s="3"/>
      <c r="GD1232" s="3"/>
      <c r="GE1232" s="3"/>
      <c r="GF1232" s="3"/>
      <c r="GG1232" s="3"/>
      <c r="GH1232" s="3"/>
      <c r="GI1232" s="3"/>
      <c r="GJ1232" s="3"/>
      <c r="GK1232" s="3"/>
      <c r="GL1232" s="3"/>
      <c r="GM1232" s="3"/>
      <c r="GN1232" s="3"/>
      <c r="GO1232" s="3"/>
      <c r="GP1232" s="3"/>
      <c r="GQ1232" s="3"/>
      <c r="GR1232" s="3"/>
      <c r="GS1232" s="3"/>
      <c r="GT1232" s="3"/>
      <c r="GU1232" s="3"/>
      <c r="GV1232" s="3"/>
      <c r="GW1232" s="3"/>
      <c r="GX1232" s="3">
        <v>0</v>
      </c>
    </row>
    <row r="1234" spans="1:23" x14ac:dyDescent="0.2">
      <c r="A1234" s="4">
        <v>50</v>
      </c>
      <c r="B1234" s="4">
        <v>0</v>
      </c>
      <c r="C1234" s="4">
        <v>0</v>
      </c>
      <c r="D1234" s="4">
        <v>1</v>
      </c>
      <c r="E1234" s="4">
        <v>201</v>
      </c>
      <c r="F1234" s="4">
        <f>ROUND(Source!O1232,O1234)</f>
        <v>0</v>
      </c>
      <c r="G1234" s="4" t="s">
        <v>89</v>
      </c>
      <c r="H1234" s="4" t="s">
        <v>90</v>
      </c>
      <c r="I1234" s="4"/>
      <c r="J1234" s="4"/>
      <c r="K1234" s="4">
        <v>201</v>
      </c>
      <c r="L1234" s="4">
        <v>1</v>
      </c>
      <c r="M1234" s="4">
        <v>3</v>
      </c>
      <c r="N1234" s="4" t="s">
        <v>3</v>
      </c>
      <c r="O1234" s="4">
        <v>2</v>
      </c>
      <c r="P1234" s="4"/>
      <c r="Q1234" s="4"/>
      <c r="R1234" s="4"/>
      <c r="S1234" s="4"/>
      <c r="T1234" s="4"/>
      <c r="U1234" s="4"/>
      <c r="V1234" s="4"/>
      <c r="W1234" s="4"/>
    </row>
    <row r="1235" spans="1:23" x14ac:dyDescent="0.2">
      <c r="A1235" s="4">
        <v>50</v>
      </c>
      <c r="B1235" s="4">
        <v>0</v>
      </c>
      <c r="C1235" s="4">
        <v>0</v>
      </c>
      <c r="D1235" s="4">
        <v>1</v>
      </c>
      <c r="E1235" s="4">
        <v>202</v>
      </c>
      <c r="F1235" s="4">
        <f>ROUND(Source!P1232,O1235)</f>
        <v>0</v>
      </c>
      <c r="G1235" s="4" t="s">
        <v>91</v>
      </c>
      <c r="H1235" s="4" t="s">
        <v>92</v>
      </c>
      <c r="I1235" s="4"/>
      <c r="J1235" s="4"/>
      <c r="K1235" s="4">
        <v>202</v>
      </c>
      <c r="L1235" s="4">
        <v>2</v>
      </c>
      <c r="M1235" s="4">
        <v>3</v>
      </c>
      <c r="N1235" s="4" t="s">
        <v>3</v>
      </c>
      <c r="O1235" s="4">
        <v>2</v>
      </c>
      <c r="P1235" s="4"/>
      <c r="Q1235" s="4"/>
      <c r="R1235" s="4"/>
      <c r="S1235" s="4"/>
      <c r="T1235" s="4"/>
      <c r="U1235" s="4"/>
      <c r="V1235" s="4"/>
      <c r="W1235" s="4"/>
    </row>
    <row r="1236" spans="1:23" x14ac:dyDescent="0.2">
      <c r="A1236" s="4">
        <v>50</v>
      </c>
      <c r="B1236" s="4">
        <v>0</v>
      </c>
      <c r="C1236" s="4">
        <v>0</v>
      </c>
      <c r="D1236" s="4">
        <v>1</v>
      </c>
      <c r="E1236" s="4">
        <v>222</v>
      </c>
      <c r="F1236" s="4">
        <f>ROUND(Source!AO1232,O1236)</f>
        <v>0</v>
      </c>
      <c r="G1236" s="4" t="s">
        <v>93</v>
      </c>
      <c r="H1236" s="4" t="s">
        <v>94</v>
      </c>
      <c r="I1236" s="4"/>
      <c r="J1236" s="4"/>
      <c r="K1236" s="4">
        <v>222</v>
      </c>
      <c r="L1236" s="4">
        <v>3</v>
      </c>
      <c r="M1236" s="4">
        <v>3</v>
      </c>
      <c r="N1236" s="4" t="s">
        <v>3</v>
      </c>
      <c r="O1236" s="4">
        <v>2</v>
      </c>
      <c r="P1236" s="4"/>
      <c r="Q1236" s="4"/>
      <c r="R1236" s="4"/>
      <c r="S1236" s="4"/>
      <c r="T1236" s="4"/>
      <c r="U1236" s="4"/>
      <c r="V1236" s="4"/>
      <c r="W1236" s="4"/>
    </row>
    <row r="1237" spans="1:23" x14ac:dyDescent="0.2">
      <c r="A1237" s="4">
        <v>50</v>
      </c>
      <c r="B1237" s="4">
        <v>0</v>
      </c>
      <c r="C1237" s="4">
        <v>0</v>
      </c>
      <c r="D1237" s="4">
        <v>1</v>
      </c>
      <c r="E1237" s="4">
        <v>225</v>
      </c>
      <c r="F1237" s="4">
        <f>ROUND(Source!AV1232,O1237)</f>
        <v>0</v>
      </c>
      <c r="G1237" s="4" t="s">
        <v>95</v>
      </c>
      <c r="H1237" s="4" t="s">
        <v>96</v>
      </c>
      <c r="I1237" s="4"/>
      <c r="J1237" s="4"/>
      <c r="K1237" s="4">
        <v>225</v>
      </c>
      <c r="L1237" s="4">
        <v>4</v>
      </c>
      <c r="M1237" s="4">
        <v>3</v>
      </c>
      <c r="N1237" s="4" t="s">
        <v>3</v>
      </c>
      <c r="O1237" s="4">
        <v>2</v>
      </c>
      <c r="P1237" s="4"/>
      <c r="Q1237" s="4"/>
      <c r="R1237" s="4"/>
      <c r="S1237" s="4"/>
      <c r="T1237" s="4"/>
      <c r="U1237" s="4"/>
      <c r="V1237" s="4"/>
      <c r="W1237" s="4"/>
    </row>
    <row r="1238" spans="1:23" x14ac:dyDescent="0.2">
      <c r="A1238" s="4">
        <v>50</v>
      </c>
      <c r="B1238" s="4">
        <v>0</v>
      </c>
      <c r="C1238" s="4">
        <v>0</v>
      </c>
      <c r="D1238" s="4">
        <v>1</v>
      </c>
      <c r="E1238" s="4">
        <v>226</v>
      </c>
      <c r="F1238" s="4">
        <f>ROUND(Source!AW1232,O1238)</f>
        <v>0</v>
      </c>
      <c r="G1238" s="4" t="s">
        <v>97</v>
      </c>
      <c r="H1238" s="4" t="s">
        <v>98</v>
      </c>
      <c r="I1238" s="4"/>
      <c r="J1238" s="4"/>
      <c r="K1238" s="4">
        <v>226</v>
      </c>
      <c r="L1238" s="4">
        <v>5</v>
      </c>
      <c r="M1238" s="4">
        <v>3</v>
      </c>
      <c r="N1238" s="4" t="s">
        <v>3</v>
      </c>
      <c r="O1238" s="4">
        <v>2</v>
      </c>
      <c r="P1238" s="4"/>
      <c r="Q1238" s="4"/>
      <c r="R1238" s="4"/>
      <c r="S1238" s="4"/>
      <c r="T1238" s="4"/>
      <c r="U1238" s="4"/>
      <c r="V1238" s="4"/>
      <c r="W1238" s="4"/>
    </row>
    <row r="1239" spans="1:23" x14ac:dyDescent="0.2">
      <c r="A1239" s="4">
        <v>50</v>
      </c>
      <c r="B1239" s="4">
        <v>0</v>
      </c>
      <c r="C1239" s="4">
        <v>0</v>
      </c>
      <c r="D1239" s="4">
        <v>1</v>
      </c>
      <c r="E1239" s="4">
        <v>227</v>
      </c>
      <c r="F1239" s="4">
        <f>ROUND(Source!AX1232,O1239)</f>
        <v>0</v>
      </c>
      <c r="G1239" s="4" t="s">
        <v>99</v>
      </c>
      <c r="H1239" s="4" t="s">
        <v>100</v>
      </c>
      <c r="I1239" s="4"/>
      <c r="J1239" s="4"/>
      <c r="K1239" s="4">
        <v>227</v>
      </c>
      <c r="L1239" s="4">
        <v>6</v>
      </c>
      <c r="M1239" s="4">
        <v>3</v>
      </c>
      <c r="N1239" s="4" t="s">
        <v>3</v>
      </c>
      <c r="O1239" s="4">
        <v>2</v>
      </c>
      <c r="P1239" s="4"/>
      <c r="Q1239" s="4"/>
      <c r="R1239" s="4"/>
      <c r="S1239" s="4"/>
      <c r="T1239" s="4"/>
      <c r="U1239" s="4"/>
      <c r="V1239" s="4"/>
      <c r="W1239" s="4"/>
    </row>
    <row r="1240" spans="1:23" x14ac:dyDescent="0.2">
      <c r="A1240" s="4">
        <v>50</v>
      </c>
      <c r="B1240" s="4">
        <v>0</v>
      </c>
      <c r="C1240" s="4">
        <v>0</v>
      </c>
      <c r="D1240" s="4">
        <v>1</v>
      </c>
      <c r="E1240" s="4">
        <v>228</v>
      </c>
      <c r="F1240" s="4">
        <f>ROUND(Source!AY1232,O1240)</f>
        <v>0</v>
      </c>
      <c r="G1240" s="4" t="s">
        <v>101</v>
      </c>
      <c r="H1240" s="4" t="s">
        <v>102</v>
      </c>
      <c r="I1240" s="4"/>
      <c r="J1240" s="4"/>
      <c r="K1240" s="4">
        <v>228</v>
      </c>
      <c r="L1240" s="4">
        <v>7</v>
      </c>
      <c r="M1240" s="4">
        <v>3</v>
      </c>
      <c r="N1240" s="4" t="s">
        <v>3</v>
      </c>
      <c r="O1240" s="4">
        <v>2</v>
      </c>
      <c r="P1240" s="4"/>
      <c r="Q1240" s="4"/>
      <c r="R1240" s="4"/>
      <c r="S1240" s="4"/>
      <c r="T1240" s="4"/>
      <c r="U1240" s="4"/>
      <c r="V1240" s="4"/>
      <c r="W1240" s="4"/>
    </row>
    <row r="1241" spans="1:23" x14ac:dyDescent="0.2">
      <c r="A1241" s="4">
        <v>50</v>
      </c>
      <c r="B1241" s="4">
        <v>0</v>
      </c>
      <c r="C1241" s="4">
        <v>0</v>
      </c>
      <c r="D1241" s="4">
        <v>1</v>
      </c>
      <c r="E1241" s="4">
        <v>216</v>
      </c>
      <c r="F1241" s="4">
        <f>ROUND(Source!AP1232,O1241)</f>
        <v>0</v>
      </c>
      <c r="G1241" s="4" t="s">
        <v>103</v>
      </c>
      <c r="H1241" s="4" t="s">
        <v>104</v>
      </c>
      <c r="I1241" s="4"/>
      <c r="J1241" s="4"/>
      <c r="K1241" s="4">
        <v>216</v>
      </c>
      <c r="L1241" s="4">
        <v>8</v>
      </c>
      <c r="M1241" s="4">
        <v>3</v>
      </c>
      <c r="N1241" s="4" t="s">
        <v>3</v>
      </c>
      <c r="O1241" s="4">
        <v>2</v>
      </c>
      <c r="P1241" s="4"/>
      <c r="Q1241" s="4"/>
      <c r="R1241" s="4"/>
      <c r="S1241" s="4"/>
      <c r="T1241" s="4"/>
      <c r="U1241" s="4"/>
      <c r="V1241" s="4"/>
      <c r="W1241" s="4"/>
    </row>
    <row r="1242" spans="1:23" x14ac:dyDescent="0.2">
      <c r="A1242" s="4">
        <v>50</v>
      </c>
      <c r="B1242" s="4">
        <v>0</v>
      </c>
      <c r="C1242" s="4">
        <v>0</v>
      </c>
      <c r="D1242" s="4">
        <v>1</v>
      </c>
      <c r="E1242" s="4">
        <v>223</v>
      </c>
      <c r="F1242" s="4">
        <f>ROUND(Source!AQ1232,O1242)</f>
        <v>0</v>
      </c>
      <c r="G1242" s="4" t="s">
        <v>105</v>
      </c>
      <c r="H1242" s="4" t="s">
        <v>106</v>
      </c>
      <c r="I1242" s="4"/>
      <c r="J1242" s="4"/>
      <c r="K1242" s="4">
        <v>223</v>
      </c>
      <c r="L1242" s="4">
        <v>9</v>
      </c>
      <c r="M1242" s="4">
        <v>3</v>
      </c>
      <c r="N1242" s="4" t="s">
        <v>3</v>
      </c>
      <c r="O1242" s="4">
        <v>2</v>
      </c>
      <c r="P1242" s="4"/>
      <c r="Q1242" s="4"/>
      <c r="R1242" s="4"/>
      <c r="S1242" s="4"/>
      <c r="T1242" s="4"/>
      <c r="U1242" s="4"/>
      <c r="V1242" s="4"/>
      <c r="W1242" s="4"/>
    </row>
    <row r="1243" spans="1:23" x14ac:dyDescent="0.2">
      <c r="A1243" s="4">
        <v>50</v>
      </c>
      <c r="B1243" s="4">
        <v>0</v>
      </c>
      <c r="C1243" s="4">
        <v>0</v>
      </c>
      <c r="D1243" s="4">
        <v>1</v>
      </c>
      <c r="E1243" s="4">
        <v>229</v>
      </c>
      <c r="F1243" s="4">
        <f>ROUND(Source!AZ1232,O1243)</f>
        <v>0</v>
      </c>
      <c r="G1243" s="4" t="s">
        <v>107</v>
      </c>
      <c r="H1243" s="4" t="s">
        <v>108</v>
      </c>
      <c r="I1243" s="4"/>
      <c r="J1243" s="4"/>
      <c r="K1243" s="4">
        <v>229</v>
      </c>
      <c r="L1243" s="4">
        <v>10</v>
      </c>
      <c r="M1243" s="4">
        <v>3</v>
      </c>
      <c r="N1243" s="4" t="s">
        <v>3</v>
      </c>
      <c r="O1243" s="4">
        <v>2</v>
      </c>
      <c r="P1243" s="4"/>
      <c r="Q1243" s="4"/>
      <c r="R1243" s="4"/>
      <c r="S1243" s="4"/>
      <c r="T1243" s="4"/>
      <c r="U1243" s="4"/>
      <c r="V1243" s="4"/>
      <c r="W1243" s="4"/>
    </row>
    <row r="1244" spans="1:23" x14ac:dyDescent="0.2">
      <c r="A1244" s="4">
        <v>50</v>
      </c>
      <c r="B1244" s="4">
        <v>0</v>
      </c>
      <c r="C1244" s="4">
        <v>0</v>
      </c>
      <c r="D1244" s="4">
        <v>1</v>
      </c>
      <c r="E1244" s="4">
        <v>203</v>
      </c>
      <c r="F1244" s="4">
        <f>ROUND(Source!Q1232,O1244)</f>
        <v>0</v>
      </c>
      <c r="G1244" s="4" t="s">
        <v>109</v>
      </c>
      <c r="H1244" s="4" t="s">
        <v>110</v>
      </c>
      <c r="I1244" s="4"/>
      <c r="J1244" s="4"/>
      <c r="K1244" s="4">
        <v>203</v>
      </c>
      <c r="L1244" s="4">
        <v>11</v>
      </c>
      <c r="M1244" s="4">
        <v>3</v>
      </c>
      <c r="N1244" s="4" t="s">
        <v>3</v>
      </c>
      <c r="O1244" s="4">
        <v>2</v>
      </c>
      <c r="P1244" s="4"/>
      <c r="Q1244" s="4"/>
      <c r="R1244" s="4"/>
      <c r="S1244" s="4"/>
      <c r="T1244" s="4"/>
      <c r="U1244" s="4"/>
      <c r="V1244" s="4"/>
      <c r="W1244" s="4"/>
    </row>
    <row r="1245" spans="1:23" x14ac:dyDescent="0.2">
      <c r="A1245" s="4">
        <v>50</v>
      </c>
      <c r="B1245" s="4">
        <v>0</v>
      </c>
      <c r="C1245" s="4">
        <v>0</v>
      </c>
      <c r="D1245" s="4">
        <v>1</v>
      </c>
      <c r="E1245" s="4">
        <v>231</v>
      </c>
      <c r="F1245" s="4">
        <f>ROUND(Source!BB1232,O1245)</f>
        <v>0</v>
      </c>
      <c r="G1245" s="4" t="s">
        <v>111</v>
      </c>
      <c r="H1245" s="4" t="s">
        <v>112</v>
      </c>
      <c r="I1245" s="4"/>
      <c r="J1245" s="4"/>
      <c r="K1245" s="4">
        <v>231</v>
      </c>
      <c r="L1245" s="4">
        <v>12</v>
      </c>
      <c r="M1245" s="4">
        <v>3</v>
      </c>
      <c r="N1245" s="4" t="s">
        <v>3</v>
      </c>
      <c r="O1245" s="4">
        <v>2</v>
      </c>
      <c r="P1245" s="4"/>
      <c r="Q1245" s="4"/>
      <c r="R1245" s="4"/>
      <c r="S1245" s="4"/>
      <c r="T1245" s="4"/>
      <c r="U1245" s="4"/>
      <c r="V1245" s="4"/>
      <c r="W1245" s="4"/>
    </row>
    <row r="1246" spans="1:23" x14ac:dyDescent="0.2">
      <c r="A1246" s="4">
        <v>50</v>
      </c>
      <c r="B1246" s="4">
        <v>0</v>
      </c>
      <c r="C1246" s="4">
        <v>0</v>
      </c>
      <c r="D1246" s="4">
        <v>1</v>
      </c>
      <c r="E1246" s="4">
        <v>204</v>
      </c>
      <c r="F1246" s="4">
        <f>ROUND(Source!R1232,O1246)</f>
        <v>0</v>
      </c>
      <c r="G1246" s="4" t="s">
        <v>113</v>
      </c>
      <c r="H1246" s="4" t="s">
        <v>114</v>
      </c>
      <c r="I1246" s="4"/>
      <c r="J1246" s="4"/>
      <c r="K1246" s="4">
        <v>204</v>
      </c>
      <c r="L1246" s="4">
        <v>13</v>
      </c>
      <c r="M1246" s="4">
        <v>3</v>
      </c>
      <c r="N1246" s="4" t="s">
        <v>3</v>
      </c>
      <c r="O1246" s="4">
        <v>2</v>
      </c>
      <c r="P1246" s="4"/>
      <c r="Q1246" s="4"/>
      <c r="R1246" s="4"/>
      <c r="S1246" s="4"/>
      <c r="T1246" s="4"/>
      <c r="U1246" s="4"/>
      <c r="V1246" s="4"/>
      <c r="W1246" s="4"/>
    </row>
    <row r="1247" spans="1:23" x14ac:dyDescent="0.2">
      <c r="A1247" s="4">
        <v>50</v>
      </c>
      <c r="B1247" s="4">
        <v>0</v>
      </c>
      <c r="C1247" s="4">
        <v>0</v>
      </c>
      <c r="D1247" s="4">
        <v>1</v>
      </c>
      <c r="E1247" s="4">
        <v>205</v>
      </c>
      <c r="F1247" s="4">
        <f>ROUND(Source!S1232,O1247)</f>
        <v>0</v>
      </c>
      <c r="G1247" s="4" t="s">
        <v>115</v>
      </c>
      <c r="H1247" s="4" t="s">
        <v>116</v>
      </c>
      <c r="I1247" s="4"/>
      <c r="J1247" s="4"/>
      <c r="K1247" s="4">
        <v>205</v>
      </c>
      <c r="L1247" s="4">
        <v>14</v>
      </c>
      <c r="M1247" s="4">
        <v>3</v>
      </c>
      <c r="N1247" s="4" t="s">
        <v>3</v>
      </c>
      <c r="O1247" s="4">
        <v>2</v>
      </c>
      <c r="P1247" s="4"/>
      <c r="Q1247" s="4"/>
      <c r="R1247" s="4"/>
      <c r="S1247" s="4"/>
      <c r="T1247" s="4"/>
      <c r="U1247" s="4"/>
      <c r="V1247" s="4"/>
      <c r="W1247" s="4"/>
    </row>
    <row r="1248" spans="1:23" x14ac:dyDescent="0.2">
      <c r="A1248" s="4">
        <v>50</v>
      </c>
      <c r="B1248" s="4">
        <v>0</v>
      </c>
      <c r="C1248" s="4">
        <v>0</v>
      </c>
      <c r="D1248" s="4">
        <v>1</v>
      </c>
      <c r="E1248" s="4">
        <v>232</v>
      </c>
      <c r="F1248" s="4">
        <f>ROUND(Source!BC1232,O1248)</f>
        <v>0</v>
      </c>
      <c r="G1248" s="4" t="s">
        <v>117</v>
      </c>
      <c r="H1248" s="4" t="s">
        <v>118</v>
      </c>
      <c r="I1248" s="4"/>
      <c r="J1248" s="4"/>
      <c r="K1248" s="4">
        <v>232</v>
      </c>
      <c r="L1248" s="4">
        <v>15</v>
      </c>
      <c r="M1248" s="4">
        <v>3</v>
      </c>
      <c r="N1248" s="4" t="s">
        <v>3</v>
      </c>
      <c r="O1248" s="4">
        <v>2</v>
      </c>
      <c r="P1248" s="4"/>
      <c r="Q1248" s="4"/>
      <c r="R1248" s="4"/>
      <c r="S1248" s="4"/>
      <c r="T1248" s="4"/>
      <c r="U1248" s="4"/>
      <c r="V1248" s="4"/>
      <c r="W1248" s="4"/>
    </row>
    <row r="1249" spans="1:206" x14ac:dyDescent="0.2">
      <c r="A1249" s="4">
        <v>50</v>
      </c>
      <c r="B1249" s="4">
        <v>0</v>
      </c>
      <c r="C1249" s="4">
        <v>0</v>
      </c>
      <c r="D1249" s="4">
        <v>1</v>
      </c>
      <c r="E1249" s="4">
        <v>214</v>
      </c>
      <c r="F1249" s="4">
        <f>ROUND(Source!AS1232,O1249)</f>
        <v>0</v>
      </c>
      <c r="G1249" s="4" t="s">
        <v>119</v>
      </c>
      <c r="H1249" s="4" t="s">
        <v>120</v>
      </c>
      <c r="I1249" s="4"/>
      <c r="J1249" s="4"/>
      <c r="K1249" s="4">
        <v>214</v>
      </c>
      <c r="L1249" s="4">
        <v>16</v>
      </c>
      <c r="M1249" s="4">
        <v>3</v>
      </c>
      <c r="N1249" s="4" t="s">
        <v>3</v>
      </c>
      <c r="O1249" s="4">
        <v>2</v>
      </c>
      <c r="P1249" s="4"/>
      <c r="Q1249" s="4"/>
      <c r="R1249" s="4"/>
      <c r="S1249" s="4"/>
      <c r="T1249" s="4"/>
      <c r="U1249" s="4"/>
      <c r="V1249" s="4"/>
      <c r="W1249" s="4"/>
    </row>
    <row r="1250" spans="1:206" x14ac:dyDescent="0.2">
      <c r="A1250" s="4">
        <v>50</v>
      </c>
      <c r="B1250" s="4">
        <v>0</v>
      </c>
      <c r="C1250" s="4">
        <v>0</v>
      </c>
      <c r="D1250" s="4">
        <v>1</v>
      </c>
      <c r="E1250" s="4">
        <v>215</v>
      </c>
      <c r="F1250" s="4">
        <f>ROUND(Source!AT1232,O1250)</f>
        <v>0</v>
      </c>
      <c r="G1250" s="4" t="s">
        <v>121</v>
      </c>
      <c r="H1250" s="4" t="s">
        <v>122</v>
      </c>
      <c r="I1250" s="4"/>
      <c r="J1250" s="4"/>
      <c r="K1250" s="4">
        <v>215</v>
      </c>
      <c r="L1250" s="4">
        <v>17</v>
      </c>
      <c r="M1250" s="4">
        <v>3</v>
      </c>
      <c r="N1250" s="4" t="s">
        <v>3</v>
      </c>
      <c r="O1250" s="4">
        <v>2</v>
      </c>
      <c r="P1250" s="4"/>
      <c r="Q1250" s="4"/>
      <c r="R1250" s="4"/>
      <c r="S1250" s="4"/>
      <c r="T1250" s="4"/>
      <c r="U1250" s="4"/>
      <c r="V1250" s="4"/>
      <c r="W1250" s="4"/>
    </row>
    <row r="1251" spans="1:206" x14ac:dyDescent="0.2">
      <c r="A1251" s="4">
        <v>50</v>
      </c>
      <c r="B1251" s="4">
        <v>0</v>
      </c>
      <c r="C1251" s="4">
        <v>0</v>
      </c>
      <c r="D1251" s="4">
        <v>1</v>
      </c>
      <c r="E1251" s="4">
        <v>217</v>
      </c>
      <c r="F1251" s="4">
        <f>ROUND(Source!AU1232,O1251)</f>
        <v>0</v>
      </c>
      <c r="G1251" s="4" t="s">
        <v>123</v>
      </c>
      <c r="H1251" s="4" t="s">
        <v>124</v>
      </c>
      <c r="I1251" s="4"/>
      <c r="J1251" s="4"/>
      <c r="K1251" s="4">
        <v>217</v>
      </c>
      <c r="L1251" s="4">
        <v>18</v>
      </c>
      <c r="M1251" s="4">
        <v>3</v>
      </c>
      <c r="N1251" s="4" t="s">
        <v>3</v>
      </c>
      <c r="O1251" s="4">
        <v>2</v>
      </c>
      <c r="P1251" s="4"/>
      <c r="Q1251" s="4"/>
      <c r="R1251" s="4"/>
      <c r="S1251" s="4"/>
      <c r="T1251" s="4"/>
      <c r="U1251" s="4"/>
      <c r="V1251" s="4"/>
      <c r="W1251" s="4"/>
    </row>
    <row r="1252" spans="1:206" x14ac:dyDescent="0.2">
      <c r="A1252" s="4">
        <v>50</v>
      </c>
      <c r="B1252" s="4">
        <v>0</v>
      </c>
      <c r="C1252" s="4">
        <v>0</v>
      </c>
      <c r="D1252" s="4">
        <v>1</v>
      </c>
      <c r="E1252" s="4">
        <v>230</v>
      </c>
      <c r="F1252" s="4">
        <f>ROUND(Source!BA1232,O1252)</f>
        <v>0</v>
      </c>
      <c r="G1252" s="4" t="s">
        <v>125</v>
      </c>
      <c r="H1252" s="4" t="s">
        <v>126</v>
      </c>
      <c r="I1252" s="4"/>
      <c r="J1252" s="4"/>
      <c r="K1252" s="4">
        <v>230</v>
      </c>
      <c r="L1252" s="4">
        <v>19</v>
      </c>
      <c r="M1252" s="4">
        <v>3</v>
      </c>
      <c r="N1252" s="4" t="s">
        <v>3</v>
      </c>
      <c r="O1252" s="4">
        <v>2</v>
      </c>
      <c r="P1252" s="4"/>
      <c r="Q1252" s="4"/>
      <c r="R1252" s="4"/>
      <c r="S1252" s="4"/>
      <c r="T1252" s="4"/>
      <c r="U1252" s="4"/>
      <c r="V1252" s="4"/>
      <c r="W1252" s="4"/>
    </row>
    <row r="1253" spans="1:206" x14ac:dyDescent="0.2">
      <c r="A1253" s="4">
        <v>50</v>
      </c>
      <c r="B1253" s="4">
        <v>0</v>
      </c>
      <c r="C1253" s="4">
        <v>0</v>
      </c>
      <c r="D1253" s="4">
        <v>1</v>
      </c>
      <c r="E1253" s="4">
        <v>206</v>
      </c>
      <c r="F1253" s="4">
        <f>ROUND(Source!T1232,O1253)</f>
        <v>0</v>
      </c>
      <c r="G1253" s="4" t="s">
        <v>127</v>
      </c>
      <c r="H1253" s="4" t="s">
        <v>128</v>
      </c>
      <c r="I1253" s="4"/>
      <c r="J1253" s="4"/>
      <c r="K1253" s="4">
        <v>206</v>
      </c>
      <c r="L1253" s="4">
        <v>20</v>
      </c>
      <c r="M1253" s="4">
        <v>3</v>
      </c>
      <c r="N1253" s="4" t="s">
        <v>3</v>
      </c>
      <c r="O1253" s="4">
        <v>2</v>
      </c>
      <c r="P1253" s="4"/>
      <c r="Q1253" s="4"/>
      <c r="R1253" s="4"/>
      <c r="S1253" s="4"/>
      <c r="T1253" s="4"/>
      <c r="U1253" s="4"/>
      <c r="V1253" s="4"/>
      <c r="W1253" s="4"/>
    </row>
    <row r="1254" spans="1:206" x14ac:dyDescent="0.2">
      <c r="A1254" s="4">
        <v>50</v>
      </c>
      <c r="B1254" s="4">
        <v>0</v>
      </c>
      <c r="C1254" s="4">
        <v>0</v>
      </c>
      <c r="D1254" s="4">
        <v>1</v>
      </c>
      <c r="E1254" s="4">
        <v>207</v>
      </c>
      <c r="F1254" s="4">
        <f>Source!U1232</f>
        <v>0</v>
      </c>
      <c r="G1254" s="4" t="s">
        <v>129</v>
      </c>
      <c r="H1254" s="4" t="s">
        <v>130</v>
      </c>
      <c r="I1254" s="4"/>
      <c r="J1254" s="4"/>
      <c r="K1254" s="4">
        <v>207</v>
      </c>
      <c r="L1254" s="4">
        <v>21</v>
      </c>
      <c r="M1254" s="4">
        <v>3</v>
      </c>
      <c r="N1254" s="4" t="s">
        <v>3</v>
      </c>
      <c r="O1254" s="4">
        <v>-1</v>
      </c>
      <c r="P1254" s="4"/>
      <c r="Q1254" s="4"/>
      <c r="R1254" s="4"/>
      <c r="S1254" s="4"/>
      <c r="T1254" s="4"/>
      <c r="U1254" s="4"/>
      <c r="V1254" s="4"/>
      <c r="W1254" s="4"/>
    </row>
    <row r="1255" spans="1:206" x14ac:dyDescent="0.2">
      <c r="A1255" s="4">
        <v>50</v>
      </c>
      <c r="B1255" s="4">
        <v>0</v>
      </c>
      <c r="C1255" s="4">
        <v>0</v>
      </c>
      <c r="D1255" s="4">
        <v>1</v>
      </c>
      <c r="E1255" s="4">
        <v>208</v>
      </c>
      <c r="F1255" s="4">
        <f>Source!V1232</f>
        <v>0</v>
      </c>
      <c r="G1255" s="4" t="s">
        <v>131</v>
      </c>
      <c r="H1255" s="4" t="s">
        <v>132</v>
      </c>
      <c r="I1255" s="4"/>
      <c r="J1255" s="4"/>
      <c r="K1255" s="4">
        <v>208</v>
      </c>
      <c r="L1255" s="4">
        <v>22</v>
      </c>
      <c r="M1255" s="4">
        <v>3</v>
      </c>
      <c r="N1255" s="4" t="s">
        <v>3</v>
      </c>
      <c r="O1255" s="4">
        <v>-1</v>
      </c>
      <c r="P1255" s="4"/>
      <c r="Q1255" s="4"/>
      <c r="R1255" s="4"/>
      <c r="S1255" s="4"/>
      <c r="T1255" s="4"/>
      <c r="U1255" s="4"/>
      <c r="V1255" s="4"/>
      <c r="W1255" s="4"/>
    </row>
    <row r="1256" spans="1:206" x14ac:dyDescent="0.2">
      <c r="A1256" s="4">
        <v>50</v>
      </c>
      <c r="B1256" s="4">
        <v>0</v>
      </c>
      <c r="C1256" s="4">
        <v>0</v>
      </c>
      <c r="D1256" s="4">
        <v>1</v>
      </c>
      <c r="E1256" s="4">
        <v>209</v>
      </c>
      <c r="F1256" s="4">
        <f>ROUND(Source!W1232,O1256)</f>
        <v>0</v>
      </c>
      <c r="G1256" s="4" t="s">
        <v>133</v>
      </c>
      <c r="H1256" s="4" t="s">
        <v>134</v>
      </c>
      <c r="I1256" s="4"/>
      <c r="J1256" s="4"/>
      <c r="K1256" s="4">
        <v>209</v>
      </c>
      <c r="L1256" s="4">
        <v>23</v>
      </c>
      <c r="M1256" s="4">
        <v>3</v>
      </c>
      <c r="N1256" s="4" t="s">
        <v>3</v>
      </c>
      <c r="O1256" s="4">
        <v>2</v>
      </c>
      <c r="P1256" s="4"/>
      <c r="Q1256" s="4"/>
      <c r="R1256" s="4"/>
      <c r="S1256" s="4"/>
      <c r="T1256" s="4"/>
      <c r="U1256" s="4"/>
      <c r="V1256" s="4"/>
      <c r="W1256" s="4"/>
    </row>
    <row r="1257" spans="1:206" x14ac:dyDescent="0.2">
      <c r="A1257" s="4">
        <v>50</v>
      </c>
      <c r="B1257" s="4">
        <v>0</v>
      </c>
      <c r="C1257" s="4">
        <v>0</v>
      </c>
      <c r="D1257" s="4">
        <v>1</v>
      </c>
      <c r="E1257" s="4">
        <v>233</v>
      </c>
      <c r="F1257" s="4">
        <f>ROUND(Source!BD1232,O1257)</f>
        <v>0</v>
      </c>
      <c r="G1257" s="4" t="s">
        <v>135</v>
      </c>
      <c r="H1257" s="4" t="s">
        <v>136</v>
      </c>
      <c r="I1257" s="4"/>
      <c r="J1257" s="4"/>
      <c r="K1257" s="4">
        <v>233</v>
      </c>
      <c r="L1257" s="4">
        <v>24</v>
      </c>
      <c r="M1257" s="4">
        <v>3</v>
      </c>
      <c r="N1257" s="4" t="s">
        <v>3</v>
      </c>
      <c r="O1257" s="4">
        <v>2</v>
      </c>
      <c r="P1257" s="4"/>
      <c r="Q1257" s="4"/>
      <c r="R1257" s="4"/>
      <c r="S1257" s="4"/>
      <c r="T1257" s="4"/>
      <c r="U1257" s="4"/>
      <c r="V1257" s="4"/>
      <c r="W1257" s="4"/>
    </row>
    <row r="1258" spans="1:206" x14ac:dyDescent="0.2">
      <c r="A1258" s="4">
        <v>50</v>
      </c>
      <c r="B1258" s="4">
        <v>0</v>
      </c>
      <c r="C1258" s="4">
        <v>0</v>
      </c>
      <c r="D1258" s="4">
        <v>1</v>
      </c>
      <c r="E1258" s="4">
        <v>210</v>
      </c>
      <c r="F1258" s="4">
        <f>ROUND(Source!X1232,O1258)</f>
        <v>0</v>
      </c>
      <c r="G1258" s="4" t="s">
        <v>137</v>
      </c>
      <c r="H1258" s="4" t="s">
        <v>138</v>
      </c>
      <c r="I1258" s="4"/>
      <c r="J1258" s="4"/>
      <c r="K1258" s="4">
        <v>210</v>
      </c>
      <c r="L1258" s="4">
        <v>25</v>
      </c>
      <c r="M1258" s="4">
        <v>3</v>
      </c>
      <c r="N1258" s="4" t="s">
        <v>3</v>
      </c>
      <c r="O1258" s="4">
        <v>2</v>
      </c>
      <c r="P1258" s="4"/>
      <c r="Q1258" s="4"/>
      <c r="R1258" s="4"/>
      <c r="S1258" s="4"/>
      <c r="T1258" s="4"/>
      <c r="U1258" s="4"/>
      <c r="V1258" s="4"/>
      <c r="W1258" s="4"/>
    </row>
    <row r="1259" spans="1:206" x14ac:dyDescent="0.2">
      <c r="A1259" s="4">
        <v>50</v>
      </c>
      <c r="B1259" s="4">
        <v>0</v>
      </c>
      <c r="C1259" s="4">
        <v>0</v>
      </c>
      <c r="D1259" s="4">
        <v>1</v>
      </c>
      <c r="E1259" s="4">
        <v>211</v>
      </c>
      <c r="F1259" s="4">
        <f>ROUND(Source!Y1232,O1259)</f>
        <v>0</v>
      </c>
      <c r="G1259" s="4" t="s">
        <v>139</v>
      </c>
      <c r="H1259" s="4" t="s">
        <v>140</v>
      </c>
      <c r="I1259" s="4"/>
      <c r="J1259" s="4"/>
      <c r="K1259" s="4">
        <v>211</v>
      </c>
      <c r="L1259" s="4">
        <v>26</v>
      </c>
      <c r="M1259" s="4">
        <v>3</v>
      </c>
      <c r="N1259" s="4" t="s">
        <v>3</v>
      </c>
      <c r="O1259" s="4">
        <v>2</v>
      </c>
      <c r="P1259" s="4"/>
      <c r="Q1259" s="4"/>
      <c r="R1259" s="4"/>
      <c r="S1259" s="4"/>
      <c r="T1259" s="4"/>
      <c r="U1259" s="4"/>
      <c r="V1259" s="4"/>
      <c r="W1259" s="4"/>
    </row>
    <row r="1260" spans="1:206" x14ac:dyDescent="0.2">
      <c r="A1260" s="4">
        <v>50</v>
      </c>
      <c r="B1260" s="4">
        <v>0</v>
      </c>
      <c r="C1260" s="4">
        <v>0</v>
      </c>
      <c r="D1260" s="4">
        <v>1</v>
      </c>
      <c r="E1260" s="4">
        <v>224</v>
      </c>
      <c r="F1260" s="4">
        <f>ROUND(Source!AR1232,O1260)</f>
        <v>0</v>
      </c>
      <c r="G1260" s="4" t="s">
        <v>141</v>
      </c>
      <c r="H1260" s="4" t="s">
        <v>142</v>
      </c>
      <c r="I1260" s="4"/>
      <c r="J1260" s="4"/>
      <c r="K1260" s="4">
        <v>224</v>
      </c>
      <c r="L1260" s="4">
        <v>27</v>
      </c>
      <c r="M1260" s="4">
        <v>3</v>
      </c>
      <c r="N1260" s="4" t="s">
        <v>3</v>
      </c>
      <c r="O1260" s="4">
        <v>2</v>
      </c>
      <c r="P1260" s="4"/>
      <c r="Q1260" s="4"/>
      <c r="R1260" s="4"/>
      <c r="S1260" s="4"/>
      <c r="T1260" s="4"/>
      <c r="U1260" s="4"/>
      <c r="V1260" s="4"/>
      <c r="W1260" s="4"/>
    </row>
    <row r="1262" spans="1:206" x14ac:dyDescent="0.2">
      <c r="A1262" s="1">
        <v>4</v>
      </c>
      <c r="B1262" s="1">
        <v>1</v>
      </c>
      <c r="C1262" s="1"/>
      <c r="D1262" s="1">
        <f>ROW(A1266)</f>
        <v>1266</v>
      </c>
      <c r="E1262" s="1"/>
      <c r="F1262" s="1" t="s">
        <v>13</v>
      </c>
      <c r="G1262" s="1" t="s">
        <v>602</v>
      </c>
      <c r="H1262" s="1" t="s">
        <v>3</v>
      </c>
      <c r="I1262" s="1">
        <v>0</v>
      </c>
      <c r="J1262" s="1"/>
      <c r="K1262" s="1">
        <v>-1</v>
      </c>
      <c r="L1262" s="1"/>
      <c r="M1262" s="1"/>
      <c r="N1262" s="1"/>
      <c r="O1262" s="1"/>
      <c r="P1262" s="1"/>
      <c r="Q1262" s="1"/>
      <c r="R1262" s="1"/>
      <c r="S1262" s="1"/>
      <c r="T1262" s="1"/>
      <c r="U1262" s="1" t="s">
        <v>3</v>
      </c>
      <c r="V1262" s="1">
        <v>0</v>
      </c>
      <c r="W1262" s="1"/>
      <c r="X1262" s="1"/>
      <c r="Y1262" s="1"/>
      <c r="Z1262" s="1"/>
      <c r="AA1262" s="1"/>
      <c r="AB1262" s="1" t="s">
        <v>3</v>
      </c>
      <c r="AC1262" s="1" t="s">
        <v>3</v>
      </c>
      <c r="AD1262" s="1" t="s">
        <v>3</v>
      </c>
      <c r="AE1262" s="1" t="s">
        <v>3</v>
      </c>
      <c r="AF1262" s="1" t="s">
        <v>3</v>
      </c>
      <c r="AG1262" s="1" t="s">
        <v>3</v>
      </c>
      <c r="AH1262" s="1"/>
      <c r="AI1262" s="1"/>
      <c r="AJ1262" s="1"/>
      <c r="AK1262" s="1"/>
      <c r="AL1262" s="1"/>
      <c r="AM1262" s="1"/>
      <c r="AN1262" s="1"/>
      <c r="AO1262" s="1"/>
      <c r="AP1262" s="1" t="s">
        <v>3</v>
      </c>
      <c r="AQ1262" s="1" t="s">
        <v>3</v>
      </c>
      <c r="AR1262" s="1" t="s">
        <v>3</v>
      </c>
      <c r="AS1262" s="1"/>
      <c r="AT1262" s="1"/>
      <c r="AU1262" s="1"/>
      <c r="AV1262" s="1"/>
      <c r="AW1262" s="1"/>
      <c r="AX1262" s="1"/>
      <c r="AY1262" s="1"/>
      <c r="AZ1262" s="1" t="s">
        <v>3</v>
      </c>
      <c r="BA1262" s="1"/>
      <c r="BB1262" s="1" t="s">
        <v>3</v>
      </c>
      <c r="BC1262" s="1" t="s">
        <v>3</v>
      </c>
      <c r="BD1262" s="1" t="s">
        <v>3</v>
      </c>
      <c r="BE1262" s="1" t="s">
        <v>3</v>
      </c>
      <c r="BF1262" s="1" t="s">
        <v>3</v>
      </c>
      <c r="BG1262" s="1" t="s">
        <v>3</v>
      </c>
      <c r="BH1262" s="1" t="s">
        <v>3</v>
      </c>
      <c r="BI1262" s="1" t="s">
        <v>3</v>
      </c>
      <c r="BJ1262" s="1" t="s">
        <v>3</v>
      </c>
      <c r="BK1262" s="1" t="s">
        <v>3</v>
      </c>
      <c r="BL1262" s="1" t="s">
        <v>3</v>
      </c>
      <c r="BM1262" s="1" t="s">
        <v>3</v>
      </c>
      <c r="BN1262" s="1" t="s">
        <v>3</v>
      </c>
      <c r="BO1262" s="1" t="s">
        <v>3</v>
      </c>
      <c r="BP1262" s="1" t="s">
        <v>3</v>
      </c>
      <c r="BQ1262" s="1"/>
      <c r="BR1262" s="1"/>
      <c r="BS1262" s="1"/>
      <c r="BT1262" s="1"/>
      <c r="BU1262" s="1"/>
      <c r="BV1262" s="1"/>
      <c r="BW1262" s="1"/>
      <c r="BX1262" s="1">
        <v>0</v>
      </c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>
        <v>0</v>
      </c>
    </row>
    <row r="1264" spans="1:206" x14ac:dyDescent="0.2">
      <c r="A1264" s="2">
        <v>52</v>
      </c>
      <c r="B1264" s="2">
        <f t="shared" ref="B1264:G1264" si="847">B1266</f>
        <v>1</v>
      </c>
      <c r="C1264" s="2">
        <f t="shared" si="847"/>
        <v>4</v>
      </c>
      <c r="D1264" s="2">
        <f t="shared" si="847"/>
        <v>1262</v>
      </c>
      <c r="E1264" s="2">
        <f t="shared" si="847"/>
        <v>0</v>
      </c>
      <c r="F1264" s="2" t="str">
        <f t="shared" si="847"/>
        <v>Новый раздел</v>
      </c>
      <c r="G1264" s="2" t="str">
        <f t="shared" si="847"/>
        <v>44. Разметка парковочного места</v>
      </c>
      <c r="H1264" s="2"/>
      <c r="I1264" s="2"/>
      <c r="J1264" s="2"/>
      <c r="K1264" s="2"/>
      <c r="L1264" s="2"/>
      <c r="M1264" s="2"/>
      <c r="N1264" s="2"/>
      <c r="O1264" s="2">
        <f t="shared" ref="O1264:AT1264" si="848">O1266</f>
        <v>0</v>
      </c>
      <c r="P1264" s="2">
        <f t="shared" si="848"/>
        <v>0</v>
      </c>
      <c r="Q1264" s="2">
        <f t="shared" si="848"/>
        <v>0</v>
      </c>
      <c r="R1264" s="2">
        <f t="shared" si="848"/>
        <v>0</v>
      </c>
      <c r="S1264" s="2">
        <f t="shared" si="848"/>
        <v>0</v>
      </c>
      <c r="T1264" s="2">
        <f t="shared" si="848"/>
        <v>0</v>
      </c>
      <c r="U1264" s="2">
        <f t="shared" si="848"/>
        <v>0</v>
      </c>
      <c r="V1264" s="2">
        <f t="shared" si="848"/>
        <v>0</v>
      </c>
      <c r="W1264" s="2">
        <f t="shared" si="848"/>
        <v>0</v>
      </c>
      <c r="X1264" s="2">
        <f t="shared" si="848"/>
        <v>0</v>
      </c>
      <c r="Y1264" s="2">
        <f t="shared" si="848"/>
        <v>0</v>
      </c>
      <c r="Z1264" s="2">
        <f t="shared" si="848"/>
        <v>0</v>
      </c>
      <c r="AA1264" s="2">
        <f t="shared" si="848"/>
        <v>0</v>
      </c>
      <c r="AB1264" s="2">
        <f t="shared" si="848"/>
        <v>0</v>
      </c>
      <c r="AC1264" s="2">
        <f t="shared" si="848"/>
        <v>0</v>
      </c>
      <c r="AD1264" s="2">
        <f t="shared" si="848"/>
        <v>0</v>
      </c>
      <c r="AE1264" s="2">
        <f t="shared" si="848"/>
        <v>0</v>
      </c>
      <c r="AF1264" s="2">
        <f t="shared" si="848"/>
        <v>0</v>
      </c>
      <c r="AG1264" s="2">
        <f t="shared" si="848"/>
        <v>0</v>
      </c>
      <c r="AH1264" s="2">
        <f t="shared" si="848"/>
        <v>0</v>
      </c>
      <c r="AI1264" s="2">
        <f t="shared" si="848"/>
        <v>0</v>
      </c>
      <c r="AJ1264" s="2">
        <f t="shared" si="848"/>
        <v>0</v>
      </c>
      <c r="AK1264" s="2">
        <f t="shared" si="848"/>
        <v>0</v>
      </c>
      <c r="AL1264" s="2">
        <f t="shared" si="848"/>
        <v>0</v>
      </c>
      <c r="AM1264" s="2">
        <f t="shared" si="848"/>
        <v>0</v>
      </c>
      <c r="AN1264" s="2">
        <f t="shared" si="848"/>
        <v>0</v>
      </c>
      <c r="AO1264" s="2">
        <f t="shared" si="848"/>
        <v>0</v>
      </c>
      <c r="AP1264" s="2">
        <f t="shared" si="848"/>
        <v>0</v>
      </c>
      <c r="AQ1264" s="2">
        <f t="shared" si="848"/>
        <v>0</v>
      </c>
      <c r="AR1264" s="2">
        <f t="shared" si="848"/>
        <v>0</v>
      </c>
      <c r="AS1264" s="2">
        <f t="shared" si="848"/>
        <v>0</v>
      </c>
      <c r="AT1264" s="2">
        <f t="shared" si="848"/>
        <v>0</v>
      </c>
      <c r="AU1264" s="2">
        <f t="shared" ref="AU1264:BZ1264" si="849">AU1266</f>
        <v>0</v>
      </c>
      <c r="AV1264" s="2">
        <f t="shared" si="849"/>
        <v>0</v>
      </c>
      <c r="AW1264" s="2">
        <f t="shared" si="849"/>
        <v>0</v>
      </c>
      <c r="AX1264" s="2">
        <f t="shared" si="849"/>
        <v>0</v>
      </c>
      <c r="AY1264" s="2">
        <f t="shared" si="849"/>
        <v>0</v>
      </c>
      <c r="AZ1264" s="2">
        <f t="shared" si="849"/>
        <v>0</v>
      </c>
      <c r="BA1264" s="2">
        <f t="shared" si="849"/>
        <v>0</v>
      </c>
      <c r="BB1264" s="2">
        <f t="shared" si="849"/>
        <v>0</v>
      </c>
      <c r="BC1264" s="2">
        <f t="shared" si="849"/>
        <v>0</v>
      </c>
      <c r="BD1264" s="2">
        <f t="shared" si="849"/>
        <v>0</v>
      </c>
      <c r="BE1264" s="2">
        <f t="shared" si="849"/>
        <v>0</v>
      </c>
      <c r="BF1264" s="2">
        <f t="shared" si="849"/>
        <v>0</v>
      </c>
      <c r="BG1264" s="2">
        <f t="shared" si="849"/>
        <v>0</v>
      </c>
      <c r="BH1264" s="2">
        <f t="shared" si="849"/>
        <v>0</v>
      </c>
      <c r="BI1264" s="2">
        <f t="shared" si="849"/>
        <v>0</v>
      </c>
      <c r="BJ1264" s="2">
        <f t="shared" si="849"/>
        <v>0</v>
      </c>
      <c r="BK1264" s="2">
        <f t="shared" si="849"/>
        <v>0</v>
      </c>
      <c r="BL1264" s="2">
        <f t="shared" si="849"/>
        <v>0</v>
      </c>
      <c r="BM1264" s="2">
        <f t="shared" si="849"/>
        <v>0</v>
      </c>
      <c r="BN1264" s="2">
        <f t="shared" si="849"/>
        <v>0</v>
      </c>
      <c r="BO1264" s="2">
        <f t="shared" si="849"/>
        <v>0</v>
      </c>
      <c r="BP1264" s="2">
        <f t="shared" si="849"/>
        <v>0</v>
      </c>
      <c r="BQ1264" s="2">
        <f t="shared" si="849"/>
        <v>0</v>
      </c>
      <c r="BR1264" s="2">
        <f t="shared" si="849"/>
        <v>0</v>
      </c>
      <c r="BS1264" s="2">
        <f t="shared" si="849"/>
        <v>0</v>
      </c>
      <c r="BT1264" s="2">
        <f t="shared" si="849"/>
        <v>0</v>
      </c>
      <c r="BU1264" s="2">
        <f t="shared" si="849"/>
        <v>0</v>
      </c>
      <c r="BV1264" s="2">
        <f t="shared" si="849"/>
        <v>0</v>
      </c>
      <c r="BW1264" s="2">
        <f t="shared" si="849"/>
        <v>0</v>
      </c>
      <c r="BX1264" s="2">
        <f t="shared" si="849"/>
        <v>0</v>
      </c>
      <c r="BY1264" s="2">
        <f t="shared" si="849"/>
        <v>0</v>
      </c>
      <c r="BZ1264" s="2">
        <f t="shared" si="849"/>
        <v>0</v>
      </c>
      <c r="CA1264" s="2">
        <f t="shared" ref="CA1264:DF1264" si="850">CA1266</f>
        <v>0</v>
      </c>
      <c r="CB1264" s="2">
        <f t="shared" si="850"/>
        <v>0</v>
      </c>
      <c r="CC1264" s="2">
        <f t="shared" si="850"/>
        <v>0</v>
      </c>
      <c r="CD1264" s="2">
        <f t="shared" si="850"/>
        <v>0</v>
      </c>
      <c r="CE1264" s="2">
        <f t="shared" si="850"/>
        <v>0</v>
      </c>
      <c r="CF1264" s="2">
        <f t="shared" si="850"/>
        <v>0</v>
      </c>
      <c r="CG1264" s="2">
        <f t="shared" si="850"/>
        <v>0</v>
      </c>
      <c r="CH1264" s="2">
        <f t="shared" si="850"/>
        <v>0</v>
      </c>
      <c r="CI1264" s="2">
        <f t="shared" si="850"/>
        <v>0</v>
      </c>
      <c r="CJ1264" s="2">
        <f t="shared" si="850"/>
        <v>0</v>
      </c>
      <c r="CK1264" s="2">
        <f t="shared" si="850"/>
        <v>0</v>
      </c>
      <c r="CL1264" s="2">
        <f t="shared" si="850"/>
        <v>0</v>
      </c>
      <c r="CM1264" s="2">
        <f t="shared" si="850"/>
        <v>0</v>
      </c>
      <c r="CN1264" s="2">
        <f t="shared" si="850"/>
        <v>0</v>
      </c>
      <c r="CO1264" s="2">
        <f t="shared" si="850"/>
        <v>0</v>
      </c>
      <c r="CP1264" s="2">
        <f t="shared" si="850"/>
        <v>0</v>
      </c>
      <c r="CQ1264" s="2">
        <f t="shared" si="850"/>
        <v>0</v>
      </c>
      <c r="CR1264" s="2">
        <f t="shared" si="850"/>
        <v>0</v>
      </c>
      <c r="CS1264" s="2">
        <f t="shared" si="850"/>
        <v>0</v>
      </c>
      <c r="CT1264" s="2">
        <f t="shared" si="850"/>
        <v>0</v>
      </c>
      <c r="CU1264" s="2">
        <f t="shared" si="850"/>
        <v>0</v>
      </c>
      <c r="CV1264" s="2">
        <f t="shared" si="850"/>
        <v>0</v>
      </c>
      <c r="CW1264" s="2">
        <f t="shared" si="850"/>
        <v>0</v>
      </c>
      <c r="CX1264" s="2">
        <f t="shared" si="850"/>
        <v>0</v>
      </c>
      <c r="CY1264" s="2">
        <f t="shared" si="850"/>
        <v>0</v>
      </c>
      <c r="CZ1264" s="2">
        <f t="shared" si="850"/>
        <v>0</v>
      </c>
      <c r="DA1264" s="2">
        <f t="shared" si="850"/>
        <v>0</v>
      </c>
      <c r="DB1264" s="2">
        <f t="shared" si="850"/>
        <v>0</v>
      </c>
      <c r="DC1264" s="2">
        <f t="shared" si="850"/>
        <v>0</v>
      </c>
      <c r="DD1264" s="2">
        <f t="shared" si="850"/>
        <v>0</v>
      </c>
      <c r="DE1264" s="2">
        <f t="shared" si="850"/>
        <v>0</v>
      </c>
      <c r="DF1264" s="2">
        <f t="shared" si="850"/>
        <v>0</v>
      </c>
      <c r="DG1264" s="3">
        <f t="shared" ref="DG1264:EL1264" si="851">DG1266</f>
        <v>0</v>
      </c>
      <c r="DH1264" s="3">
        <f t="shared" si="851"/>
        <v>0</v>
      </c>
      <c r="DI1264" s="3">
        <f t="shared" si="851"/>
        <v>0</v>
      </c>
      <c r="DJ1264" s="3">
        <f t="shared" si="851"/>
        <v>0</v>
      </c>
      <c r="DK1264" s="3">
        <f t="shared" si="851"/>
        <v>0</v>
      </c>
      <c r="DL1264" s="3">
        <f t="shared" si="851"/>
        <v>0</v>
      </c>
      <c r="DM1264" s="3">
        <f t="shared" si="851"/>
        <v>0</v>
      </c>
      <c r="DN1264" s="3">
        <f t="shared" si="851"/>
        <v>0</v>
      </c>
      <c r="DO1264" s="3">
        <f t="shared" si="851"/>
        <v>0</v>
      </c>
      <c r="DP1264" s="3">
        <f t="shared" si="851"/>
        <v>0</v>
      </c>
      <c r="DQ1264" s="3">
        <f t="shared" si="851"/>
        <v>0</v>
      </c>
      <c r="DR1264" s="3">
        <f t="shared" si="851"/>
        <v>0</v>
      </c>
      <c r="DS1264" s="3">
        <f t="shared" si="851"/>
        <v>0</v>
      </c>
      <c r="DT1264" s="3">
        <f t="shared" si="851"/>
        <v>0</v>
      </c>
      <c r="DU1264" s="3">
        <f t="shared" si="851"/>
        <v>0</v>
      </c>
      <c r="DV1264" s="3">
        <f t="shared" si="851"/>
        <v>0</v>
      </c>
      <c r="DW1264" s="3">
        <f t="shared" si="851"/>
        <v>0</v>
      </c>
      <c r="DX1264" s="3">
        <f t="shared" si="851"/>
        <v>0</v>
      </c>
      <c r="DY1264" s="3">
        <f t="shared" si="851"/>
        <v>0</v>
      </c>
      <c r="DZ1264" s="3">
        <f t="shared" si="851"/>
        <v>0</v>
      </c>
      <c r="EA1264" s="3">
        <f t="shared" si="851"/>
        <v>0</v>
      </c>
      <c r="EB1264" s="3">
        <f t="shared" si="851"/>
        <v>0</v>
      </c>
      <c r="EC1264" s="3">
        <f t="shared" si="851"/>
        <v>0</v>
      </c>
      <c r="ED1264" s="3">
        <f t="shared" si="851"/>
        <v>0</v>
      </c>
      <c r="EE1264" s="3">
        <f t="shared" si="851"/>
        <v>0</v>
      </c>
      <c r="EF1264" s="3">
        <f t="shared" si="851"/>
        <v>0</v>
      </c>
      <c r="EG1264" s="3">
        <f t="shared" si="851"/>
        <v>0</v>
      </c>
      <c r="EH1264" s="3">
        <f t="shared" si="851"/>
        <v>0</v>
      </c>
      <c r="EI1264" s="3">
        <f t="shared" si="851"/>
        <v>0</v>
      </c>
      <c r="EJ1264" s="3">
        <f t="shared" si="851"/>
        <v>0</v>
      </c>
      <c r="EK1264" s="3">
        <f t="shared" si="851"/>
        <v>0</v>
      </c>
      <c r="EL1264" s="3">
        <f t="shared" si="851"/>
        <v>0</v>
      </c>
      <c r="EM1264" s="3">
        <f t="shared" ref="EM1264:FR1264" si="852">EM1266</f>
        <v>0</v>
      </c>
      <c r="EN1264" s="3">
        <f t="shared" si="852"/>
        <v>0</v>
      </c>
      <c r="EO1264" s="3">
        <f t="shared" si="852"/>
        <v>0</v>
      </c>
      <c r="EP1264" s="3">
        <f t="shared" si="852"/>
        <v>0</v>
      </c>
      <c r="EQ1264" s="3">
        <f t="shared" si="852"/>
        <v>0</v>
      </c>
      <c r="ER1264" s="3">
        <f t="shared" si="852"/>
        <v>0</v>
      </c>
      <c r="ES1264" s="3">
        <f t="shared" si="852"/>
        <v>0</v>
      </c>
      <c r="ET1264" s="3">
        <f t="shared" si="852"/>
        <v>0</v>
      </c>
      <c r="EU1264" s="3">
        <f t="shared" si="852"/>
        <v>0</v>
      </c>
      <c r="EV1264" s="3">
        <f t="shared" si="852"/>
        <v>0</v>
      </c>
      <c r="EW1264" s="3">
        <f t="shared" si="852"/>
        <v>0</v>
      </c>
      <c r="EX1264" s="3">
        <f t="shared" si="852"/>
        <v>0</v>
      </c>
      <c r="EY1264" s="3">
        <f t="shared" si="852"/>
        <v>0</v>
      </c>
      <c r="EZ1264" s="3">
        <f t="shared" si="852"/>
        <v>0</v>
      </c>
      <c r="FA1264" s="3">
        <f t="shared" si="852"/>
        <v>0</v>
      </c>
      <c r="FB1264" s="3">
        <f t="shared" si="852"/>
        <v>0</v>
      </c>
      <c r="FC1264" s="3">
        <f t="shared" si="852"/>
        <v>0</v>
      </c>
      <c r="FD1264" s="3">
        <f t="shared" si="852"/>
        <v>0</v>
      </c>
      <c r="FE1264" s="3">
        <f t="shared" si="852"/>
        <v>0</v>
      </c>
      <c r="FF1264" s="3">
        <f t="shared" si="852"/>
        <v>0</v>
      </c>
      <c r="FG1264" s="3">
        <f t="shared" si="852"/>
        <v>0</v>
      </c>
      <c r="FH1264" s="3">
        <f t="shared" si="852"/>
        <v>0</v>
      </c>
      <c r="FI1264" s="3">
        <f t="shared" si="852"/>
        <v>0</v>
      </c>
      <c r="FJ1264" s="3">
        <f t="shared" si="852"/>
        <v>0</v>
      </c>
      <c r="FK1264" s="3">
        <f t="shared" si="852"/>
        <v>0</v>
      </c>
      <c r="FL1264" s="3">
        <f t="shared" si="852"/>
        <v>0</v>
      </c>
      <c r="FM1264" s="3">
        <f t="shared" si="852"/>
        <v>0</v>
      </c>
      <c r="FN1264" s="3">
        <f t="shared" si="852"/>
        <v>0</v>
      </c>
      <c r="FO1264" s="3">
        <f t="shared" si="852"/>
        <v>0</v>
      </c>
      <c r="FP1264" s="3">
        <f t="shared" si="852"/>
        <v>0</v>
      </c>
      <c r="FQ1264" s="3">
        <f t="shared" si="852"/>
        <v>0</v>
      </c>
      <c r="FR1264" s="3">
        <f t="shared" si="852"/>
        <v>0</v>
      </c>
      <c r="FS1264" s="3">
        <f t="shared" ref="FS1264:GX1264" si="853">FS1266</f>
        <v>0</v>
      </c>
      <c r="FT1264" s="3">
        <f t="shared" si="853"/>
        <v>0</v>
      </c>
      <c r="FU1264" s="3">
        <f t="shared" si="853"/>
        <v>0</v>
      </c>
      <c r="FV1264" s="3">
        <f t="shared" si="853"/>
        <v>0</v>
      </c>
      <c r="FW1264" s="3">
        <f t="shared" si="853"/>
        <v>0</v>
      </c>
      <c r="FX1264" s="3">
        <f t="shared" si="853"/>
        <v>0</v>
      </c>
      <c r="FY1264" s="3">
        <f t="shared" si="853"/>
        <v>0</v>
      </c>
      <c r="FZ1264" s="3">
        <f t="shared" si="853"/>
        <v>0</v>
      </c>
      <c r="GA1264" s="3">
        <f t="shared" si="853"/>
        <v>0</v>
      </c>
      <c r="GB1264" s="3">
        <f t="shared" si="853"/>
        <v>0</v>
      </c>
      <c r="GC1264" s="3">
        <f t="shared" si="853"/>
        <v>0</v>
      </c>
      <c r="GD1264" s="3">
        <f t="shared" si="853"/>
        <v>0</v>
      </c>
      <c r="GE1264" s="3">
        <f t="shared" si="853"/>
        <v>0</v>
      </c>
      <c r="GF1264" s="3">
        <f t="shared" si="853"/>
        <v>0</v>
      </c>
      <c r="GG1264" s="3">
        <f t="shared" si="853"/>
        <v>0</v>
      </c>
      <c r="GH1264" s="3">
        <f t="shared" si="853"/>
        <v>0</v>
      </c>
      <c r="GI1264" s="3">
        <f t="shared" si="853"/>
        <v>0</v>
      </c>
      <c r="GJ1264" s="3">
        <f t="shared" si="853"/>
        <v>0</v>
      </c>
      <c r="GK1264" s="3">
        <f t="shared" si="853"/>
        <v>0</v>
      </c>
      <c r="GL1264" s="3">
        <f t="shared" si="853"/>
        <v>0</v>
      </c>
      <c r="GM1264" s="3">
        <f t="shared" si="853"/>
        <v>0</v>
      </c>
      <c r="GN1264" s="3">
        <f t="shared" si="853"/>
        <v>0</v>
      </c>
      <c r="GO1264" s="3">
        <f t="shared" si="853"/>
        <v>0</v>
      </c>
      <c r="GP1264" s="3">
        <f t="shared" si="853"/>
        <v>0</v>
      </c>
      <c r="GQ1264" s="3">
        <f t="shared" si="853"/>
        <v>0</v>
      </c>
      <c r="GR1264" s="3">
        <f t="shared" si="853"/>
        <v>0</v>
      </c>
      <c r="GS1264" s="3">
        <f t="shared" si="853"/>
        <v>0</v>
      </c>
      <c r="GT1264" s="3">
        <f t="shared" si="853"/>
        <v>0</v>
      </c>
      <c r="GU1264" s="3">
        <f t="shared" si="853"/>
        <v>0</v>
      </c>
      <c r="GV1264" s="3">
        <f t="shared" si="853"/>
        <v>0</v>
      </c>
      <c r="GW1264" s="3">
        <f t="shared" si="853"/>
        <v>0</v>
      </c>
      <c r="GX1264" s="3">
        <f t="shared" si="853"/>
        <v>0</v>
      </c>
    </row>
    <row r="1266" spans="1:206" x14ac:dyDescent="0.2">
      <c r="A1266" s="2">
        <v>51</v>
      </c>
      <c r="B1266" s="2">
        <f>B1262</f>
        <v>1</v>
      </c>
      <c r="C1266" s="2">
        <f>A1262</f>
        <v>4</v>
      </c>
      <c r="D1266" s="2">
        <f>ROW(A1262)</f>
        <v>1262</v>
      </c>
      <c r="E1266" s="2"/>
      <c r="F1266" s="2" t="str">
        <f>IF(F1262&lt;&gt;"",F1262,"")</f>
        <v>Новый раздел</v>
      </c>
      <c r="G1266" s="2" t="str">
        <f>IF(G1262&lt;&gt;"",G1262,"")</f>
        <v>44. Разметка парковочного места</v>
      </c>
      <c r="H1266" s="2">
        <v>0</v>
      </c>
      <c r="I1266" s="2"/>
      <c r="J1266" s="2"/>
      <c r="K1266" s="2"/>
      <c r="L1266" s="2"/>
      <c r="M1266" s="2"/>
      <c r="N1266" s="2"/>
      <c r="O1266" s="2">
        <f t="shared" ref="O1266:T1266" si="854">ROUND(AB1266,2)</f>
        <v>0</v>
      </c>
      <c r="P1266" s="2">
        <f t="shared" si="854"/>
        <v>0</v>
      </c>
      <c r="Q1266" s="2">
        <f t="shared" si="854"/>
        <v>0</v>
      </c>
      <c r="R1266" s="2">
        <f t="shared" si="854"/>
        <v>0</v>
      </c>
      <c r="S1266" s="2">
        <f t="shared" si="854"/>
        <v>0</v>
      </c>
      <c r="T1266" s="2">
        <f t="shared" si="854"/>
        <v>0</v>
      </c>
      <c r="U1266" s="2">
        <f>AH1266</f>
        <v>0</v>
      </c>
      <c r="V1266" s="2">
        <f>AI1266</f>
        <v>0</v>
      </c>
      <c r="W1266" s="2">
        <f>ROUND(AJ1266,2)</f>
        <v>0</v>
      </c>
      <c r="X1266" s="2">
        <f>ROUND(AK1266,2)</f>
        <v>0</v>
      </c>
      <c r="Y1266" s="2">
        <f>ROUND(AL1266,2)</f>
        <v>0</v>
      </c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>
        <f t="shared" ref="AO1266:BD1266" si="855">ROUND(BX1266,2)</f>
        <v>0</v>
      </c>
      <c r="AP1266" s="2">
        <f t="shared" si="855"/>
        <v>0</v>
      </c>
      <c r="AQ1266" s="2">
        <f t="shared" si="855"/>
        <v>0</v>
      </c>
      <c r="AR1266" s="2">
        <f t="shared" si="855"/>
        <v>0</v>
      </c>
      <c r="AS1266" s="2">
        <f t="shared" si="855"/>
        <v>0</v>
      </c>
      <c r="AT1266" s="2">
        <f t="shared" si="855"/>
        <v>0</v>
      </c>
      <c r="AU1266" s="2">
        <f t="shared" si="855"/>
        <v>0</v>
      </c>
      <c r="AV1266" s="2">
        <f t="shared" si="855"/>
        <v>0</v>
      </c>
      <c r="AW1266" s="2">
        <f t="shared" si="855"/>
        <v>0</v>
      </c>
      <c r="AX1266" s="2">
        <f t="shared" si="855"/>
        <v>0</v>
      </c>
      <c r="AY1266" s="2">
        <f t="shared" si="855"/>
        <v>0</v>
      </c>
      <c r="AZ1266" s="2">
        <f t="shared" si="855"/>
        <v>0</v>
      </c>
      <c r="BA1266" s="2">
        <f t="shared" si="855"/>
        <v>0</v>
      </c>
      <c r="BB1266" s="2">
        <f t="shared" si="855"/>
        <v>0</v>
      </c>
      <c r="BC1266" s="2">
        <f t="shared" si="855"/>
        <v>0</v>
      </c>
      <c r="BD1266" s="2">
        <f t="shared" si="855"/>
        <v>0</v>
      </c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3"/>
      <c r="DH1266" s="3"/>
      <c r="DI1266" s="3"/>
      <c r="DJ1266" s="3"/>
      <c r="DK1266" s="3"/>
      <c r="DL1266" s="3"/>
      <c r="DM1266" s="3"/>
      <c r="DN1266" s="3"/>
      <c r="DO1266" s="3"/>
      <c r="DP1266" s="3"/>
      <c r="DQ1266" s="3"/>
      <c r="DR1266" s="3"/>
      <c r="DS1266" s="3"/>
      <c r="DT1266" s="3"/>
      <c r="DU1266" s="3"/>
      <c r="DV1266" s="3"/>
      <c r="DW1266" s="3"/>
      <c r="DX1266" s="3"/>
      <c r="DY1266" s="3"/>
      <c r="DZ1266" s="3"/>
      <c r="EA1266" s="3"/>
      <c r="EB1266" s="3"/>
      <c r="EC1266" s="3"/>
      <c r="ED1266" s="3"/>
      <c r="EE1266" s="3"/>
      <c r="EF1266" s="3"/>
      <c r="EG1266" s="3"/>
      <c r="EH1266" s="3"/>
      <c r="EI1266" s="3"/>
      <c r="EJ1266" s="3"/>
      <c r="EK1266" s="3"/>
      <c r="EL1266" s="3"/>
      <c r="EM1266" s="3"/>
      <c r="EN1266" s="3"/>
      <c r="EO1266" s="3"/>
      <c r="EP1266" s="3"/>
      <c r="EQ1266" s="3"/>
      <c r="ER1266" s="3"/>
      <c r="ES1266" s="3"/>
      <c r="ET1266" s="3"/>
      <c r="EU1266" s="3"/>
      <c r="EV1266" s="3"/>
      <c r="EW1266" s="3"/>
      <c r="EX1266" s="3"/>
      <c r="EY1266" s="3"/>
      <c r="EZ1266" s="3"/>
      <c r="FA1266" s="3"/>
      <c r="FB1266" s="3"/>
      <c r="FC1266" s="3"/>
      <c r="FD1266" s="3"/>
      <c r="FE1266" s="3"/>
      <c r="FF1266" s="3"/>
      <c r="FG1266" s="3"/>
      <c r="FH1266" s="3"/>
      <c r="FI1266" s="3"/>
      <c r="FJ1266" s="3"/>
      <c r="FK1266" s="3"/>
      <c r="FL1266" s="3"/>
      <c r="FM1266" s="3"/>
      <c r="FN1266" s="3"/>
      <c r="FO1266" s="3"/>
      <c r="FP1266" s="3"/>
      <c r="FQ1266" s="3"/>
      <c r="FR1266" s="3"/>
      <c r="FS1266" s="3"/>
      <c r="FT1266" s="3"/>
      <c r="FU1266" s="3"/>
      <c r="FV1266" s="3"/>
      <c r="FW1266" s="3"/>
      <c r="FX1266" s="3"/>
      <c r="FY1266" s="3"/>
      <c r="FZ1266" s="3"/>
      <c r="GA1266" s="3"/>
      <c r="GB1266" s="3"/>
      <c r="GC1266" s="3"/>
      <c r="GD1266" s="3"/>
      <c r="GE1266" s="3"/>
      <c r="GF1266" s="3"/>
      <c r="GG1266" s="3"/>
      <c r="GH1266" s="3"/>
      <c r="GI1266" s="3"/>
      <c r="GJ1266" s="3"/>
      <c r="GK1266" s="3"/>
      <c r="GL1266" s="3"/>
      <c r="GM1266" s="3"/>
      <c r="GN1266" s="3"/>
      <c r="GO1266" s="3"/>
      <c r="GP1266" s="3"/>
      <c r="GQ1266" s="3"/>
      <c r="GR1266" s="3"/>
      <c r="GS1266" s="3"/>
      <c r="GT1266" s="3"/>
      <c r="GU1266" s="3"/>
      <c r="GV1266" s="3"/>
      <c r="GW1266" s="3"/>
      <c r="GX1266" s="3">
        <v>0</v>
      </c>
    </row>
    <row r="1268" spans="1:206" x14ac:dyDescent="0.2">
      <c r="A1268" s="4">
        <v>50</v>
      </c>
      <c r="B1268" s="4">
        <v>0</v>
      </c>
      <c r="C1268" s="4">
        <v>0</v>
      </c>
      <c r="D1268" s="4">
        <v>1</v>
      </c>
      <c r="E1268" s="4">
        <v>201</v>
      </c>
      <c r="F1268" s="4">
        <f>ROUND(Source!O1266,O1268)</f>
        <v>0</v>
      </c>
      <c r="G1268" s="4" t="s">
        <v>89</v>
      </c>
      <c r="H1268" s="4" t="s">
        <v>90</v>
      </c>
      <c r="I1268" s="4"/>
      <c r="J1268" s="4"/>
      <c r="K1268" s="4">
        <v>201</v>
      </c>
      <c r="L1268" s="4">
        <v>1</v>
      </c>
      <c r="M1268" s="4">
        <v>3</v>
      </c>
      <c r="N1268" s="4" t="s">
        <v>3</v>
      </c>
      <c r="O1268" s="4">
        <v>2</v>
      </c>
      <c r="P1268" s="4"/>
      <c r="Q1268" s="4"/>
      <c r="R1268" s="4"/>
      <c r="S1268" s="4"/>
      <c r="T1268" s="4"/>
      <c r="U1268" s="4"/>
      <c r="V1268" s="4"/>
      <c r="W1268" s="4"/>
    </row>
    <row r="1269" spans="1:206" x14ac:dyDescent="0.2">
      <c r="A1269" s="4">
        <v>50</v>
      </c>
      <c r="B1269" s="4">
        <v>0</v>
      </c>
      <c r="C1269" s="4">
        <v>0</v>
      </c>
      <c r="D1269" s="4">
        <v>1</v>
      </c>
      <c r="E1269" s="4">
        <v>202</v>
      </c>
      <c r="F1269" s="4">
        <f>ROUND(Source!P1266,O1269)</f>
        <v>0</v>
      </c>
      <c r="G1269" s="4" t="s">
        <v>91</v>
      </c>
      <c r="H1269" s="4" t="s">
        <v>92</v>
      </c>
      <c r="I1269" s="4"/>
      <c r="J1269" s="4"/>
      <c r="K1269" s="4">
        <v>202</v>
      </c>
      <c r="L1269" s="4">
        <v>2</v>
      </c>
      <c r="M1269" s="4">
        <v>3</v>
      </c>
      <c r="N1269" s="4" t="s">
        <v>3</v>
      </c>
      <c r="O1269" s="4">
        <v>2</v>
      </c>
      <c r="P1269" s="4"/>
      <c r="Q1269" s="4"/>
      <c r="R1269" s="4"/>
      <c r="S1269" s="4"/>
      <c r="T1269" s="4"/>
      <c r="U1269" s="4"/>
      <c r="V1269" s="4"/>
      <c r="W1269" s="4"/>
    </row>
    <row r="1270" spans="1:206" x14ac:dyDescent="0.2">
      <c r="A1270" s="4">
        <v>50</v>
      </c>
      <c r="B1270" s="4">
        <v>0</v>
      </c>
      <c r="C1270" s="4">
        <v>0</v>
      </c>
      <c r="D1270" s="4">
        <v>1</v>
      </c>
      <c r="E1270" s="4">
        <v>222</v>
      </c>
      <c r="F1270" s="4">
        <f>ROUND(Source!AO1266,O1270)</f>
        <v>0</v>
      </c>
      <c r="G1270" s="4" t="s">
        <v>93</v>
      </c>
      <c r="H1270" s="4" t="s">
        <v>94</v>
      </c>
      <c r="I1270" s="4"/>
      <c r="J1270" s="4"/>
      <c r="K1270" s="4">
        <v>222</v>
      </c>
      <c r="L1270" s="4">
        <v>3</v>
      </c>
      <c r="M1270" s="4">
        <v>3</v>
      </c>
      <c r="N1270" s="4" t="s">
        <v>3</v>
      </c>
      <c r="O1270" s="4">
        <v>2</v>
      </c>
      <c r="P1270" s="4"/>
      <c r="Q1270" s="4"/>
      <c r="R1270" s="4"/>
      <c r="S1270" s="4"/>
      <c r="T1270" s="4"/>
      <c r="U1270" s="4"/>
      <c r="V1270" s="4"/>
      <c r="W1270" s="4"/>
    </row>
    <row r="1271" spans="1:206" x14ac:dyDescent="0.2">
      <c r="A1271" s="4">
        <v>50</v>
      </c>
      <c r="B1271" s="4">
        <v>0</v>
      </c>
      <c r="C1271" s="4">
        <v>0</v>
      </c>
      <c r="D1271" s="4">
        <v>1</v>
      </c>
      <c r="E1271" s="4">
        <v>225</v>
      </c>
      <c r="F1271" s="4">
        <f>ROUND(Source!AV1266,O1271)</f>
        <v>0</v>
      </c>
      <c r="G1271" s="4" t="s">
        <v>95</v>
      </c>
      <c r="H1271" s="4" t="s">
        <v>96</v>
      </c>
      <c r="I1271" s="4"/>
      <c r="J1271" s="4"/>
      <c r="K1271" s="4">
        <v>225</v>
      </c>
      <c r="L1271" s="4">
        <v>4</v>
      </c>
      <c r="M1271" s="4">
        <v>3</v>
      </c>
      <c r="N1271" s="4" t="s">
        <v>3</v>
      </c>
      <c r="O1271" s="4">
        <v>2</v>
      </c>
      <c r="P1271" s="4"/>
      <c r="Q1271" s="4"/>
      <c r="R1271" s="4"/>
      <c r="S1271" s="4"/>
      <c r="T1271" s="4"/>
      <c r="U1271" s="4"/>
      <c r="V1271" s="4"/>
      <c r="W1271" s="4"/>
    </row>
    <row r="1272" spans="1:206" x14ac:dyDescent="0.2">
      <c r="A1272" s="4">
        <v>50</v>
      </c>
      <c r="B1272" s="4">
        <v>0</v>
      </c>
      <c r="C1272" s="4">
        <v>0</v>
      </c>
      <c r="D1272" s="4">
        <v>1</v>
      </c>
      <c r="E1272" s="4">
        <v>226</v>
      </c>
      <c r="F1272" s="4">
        <f>ROUND(Source!AW1266,O1272)</f>
        <v>0</v>
      </c>
      <c r="G1272" s="4" t="s">
        <v>97</v>
      </c>
      <c r="H1272" s="4" t="s">
        <v>98</v>
      </c>
      <c r="I1272" s="4"/>
      <c r="J1272" s="4"/>
      <c r="K1272" s="4">
        <v>226</v>
      </c>
      <c r="L1272" s="4">
        <v>5</v>
      </c>
      <c r="M1272" s="4">
        <v>3</v>
      </c>
      <c r="N1272" s="4" t="s">
        <v>3</v>
      </c>
      <c r="O1272" s="4">
        <v>2</v>
      </c>
      <c r="P1272" s="4"/>
      <c r="Q1272" s="4"/>
      <c r="R1272" s="4"/>
      <c r="S1272" s="4"/>
      <c r="T1272" s="4"/>
      <c r="U1272" s="4"/>
      <c r="V1272" s="4"/>
      <c r="W1272" s="4"/>
    </row>
    <row r="1273" spans="1:206" x14ac:dyDescent="0.2">
      <c r="A1273" s="4">
        <v>50</v>
      </c>
      <c r="B1273" s="4">
        <v>0</v>
      </c>
      <c r="C1273" s="4">
        <v>0</v>
      </c>
      <c r="D1273" s="4">
        <v>1</v>
      </c>
      <c r="E1273" s="4">
        <v>227</v>
      </c>
      <c r="F1273" s="4">
        <f>ROUND(Source!AX1266,O1273)</f>
        <v>0</v>
      </c>
      <c r="G1273" s="4" t="s">
        <v>99</v>
      </c>
      <c r="H1273" s="4" t="s">
        <v>100</v>
      </c>
      <c r="I1273" s="4"/>
      <c r="J1273" s="4"/>
      <c r="K1273" s="4">
        <v>227</v>
      </c>
      <c r="L1273" s="4">
        <v>6</v>
      </c>
      <c r="M1273" s="4">
        <v>3</v>
      </c>
      <c r="N1273" s="4" t="s">
        <v>3</v>
      </c>
      <c r="O1273" s="4">
        <v>2</v>
      </c>
      <c r="P1273" s="4"/>
      <c r="Q1273" s="4"/>
      <c r="R1273" s="4"/>
      <c r="S1273" s="4"/>
      <c r="T1273" s="4"/>
      <c r="U1273" s="4"/>
      <c r="V1273" s="4"/>
      <c r="W1273" s="4"/>
    </row>
    <row r="1274" spans="1:206" x14ac:dyDescent="0.2">
      <c r="A1274" s="4">
        <v>50</v>
      </c>
      <c r="B1274" s="4">
        <v>0</v>
      </c>
      <c r="C1274" s="4">
        <v>0</v>
      </c>
      <c r="D1274" s="4">
        <v>1</v>
      </c>
      <c r="E1274" s="4">
        <v>228</v>
      </c>
      <c r="F1274" s="4">
        <f>ROUND(Source!AY1266,O1274)</f>
        <v>0</v>
      </c>
      <c r="G1274" s="4" t="s">
        <v>101</v>
      </c>
      <c r="H1274" s="4" t="s">
        <v>102</v>
      </c>
      <c r="I1274" s="4"/>
      <c r="J1274" s="4"/>
      <c r="K1274" s="4">
        <v>228</v>
      </c>
      <c r="L1274" s="4">
        <v>7</v>
      </c>
      <c r="M1274" s="4">
        <v>3</v>
      </c>
      <c r="N1274" s="4" t="s">
        <v>3</v>
      </c>
      <c r="O1274" s="4">
        <v>2</v>
      </c>
      <c r="P1274" s="4"/>
      <c r="Q1274" s="4"/>
      <c r="R1274" s="4"/>
      <c r="S1274" s="4"/>
      <c r="T1274" s="4"/>
      <c r="U1274" s="4"/>
      <c r="V1274" s="4"/>
      <c r="W1274" s="4"/>
    </row>
    <row r="1275" spans="1:206" x14ac:dyDescent="0.2">
      <c r="A1275" s="4">
        <v>50</v>
      </c>
      <c r="B1275" s="4">
        <v>0</v>
      </c>
      <c r="C1275" s="4">
        <v>0</v>
      </c>
      <c r="D1275" s="4">
        <v>1</v>
      </c>
      <c r="E1275" s="4">
        <v>216</v>
      </c>
      <c r="F1275" s="4">
        <f>ROUND(Source!AP1266,O1275)</f>
        <v>0</v>
      </c>
      <c r="G1275" s="4" t="s">
        <v>103</v>
      </c>
      <c r="H1275" s="4" t="s">
        <v>104</v>
      </c>
      <c r="I1275" s="4"/>
      <c r="J1275" s="4"/>
      <c r="K1275" s="4">
        <v>216</v>
      </c>
      <c r="L1275" s="4">
        <v>8</v>
      </c>
      <c r="M1275" s="4">
        <v>3</v>
      </c>
      <c r="N1275" s="4" t="s">
        <v>3</v>
      </c>
      <c r="O1275" s="4">
        <v>2</v>
      </c>
      <c r="P1275" s="4"/>
      <c r="Q1275" s="4"/>
      <c r="R1275" s="4"/>
      <c r="S1275" s="4"/>
      <c r="T1275" s="4"/>
      <c r="U1275" s="4"/>
      <c r="V1275" s="4"/>
      <c r="W1275" s="4"/>
    </row>
    <row r="1276" spans="1:206" x14ac:dyDescent="0.2">
      <c r="A1276" s="4">
        <v>50</v>
      </c>
      <c r="B1276" s="4">
        <v>0</v>
      </c>
      <c r="C1276" s="4">
        <v>0</v>
      </c>
      <c r="D1276" s="4">
        <v>1</v>
      </c>
      <c r="E1276" s="4">
        <v>223</v>
      </c>
      <c r="F1276" s="4">
        <f>ROUND(Source!AQ1266,O1276)</f>
        <v>0</v>
      </c>
      <c r="G1276" s="4" t="s">
        <v>105</v>
      </c>
      <c r="H1276" s="4" t="s">
        <v>106</v>
      </c>
      <c r="I1276" s="4"/>
      <c r="J1276" s="4"/>
      <c r="K1276" s="4">
        <v>223</v>
      </c>
      <c r="L1276" s="4">
        <v>9</v>
      </c>
      <c r="M1276" s="4">
        <v>3</v>
      </c>
      <c r="N1276" s="4" t="s">
        <v>3</v>
      </c>
      <c r="O1276" s="4">
        <v>2</v>
      </c>
      <c r="P1276" s="4"/>
      <c r="Q1276" s="4"/>
      <c r="R1276" s="4"/>
      <c r="S1276" s="4"/>
      <c r="T1276" s="4"/>
      <c r="U1276" s="4"/>
      <c r="V1276" s="4"/>
      <c r="W1276" s="4"/>
    </row>
    <row r="1277" spans="1:206" x14ac:dyDescent="0.2">
      <c r="A1277" s="4">
        <v>50</v>
      </c>
      <c r="B1277" s="4">
        <v>0</v>
      </c>
      <c r="C1277" s="4">
        <v>0</v>
      </c>
      <c r="D1277" s="4">
        <v>1</v>
      </c>
      <c r="E1277" s="4">
        <v>229</v>
      </c>
      <c r="F1277" s="4">
        <f>ROUND(Source!AZ1266,O1277)</f>
        <v>0</v>
      </c>
      <c r="G1277" s="4" t="s">
        <v>107</v>
      </c>
      <c r="H1277" s="4" t="s">
        <v>108</v>
      </c>
      <c r="I1277" s="4"/>
      <c r="J1277" s="4"/>
      <c r="K1277" s="4">
        <v>229</v>
      </c>
      <c r="L1277" s="4">
        <v>10</v>
      </c>
      <c r="M1277" s="4">
        <v>3</v>
      </c>
      <c r="N1277" s="4" t="s">
        <v>3</v>
      </c>
      <c r="O1277" s="4">
        <v>2</v>
      </c>
      <c r="P1277" s="4"/>
      <c r="Q1277" s="4"/>
      <c r="R1277" s="4"/>
      <c r="S1277" s="4"/>
      <c r="T1277" s="4"/>
      <c r="U1277" s="4"/>
      <c r="V1277" s="4"/>
      <c r="W1277" s="4"/>
    </row>
    <row r="1278" spans="1:206" x14ac:dyDescent="0.2">
      <c r="A1278" s="4">
        <v>50</v>
      </c>
      <c r="B1278" s="4">
        <v>0</v>
      </c>
      <c r="C1278" s="4">
        <v>0</v>
      </c>
      <c r="D1278" s="4">
        <v>1</v>
      </c>
      <c r="E1278" s="4">
        <v>203</v>
      </c>
      <c r="F1278" s="4">
        <f>ROUND(Source!Q1266,O1278)</f>
        <v>0</v>
      </c>
      <c r="G1278" s="4" t="s">
        <v>109</v>
      </c>
      <c r="H1278" s="4" t="s">
        <v>110</v>
      </c>
      <c r="I1278" s="4"/>
      <c r="J1278" s="4"/>
      <c r="K1278" s="4">
        <v>203</v>
      </c>
      <c r="L1278" s="4">
        <v>11</v>
      </c>
      <c r="M1278" s="4">
        <v>3</v>
      </c>
      <c r="N1278" s="4" t="s">
        <v>3</v>
      </c>
      <c r="O1278" s="4">
        <v>2</v>
      </c>
      <c r="P1278" s="4"/>
      <c r="Q1278" s="4"/>
      <c r="R1278" s="4"/>
      <c r="S1278" s="4"/>
      <c r="T1278" s="4"/>
      <c r="U1278" s="4"/>
      <c r="V1278" s="4"/>
      <c r="W1278" s="4"/>
    </row>
    <row r="1279" spans="1:206" x14ac:dyDescent="0.2">
      <c r="A1279" s="4">
        <v>50</v>
      </c>
      <c r="B1279" s="4">
        <v>0</v>
      </c>
      <c r="C1279" s="4">
        <v>0</v>
      </c>
      <c r="D1279" s="4">
        <v>1</v>
      </c>
      <c r="E1279" s="4">
        <v>231</v>
      </c>
      <c r="F1279" s="4">
        <f>ROUND(Source!BB1266,O1279)</f>
        <v>0</v>
      </c>
      <c r="G1279" s="4" t="s">
        <v>111</v>
      </c>
      <c r="H1279" s="4" t="s">
        <v>112</v>
      </c>
      <c r="I1279" s="4"/>
      <c r="J1279" s="4"/>
      <c r="K1279" s="4">
        <v>231</v>
      </c>
      <c r="L1279" s="4">
        <v>12</v>
      </c>
      <c r="M1279" s="4">
        <v>3</v>
      </c>
      <c r="N1279" s="4" t="s">
        <v>3</v>
      </c>
      <c r="O1279" s="4">
        <v>2</v>
      </c>
      <c r="P1279" s="4"/>
      <c r="Q1279" s="4"/>
      <c r="R1279" s="4"/>
      <c r="S1279" s="4"/>
      <c r="T1279" s="4"/>
      <c r="U1279" s="4"/>
      <c r="V1279" s="4"/>
      <c r="W1279" s="4"/>
    </row>
    <row r="1280" spans="1:206" x14ac:dyDescent="0.2">
      <c r="A1280" s="4">
        <v>50</v>
      </c>
      <c r="B1280" s="4">
        <v>0</v>
      </c>
      <c r="C1280" s="4">
        <v>0</v>
      </c>
      <c r="D1280" s="4">
        <v>1</v>
      </c>
      <c r="E1280" s="4">
        <v>204</v>
      </c>
      <c r="F1280" s="4">
        <f>ROUND(Source!R1266,O1280)</f>
        <v>0</v>
      </c>
      <c r="G1280" s="4" t="s">
        <v>113</v>
      </c>
      <c r="H1280" s="4" t="s">
        <v>114</v>
      </c>
      <c r="I1280" s="4"/>
      <c r="J1280" s="4"/>
      <c r="K1280" s="4">
        <v>204</v>
      </c>
      <c r="L1280" s="4">
        <v>13</v>
      </c>
      <c r="M1280" s="4">
        <v>3</v>
      </c>
      <c r="N1280" s="4" t="s">
        <v>3</v>
      </c>
      <c r="O1280" s="4">
        <v>2</v>
      </c>
      <c r="P1280" s="4"/>
      <c r="Q1280" s="4"/>
      <c r="R1280" s="4"/>
      <c r="S1280" s="4"/>
      <c r="T1280" s="4"/>
      <c r="U1280" s="4"/>
      <c r="V1280" s="4"/>
      <c r="W1280" s="4"/>
    </row>
    <row r="1281" spans="1:88" x14ac:dyDescent="0.2">
      <c r="A1281" s="4">
        <v>50</v>
      </c>
      <c r="B1281" s="4">
        <v>0</v>
      </c>
      <c r="C1281" s="4">
        <v>0</v>
      </c>
      <c r="D1281" s="4">
        <v>1</v>
      </c>
      <c r="E1281" s="4">
        <v>205</v>
      </c>
      <c r="F1281" s="4">
        <f>ROUND(Source!S1266,O1281)</f>
        <v>0</v>
      </c>
      <c r="G1281" s="4" t="s">
        <v>115</v>
      </c>
      <c r="H1281" s="4" t="s">
        <v>116</v>
      </c>
      <c r="I1281" s="4"/>
      <c r="J1281" s="4"/>
      <c r="K1281" s="4">
        <v>205</v>
      </c>
      <c r="L1281" s="4">
        <v>14</v>
      </c>
      <c r="M1281" s="4">
        <v>3</v>
      </c>
      <c r="N1281" s="4" t="s">
        <v>3</v>
      </c>
      <c r="O1281" s="4">
        <v>2</v>
      </c>
      <c r="P1281" s="4"/>
      <c r="Q1281" s="4"/>
      <c r="R1281" s="4"/>
      <c r="S1281" s="4"/>
      <c r="T1281" s="4"/>
      <c r="U1281" s="4"/>
      <c r="V1281" s="4"/>
      <c r="W1281" s="4"/>
    </row>
    <row r="1282" spans="1:88" x14ac:dyDescent="0.2">
      <c r="A1282" s="4">
        <v>50</v>
      </c>
      <c r="B1282" s="4">
        <v>0</v>
      </c>
      <c r="C1282" s="4">
        <v>0</v>
      </c>
      <c r="D1282" s="4">
        <v>1</v>
      </c>
      <c r="E1282" s="4">
        <v>232</v>
      </c>
      <c r="F1282" s="4">
        <f>ROUND(Source!BC1266,O1282)</f>
        <v>0</v>
      </c>
      <c r="G1282" s="4" t="s">
        <v>117</v>
      </c>
      <c r="H1282" s="4" t="s">
        <v>118</v>
      </c>
      <c r="I1282" s="4"/>
      <c r="J1282" s="4"/>
      <c r="K1282" s="4">
        <v>232</v>
      </c>
      <c r="L1282" s="4">
        <v>15</v>
      </c>
      <c r="M1282" s="4">
        <v>3</v>
      </c>
      <c r="N1282" s="4" t="s">
        <v>3</v>
      </c>
      <c r="O1282" s="4">
        <v>2</v>
      </c>
      <c r="P1282" s="4"/>
      <c r="Q1282" s="4"/>
      <c r="R1282" s="4"/>
      <c r="S1282" s="4"/>
      <c r="T1282" s="4"/>
      <c r="U1282" s="4"/>
      <c r="V1282" s="4"/>
      <c r="W1282" s="4"/>
    </row>
    <row r="1283" spans="1:88" x14ac:dyDescent="0.2">
      <c r="A1283" s="4">
        <v>50</v>
      </c>
      <c r="B1283" s="4">
        <v>0</v>
      </c>
      <c r="C1283" s="4">
        <v>0</v>
      </c>
      <c r="D1283" s="4">
        <v>1</v>
      </c>
      <c r="E1283" s="4">
        <v>214</v>
      </c>
      <c r="F1283" s="4">
        <f>ROUND(Source!AS1266,O1283)</f>
        <v>0</v>
      </c>
      <c r="G1283" s="4" t="s">
        <v>119</v>
      </c>
      <c r="H1283" s="4" t="s">
        <v>120</v>
      </c>
      <c r="I1283" s="4"/>
      <c r="J1283" s="4"/>
      <c r="K1283" s="4">
        <v>214</v>
      </c>
      <c r="L1283" s="4">
        <v>16</v>
      </c>
      <c r="M1283" s="4">
        <v>3</v>
      </c>
      <c r="N1283" s="4" t="s">
        <v>3</v>
      </c>
      <c r="O1283" s="4">
        <v>2</v>
      </c>
      <c r="P1283" s="4"/>
      <c r="Q1283" s="4"/>
      <c r="R1283" s="4"/>
      <c r="S1283" s="4"/>
      <c r="T1283" s="4"/>
      <c r="U1283" s="4"/>
      <c r="V1283" s="4"/>
      <c r="W1283" s="4"/>
    </row>
    <row r="1284" spans="1:88" x14ac:dyDescent="0.2">
      <c r="A1284" s="4">
        <v>50</v>
      </c>
      <c r="B1284" s="4">
        <v>0</v>
      </c>
      <c r="C1284" s="4">
        <v>0</v>
      </c>
      <c r="D1284" s="4">
        <v>1</v>
      </c>
      <c r="E1284" s="4">
        <v>215</v>
      </c>
      <c r="F1284" s="4">
        <f>ROUND(Source!AT1266,O1284)</f>
        <v>0</v>
      </c>
      <c r="G1284" s="4" t="s">
        <v>121</v>
      </c>
      <c r="H1284" s="4" t="s">
        <v>122</v>
      </c>
      <c r="I1284" s="4"/>
      <c r="J1284" s="4"/>
      <c r="K1284" s="4">
        <v>215</v>
      </c>
      <c r="L1284" s="4">
        <v>17</v>
      </c>
      <c r="M1284" s="4">
        <v>3</v>
      </c>
      <c r="N1284" s="4" t="s">
        <v>3</v>
      </c>
      <c r="O1284" s="4">
        <v>2</v>
      </c>
      <c r="P1284" s="4"/>
      <c r="Q1284" s="4"/>
      <c r="R1284" s="4"/>
      <c r="S1284" s="4"/>
      <c r="T1284" s="4"/>
      <c r="U1284" s="4"/>
      <c r="V1284" s="4"/>
      <c r="W1284" s="4"/>
    </row>
    <row r="1285" spans="1:88" x14ac:dyDescent="0.2">
      <c r="A1285" s="4">
        <v>50</v>
      </c>
      <c r="B1285" s="4">
        <v>0</v>
      </c>
      <c r="C1285" s="4">
        <v>0</v>
      </c>
      <c r="D1285" s="4">
        <v>1</v>
      </c>
      <c r="E1285" s="4">
        <v>217</v>
      </c>
      <c r="F1285" s="4">
        <f>ROUND(Source!AU1266,O1285)</f>
        <v>0</v>
      </c>
      <c r="G1285" s="4" t="s">
        <v>123</v>
      </c>
      <c r="H1285" s="4" t="s">
        <v>124</v>
      </c>
      <c r="I1285" s="4"/>
      <c r="J1285" s="4"/>
      <c r="K1285" s="4">
        <v>217</v>
      </c>
      <c r="L1285" s="4">
        <v>18</v>
      </c>
      <c r="M1285" s="4">
        <v>3</v>
      </c>
      <c r="N1285" s="4" t="s">
        <v>3</v>
      </c>
      <c r="O1285" s="4">
        <v>2</v>
      </c>
      <c r="P1285" s="4"/>
      <c r="Q1285" s="4"/>
      <c r="R1285" s="4"/>
      <c r="S1285" s="4"/>
      <c r="T1285" s="4"/>
      <c r="U1285" s="4"/>
      <c r="V1285" s="4"/>
      <c r="W1285" s="4"/>
    </row>
    <row r="1286" spans="1:88" x14ac:dyDescent="0.2">
      <c r="A1286" s="4">
        <v>50</v>
      </c>
      <c r="B1286" s="4">
        <v>0</v>
      </c>
      <c r="C1286" s="4">
        <v>0</v>
      </c>
      <c r="D1286" s="4">
        <v>1</v>
      </c>
      <c r="E1286" s="4">
        <v>230</v>
      </c>
      <c r="F1286" s="4">
        <f>ROUND(Source!BA1266,O1286)</f>
        <v>0</v>
      </c>
      <c r="G1286" s="4" t="s">
        <v>125</v>
      </c>
      <c r="H1286" s="4" t="s">
        <v>126</v>
      </c>
      <c r="I1286" s="4"/>
      <c r="J1286" s="4"/>
      <c r="K1286" s="4">
        <v>230</v>
      </c>
      <c r="L1286" s="4">
        <v>19</v>
      </c>
      <c r="M1286" s="4">
        <v>3</v>
      </c>
      <c r="N1286" s="4" t="s">
        <v>3</v>
      </c>
      <c r="O1286" s="4">
        <v>2</v>
      </c>
      <c r="P1286" s="4"/>
      <c r="Q1286" s="4"/>
      <c r="R1286" s="4"/>
      <c r="S1286" s="4"/>
      <c r="T1286" s="4"/>
      <c r="U1286" s="4"/>
      <c r="V1286" s="4"/>
      <c r="W1286" s="4"/>
    </row>
    <row r="1287" spans="1:88" x14ac:dyDescent="0.2">
      <c r="A1287" s="4">
        <v>50</v>
      </c>
      <c r="B1287" s="4">
        <v>0</v>
      </c>
      <c r="C1287" s="4">
        <v>0</v>
      </c>
      <c r="D1287" s="4">
        <v>1</v>
      </c>
      <c r="E1287" s="4">
        <v>206</v>
      </c>
      <c r="F1287" s="4">
        <f>ROUND(Source!T1266,O1287)</f>
        <v>0</v>
      </c>
      <c r="G1287" s="4" t="s">
        <v>127</v>
      </c>
      <c r="H1287" s="4" t="s">
        <v>128</v>
      </c>
      <c r="I1287" s="4"/>
      <c r="J1287" s="4"/>
      <c r="K1287" s="4">
        <v>206</v>
      </c>
      <c r="L1287" s="4">
        <v>20</v>
      </c>
      <c r="M1287" s="4">
        <v>3</v>
      </c>
      <c r="N1287" s="4" t="s">
        <v>3</v>
      </c>
      <c r="O1287" s="4">
        <v>2</v>
      </c>
      <c r="P1287" s="4"/>
      <c r="Q1287" s="4"/>
      <c r="R1287" s="4"/>
      <c r="S1287" s="4"/>
      <c r="T1287" s="4"/>
      <c r="U1287" s="4"/>
      <c r="V1287" s="4"/>
      <c r="W1287" s="4"/>
    </row>
    <row r="1288" spans="1:88" x14ac:dyDescent="0.2">
      <c r="A1288" s="4">
        <v>50</v>
      </c>
      <c r="B1288" s="4">
        <v>0</v>
      </c>
      <c r="C1288" s="4">
        <v>0</v>
      </c>
      <c r="D1288" s="4">
        <v>1</v>
      </c>
      <c r="E1288" s="4">
        <v>207</v>
      </c>
      <c r="F1288" s="4">
        <f>Source!U1266</f>
        <v>0</v>
      </c>
      <c r="G1288" s="4" t="s">
        <v>129</v>
      </c>
      <c r="H1288" s="4" t="s">
        <v>130</v>
      </c>
      <c r="I1288" s="4"/>
      <c r="J1288" s="4"/>
      <c r="K1288" s="4">
        <v>207</v>
      </c>
      <c r="L1288" s="4">
        <v>21</v>
      </c>
      <c r="M1288" s="4">
        <v>3</v>
      </c>
      <c r="N1288" s="4" t="s">
        <v>3</v>
      </c>
      <c r="O1288" s="4">
        <v>-1</v>
      </c>
      <c r="P1288" s="4"/>
      <c r="Q1288" s="4"/>
      <c r="R1288" s="4"/>
      <c r="S1288" s="4"/>
      <c r="T1288" s="4"/>
      <c r="U1288" s="4"/>
      <c r="V1288" s="4"/>
      <c r="W1288" s="4"/>
    </row>
    <row r="1289" spans="1:88" x14ac:dyDescent="0.2">
      <c r="A1289" s="4">
        <v>50</v>
      </c>
      <c r="B1289" s="4">
        <v>0</v>
      </c>
      <c r="C1289" s="4">
        <v>0</v>
      </c>
      <c r="D1289" s="4">
        <v>1</v>
      </c>
      <c r="E1289" s="4">
        <v>208</v>
      </c>
      <c r="F1289" s="4">
        <f>Source!V1266</f>
        <v>0</v>
      </c>
      <c r="G1289" s="4" t="s">
        <v>131</v>
      </c>
      <c r="H1289" s="4" t="s">
        <v>132</v>
      </c>
      <c r="I1289" s="4"/>
      <c r="J1289" s="4"/>
      <c r="K1289" s="4">
        <v>208</v>
      </c>
      <c r="L1289" s="4">
        <v>22</v>
      </c>
      <c r="M1289" s="4">
        <v>3</v>
      </c>
      <c r="N1289" s="4" t="s">
        <v>3</v>
      </c>
      <c r="O1289" s="4">
        <v>-1</v>
      </c>
      <c r="P1289" s="4"/>
      <c r="Q1289" s="4"/>
      <c r="R1289" s="4"/>
      <c r="S1289" s="4"/>
      <c r="T1289" s="4"/>
      <c r="U1289" s="4"/>
      <c r="V1289" s="4"/>
      <c r="W1289" s="4"/>
    </row>
    <row r="1290" spans="1:88" x14ac:dyDescent="0.2">
      <c r="A1290" s="4">
        <v>50</v>
      </c>
      <c r="B1290" s="4">
        <v>0</v>
      </c>
      <c r="C1290" s="4">
        <v>0</v>
      </c>
      <c r="D1290" s="4">
        <v>1</v>
      </c>
      <c r="E1290" s="4">
        <v>209</v>
      </c>
      <c r="F1290" s="4">
        <f>ROUND(Source!W1266,O1290)</f>
        <v>0</v>
      </c>
      <c r="G1290" s="4" t="s">
        <v>133</v>
      </c>
      <c r="H1290" s="4" t="s">
        <v>134</v>
      </c>
      <c r="I1290" s="4"/>
      <c r="J1290" s="4"/>
      <c r="K1290" s="4">
        <v>209</v>
      </c>
      <c r="L1290" s="4">
        <v>23</v>
      </c>
      <c r="M1290" s="4">
        <v>3</v>
      </c>
      <c r="N1290" s="4" t="s">
        <v>3</v>
      </c>
      <c r="O1290" s="4">
        <v>2</v>
      </c>
      <c r="P1290" s="4"/>
      <c r="Q1290" s="4"/>
      <c r="R1290" s="4"/>
      <c r="S1290" s="4"/>
      <c r="T1290" s="4"/>
      <c r="U1290" s="4"/>
      <c r="V1290" s="4"/>
      <c r="W1290" s="4"/>
    </row>
    <row r="1291" spans="1:88" x14ac:dyDescent="0.2">
      <c r="A1291" s="4">
        <v>50</v>
      </c>
      <c r="B1291" s="4">
        <v>0</v>
      </c>
      <c r="C1291" s="4">
        <v>0</v>
      </c>
      <c r="D1291" s="4">
        <v>1</v>
      </c>
      <c r="E1291" s="4">
        <v>233</v>
      </c>
      <c r="F1291" s="4">
        <f>ROUND(Source!BD1266,O1291)</f>
        <v>0</v>
      </c>
      <c r="G1291" s="4" t="s">
        <v>135</v>
      </c>
      <c r="H1291" s="4" t="s">
        <v>136</v>
      </c>
      <c r="I1291" s="4"/>
      <c r="J1291" s="4"/>
      <c r="K1291" s="4">
        <v>233</v>
      </c>
      <c r="L1291" s="4">
        <v>24</v>
      </c>
      <c r="M1291" s="4">
        <v>3</v>
      </c>
      <c r="N1291" s="4" t="s">
        <v>3</v>
      </c>
      <c r="O1291" s="4">
        <v>2</v>
      </c>
      <c r="P1291" s="4"/>
      <c r="Q1291" s="4"/>
      <c r="R1291" s="4"/>
      <c r="S1291" s="4"/>
      <c r="T1291" s="4"/>
      <c r="U1291" s="4"/>
      <c r="V1291" s="4"/>
      <c r="W1291" s="4"/>
    </row>
    <row r="1292" spans="1:88" x14ac:dyDescent="0.2">
      <c r="A1292" s="4">
        <v>50</v>
      </c>
      <c r="B1292" s="4">
        <v>0</v>
      </c>
      <c r="C1292" s="4">
        <v>0</v>
      </c>
      <c r="D1292" s="4">
        <v>1</v>
      </c>
      <c r="E1292" s="4">
        <v>210</v>
      </c>
      <c r="F1292" s="4">
        <f>ROUND(Source!X1266,O1292)</f>
        <v>0</v>
      </c>
      <c r="G1292" s="4" t="s">
        <v>137</v>
      </c>
      <c r="H1292" s="4" t="s">
        <v>138</v>
      </c>
      <c r="I1292" s="4"/>
      <c r="J1292" s="4"/>
      <c r="K1292" s="4">
        <v>210</v>
      </c>
      <c r="L1292" s="4">
        <v>25</v>
      </c>
      <c r="M1292" s="4">
        <v>3</v>
      </c>
      <c r="N1292" s="4" t="s">
        <v>3</v>
      </c>
      <c r="O1292" s="4">
        <v>2</v>
      </c>
      <c r="P1292" s="4"/>
      <c r="Q1292" s="4"/>
      <c r="R1292" s="4"/>
      <c r="S1292" s="4"/>
      <c r="T1292" s="4"/>
      <c r="U1292" s="4"/>
      <c r="V1292" s="4"/>
      <c r="W1292" s="4"/>
    </row>
    <row r="1293" spans="1:88" x14ac:dyDescent="0.2">
      <c r="A1293" s="4">
        <v>50</v>
      </c>
      <c r="B1293" s="4">
        <v>0</v>
      </c>
      <c r="C1293" s="4">
        <v>0</v>
      </c>
      <c r="D1293" s="4">
        <v>1</v>
      </c>
      <c r="E1293" s="4">
        <v>211</v>
      </c>
      <c r="F1293" s="4">
        <f>ROUND(Source!Y1266,O1293)</f>
        <v>0</v>
      </c>
      <c r="G1293" s="4" t="s">
        <v>139</v>
      </c>
      <c r="H1293" s="4" t="s">
        <v>140</v>
      </c>
      <c r="I1293" s="4"/>
      <c r="J1293" s="4"/>
      <c r="K1293" s="4">
        <v>211</v>
      </c>
      <c r="L1293" s="4">
        <v>26</v>
      </c>
      <c r="M1293" s="4">
        <v>3</v>
      </c>
      <c r="N1293" s="4" t="s">
        <v>3</v>
      </c>
      <c r="O1293" s="4">
        <v>2</v>
      </c>
      <c r="P1293" s="4"/>
      <c r="Q1293" s="4"/>
      <c r="R1293" s="4"/>
      <c r="S1293" s="4"/>
      <c r="T1293" s="4"/>
      <c r="U1293" s="4"/>
      <c r="V1293" s="4"/>
      <c r="W1293" s="4"/>
    </row>
    <row r="1294" spans="1:88" x14ac:dyDescent="0.2">
      <c r="A1294" s="4">
        <v>50</v>
      </c>
      <c r="B1294" s="4">
        <v>0</v>
      </c>
      <c r="C1294" s="4">
        <v>0</v>
      </c>
      <c r="D1294" s="4">
        <v>1</v>
      </c>
      <c r="E1294" s="4">
        <v>224</v>
      </c>
      <c r="F1294" s="4">
        <f>ROUND(Source!AR1266,O1294)</f>
        <v>0</v>
      </c>
      <c r="G1294" s="4" t="s">
        <v>141</v>
      </c>
      <c r="H1294" s="4" t="s">
        <v>142</v>
      </c>
      <c r="I1294" s="4"/>
      <c r="J1294" s="4"/>
      <c r="K1294" s="4">
        <v>224</v>
      </c>
      <c r="L1294" s="4">
        <v>27</v>
      </c>
      <c r="M1294" s="4">
        <v>3</v>
      </c>
      <c r="N1294" s="4" t="s">
        <v>3</v>
      </c>
      <c r="O1294" s="4">
        <v>2</v>
      </c>
      <c r="P1294" s="4"/>
      <c r="Q1294" s="4"/>
      <c r="R1294" s="4"/>
      <c r="S1294" s="4"/>
      <c r="T1294" s="4"/>
      <c r="U1294" s="4"/>
      <c r="V1294" s="4"/>
      <c r="W1294" s="4"/>
    </row>
    <row r="1296" spans="1:88" x14ac:dyDescent="0.2">
      <c r="A1296" s="1">
        <v>4</v>
      </c>
      <c r="B1296" s="1">
        <v>1</v>
      </c>
      <c r="C1296" s="1"/>
      <c r="D1296" s="1">
        <f>ROW(A1307)</f>
        <v>1307</v>
      </c>
      <c r="E1296" s="1"/>
      <c r="F1296" s="1" t="s">
        <v>13</v>
      </c>
      <c r="G1296" s="1" t="s">
        <v>603</v>
      </c>
      <c r="H1296" s="1" t="s">
        <v>3</v>
      </c>
      <c r="I1296" s="1">
        <v>0</v>
      </c>
      <c r="J1296" s="1"/>
      <c r="K1296" s="1">
        <v>0</v>
      </c>
      <c r="L1296" s="1"/>
      <c r="M1296" s="1"/>
      <c r="N1296" s="1"/>
      <c r="O1296" s="1"/>
      <c r="P1296" s="1"/>
      <c r="Q1296" s="1"/>
      <c r="R1296" s="1"/>
      <c r="S1296" s="1"/>
      <c r="T1296" s="1"/>
      <c r="U1296" s="1" t="s">
        <v>3</v>
      </c>
      <c r="V1296" s="1">
        <v>0</v>
      </c>
      <c r="W1296" s="1"/>
      <c r="X1296" s="1"/>
      <c r="Y1296" s="1"/>
      <c r="Z1296" s="1"/>
      <c r="AA1296" s="1"/>
      <c r="AB1296" s="1" t="s">
        <v>3</v>
      </c>
      <c r="AC1296" s="1" t="s">
        <v>3</v>
      </c>
      <c r="AD1296" s="1" t="s">
        <v>3</v>
      </c>
      <c r="AE1296" s="1" t="s">
        <v>3</v>
      </c>
      <c r="AF1296" s="1" t="s">
        <v>3</v>
      </c>
      <c r="AG1296" s="1" t="s">
        <v>3</v>
      </c>
      <c r="AH1296" s="1"/>
      <c r="AI1296" s="1"/>
      <c r="AJ1296" s="1"/>
      <c r="AK1296" s="1"/>
      <c r="AL1296" s="1"/>
      <c r="AM1296" s="1"/>
      <c r="AN1296" s="1"/>
      <c r="AO1296" s="1"/>
      <c r="AP1296" s="1" t="s">
        <v>3</v>
      </c>
      <c r="AQ1296" s="1" t="s">
        <v>3</v>
      </c>
      <c r="AR1296" s="1" t="s">
        <v>3</v>
      </c>
      <c r="AS1296" s="1"/>
      <c r="AT1296" s="1"/>
      <c r="AU1296" s="1"/>
      <c r="AV1296" s="1"/>
      <c r="AW1296" s="1"/>
      <c r="AX1296" s="1"/>
      <c r="AY1296" s="1"/>
      <c r="AZ1296" s="1" t="s">
        <v>3</v>
      </c>
      <c r="BA1296" s="1"/>
      <c r="BB1296" s="1" t="s">
        <v>3</v>
      </c>
      <c r="BC1296" s="1" t="s">
        <v>3</v>
      </c>
      <c r="BD1296" s="1" t="s">
        <v>3</v>
      </c>
      <c r="BE1296" s="1" t="s">
        <v>3</v>
      </c>
      <c r="BF1296" s="1" t="s">
        <v>3</v>
      </c>
      <c r="BG1296" s="1" t="s">
        <v>3</v>
      </c>
      <c r="BH1296" s="1" t="s">
        <v>3</v>
      </c>
      <c r="BI1296" s="1" t="s">
        <v>3</v>
      </c>
      <c r="BJ1296" s="1" t="s">
        <v>3</v>
      </c>
      <c r="BK1296" s="1" t="s">
        <v>3</v>
      </c>
      <c r="BL1296" s="1" t="s">
        <v>3</v>
      </c>
      <c r="BM1296" s="1" t="s">
        <v>3</v>
      </c>
      <c r="BN1296" s="1" t="s">
        <v>3</v>
      </c>
      <c r="BO1296" s="1" t="s">
        <v>3</v>
      </c>
      <c r="BP1296" s="1" t="s">
        <v>3</v>
      </c>
      <c r="BQ1296" s="1"/>
      <c r="BR1296" s="1"/>
      <c r="BS1296" s="1"/>
      <c r="BT1296" s="1"/>
      <c r="BU1296" s="1"/>
      <c r="BV1296" s="1"/>
      <c r="BW1296" s="1"/>
      <c r="BX1296" s="1">
        <v>0</v>
      </c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>
        <v>0</v>
      </c>
    </row>
    <row r="1298" spans="1:245" x14ac:dyDescent="0.2">
      <c r="A1298" s="2">
        <v>52</v>
      </c>
      <c r="B1298" s="2">
        <f t="shared" ref="B1298:G1298" si="856">B1307</f>
        <v>1</v>
      </c>
      <c r="C1298" s="2">
        <f t="shared" si="856"/>
        <v>4</v>
      </c>
      <c r="D1298" s="2">
        <f t="shared" si="856"/>
        <v>1296</v>
      </c>
      <c r="E1298" s="2">
        <f t="shared" si="856"/>
        <v>0</v>
      </c>
      <c r="F1298" s="2" t="str">
        <f t="shared" si="856"/>
        <v>Новый раздел</v>
      </c>
      <c r="G1298" s="2" t="str">
        <f t="shared" si="856"/>
        <v>47. Устройство покрытия на детской площадке для детей от 5 лет 4 см (3 см - резина, 1 см - EPDM)</v>
      </c>
      <c r="H1298" s="2"/>
      <c r="I1298" s="2"/>
      <c r="J1298" s="2"/>
      <c r="K1298" s="2"/>
      <c r="L1298" s="2"/>
      <c r="M1298" s="2"/>
      <c r="N1298" s="2"/>
      <c r="O1298" s="2">
        <f t="shared" ref="O1298:AT1298" si="857">O1307</f>
        <v>9692788.5299999993</v>
      </c>
      <c r="P1298" s="2">
        <f t="shared" si="857"/>
        <v>8894349.8300000001</v>
      </c>
      <c r="Q1298" s="2">
        <f t="shared" si="857"/>
        <v>278892.56</v>
      </c>
      <c r="R1298" s="2">
        <f t="shared" si="857"/>
        <v>215694</v>
      </c>
      <c r="S1298" s="2">
        <f t="shared" si="857"/>
        <v>519546.14</v>
      </c>
      <c r="T1298" s="2">
        <f t="shared" si="857"/>
        <v>0</v>
      </c>
      <c r="U1298" s="2">
        <f t="shared" si="857"/>
        <v>1788.8388</v>
      </c>
      <c r="V1298" s="2">
        <f t="shared" si="857"/>
        <v>0</v>
      </c>
      <c r="W1298" s="2">
        <f t="shared" si="857"/>
        <v>0</v>
      </c>
      <c r="X1298" s="2">
        <f t="shared" si="857"/>
        <v>529937.06000000006</v>
      </c>
      <c r="Y1298" s="2">
        <f t="shared" si="857"/>
        <v>244186.68</v>
      </c>
      <c r="Z1298" s="2">
        <f t="shared" si="857"/>
        <v>0</v>
      </c>
      <c r="AA1298" s="2">
        <f t="shared" si="857"/>
        <v>0</v>
      </c>
      <c r="AB1298" s="2">
        <f t="shared" si="857"/>
        <v>9692788.5299999993</v>
      </c>
      <c r="AC1298" s="2">
        <f t="shared" si="857"/>
        <v>8894349.8300000001</v>
      </c>
      <c r="AD1298" s="2">
        <f t="shared" si="857"/>
        <v>278892.56</v>
      </c>
      <c r="AE1298" s="2">
        <f t="shared" si="857"/>
        <v>215694</v>
      </c>
      <c r="AF1298" s="2">
        <f t="shared" si="857"/>
        <v>519546.14</v>
      </c>
      <c r="AG1298" s="2">
        <f t="shared" si="857"/>
        <v>0</v>
      </c>
      <c r="AH1298" s="2">
        <f t="shared" si="857"/>
        <v>1788.8388</v>
      </c>
      <c r="AI1298" s="2">
        <f t="shared" si="857"/>
        <v>0</v>
      </c>
      <c r="AJ1298" s="2">
        <f t="shared" si="857"/>
        <v>0</v>
      </c>
      <c r="AK1298" s="2">
        <f t="shared" si="857"/>
        <v>529937.06000000006</v>
      </c>
      <c r="AL1298" s="2">
        <f t="shared" si="857"/>
        <v>244186.68</v>
      </c>
      <c r="AM1298" s="2">
        <f t="shared" si="857"/>
        <v>0</v>
      </c>
      <c r="AN1298" s="2">
        <f t="shared" si="857"/>
        <v>0</v>
      </c>
      <c r="AO1298" s="2">
        <f t="shared" si="857"/>
        <v>0</v>
      </c>
      <c r="AP1298" s="2">
        <f t="shared" si="857"/>
        <v>0</v>
      </c>
      <c r="AQ1298" s="2">
        <f t="shared" si="857"/>
        <v>0</v>
      </c>
      <c r="AR1298" s="2">
        <f t="shared" si="857"/>
        <v>10805551.859999999</v>
      </c>
      <c r="AS1298" s="2">
        <f t="shared" si="857"/>
        <v>10805551.859999999</v>
      </c>
      <c r="AT1298" s="2">
        <f t="shared" si="857"/>
        <v>0</v>
      </c>
      <c r="AU1298" s="2">
        <f t="shared" ref="AU1298:BZ1298" si="858">AU1307</f>
        <v>0</v>
      </c>
      <c r="AV1298" s="2">
        <f t="shared" si="858"/>
        <v>8894349.8300000001</v>
      </c>
      <c r="AW1298" s="2">
        <f t="shared" si="858"/>
        <v>8894349.8300000001</v>
      </c>
      <c r="AX1298" s="2">
        <f t="shared" si="858"/>
        <v>0</v>
      </c>
      <c r="AY1298" s="2">
        <f t="shared" si="858"/>
        <v>8894349.8300000001</v>
      </c>
      <c r="AZ1298" s="2">
        <f t="shared" si="858"/>
        <v>0</v>
      </c>
      <c r="BA1298" s="2">
        <f t="shared" si="858"/>
        <v>0</v>
      </c>
      <c r="BB1298" s="2">
        <f t="shared" si="858"/>
        <v>0</v>
      </c>
      <c r="BC1298" s="2">
        <f t="shared" si="858"/>
        <v>0</v>
      </c>
      <c r="BD1298" s="2">
        <f t="shared" si="858"/>
        <v>0</v>
      </c>
      <c r="BE1298" s="2">
        <f t="shared" si="858"/>
        <v>0</v>
      </c>
      <c r="BF1298" s="2">
        <f t="shared" si="858"/>
        <v>0</v>
      </c>
      <c r="BG1298" s="2">
        <f t="shared" si="858"/>
        <v>0</v>
      </c>
      <c r="BH1298" s="2">
        <f t="shared" si="858"/>
        <v>0</v>
      </c>
      <c r="BI1298" s="2">
        <f t="shared" si="858"/>
        <v>0</v>
      </c>
      <c r="BJ1298" s="2">
        <f t="shared" si="858"/>
        <v>0</v>
      </c>
      <c r="BK1298" s="2">
        <f t="shared" si="858"/>
        <v>0</v>
      </c>
      <c r="BL1298" s="2">
        <f t="shared" si="858"/>
        <v>0</v>
      </c>
      <c r="BM1298" s="2">
        <f t="shared" si="858"/>
        <v>0</v>
      </c>
      <c r="BN1298" s="2">
        <f t="shared" si="858"/>
        <v>0</v>
      </c>
      <c r="BO1298" s="2">
        <f t="shared" si="858"/>
        <v>0</v>
      </c>
      <c r="BP1298" s="2">
        <f t="shared" si="858"/>
        <v>0</v>
      </c>
      <c r="BQ1298" s="2">
        <f t="shared" si="858"/>
        <v>0</v>
      </c>
      <c r="BR1298" s="2">
        <f t="shared" si="858"/>
        <v>0</v>
      </c>
      <c r="BS1298" s="2">
        <f t="shared" si="858"/>
        <v>0</v>
      </c>
      <c r="BT1298" s="2">
        <f t="shared" si="858"/>
        <v>0</v>
      </c>
      <c r="BU1298" s="2">
        <f t="shared" si="858"/>
        <v>0</v>
      </c>
      <c r="BV1298" s="2">
        <f t="shared" si="858"/>
        <v>0</v>
      </c>
      <c r="BW1298" s="2">
        <f t="shared" si="858"/>
        <v>0</v>
      </c>
      <c r="BX1298" s="2">
        <f t="shared" si="858"/>
        <v>0</v>
      </c>
      <c r="BY1298" s="2">
        <f t="shared" si="858"/>
        <v>0</v>
      </c>
      <c r="BZ1298" s="2">
        <f t="shared" si="858"/>
        <v>0</v>
      </c>
      <c r="CA1298" s="2">
        <f t="shared" ref="CA1298:DF1298" si="859">CA1307</f>
        <v>10805551.859999999</v>
      </c>
      <c r="CB1298" s="2">
        <f t="shared" si="859"/>
        <v>10805551.859999999</v>
      </c>
      <c r="CC1298" s="2">
        <f t="shared" si="859"/>
        <v>0</v>
      </c>
      <c r="CD1298" s="2">
        <f t="shared" si="859"/>
        <v>0</v>
      </c>
      <c r="CE1298" s="2">
        <f t="shared" si="859"/>
        <v>8894349.8300000001</v>
      </c>
      <c r="CF1298" s="2">
        <f t="shared" si="859"/>
        <v>8894349.8300000001</v>
      </c>
      <c r="CG1298" s="2">
        <f t="shared" si="859"/>
        <v>0</v>
      </c>
      <c r="CH1298" s="2">
        <f t="shared" si="859"/>
        <v>8894349.8300000001</v>
      </c>
      <c r="CI1298" s="2">
        <f t="shared" si="859"/>
        <v>0</v>
      </c>
      <c r="CJ1298" s="2">
        <f t="shared" si="859"/>
        <v>0</v>
      </c>
      <c r="CK1298" s="2">
        <f t="shared" si="859"/>
        <v>0</v>
      </c>
      <c r="CL1298" s="2">
        <f t="shared" si="859"/>
        <v>0</v>
      </c>
      <c r="CM1298" s="2">
        <f t="shared" si="859"/>
        <v>0</v>
      </c>
      <c r="CN1298" s="2">
        <f t="shared" si="859"/>
        <v>0</v>
      </c>
      <c r="CO1298" s="2">
        <f t="shared" si="859"/>
        <v>0</v>
      </c>
      <c r="CP1298" s="2">
        <f t="shared" si="859"/>
        <v>0</v>
      </c>
      <c r="CQ1298" s="2">
        <f t="shared" si="859"/>
        <v>0</v>
      </c>
      <c r="CR1298" s="2">
        <f t="shared" si="859"/>
        <v>0</v>
      </c>
      <c r="CS1298" s="2">
        <f t="shared" si="859"/>
        <v>0</v>
      </c>
      <c r="CT1298" s="2">
        <f t="shared" si="859"/>
        <v>0</v>
      </c>
      <c r="CU1298" s="2">
        <f t="shared" si="859"/>
        <v>0</v>
      </c>
      <c r="CV1298" s="2">
        <f t="shared" si="859"/>
        <v>0</v>
      </c>
      <c r="CW1298" s="2">
        <f t="shared" si="859"/>
        <v>0</v>
      </c>
      <c r="CX1298" s="2">
        <f t="shared" si="859"/>
        <v>0</v>
      </c>
      <c r="CY1298" s="2">
        <f t="shared" si="859"/>
        <v>0</v>
      </c>
      <c r="CZ1298" s="2">
        <f t="shared" si="859"/>
        <v>0</v>
      </c>
      <c r="DA1298" s="2">
        <f t="shared" si="859"/>
        <v>0</v>
      </c>
      <c r="DB1298" s="2">
        <f t="shared" si="859"/>
        <v>0</v>
      </c>
      <c r="DC1298" s="2">
        <f t="shared" si="859"/>
        <v>0</v>
      </c>
      <c r="DD1298" s="2">
        <f t="shared" si="859"/>
        <v>0</v>
      </c>
      <c r="DE1298" s="2">
        <f t="shared" si="859"/>
        <v>0</v>
      </c>
      <c r="DF1298" s="2">
        <f t="shared" si="859"/>
        <v>0</v>
      </c>
      <c r="DG1298" s="3">
        <f t="shared" ref="DG1298:EL1298" si="860">DG1307</f>
        <v>0</v>
      </c>
      <c r="DH1298" s="3">
        <f t="shared" si="860"/>
        <v>0</v>
      </c>
      <c r="DI1298" s="3">
        <f t="shared" si="860"/>
        <v>0</v>
      </c>
      <c r="DJ1298" s="3">
        <f t="shared" si="860"/>
        <v>0</v>
      </c>
      <c r="DK1298" s="3">
        <f t="shared" si="860"/>
        <v>0</v>
      </c>
      <c r="DL1298" s="3">
        <f t="shared" si="860"/>
        <v>0</v>
      </c>
      <c r="DM1298" s="3">
        <f t="shared" si="860"/>
        <v>0</v>
      </c>
      <c r="DN1298" s="3">
        <f t="shared" si="860"/>
        <v>0</v>
      </c>
      <c r="DO1298" s="3">
        <f t="shared" si="860"/>
        <v>0</v>
      </c>
      <c r="DP1298" s="3">
        <f t="shared" si="860"/>
        <v>0</v>
      </c>
      <c r="DQ1298" s="3">
        <f t="shared" si="860"/>
        <v>0</v>
      </c>
      <c r="DR1298" s="3">
        <f t="shared" si="860"/>
        <v>0</v>
      </c>
      <c r="DS1298" s="3">
        <f t="shared" si="860"/>
        <v>0</v>
      </c>
      <c r="DT1298" s="3">
        <f t="shared" si="860"/>
        <v>0</v>
      </c>
      <c r="DU1298" s="3">
        <f t="shared" si="860"/>
        <v>0</v>
      </c>
      <c r="DV1298" s="3">
        <f t="shared" si="860"/>
        <v>0</v>
      </c>
      <c r="DW1298" s="3">
        <f t="shared" si="860"/>
        <v>0</v>
      </c>
      <c r="DX1298" s="3">
        <f t="shared" si="860"/>
        <v>0</v>
      </c>
      <c r="DY1298" s="3">
        <f t="shared" si="860"/>
        <v>0</v>
      </c>
      <c r="DZ1298" s="3">
        <f t="shared" si="860"/>
        <v>0</v>
      </c>
      <c r="EA1298" s="3">
        <f t="shared" si="860"/>
        <v>0</v>
      </c>
      <c r="EB1298" s="3">
        <f t="shared" si="860"/>
        <v>0</v>
      </c>
      <c r="EC1298" s="3">
        <f t="shared" si="860"/>
        <v>0</v>
      </c>
      <c r="ED1298" s="3">
        <f t="shared" si="860"/>
        <v>0</v>
      </c>
      <c r="EE1298" s="3">
        <f t="shared" si="860"/>
        <v>0</v>
      </c>
      <c r="EF1298" s="3">
        <f t="shared" si="860"/>
        <v>0</v>
      </c>
      <c r="EG1298" s="3">
        <f t="shared" si="860"/>
        <v>0</v>
      </c>
      <c r="EH1298" s="3">
        <f t="shared" si="860"/>
        <v>0</v>
      </c>
      <c r="EI1298" s="3">
        <f t="shared" si="860"/>
        <v>0</v>
      </c>
      <c r="EJ1298" s="3">
        <f t="shared" si="860"/>
        <v>0</v>
      </c>
      <c r="EK1298" s="3">
        <f t="shared" si="860"/>
        <v>0</v>
      </c>
      <c r="EL1298" s="3">
        <f t="shared" si="860"/>
        <v>0</v>
      </c>
      <c r="EM1298" s="3">
        <f t="shared" ref="EM1298:FR1298" si="861">EM1307</f>
        <v>0</v>
      </c>
      <c r="EN1298" s="3">
        <f t="shared" si="861"/>
        <v>0</v>
      </c>
      <c r="EO1298" s="3">
        <f t="shared" si="861"/>
        <v>0</v>
      </c>
      <c r="EP1298" s="3">
        <f t="shared" si="861"/>
        <v>0</v>
      </c>
      <c r="EQ1298" s="3">
        <f t="shared" si="861"/>
        <v>0</v>
      </c>
      <c r="ER1298" s="3">
        <f t="shared" si="861"/>
        <v>0</v>
      </c>
      <c r="ES1298" s="3">
        <f t="shared" si="861"/>
        <v>0</v>
      </c>
      <c r="ET1298" s="3">
        <f t="shared" si="861"/>
        <v>0</v>
      </c>
      <c r="EU1298" s="3">
        <f t="shared" si="861"/>
        <v>0</v>
      </c>
      <c r="EV1298" s="3">
        <f t="shared" si="861"/>
        <v>0</v>
      </c>
      <c r="EW1298" s="3">
        <f t="shared" si="861"/>
        <v>0</v>
      </c>
      <c r="EX1298" s="3">
        <f t="shared" si="861"/>
        <v>0</v>
      </c>
      <c r="EY1298" s="3">
        <f t="shared" si="861"/>
        <v>0</v>
      </c>
      <c r="EZ1298" s="3">
        <f t="shared" si="861"/>
        <v>0</v>
      </c>
      <c r="FA1298" s="3">
        <f t="shared" si="861"/>
        <v>0</v>
      </c>
      <c r="FB1298" s="3">
        <f t="shared" si="861"/>
        <v>0</v>
      </c>
      <c r="FC1298" s="3">
        <f t="shared" si="861"/>
        <v>0</v>
      </c>
      <c r="FD1298" s="3">
        <f t="shared" si="861"/>
        <v>0</v>
      </c>
      <c r="FE1298" s="3">
        <f t="shared" si="861"/>
        <v>0</v>
      </c>
      <c r="FF1298" s="3">
        <f t="shared" si="861"/>
        <v>0</v>
      </c>
      <c r="FG1298" s="3">
        <f t="shared" si="861"/>
        <v>0</v>
      </c>
      <c r="FH1298" s="3">
        <f t="shared" si="861"/>
        <v>0</v>
      </c>
      <c r="FI1298" s="3">
        <f t="shared" si="861"/>
        <v>0</v>
      </c>
      <c r="FJ1298" s="3">
        <f t="shared" si="861"/>
        <v>0</v>
      </c>
      <c r="FK1298" s="3">
        <f t="shared" si="861"/>
        <v>0</v>
      </c>
      <c r="FL1298" s="3">
        <f t="shared" si="861"/>
        <v>0</v>
      </c>
      <c r="FM1298" s="3">
        <f t="shared" si="861"/>
        <v>0</v>
      </c>
      <c r="FN1298" s="3">
        <f t="shared" si="861"/>
        <v>0</v>
      </c>
      <c r="FO1298" s="3">
        <f t="shared" si="861"/>
        <v>0</v>
      </c>
      <c r="FP1298" s="3">
        <f t="shared" si="861"/>
        <v>0</v>
      </c>
      <c r="FQ1298" s="3">
        <f t="shared" si="861"/>
        <v>0</v>
      </c>
      <c r="FR1298" s="3">
        <f t="shared" si="861"/>
        <v>0</v>
      </c>
      <c r="FS1298" s="3">
        <f t="shared" ref="FS1298:GX1298" si="862">FS1307</f>
        <v>0</v>
      </c>
      <c r="FT1298" s="3">
        <f t="shared" si="862"/>
        <v>0</v>
      </c>
      <c r="FU1298" s="3">
        <f t="shared" si="862"/>
        <v>0</v>
      </c>
      <c r="FV1298" s="3">
        <f t="shared" si="862"/>
        <v>0</v>
      </c>
      <c r="FW1298" s="3">
        <f t="shared" si="862"/>
        <v>0</v>
      </c>
      <c r="FX1298" s="3">
        <f t="shared" si="862"/>
        <v>0</v>
      </c>
      <c r="FY1298" s="3">
        <f t="shared" si="862"/>
        <v>0</v>
      </c>
      <c r="FZ1298" s="3">
        <f t="shared" si="862"/>
        <v>0</v>
      </c>
      <c r="GA1298" s="3">
        <f t="shared" si="862"/>
        <v>0</v>
      </c>
      <c r="GB1298" s="3">
        <f t="shared" si="862"/>
        <v>0</v>
      </c>
      <c r="GC1298" s="3">
        <f t="shared" si="862"/>
        <v>0</v>
      </c>
      <c r="GD1298" s="3">
        <f t="shared" si="862"/>
        <v>0</v>
      </c>
      <c r="GE1298" s="3">
        <f t="shared" si="862"/>
        <v>0</v>
      </c>
      <c r="GF1298" s="3">
        <f t="shared" si="862"/>
        <v>0</v>
      </c>
      <c r="GG1298" s="3">
        <f t="shared" si="862"/>
        <v>0</v>
      </c>
      <c r="GH1298" s="3">
        <f t="shared" si="862"/>
        <v>0</v>
      </c>
      <c r="GI1298" s="3">
        <f t="shared" si="862"/>
        <v>0</v>
      </c>
      <c r="GJ1298" s="3">
        <f t="shared" si="862"/>
        <v>0</v>
      </c>
      <c r="GK1298" s="3">
        <f t="shared" si="862"/>
        <v>0</v>
      </c>
      <c r="GL1298" s="3">
        <f t="shared" si="862"/>
        <v>0</v>
      </c>
      <c r="GM1298" s="3">
        <f t="shared" si="862"/>
        <v>0</v>
      </c>
      <c r="GN1298" s="3">
        <f t="shared" si="862"/>
        <v>0</v>
      </c>
      <c r="GO1298" s="3">
        <f t="shared" si="862"/>
        <v>0</v>
      </c>
      <c r="GP1298" s="3">
        <f t="shared" si="862"/>
        <v>0</v>
      </c>
      <c r="GQ1298" s="3">
        <f t="shared" si="862"/>
        <v>0</v>
      </c>
      <c r="GR1298" s="3">
        <f t="shared" si="862"/>
        <v>0</v>
      </c>
      <c r="GS1298" s="3">
        <f t="shared" si="862"/>
        <v>0</v>
      </c>
      <c r="GT1298" s="3">
        <f t="shared" si="862"/>
        <v>0</v>
      </c>
      <c r="GU1298" s="3">
        <f t="shared" si="862"/>
        <v>0</v>
      </c>
      <c r="GV1298" s="3">
        <f t="shared" si="862"/>
        <v>0</v>
      </c>
      <c r="GW1298" s="3">
        <f t="shared" si="862"/>
        <v>0</v>
      </c>
      <c r="GX1298" s="3">
        <f t="shared" si="862"/>
        <v>0</v>
      </c>
    </row>
    <row r="1300" spans="1:245" x14ac:dyDescent="0.2">
      <c r="A1300">
        <v>17</v>
      </c>
      <c r="B1300">
        <v>1</v>
      </c>
      <c r="C1300">
        <f>ROW(SmtRes!A378)</f>
        <v>378</v>
      </c>
      <c r="D1300">
        <f>ROW(EtalonRes!A379)</f>
        <v>379</v>
      </c>
      <c r="E1300" t="s">
        <v>604</v>
      </c>
      <c r="F1300" t="s">
        <v>605</v>
      </c>
      <c r="G1300" t="s">
        <v>606</v>
      </c>
      <c r="H1300" t="s">
        <v>18</v>
      </c>
      <c r="I1300">
        <f>ROUND(3243/100,5)</f>
        <v>32.43</v>
      </c>
      <c r="J1300">
        <v>0</v>
      </c>
      <c r="O1300">
        <f t="shared" ref="O1300:O1305" si="863">ROUND(CP1300,2)</f>
        <v>1737024.76</v>
      </c>
      <c r="P1300">
        <f t="shared" ref="P1300:P1305" si="864">ROUND((ROUND((AC1300*AW1300*I1300),2)*BC1300),2)</f>
        <v>1515057.24</v>
      </c>
      <c r="Q1300">
        <f>(ROUND((ROUND(((ET1300)*AV1300*I1300),2)*BB1300),2)+ROUND((ROUND(((AE1300-(EU1300))*AV1300*I1300),2)*BS1300),2))</f>
        <v>72093.88</v>
      </c>
      <c r="R1300">
        <f t="shared" ref="R1300:R1305" si="865">ROUND((ROUND((AE1300*AV1300*I1300),2)*BS1300),2)</f>
        <v>55423.08</v>
      </c>
      <c r="S1300">
        <f t="shared" ref="S1300:S1305" si="866">ROUND((ROUND((AF1300*AV1300*I1300),2)*BA1300),2)</f>
        <v>149873.64000000001</v>
      </c>
      <c r="T1300">
        <f t="shared" ref="T1300:T1305" si="867">ROUND(CU1300*I1300,2)</f>
        <v>0</v>
      </c>
      <c r="U1300">
        <f t="shared" ref="U1300:U1305" si="868">CV1300*I1300</f>
        <v>519.85289999999998</v>
      </c>
      <c r="V1300">
        <f t="shared" ref="V1300:V1305" si="869">CW1300*I1300</f>
        <v>0</v>
      </c>
      <c r="W1300">
        <f t="shared" ref="W1300:W1305" si="870">ROUND(CX1300*I1300,2)</f>
        <v>0</v>
      </c>
      <c r="X1300">
        <f t="shared" ref="X1300:Y1305" si="871">ROUND(CY1300,2)</f>
        <v>152871.10999999999</v>
      </c>
      <c r="Y1300">
        <f t="shared" si="871"/>
        <v>70440.61</v>
      </c>
      <c r="AA1300">
        <v>33989672</v>
      </c>
      <c r="AB1300">
        <f t="shared" ref="AB1300:AB1305" si="872">ROUND((AC1300+AD1300+AF1300),6)</f>
        <v>17113.71</v>
      </c>
      <c r="AC1300">
        <f>ROUND((ES1300),6)</f>
        <v>16744.72</v>
      </c>
      <c r="AD1300">
        <f>ROUND((((ET1300)-(EU1300))+AE1300),6)</f>
        <v>180.59</v>
      </c>
      <c r="AE1300">
        <f>ROUND((EU1300),6)</f>
        <v>69.67</v>
      </c>
      <c r="AF1300">
        <f>ROUND((EV1300),6)</f>
        <v>188.4</v>
      </c>
      <c r="AG1300">
        <f t="shared" ref="AG1300:AG1305" si="873">ROUND((AP1300),6)</f>
        <v>0</v>
      </c>
      <c r="AH1300">
        <f>(EW1300)</f>
        <v>16.03</v>
      </c>
      <c r="AI1300">
        <f>(EX1300)</f>
        <v>0</v>
      </c>
      <c r="AJ1300">
        <f t="shared" ref="AJ1300:AJ1305" si="874">(AS1300)</f>
        <v>0</v>
      </c>
      <c r="AK1300">
        <v>17113.71</v>
      </c>
      <c r="AL1300">
        <v>16744.72</v>
      </c>
      <c r="AM1300">
        <v>180.59</v>
      </c>
      <c r="AN1300">
        <v>69.67</v>
      </c>
      <c r="AO1300">
        <v>188.4</v>
      </c>
      <c r="AP1300">
        <v>0</v>
      </c>
      <c r="AQ1300">
        <v>16.03</v>
      </c>
      <c r="AR1300">
        <v>0</v>
      </c>
      <c r="AS1300">
        <v>0</v>
      </c>
      <c r="AT1300">
        <v>102</v>
      </c>
      <c r="AU1300">
        <v>47</v>
      </c>
      <c r="AV1300">
        <v>1</v>
      </c>
      <c r="AW1300">
        <v>1</v>
      </c>
      <c r="AZ1300">
        <v>1</v>
      </c>
      <c r="BA1300">
        <v>24.53</v>
      </c>
      <c r="BB1300">
        <v>12.31</v>
      </c>
      <c r="BC1300">
        <v>2.79</v>
      </c>
      <c r="BD1300" t="s">
        <v>3</v>
      </c>
      <c r="BE1300" t="s">
        <v>3</v>
      </c>
      <c r="BF1300" t="s">
        <v>3</v>
      </c>
      <c r="BG1300" t="s">
        <v>3</v>
      </c>
      <c r="BH1300">
        <v>0</v>
      </c>
      <c r="BI1300">
        <v>1</v>
      </c>
      <c r="BJ1300" t="s">
        <v>607</v>
      </c>
      <c r="BM1300">
        <v>1526</v>
      </c>
      <c r="BN1300">
        <v>0</v>
      </c>
      <c r="BO1300" t="s">
        <v>605</v>
      </c>
      <c r="BP1300">
        <v>1</v>
      </c>
      <c r="BQ1300">
        <v>30</v>
      </c>
      <c r="BR1300">
        <v>0</v>
      </c>
      <c r="BS1300">
        <v>24.53</v>
      </c>
      <c r="BT1300">
        <v>1</v>
      </c>
      <c r="BU1300">
        <v>1</v>
      </c>
      <c r="BV1300">
        <v>1</v>
      </c>
      <c r="BW1300">
        <v>1</v>
      </c>
      <c r="BX1300">
        <v>1</v>
      </c>
      <c r="BY1300" t="s">
        <v>3</v>
      </c>
      <c r="BZ1300">
        <v>102</v>
      </c>
      <c r="CA1300">
        <v>47</v>
      </c>
      <c r="CE1300">
        <v>30</v>
      </c>
      <c r="CF1300">
        <v>0</v>
      </c>
      <c r="CG1300">
        <v>0</v>
      </c>
      <c r="CM1300">
        <v>0</v>
      </c>
      <c r="CN1300" t="s">
        <v>3</v>
      </c>
      <c r="CO1300">
        <v>0</v>
      </c>
      <c r="CP1300">
        <f t="shared" ref="CP1300:CP1305" si="875">(P1300+Q1300+S1300)</f>
        <v>1737024.7600000002</v>
      </c>
      <c r="CQ1300">
        <f t="shared" ref="CQ1300:CQ1305" si="876">ROUND((ROUND((AC1300*AW1300*1),2)*BC1300),2)</f>
        <v>46717.77</v>
      </c>
      <c r="CR1300">
        <f>(ROUND((ROUND(((ET1300)*AV1300*1),2)*BB1300),2)+ROUND((ROUND(((AE1300-(EU1300))*AV1300*1),2)*BS1300),2))</f>
        <v>2223.06</v>
      </c>
      <c r="CS1300">
        <f t="shared" ref="CS1300:CS1305" si="877">ROUND((ROUND((AE1300*AV1300*1),2)*BS1300),2)</f>
        <v>1709.01</v>
      </c>
      <c r="CT1300">
        <f t="shared" ref="CT1300:CT1305" si="878">ROUND((ROUND((AF1300*AV1300*1),2)*BA1300),2)</f>
        <v>4621.45</v>
      </c>
      <c r="CU1300">
        <f t="shared" ref="CU1300:CU1305" si="879">AG1300</f>
        <v>0</v>
      </c>
      <c r="CV1300">
        <f t="shared" ref="CV1300:CV1305" si="880">(AH1300*AV1300)</f>
        <v>16.03</v>
      </c>
      <c r="CW1300">
        <f t="shared" ref="CW1300:CX1305" si="881">AI1300</f>
        <v>0</v>
      </c>
      <c r="CX1300">
        <f t="shared" si="881"/>
        <v>0</v>
      </c>
      <c r="CY1300">
        <f t="shared" ref="CY1300:CY1305" si="882">S1300*(BZ1300/100)</f>
        <v>152871.1128</v>
      </c>
      <c r="CZ1300">
        <f t="shared" ref="CZ1300:CZ1305" si="883">S1300*(CA1300/100)</f>
        <v>70440.610800000009</v>
      </c>
      <c r="DC1300" t="s">
        <v>3</v>
      </c>
      <c r="DD1300" t="s">
        <v>3</v>
      </c>
      <c r="DE1300" t="s">
        <v>3</v>
      </c>
      <c r="DF1300" t="s">
        <v>3</v>
      </c>
      <c r="DG1300" t="s">
        <v>3</v>
      </c>
      <c r="DH1300" t="s">
        <v>3</v>
      </c>
      <c r="DI1300" t="s">
        <v>3</v>
      </c>
      <c r="DJ1300" t="s">
        <v>3</v>
      </c>
      <c r="DK1300" t="s">
        <v>3</v>
      </c>
      <c r="DL1300" t="s">
        <v>3</v>
      </c>
      <c r="DM1300" t="s">
        <v>3</v>
      </c>
      <c r="DN1300">
        <v>187</v>
      </c>
      <c r="DO1300">
        <v>101</v>
      </c>
      <c r="DP1300">
        <v>1</v>
      </c>
      <c r="DQ1300">
        <v>1</v>
      </c>
      <c r="DU1300">
        <v>1005</v>
      </c>
      <c r="DV1300" t="s">
        <v>18</v>
      </c>
      <c r="DW1300" t="s">
        <v>18</v>
      </c>
      <c r="DX1300">
        <v>100</v>
      </c>
      <c r="EE1300">
        <v>33799165</v>
      </c>
      <c r="EF1300">
        <v>30</v>
      </c>
      <c r="EG1300" t="s">
        <v>77</v>
      </c>
      <c r="EH1300">
        <v>0</v>
      </c>
      <c r="EI1300" t="s">
        <v>3</v>
      </c>
      <c r="EJ1300">
        <v>1</v>
      </c>
      <c r="EK1300">
        <v>1526</v>
      </c>
      <c r="EL1300" t="s">
        <v>608</v>
      </c>
      <c r="EM1300" t="s">
        <v>609</v>
      </c>
      <c r="EO1300" t="s">
        <v>3</v>
      </c>
      <c r="EQ1300">
        <v>131072</v>
      </c>
      <c r="ER1300">
        <v>17113.71</v>
      </c>
      <c r="ES1300">
        <v>16744.72</v>
      </c>
      <c r="ET1300">
        <v>180.59</v>
      </c>
      <c r="EU1300">
        <v>69.67</v>
      </c>
      <c r="EV1300">
        <v>188.4</v>
      </c>
      <c r="EW1300">
        <v>16.03</v>
      </c>
      <c r="EX1300">
        <v>0</v>
      </c>
      <c r="EY1300">
        <v>0</v>
      </c>
      <c r="FQ1300">
        <v>0</v>
      </c>
      <c r="FR1300">
        <f t="shared" ref="FR1300:FR1305" si="884">ROUND(IF(AND(BH1300=3,BI1300=3),P1300,0),2)</f>
        <v>0</v>
      </c>
      <c r="FS1300">
        <v>0</v>
      </c>
      <c r="FX1300">
        <v>187</v>
      </c>
      <c r="FY1300">
        <v>101</v>
      </c>
      <c r="GA1300" t="s">
        <v>3</v>
      </c>
      <c r="GD1300">
        <v>0</v>
      </c>
      <c r="GF1300">
        <v>-1665034286</v>
      </c>
      <c r="GG1300">
        <v>2</v>
      </c>
      <c r="GH1300">
        <v>1</v>
      </c>
      <c r="GI1300">
        <v>2</v>
      </c>
      <c r="GJ1300">
        <v>0</v>
      </c>
      <c r="GK1300">
        <f>ROUND(R1300*(R12)/100,2)</f>
        <v>87014.24</v>
      </c>
      <c r="GL1300">
        <f t="shared" ref="GL1300:GL1305" si="885">ROUND(IF(AND(BH1300=3,BI1300=3,FS1300&lt;&gt;0),P1300,0),2)</f>
        <v>0</v>
      </c>
      <c r="GM1300">
        <f t="shared" ref="GM1300:GM1305" si="886">ROUND(O1300+X1300+Y1300+GK1300,2)+GX1300</f>
        <v>2047350.72</v>
      </c>
      <c r="GN1300">
        <f t="shared" ref="GN1300:GN1305" si="887">IF(OR(BI1300=0,BI1300=1),ROUND(O1300+X1300+Y1300+GK1300,2),0)</f>
        <v>2047350.72</v>
      </c>
      <c r="GO1300">
        <f t="shared" ref="GO1300:GO1305" si="888">IF(BI1300=2,ROUND(O1300+X1300+Y1300+GK1300,2),0)</f>
        <v>0</v>
      </c>
      <c r="GP1300">
        <f t="shared" ref="GP1300:GP1305" si="889">IF(BI1300=4,ROUND(O1300+X1300+Y1300+GK1300,2)+GX1300,0)</f>
        <v>0</v>
      </c>
      <c r="GR1300">
        <v>0</v>
      </c>
      <c r="GS1300">
        <v>3</v>
      </c>
      <c r="GT1300">
        <v>0</v>
      </c>
      <c r="GU1300" t="s">
        <v>3</v>
      </c>
      <c r="GV1300">
        <f t="shared" ref="GV1300:GV1305" si="890">ROUND((GT1300),6)</f>
        <v>0</v>
      </c>
      <c r="GW1300">
        <v>1</v>
      </c>
      <c r="GX1300">
        <f t="shared" ref="GX1300:GX1305" si="891">ROUND(HC1300*I1300,2)</f>
        <v>0</v>
      </c>
      <c r="HA1300">
        <v>0</v>
      </c>
      <c r="HB1300">
        <v>0</v>
      </c>
      <c r="HC1300">
        <f t="shared" ref="HC1300:HC1305" si="892">GV1300*GW1300</f>
        <v>0</v>
      </c>
      <c r="IK1300">
        <v>0</v>
      </c>
    </row>
    <row r="1301" spans="1:245" x14ac:dyDescent="0.2">
      <c r="A1301">
        <v>18</v>
      </c>
      <c r="B1301">
        <v>1</v>
      </c>
      <c r="C1301">
        <v>376</v>
      </c>
      <c r="E1301" t="s">
        <v>610</v>
      </c>
      <c r="F1301" t="s">
        <v>611</v>
      </c>
      <c r="G1301" t="s">
        <v>612</v>
      </c>
      <c r="H1301" t="s">
        <v>300</v>
      </c>
      <c r="I1301">
        <f>I1300*J1301</f>
        <v>23738.76</v>
      </c>
      <c r="J1301">
        <v>732</v>
      </c>
      <c r="O1301">
        <f t="shared" si="863"/>
        <v>416487.06</v>
      </c>
      <c r="P1301">
        <f t="shared" si="864"/>
        <v>416487.06</v>
      </c>
      <c r="Q1301">
        <f>(ROUND((ROUND(((ET1301)*AV1301*I1301),2)*BB1301),2)+ROUND((ROUND(((AE1301-(EU1301))*AV1301*I1301),2)*BS1301),2))</f>
        <v>0</v>
      </c>
      <c r="R1301">
        <f t="shared" si="865"/>
        <v>0</v>
      </c>
      <c r="S1301">
        <f t="shared" si="866"/>
        <v>0</v>
      </c>
      <c r="T1301">
        <f t="shared" si="867"/>
        <v>0</v>
      </c>
      <c r="U1301">
        <f t="shared" si="868"/>
        <v>0</v>
      </c>
      <c r="V1301">
        <f t="shared" si="869"/>
        <v>0</v>
      </c>
      <c r="W1301">
        <f t="shared" si="870"/>
        <v>0</v>
      </c>
      <c r="X1301">
        <f t="shared" si="871"/>
        <v>0</v>
      </c>
      <c r="Y1301">
        <f t="shared" si="871"/>
        <v>0</v>
      </c>
      <c r="AA1301">
        <v>33989672</v>
      </c>
      <c r="AB1301">
        <f t="shared" si="872"/>
        <v>7.22</v>
      </c>
      <c r="AC1301">
        <f>ROUND((ES1301),6)</f>
        <v>7.22</v>
      </c>
      <c r="AD1301">
        <f>ROUND((((ET1301)-(EU1301))+AE1301),6)</f>
        <v>0</v>
      </c>
      <c r="AE1301">
        <f>ROUND((EU1301),6)</f>
        <v>0</v>
      </c>
      <c r="AF1301">
        <f>ROUND((EV1301),6)</f>
        <v>0</v>
      </c>
      <c r="AG1301">
        <f t="shared" si="873"/>
        <v>0</v>
      </c>
      <c r="AH1301">
        <f>(EW1301)</f>
        <v>0</v>
      </c>
      <c r="AI1301">
        <f>(EX1301)</f>
        <v>0</v>
      </c>
      <c r="AJ1301">
        <f t="shared" si="874"/>
        <v>0</v>
      </c>
      <c r="AK1301">
        <v>7.22</v>
      </c>
      <c r="AL1301">
        <v>7.22</v>
      </c>
      <c r="AM1301">
        <v>0</v>
      </c>
      <c r="AN1301">
        <v>0</v>
      </c>
      <c r="AO1301">
        <v>0</v>
      </c>
      <c r="AP1301">
        <v>0</v>
      </c>
      <c r="AQ1301">
        <v>0</v>
      </c>
      <c r="AR1301">
        <v>0</v>
      </c>
      <c r="AS1301">
        <v>0</v>
      </c>
      <c r="AT1301">
        <v>0</v>
      </c>
      <c r="AU1301">
        <v>0</v>
      </c>
      <c r="AV1301">
        <v>1</v>
      </c>
      <c r="AW1301">
        <v>1</v>
      </c>
      <c r="AZ1301">
        <v>1</v>
      </c>
      <c r="BA1301">
        <v>1</v>
      </c>
      <c r="BB1301">
        <v>1</v>
      </c>
      <c r="BC1301">
        <v>2.4300000000000002</v>
      </c>
      <c r="BD1301" t="s">
        <v>3</v>
      </c>
      <c r="BE1301" t="s">
        <v>3</v>
      </c>
      <c r="BF1301" t="s">
        <v>3</v>
      </c>
      <c r="BG1301" t="s">
        <v>3</v>
      </c>
      <c r="BH1301">
        <v>3</v>
      </c>
      <c r="BI1301">
        <v>1</v>
      </c>
      <c r="BJ1301" t="s">
        <v>613</v>
      </c>
      <c r="BM1301">
        <v>1526</v>
      </c>
      <c r="BN1301">
        <v>0</v>
      </c>
      <c r="BO1301" t="s">
        <v>611</v>
      </c>
      <c r="BP1301">
        <v>1</v>
      </c>
      <c r="BQ1301">
        <v>30</v>
      </c>
      <c r="BR1301">
        <v>0</v>
      </c>
      <c r="BS1301">
        <v>1</v>
      </c>
      <c r="BT1301">
        <v>1</v>
      </c>
      <c r="BU1301">
        <v>1</v>
      </c>
      <c r="BV1301">
        <v>1</v>
      </c>
      <c r="BW1301">
        <v>1</v>
      </c>
      <c r="BX1301">
        <v>1</v>
      </c>
      <c r="BY1301" t="s">
        <v>3</v>
      </c>
      <c r="BZ1301">
        <v>0</v>
      </c>
      <c r="CA1301">
        <v>0</v>
      </c>
      <c r="CE1301">
        <v>30</v>
      </c>
      <c r="CF1301">
        <v>0</v>
      </c>
      <c r="CG1301">
        <v>0</v>
      </c>
      <c r="CM1301">
        <v>0</v>
      </c>
      <c r="CN1301" t="s">
        <v>3</v>
      </c>
      <c r="CO1301">
        <v>0</v>
      </c>
      <c r="CP1301">
        <f t="shared" si="875"/>
        <v>416487.06</v>
      </c>
      <c r="CQ1301">
        <f t="shared" si="876"/>
        <v>17.54</v>
      </c>
      <c r="CR1301">
        <f>(ROUND((ROUND(((ET1301)*AV1301*1),2)*BB1301),2)+ROUND((ROUND(((AE1301-(EU1301))*AV1301*1),2)*BS1301),2))</f>
        <v>0</v>
      </c>
      <c r="CS1301">
        <f t="shared" si="877"/>
        <v>0</v>
      </c>
      <c r="CT1301">
        <f t="shared" si="878"/>
        <v>0</v>
      </c>
      <c r="CU1301">
        <f t="shared" si="879"/>
        <v>0</v>
      </c>
      <c r="CV1301">
        <f t="shared" si="880"/>
        <v>0</v>
      </c>
      <c r="CW1301">
        <f t="shared" si="881"/>
        <v>0</v>
      </c>
      <c r="CX1301">
        <f t="shared" si="881"/>
        <v>0</v>
      </c>
      <c r="CY1301">
        <f t="shared" si="882"/>
        <v>0</v>
      </c>
      <c r="CZ1301">
        <f t="shared" si="883"/>
        <v>0</v>
      </c>
      <c r="DC1301" t="s">
        <v>3</v>
      </c>
      <c r="DD1301" t="s">
        <v>3</v>
      </c>
      <c r="DE1301" t="s">
        <v>3</v>
      </c>
      <c r="DF1301" t="s">
        <v>3</v>
      </c>
      <c r="DG1301" t="s">
        <v>3</v>
      </c>
      <c r="DH1301" t="s">
        <v>3</v>
      </c>
      <c r="DI1301" t="s">
        <v>3</v>
      </c>
      <c r="DJ1301" t="s">
        <v>3</v>
      </c>
      <c r="DK1301" t="s">
        <v>3</v>
      </c>
      <c r="DL1301" t="s">
        <v>3</v>
      </c>
      <c r="DM1301" t="s">
        <v>3</v>
      </c>
      <c r="DN1301">
        <v>187</v>
      </c>
      <c r="DO1301">
        <v>101</v>
      </c>
      <c r="DP1301">
        <v>1</v>
      </c>
      <c r="DQ1301">
        <v>1</v>
      </c>
      <c r="DU1301">
        <v>1009</v>
      </c>
      <c r="DV1301" t="s">
        <v>300</v>
      </c>
      <c r="DW1301" t="s">
        <v>300</v>
      </c>
      <c r="DX1301">
        <v>1</v>
      </c>
      <c r="EE1301">
        <v>33799165</v>
      </c>
      <c r="EF1301">
        <v>30</v>
      </c>
      <c r="EG1301" t="s">
        <v>77</v>
      </c>
      <c r="EH1301">
        <v>0</v>
      </c>
      <c r="EI1301" t="s">
        <v>3</v>
      </c>
      <c r="EJ1301">
        <v>1</v>
      </c>
      <c r="EK1301">
        <v>1526</v>
      </c>
      <c r="EL1301" t="s">
        <v>608</v>
      </c>
      <c r="EM1301" t="s">
        <v>609</v>
      </c>
      <c r="EO1301" t="s">
        <v>3</v>
      </c>
      <c r="EQ1301">
        <v>0</v>
      </c>
      <c r="ER1301">
        <v>7.22</v>
      </c>
      <c r="ES1301">
        <v>7.22</v>
      </c>
      <c r="ET1301">
        <v>0</v>
      </c>
      <c r="EU1301">
        <v>0</v>
      </c>
      <c r="EV1301">
        <v>0</v>
      </c>
      <c r="EW1301">
        <v>0</v>
      </c>
      <c r="EX1301">
        <v>0</v>
      </c>
      <c r="FQ1301">
        <v>0</v>
      </c>
      <c r="FR1301">
        <f t="shared" si="884"/>
        <v>0</v>
      </c>
      <c r="FS1301">
        <v>0</v>
      </c>
      <c r="FX1301">
        <v>187</v>
      </c>
      <c r="FY1301">
        <v>101</v>
      </c>
      <c r="GA1301" t="s">
        <v>3</v>
      </c>
      <c r="GD1301">
        <v>0</v>
      </c>
      <c r="GF1301">
        <v>2090190104</v>
      </c>
      <c r="GG1301">
        <v>2</v>
      </c>
      <c r="GH1301">
        <v>1</v>
      </c>
      <c r="GI1301">
        <v>2</v>
      </c>
      <c r="GJ1301">
        <v>0</v>
      </c>
      <c r="GK1301">
        <f>ROUND(R1301*(R12)/100,2)</f>
        <v>0</v>
      </c>
      <c r="GL1301">
        <f t="shared" si="885"/>
        <v>0</v>
      </c>
      <c r="GM1301">
        <f t="shared" si="886"/>
        <v>416487.06</v>
      </c>
      <c r="GN1301">
        <f t="shared" si="887"/>
        <v>416487.06</v>
      </c>
      <c r="GO1301">
        <f t="shared" si="888"/>
        <v>0</v>
      </c>
      <c r="GP1301">
        <f t="shared" si="889"/>
        <v>0</v>
      </c>
      <c r="GR1301">
        <v>0</v>
      </c>
      <c r="GS1301">
        <v>3</v>
      </c>
      <c r="GT1301">
        <v>0</v>
      </c>
      <c r="GU1301" t="s">
        <v>3</v>
      </c>
      <c r="GV1301">
        <f t="shared" si="890"/>
        <v>0</v>
      </c>
      <c r="GW1301">
        <v>1</v>
      </c>
      <c r="GX1301">
        <f t="shared" si="891"/>
        <v>0</v>
      </c>
      <c r="HA1301">
        <v>0</v>
      </c>
      <c r="HB1301">
        <v>0</v>
      </c>
      <c r="HC1301">
        <f t="shared" si="892"/>
        <v>0</v>
      </c>
      <c r="IK1301">
        <v>0</v>
      </c>
    </row>
    <row r="1302" spans="1:245" x14ac:dyDescent="0.2">
      <c r="A1302">
        <v>17</v>
      </c>
      <c r="B1302">
        <v>1</v>
      </c>
      <c r="C1302">
        <f>ROW(SmtRes!A385)</f>
        <v>385</v>
      </c>
      <c r="D1302">
        <f>ROW(EtalonRes!A387)</f>
        <v>387</v>
      </c>
      <c r="E1302" t="s">
        <v>614</v>
      </c>
      <c r="F1302" t="s">
        <v>615</v>
      </c>
      <c r="G1302" t="s">
        <v>616</v>
      </c>
      <c r="H1302" t="s">
        <v>18</v>
      </c>
      <c r="I1302">
        <f>ROUND(3243/100,5)</f>
        <v>32.43</v>
      </c>
      <c r="J1302">
        <v>0</v>
      </c>
      <c r="O1302">
        <f t="shared" si="863"/>
        <v>2926537.4</v>
      </c>
      <c r="P1302">
        <f t="shared" si="864"/>
        <v>2572033.7400000002</v>
      </c>
      <c r="Q1302">
        <f>(ROUND((ROUND((((ET1302*10))*AV1302*I1302),2)*BB1302),2)+ROUND((ROUND(((AE1302-((EU1302*10)))*AV1302*I1302),2)*BS1302),2))</f>
        <v>134704.79999999999</v>
      </c>
      <c r="R1302">
        <f t="shared" si="865"/>
        <v>104847.84</v>
      </c>
      <c r="S1302">
        <f t="shared" si="866"/>
        <v>219798.86</v>
      </c>
      <c r="T1302">
        <f t="shared" si="867"/>
        <v>0</v>
      </c>
      <c r="U1302">
        <f t="shared" si="868"/>
        <v>749.13300000000004</v>
      </c>
      <c r="V1302">
        <f t="shared" si="869"/>
        <v>0</v>
      </c>
      <c r="W1302">
        <f t="shared" si="870"/>
        <v>0</v>
      </c>
      <c r="X1302">
        <f t="shared" si="871"/>
        <v>224194.84</v>
      </c>
      <c r="Y1302">
        <f t="shared" si="871"/>
        <v>103305.46</v>
      </c>
      <c r="AA1302">
        <v>33989672</v>
      </c>
      <c r="AB1302">
        <f t="shared" si="872"/>
        <v>29665.4</v>
      </c>
      <c r="AC1302">
        <f>ROUND(((ES1302*10)),6)</f>
        <v>29051.4</v>
      </c>
      <c r="AD1302">
        <f>ROUND(((((ET1302*10))-((EU1302*10)))+AE1302),6)</f>
        <v>337.7</v>
      </c>
      <c r="AE1302">
        <f>ROUND(((EU1302*10)),6)</f>
        <v>131.80000000000001</v>
      </c>
      <c r="AF1302">
        <f>ROUND(((EV1302*10)),6)</f>
        <v>276.3</v>
      </c>
      <c r="AG1302">
        <f t="shared" si="873"/>
        <v>0</v>
      </c>
      <c r="AH1302">
        <f>((EW1302*10))</f>
        <v>23.1</v>
      </c>
      <c r="AI1302">
        <f>((EX1302*10))</f>
        <v>0</v>
      </c>
      <c r="AJ1302">
        <f t="shared" si="874"/>
        <v>0</v>
      </c>
      <c r="AK1302">
        <v>2966.54</v>
      </c>
      <c r="AL1302">
        <v>2905.14</v>
      </c>
      <c r="AM1302">
        <v>33.770000000000003</v>
      </c>
      <c r="AN1302">
        <v>13.18</v>
      </c>
      <c r="AO1302">
        <v>27.63</v>
      </c>
      <c r="AP1302">
        <v>0</v>
      </c>
      <c r="AQ1302">
        <v>2.31</v>
      </c>
      <c r="AR1302">
        <v>0</v>
      </c>
      <c r="AS1302">
        <v>0</v>
      </c>
      <c r="AT1302">
        <v>102</v>
      </c>
      <c r="AU1302">
        <v>47</v>
      </c>
      <c r="AV1302">
        <v>1</v>
      </c>
      <c r="AW1302">
        <v>1</v>
      </c>
      <c r="AZ1302">
        <v>1</v>
      </c>
      <c r="BA1302">
        <v>24.53</v>
      </c>
      <c r="BB1302">
        <v>12.3</v>
      </c>
      <c r="BC1302">
        <v>2.73</v>
      </c>
      <c r="BD1302" t="s">
        <v>3</v>
      </c>
      <c r="BE1302" t="s">
        <v>3</v>
      </c>
      <c r="BF1302" t="s">
        <v>3</v>
      </c>
      <c r="BG1302" t="s">
        <v>3</v>
      </c>
      <c r="BH1302">
        <v>0</v>
      </c>
      <c r="BI1302">
        <v>1</v>
      </c>
      <c r="BJ1302" t="s">
        <v>617</v>
      </c>
      <c r="BM1302">
        <v>1526</v>
      </c>
      <c r="BN1302">
        <v>0</v>
      </c>
      <c r="BO1302" t="s">
        <v>615</v>
      </c>
      <c r="BP1302">
        <v>1</v>
      </c>
      <c r="BQ1302">
        <v>30</v>
      </c>
      <c r="BR1302">
        <v>0</v>
      </c>
      <c r="BS1302">
        <v>24.53</v>
      </c>
      <c r="BT1302">
        <v>1</v>
      </c>
      <c r="BU1302">
        <v>1</v>
      </c>
      <c r="BV1302">
        <v>1</v>
      </c>
      <c r="BW1302">
        <v>1</v>
      </c>
      <c r="BX1302">
        <v>1</v>
      </c>
      <c r="BY1302" t="s">
        <v>3</v>
      </c>
      <c r="BZ1302">
        <v>102</v>
      </c>
      <c r="CA1302">
        <v>47</v>
      </c>
      <c r="CE1302">
        <v>30</v>
      </c>
      <c r="CF1302">
        <v>0</v>
      </c>
      <c r="CG1302">
        <v>0</v>
      </c>
      <c r="CM1302">
        <v>0</v>
      </c>
      <c r="CN1302" t="s">
        <v>3</v>
      </c>
      <c r="CO1302">
        <v>0</v>
      </c>
      <c r="CP1302">
        <f t="shared" si="875"/>
        <v>2926537.4</v>
      </c>
      <c r="CQ1302">
        <f t="shared" si="876"/>
        <v>79310.320000000007</v>
      </c>
      <c r="CR1302">
        <f>(ROUND((ROUND((((ET1302*10))*AV1302*1),2)*BB1302),2)+ROUND((ROUND(((AE1302-((EU1302*10)))*AV1302*1),2)*BS1302),2))</f>
        <v>4153.71</v>
      </c>
      <c r="CS1302">
        <f t="shared" si="877"/>
        <v>3233.05</v>
      </c>
      <c r="CT1302">
        <f t="shared" si="878"/>
        <v>6777.64</v>
      </c>
      <c r="CU1302">
        <f t="shared" si="879"/>
        <v>0</v>
      </c>
      <c r="CV1302">
        <f t="shared" si="880"/>
        <v>23.1</v>
      </c>
      <c r="CW1302">
        <f t="shared" si="881"/>
        <v>0</v>
      </c>
      <c r="CX1302">
        <f t="shared" si="881"/>
        <v>0</v>
      </c>
      <c r="CY1302">
        <f t="shared" si="882"/>
        <v>224194.83719999998</v>
      </c>
      <c r="CZ1302">
        <f t="shared" si="883"/>
        <v>103305.46419999999</v>
      </c>
      <c r="DC1302" t="s">
        <v>3</v>
      </c>
      <c r="DD1302" t="s">
        <v>618</v>
      </c>
      <c r="DE1302" t="s">
        <v>618</v>
      </c>
      <c r="DF1302" t="s">
        <v>618</v>
      </c>
      <c r="DG1302" t="s">
        <v>618</v>
      </c>
      <c r="DH1302" t="s">
        <v>3</v>
      </c>
      <c r="DI1302" t="s">
        <v>618</v>
      </c>
      <c r="DJ1302" t="s">
        <v>618</v>
      </c>
      <c r="DK1302" t="s">
        <v>3</v>
      </c>
      <c r="DL1302" t="s">
        <v>3</v>
      </c>
      <c r="DM1302" t="s">
        <v>3</v>
      </c>
      <c r="DN1302">
        <v>187</v>
      </c>
      <c r="DO1302">
        <v>101</v>
      </c>
      <c r="DP1302">
        <v>1</v>
      </c>
      <c r="DQ1302">
        <v>1</v>
      </c>
      <c r="DU1302">
        <v>1005</v>
      </c>
      <c r="DV1302" t="s">
        <v>18</v>
      </c>
      <c r="DW1302" t="s">
        <v>18</v>
      </c>
      <c r="DX1302">
        <v>100</v>
      </c>
      <c r="EE1302">
        <v>33799165</v>
      </c>
      <c r="EF1302">
        <v>30</v>
      </c>
      <c r="EG1302" t="s">
        <v>77</v>
      </c>
      <c r="EH1302">
        <v>0</v>
      </c>
      <c r="EI1302" t="s">
        <v>3</v>
      </c>
      <c r="EJ1302">
        <v>1</v>
      </c>
      <c r="EK1302">
        <v>1526</v>
      </c>
      <c r="EL1302" t="s">
        <v>608</v>
      </c>
      <c r="EM1302" t="s">
        <v>609</v>
      </c>
      <c r="EO1302" t="s">
        <v>3</v>
      </c>
      <c r="EQ1302">
        <v>131072</v>
      </c>
      <c r="ER1302">
        <v>2966.54</v>
      </c>
      <c r="ES1302">
        <v>2905.14</v>
      </c>
      <c r="ET1302">
        <v>33.770000000000003</v>
      </c>
      <c r="EU1302">
        <v>13.18</v>
      </c>
      <c r="EV1302">
        <v>27.63</v>
      </c>
      <c r="EW1302">
        <v>2.31</v>
      </c>
      <c r="EX1302">
        <v>0</v>
      </c>
      <c r="EY1302">
        <v>0</v>
      </c>
      <c r="FQ1302">
        <v>0</v>
      </c>
      <c r="FR1302">
        <f t="shared" si="884"/>
        <v>0</v>
      </c>
      <c r="FS1302">
        <v>0</v>
      </c>
      <c r="FX1302">
        <v>187</v>
      </c>
      <c r="FY1302">
        <v>101</v>
      </c>
      <c r="GA1302" t="s">
        <v>3</v>
      </c>
      <c r="GD1302">
        <v>0</v>
      </c>
      <c r="GF1302">
        <v>2081307609</v>
      </c>
      <c r="GG1302">
        <v>2</v>
      </c>
      <c r="GH1302">
        <v>1</v>
      </c>
      <c r="GI1302">
        <v>2</v>
      </c>
      <c r="GJ1302">
        <v>0</v>
      </c>
      <c r="GK1302">
        <f>ROUND(R1302*(R12)/100,2)</f>
        <v>164611.10999999999</v>
      </c>
      <c r="GL1302">
        <f t="shared" si="885"/>
        <v>0</v>
      </c>
      <c r="GM1302">
        <f t="shared" si="886"/>
        <v>3418648.81</v>
      </c>
      <c r="GN1302">
        <f t="shared" si="887"/>
        <v>3418648.81</v>
      </c>
      <c r="GO1302">
        <f t="shared" si="888"/>
        <v>0</v>
      </c>
      <c r="GP1302">
        <f t="shared" si="889"/>
        <v>0</v>
      </c>
      <c r="GR1302">
        <v>0</v>
      </c>
      <c r="GS1302">
        <v>3</v>
      </c>
      <c r="GT1302">
        <v>0</v>
      </c>
      <c r="GU1302" t="s">
        <v>3</v>
      </c>
      <c r="GV1302">
        <f t="shared" si="890"/>
        <v>0</v>
      </c>
      <c r="GW1302">
        <v>1</v>
      </c>
      <c r="GX1302">
        <f t="shared" si="891"/>
        <v>0</v>
      </c>
      <c r="HA1302">
        <v>0</v>
      </c>
      <c r="HB1302">
        <v>0</v>
      </c>
      <c r="HC1302">
        <f t="shared" si="892"/>
        <v>0</v>
      </c>
      <c r="IK1302">
        <v>0</v>
      </c>
    </row>
    <row r="1303" spans="1:245" x14ac:dyDescent="0.2">
      <c r="A1303">
        <v>18</v>
      </c>
      <c r="B1303">
        <v>1</v>
      </c>
      <c r="C1303">
        <v>385</v>
      </c>
      <c r="E1303" t="s">
        <v>619</v>
      </c>
      <c r="F1303" t="s">
        <v>611</v>
      </c>
      <c r="G1303" t="s">
        <v>612</v>
      </c>
      <c r="H1303" t="s">
        <v>300</v>
      </c>
      <c r="I1303">
        <f>I1302*J1303</f>
        <v>47672.1</v>
      </c>
      <c r="J1303">
        <v>1470</v>
      </c>
      <c r="O1303">
        <f t="shared" si="863"/>
        <v>836387.92</v>
      </c>
      <c r="P1303">
        <f t="shared" si="864"/>
        <v>836387.92</v>
      </c>
      <c r="Q1303">
        <f>(ROUND((ROUND(((ET1303)*AV1303*I1303),2)*BB1303),2)+ROUND((ROUND(((AE1303-(EU1303))*AV1303*I1303),2)*BS1303),2))</f>
        <v>0</v>
      </c>
      <c r="R1303">
        <f t="shared" si="865"/>
        <v>0</v>
      </c>
      <c r="S1303">
        <f t="shared" si="866"/>
        <v>0</v>
      </c>
      <c r="T1303">
        <f t="shared" si="867"/>
        <v>0</v>
      </c>
      <c r="U1303">
        <f t="shared" si="868"/>
        <v>0</v>
      </c>
      <c r="V1303">
        <f t="shared" si="869"/>
        <v>0</v>
      </c>
      <c r="W1303">
        <f t="shared" si="870"/>
        <v>0</v>
      </c>
      <c r="X1303">
        <f t="shared" si="871"/>
        <v>0</v>
      </c>
      <c r="Y1303">
        <f t="shared" si="871"/>
        <v>0</v>
      </c>
      <c r="AA1303">
        <v>33989672</v>
      </c>
      <c r="AB1303">
        <f t="shared" si="872"/>
        <v>7.22</v>
      </c>
      <c r="AC1303">
        <f>ROUND((ES1303),6)</f>
        <v>7.22</v>
      </c>
      <c r="AD1303">
        <f>ROUND((((ET1303)-(EU1303))+AE1303),6)</f>
        <v>0</v>
      </c>
      <c r="AE1303">
        <f t="shared" ref="AE1303:AF1305" si="893">ROUND((EU1303),6)</f>
        <v>0</v>
      </c>
      <c r="AF1303">
        <f t="shared" si="893"/>
        <v>0</v>
      </c>
      <c r="AG1303">
        <f t="shared" si="873"/>
        <v>0</v>
      </c>
      <c r="AH1303">
        <f t="shared" ref="AH1303:AI1305" si="894">(EW1303)</f>
        <v>0</v>
      </c>
      <c r="AI1303">
        <f t="shared" si="894"/>
        <v>0</v>
      </c>
      <c r="AJ1303">
        <f t="shared" si="874"/>
        <v>0</v>
      </c>
      <c r="AK1303">
        <v>7.22</v>
      </c>
      <c r="AL1303">
        <v>7.22</v>
      </c>
      <c r="AM1303">
        <v>0</v>
      </c>
      <c r="AN1303">
        <v>0</v>
      </c>
      <c r="AO1303">
        <v>0</v>
      </c>
      <c r="AP1303">
        <v>0</v>
      </c>
      <c r="AQ1303">
        <v>0</v>
      </c>
      <c r="AR1303">
        <v>0</v>
      </c>
      <c r="AS1303">
        <v>0</v>
      </c>
      <c r="AT1303">
        <v>0</v>
      </c>
      <c r="AU1303">
        <v>0</v>
      </c>
      <c r="AV1303">
        <v>1</v>
      </c>
      <c r="AW1303">
        <v>1</v>
      </c>
      <c r="AZ1303">
        <v>1</v>
      </c>
      <c r="BA1303">
        <v>1</v>
      </c>
      <c r="BB1303">
        <v>1</v>
      </c>
      <c r="BC1303">
        <v>2.4300000000000002</v>
      </c>
      <c r="BD1303" t="s">
        <v>3</v>
      </c>
      <c r="BE1303" t="s">
        <v>3</v>
      </c>
      <c r="BF1303" t="s">
        <v>3</v>
      </c>
      <c r="BG1303" t="s">
        <v>3</v>
      </c>
      <c r="BH1303">
        <v>3</v>
      </c>
      <c r="BI1303">
        <v>1</v>
      </c>
      <c r="BJ1303" t="s">
        <v>613</v>
      </c>
      <c r="BM1303">
        <v>1526</v>
      </c>
      <c r="BN1303">
        <v>0</v>
      </c>
      <c r="BO1303" t="s">
        <v>611</v>
      </c>
      <c r="BP1303">
        <v>1</v>
      </c>
      <c r="BQ1303">
        <v>30</v>
      </c>
      <c r="BR1303">
        <v>0</v>
      </c>
      <c r="BS1303">
        <v>1</v>
      </c>
      <c r="BT1303">
        <v>1</v>
      </c>
      <c r="BU1303">
        <v>1</v>
      </c>
      <c r="BV1303">
        <v>1</v>
      </c>
      <c r="BW1303">
        <v>1</v>
      </c>
      <c r="BX1303">
        <v>1</v>
      </c>
      <c r="BY1303" t="s">
        <v>3</v>
      </c>
      <c r="BZ1303">
        <v>0</v>
      </c>
      <c r="CA1303">
        <v>0</v>
      </c>
      <c r="CE1303">
        <v>30</v>
      </c>
      <c r="CF1303">
        <v>0</v>
      </c>
      <c r="CG1303">
        <v>0</v>
      </c>
      <c r="CM1303">
        <v>0</v>
      </c>
      <c r="CN1303" t="s">
        <v>3</v>
      </c>
      <c r="CO1303">
        <v>0</v>
      </c>
      <c r="CP1303">
        <f t="shared" si="875"/>
        <v>836387.92</v>
      </c>
      <c r="CQ1303">
        <f t="shared" si="876"/>
        <v>17.54</v>
      </c>
      <c r="CR1303">
        <f>(ROUND((ROUND(((ET1303)*AV1303*1),2)*BB1303),2)+ROUND((ROUND(((AE1303-(EU1303))*AV1303*1),2)*BS1303),2))</f>
        <v>0</v>
      </c>
      <c r="CS1303">
        <f t="shared" si="877"/>
        <v>0</v>
      </c>
      <c r="CT1303">
        <f t="shared" si="878"/>
        <v>0</v>
      </c>
      <c r="CU1303">
        <f t="shared" si="879"/>
        <v>0</v>
      </c>
      <c r="CV1303">
        <f t="shared" si="880"/>
        <v>0</v>
      </c>
      <c r="CW1303">
        <f t="shared" si="881"/>
        <v>0</v>
      </c>
      <c r="CX1303">
        <f t="shared" si="881"/>
        <v>0</v>
      </c>
      <c r="CY1303">
        <f t="shared" si="882"/>
        <v>0</v>
      </c>
      <c r="CZ1303">
        <f t="shared" si="883"/>
        <v>0</v>
      </c>
      <c r="DC1303" t="s">
        <v>3</v>
      </c>
      <c r="DD1303" t="s">
        <v>3</v>
      </c>
      <c r="DE1303" t="s">
        <v>3</v>
      </c>
      <c r="DF1303" t="s">
        <v>3</v>
      </c>
      <c r="DG1303" t="s">
        <v>3</v>
      </c>
      <c r="DH1303" t="s">
        <v>3</v>
      </c>
      <c r="DI1303" t="s">
        <v>3</v>
      </c>
      <c r="DJ1303" t="s">
        <v>3</v>
      </c>
      <c r="DK1303" t="s">
        <v>3</v>
      </c>
      <c r="DL1303" t="s">
        <v>3</v>
      </c>
      <c r="DM1303" t="s">
        <v>3</v>
      </c>
      <c r="DN1303">
        <v>187</v>
      </c>
      <c r="DO1303">
        <v>101</v>
      </c>
      <c r="DP1303">
        <v>1</v>
      </c>
      <c r="DQ1303">
        <v>1</v>
      </c>
      <c r="DU1303">
        <v>1009</v>
      </c>
      <c r="DV1303" t="s">
        <v>300</v>
      </c>
      <c r="DW1303" t="s">
        <v>300</v>
      </c>
      <c r="DX1303">
        <v>1</v>
      </c>
      <c r="EE1303">
        <v>33799165</v>
      </c>
      <c r="EF1303">
        <v>30</v>
      </c>
      <c r="EG1303" t="s">
        <v>77</v>
      </c>
      <c r="EH1303">
        <v>0</v>
      </c>
      <c r="EI1303" t="s">
        <v>3</v>
      </c>
      <c r="EJ1303">
        <v>1</v>
      </c>
      <c r="EK1303">
        <v>1526</v>
      </c>
      <c r="EL1303" t="s">
        <v>608</v>
      </c>
      <c r="EM1303" t="s">
        <v>609</v>
      </c>
      <c r="EO1303" t="s">
        <v>3</v>
      </c>
      <c r="EQ1303">
        <v>0</v>
      </c>
      <c r="ER1303">
        <v>7.22</v>
      </c>
      <c r="ES1303">
        <v>7.22</v>
      </c>
      <c r="ET1303">
        <v>0</v>
      </c>
      <c r="EU1303">
        <v>0</v>
      </c>
      <c r="EV1303">
        <v>0</v>
      </c>
      <c r="EW1303">
        <v>0</v>
      </c>
      <c r="EX1303">
        <v>0</v>
      </c>
      <c r="FQ1303">
        <v>0</v>
      </c>
      <c r="FR1303">
        <f t="shared" si="884"/>
        <v>0</v>
      </c>
      <c r="FS1303">
        <v>0</v>
      </c>
      <c r="FX1303">
        <v>187</v>
      </c>
      <c r="FY1303">
        <v>101</v>
      </c>
      <c r="GA1303" t="s">
        <v>3</v>
      </c>
      <c r="GD1303">
        <v>0</v>
      </c>
      <c r="GF1303">
        <v>2090190104</v>
      </c>
      <c r="GG1303">
        <v>2</v>
      </c>
      <c r="GH1303">
        <v>1</v>
      </c>
      <c r="GI1303">
        <v>2</v>
      </c>
      <c r="GJ1303">
        <v>0</v>
      </c>
      <c r="GK1303">
        <f>ROUND(R1303*(R12)/100,2)</f>
        <v>0</v>
      </c>
      <c r="GL1303">
        <f t="shared" si="885"/>
        <v>0</v>
      </c>
      <c r="GM1303">
        <f t="shared" si="886"/>
        <v>836387.92</v>
      </c>
      <c r="GN1303">
        <f t="shared" si="887"/>
        <v>836387.92</v>
      </c>
      <c r="GO1303">
        <f t="shared" si="888"/>
        <v>0</v>
      </c>
      <c r="GP1303">
        <f t="shared" si="889"/>
        <v>0</v>
      </c>
      <c r="GR1303">
        <v>0</v>
      </c>
      <c r="GS1303">
        <v>3</v>
      </c>
      <c r="GT1303">
        <v>0</v>
      </c>
      <c r="GU1303" t="s">
        <v>3</v>
      </c>
      <c r="GV1303">
        <f t="shared" si="890"/>
        <v>0</v>
      </c>
      <c r="GW1303">
        <v>1</v>
      </c>
      <c r="GX1303">
        <f t="shared" si="891"/>
        <v>0</v>
      </c>
      <c r="HA1303">
        <v>0</v>
      </c>
      <c r="HB1303">
        <v>0</v>
      </c>
      <c r="HC1303">
        <f t="shared" si="892"/>
        <v>0</v>
      </c>
      <c r="IK1303">
        <v>0</v>
      </c>
    </row>
    <row r="1304" spans="1:245" x14ac:dyDescent="0.2">
      <c r="A1304">
        <v>17</v>
      </c>
      <c r="B1304">
        <v>1</v>
      </c>
      <c r="C1304">
        <f>ROW(SmtRes!A396)</f>
        <v>396</v>
      </c>
      <c r="D1304">
        <f>ROW(EtalonRes!A399)</f>
        <v>399</v>
      </c>
      <c r="E1304" t="s">
        <v>620</v>
      </c>
      <c r="F1304" t="s">
        <v>605</v>
      </c>
      <c r="G1304" t="s">
        <v>606</v>
      </c>
      <c r="H1304" t="s">
        <v>18</v>
      </c>
      <c r="I1304">
        <f>ROUND(3243/100,5)</f>
        <v>32.43</v>
      </c>
      <c r="J1304">
        <v>0</v>
      </c>
      <c r="O1304">
        <f t="shared" si="863"/>
        <v>1737024.76</v>
      </c>
      <c r="P1304">
        <f t="shared" si="864"/>
        <v>1515057.24</v>
      </c>
      <c r="Q1304">
        <f>(ROUND((ROUND(((ET1304)*AV1304*I1304),2)*BB1304),2)+ROUND((ROUND(((AE1304-(EU1304))*AV1304*I1304),2)*BS1304),2))</f>
        <v>72093.88</v>
      </c>
      <c r="R1304">
        <f t="shared" si="865"/>
        <v>55423.08</v>
      </c>
      <c r="S1304">
        <f t="shared" si="866"/>
        <v>149873.64000000001</v>
      </c>
      <c r="T1304">
        <f t="shared" si="867"/>
        <v>0</v>
      </c>
      <c r="U1304">
        <f t="shared" si="868"/>
        <v>519.85289999999998</v>
      </c>
      <c r="V1304">
        <f t="shared" si="869"/>
        <v>0</v>
      </c>
      <c r="W1304">
        <f t="shared" si="870"/>
        <v>0</v>
      </c>
      <c r="X1304">
        <f t="shared" si="871"/>
        <v>152871.10999999999</v>
      </c>
      <c r="Y1304">
        <f t="shared" si="871"/>
        <v>70440.61</v>
      </c>
      <c r="AA1304">
        <v>33989672</v>
      </c>
      <c r="AB1304">
        <f t="shared" si="872"/>
        <v>17113.71</v>
      </c>
      <c r="AC1304">
        <f>ROUND((ES1304),6)</f>
        <v>16744.72</v>
      </c>
      <c r="AD1304">
        <f>ROUND((((ET1304)-(EU1304))+AE1304),6)</f>
        <v>180.59</v>
      </c>
      <c r="AE1304">
        <f t="shared" si="893"/>
        <v>69.67</v>
      </c>
      <c r="AF1304">
        <f t="shared" si="893"/>
        <v>188.4</v>
      </c>
      <c r="AG1304">
        <f t="shared" si="873"/>
        <v>0</v>
      </c>
      <c r="AH1304">
        <f t="shared" si="894"/>
        <v>16.03</v>
      </c>
      <c r="AI1304">
        <f t="shared" si="894"/>
        <v>0</v>
      </c>
      <c r="AJ1304">
        <f t="shared" si="874"/>
        <v>0</v>
      </c>
      <c r="AK1304">
        <v>17113.71</v>
      </c>
      <c r="AL1304">
        <v>16744.72</v>
      </c>
      <c r="AM1304">
        <v>180.59</v>
      </c>
      <c r="AN1304">
        <v>69.67</v>
      </c>
      <c r="AO1304">
        <v>188.4</v>
      </c>
      <c r="AP1304">
        <v>0</v>
      </c>
      <c r="AQ1304">
        <v>16.03</v>
      </c>
      <c r="AR1304">
        <v>0</v>
      </c>
      <c r="AS1304">
        <v>0</v>
      </c>
      <c r="AT1304">
        <v>102</v>
      </c>
      <c r="AU1304">
        <v>47</v>
      </c>
      <c r="AV1304">
        <v>1</v>
      </c>
      <c r="AW1304">
        <v>1</v>
      </c>
      <c r="AZ1304">
        <v>1</v>
      </c>
      <c r="BA1304">
        <v>24.53</v>
      </c>
      <c r="BB1304">
        <v>12.31</v>
      </c>
      <c r="BC1304">
        <v>2.79</v>
      </c>
      <c r="BD1304" t="s">
        <v>3</v>
      </c>
      <c r="BE1304" t="s">
        <v>3</v>
      </c>
      <c r="BF1304" t="s">
        <v>3</v>
      </c>
      <c r="BG1304" t="s">
        <v>3</v>
      </c>
      <c r="BH1304">
        <v>0</v>
      </c>
      <c r="BI1304">
        <v>1</v>
      </c>
      <c r="BJ1304" t="s">
        <v>607</v>
      </c>
      <c r="BM1304">
        <v>1526</v>
      </c>
      <c r="BN1304">
        <v>0</v>
      </c>
      <c r="BO1304" t="s">
        <v>605</v>
      </c>
      <c r="BP1304">
        <v>1</v>
      </c>
      <c r="BQ1304">
        <v>30</v>
      </c>
      <c r="BR1304">
        <v>0</v>
      </c>
      <c r="BS1304">
        <v>24.53</v>
      </c>
      <c r="BT1304">
        <v>1</v>
      </c>
      <c r="BU1304">
        <v>1</v>
      </c>
      <c r="BV1304">
        <v>1</v>
      </c>
      <c r="BW1304">
        <v>1</v>
      </c>
      <c r="BX1304">
        <v>1</v>
      </c>
      <c r="BY1304" t="s">
        <v>3</v>
      </c>
      <c r="BZ1304">
        <v>102</v>
      </c>
      <c r="CA1304">
        <v>47</v>
      </c>
      <c r="CE1304">
        <v>30</v>
      </c>
      <c r="CF1304">
        <v>0</v>
      </c>
      <c r="CG1304">
        <v>0</v>
      </c>
      <c r="CM1304">
        <v>0</v>
      </c>
      <c r="CN1304" t="s">
        <v>3</v>
      </c>
      <c r="CO1304">
        <v>0</v>
      </c>
      <c r="CP1304">
        <f t="shared" si="875"/>
        <v>1737024.7600000002</v>
      </c>
      <c r="CQ1304">
        <f t="shared" si="876"/>
        <v>46717.77</v>
      </c>
      <c r="CR1304">
        <f>(ROUND((ROUND(((ET1304)*AV1304*1),2)*BB1304),2)+ROUND((ROUND(((AE1304-(EU1304))*AV1304*1),2)*BS1304),2))</f>
        <v>2223.06</v>
      </c>
      <c r="CS1304">
        <f t="shared" si="877"/>
        <v>1709.01</v>
      </c>
      <c r="CT1304">
        <f t="shared" si="878"/>
        <v>4621.45</v>
      </c>
      <c r="CU1304">
        <f t="shared" si="879"/>
        <v>0</v>
      </c>
      <c r="CV1304">
        <f t="shared" si="880"/>
        <v>16.03</v>
      </c>
      <c r="CW1304">
        <f t="shared" si="881"/>
        <v>0</v>
      </c>
      <c r="CX1304">
        <f t="shared" si="881"/>
        <v>0</v>
      </c>
      <c r="CY1304">
        <f t="shared" si="882"/>
        <v>152871.1128</v>
      </c>
      <c r="CZ1304">
        <f t="shared" si="883"/>
        <v>70440.610800000009</v>
      </c>
      <c r="DC1304" t="s">
        <v>3</v>
      </c>
      <c r="DD1304" t="s">
        <v>3</v>
      </c>
      <c r="DE1304" t="s">
        <v>3</v>
      </c>
      <c r="DF1304" t="s">
        <v>3</v>
      </c>
      <c r="DG1304" t="s">
        <v>3</v>
      </c>
      <c r="DH1304" t="s">
        <v>3</v>
      </c>
      <c r="DI1304" t="s">
        <v>3</v>
      </c>
      <c r="DJ1304" t="s">
        <v>3</v>
      </c>
      <c r="DK1304" t="s">
        <v>3</v>
      </c>
      <c r="DL1304" t="s">
        <v>3</v>
      </c>
      <c r="DM1304" t="s">
        <v>3</v>
      </c>
      <c r="DN1304">
        <v>187</v>
      </c>
      <c r="DO1304">
        <v>101</v>
      </c>
      <c r="DP1304">
        <v>1</v>
      </c>
      <c r="DQ1304">
        <v>1</v>
      </c>
      <c r="DU1304">
        <v>1005</v>
      </c>
      <c r="DV1304" t="s">
        <v>18</v>
      </c>
      <c r="DW1304" t="s">
        <v>18</v>
      </c>
      <c r="DX1304">
        <v>100</v>
      </c>
      <c r="EE1304">
        <v>33799165</v>
      </c>
      <c r="EF1304">
        <v>30</v>
      </c>
      <c r="EG1304" t="s">
        <v>77</v>
      </c>
      <c r="EH1304">
        <v>0</v>
      </c>
      <c r="EI1304" t="s">
        <v>3</v>
      </c>
      <c r="EJ1304">
        <v>1</v>
      </c>
      <c r="EK1304">
        <v>1526</v>
      </c>
      <c r="EL1304" t="s">
        <v>608</v>
      </c>
      <c r="EM1304" t="s">
        <v>609</v>
      </c>
      <c r="EO1304" t="s">
        <v>3</v>
      </c>
      <c r="EQ1304">
        <v>131072</v>
      </c>
      <c r="ER1304">
        <v>17113.71</v>
      </c>
      <c r="ES1304">
        <v>16744.72</v>
      </c>
      <c r="ET1304">
        <v>180.59</v>
      </c>
      <c r="EU1304">
        <v>69.67</v>
      </c>
      <c r="EV1304">
        <v>188.4</v>
      </c>
      <c r="EW1304">
        <v>16.03</v>
      </c>
      <c r="EX1304">
        <v>0</v>
      </c>
      <c r="EY1304">
        <v>0</v>
      </c>
      <c r="FQ1304">
        <v>0</v>
      </c>
      <c r="FR1304">
        <f t="shared" si="884"/>
        <v>0</v>
      </c>
      <c r="FS1304">
        <v>0</v>
      </c>
      <c r="FX1304">
        <v>187</v>
      </c>
      <c r="FY1304">
        <v>101</v>
      </c>
      <c r="GA1304" t="s">
        <v>3</v>
      </c>
      <c r="GD1304">
        <v>0</v>
      </c>
      <c r="GF1304">
        <v>-1665034286</v>
      </c>
      <c r="GG1304">
        <v>2</v>
      </c>
      <c r="GH1304">
        <v>1</v>
      </c>
      <c r="GI1304">
        <v>2</v>
      </c>
      <c r="GJ1304">
        <v>0</v>
      </c>
      <c r="GK1304">
        <f>ROUND(R1304*(R12)/100,2)</f>
        <v>87014.24</v>
      </c>
      <c r="GL1304">
        <f t="shared" si="885"/>
        <v>0</v>
      </c>
      <c r="GM1304">
        <f t="shared" si="886"/>
        <v>2047350.72</v>
      </c>
      <c r="GN1304">
        <f t="shared" si="887"/>
        <v>2047350.72</v>
      </c>
      <c r="GO1304">
        <f t="shared" si="888"/>
        <v>0</v>
      </c>
      <c r="GP1304">
        <f t="shared" si="889"/>
        <v>0</v>
      </c>
      <c r="GR1304">
        <v>0</v>
      </c>
      <c r="GS1304">
        <v>3</v>
      </c>
      <c r="GT1304">
        <v>0</v>
      </c>
      <c r="GU1304" t="s">
        <v>3</v>
      </c>
      <c r="GV1304">
        <f t="shared" si="890"/>
        <v>0</v>
      </c>
      <c r="GW1304">
        <v>1</v>
      </c>
      <c r="GX1304">
        <f t="shared" si="891"/>
        <v>0</v>
      </c>
      <c r="HA1304">
        <v>0</v>
      </c>
      <c r="HB1304">
        <v>0</v>
      </c>
      <c r="HC1304">
        <f t="shared" si="892"/>
        <v>0</v>
      </c>
      <c r="IK1304">
        <v>0</v>
      </c>
    </row>
    <row r="1305" spans="1:245" x14ac:dyDescent="0.2">
      <c r="A1305">
        <v>18</v>
      </c>
      <c r="B1305">
        <v>1</v>
      </c>
      <c r="C1305">
        <v>394</v>
      </c>
      <c r="E1305" t="s">
        <v>621</v>
      </c>
      <c r="F1305" t="s">
        <v>622</v>
      </c>
      <c r="G1305" t="s">
        <v>623</v>
      </c>
      <c r="H1305" t="s">
        <v>300</v>
      </c>
      <c r="I1305">
        <f>I1304*J1305</f>
        <v>23836.05</v>
      </c>
      <c r="J1305">
        <v>735</v>
      </c>
      <c r="O1305">
        <f t="shared" si="863"/>
        <v>2039326.63</v>
      </c>
      <c r="P1305">
        <f t="shared" si="864"/>
        <v>2039326.63</v>
      </c>
      <c r="Q1305">
        <f>(ROUND((ROUND(((ET1305)*AV1305*I1305),2)*BB1305),2)+ROUND((ROUND(((AE1305-(EU1305))*AV1305*I1305),2)*BS1305),2))</f>
        <v>0</v>
      </c>
      <c r="R1305">
        <f t="shared" si="865"/>
        <v>0</v>
      </c>
      <c r="S1305">
        <f t="shared" si="866"/>
        <v>0</v>
      </c>
      <c r="T1305">
        <f t="shared" si="867"/>
        <v>0</v>
      </c>
      <c r="U1305">
        <f t="shared" si="868"/>
        <v>0</v>
      </c>
      <c r="V1305">
        <f t="shared" si="869"/>
        <v>0</v>
      </c>
      <c r="W1305">
        <f t="shared" si="870"/>
        <v>0</v>
      </c>
      <c r="X1305">
        <f t="shared" si="871"/>
        <v>0</v>
      </c>
      <c r="Y1305">
        <f t="shared" si="871"/>
        <v>0</v>
      </c>
      <c r="AA1305">
        <v>33989672</v>
      </c>
      <c r="AB1305">
        <f t="shared" si="872"/>
        <v>17.18</v>
      </c>
      <c r="AC1305">
        <f>ROUND((ES1305),6)</f>
        <v>17.18</v>
      </c>
      <c r="AD1305">
        <f>ROUND((((ET1305)-(EU1305))+AE1305),6)</f>
        <v>0</v>
      </c>
      <c r="AE1305">
        <f t="shared" si="893"/>
        <v>0</v>
      </c>
      <c r="AF1305">
        <f t="shared" si="893"/>
        <v>0</v>
      </c>
      <c r="AG1305">
        <f t="shared" si="873"/>
        <v>0</v>
      </c>
      <c r="AH1305">
        <f t="shared" si="894"/>
        <v>0</v>
      </c>
      <c r="AI1305">
        <f t="shared" si="894"/>
        <v>0</v>
      </c>
      <c r="AJ1305">
        <f t="shared" si="874"/>
        <v>0</v>
      </c>
      <c r="AK1305">
        <v>17.18</v>
      </c>
      <c r="AL1305">
        <v>17.18</v>
      </c>
      <c r="AM1305">
        <v>0</v>
      </c>
      <c r="AN1305">
        <v>0</v>
      </c>
      <c r="AO1305">
        <v>0</v>
      </c>
      <c r="AP1305">
        <v>0</v>
      </c>
      <c r="AQ1305">
        <v>0</v>
      </c>
      <c r="AR1305">
        <v>0</v>
      </c>
      <c r="AS1305">
        <v>0</v>
      </c>
      <c r="AT1305">
        <v>0</v>
      </c>
      <c r="AU1305">
        <v>0</v>
      </c>
      <c r="AV1305">
        <v>1</v>
      </c>
      <c r="AW1305">
        <v>1</v>
      </c>
      <c r="AZ1305">
        <v>1</v>
      </c>
      <c r="BA1305">
        <v>1</v>
      </c>
      <c r="BB1305">
        <v>1</v>
      </c>
      <c r="BC1305">
        <v>4.9800000000000004</v>
      </c>
      <c r="BD1305" t="s">
        <v>3</v>
      </c>
      <c r="BE1305" t="s">
        <v>3</v>
      </c>
      <c r="BF1305" t="s">
        <v>3</v>
      </c>
      <c r="BG1305" t="s">
        <v>3</v>
      </c>
      <c r="BH1305">
        <v>3</v>
      </c>
      <c r="BI1305">
        <v>1</v>
      </c>
      <c r="BJ1305" t="s">
        <v>624</v>
      </c>
      <c r="BM1305">
        <v>1526</v>
      </c>
      <c r="BN1305">
        <v>0</v>
      </c>
      <c r="BO1305" t="s">
        <v>622</v>
      </c>
      <c r="BP1305">
        <v>1</v>
      </c>
      <c r="BQ1305">
        <v>30</v>
      </c>
      <c r="BR1305">
        <v>0</v>
      </c>
      <c r="BS1305">
        <v>1</v>
      </c>
      <c r="BT1305">
        <v>1</v>
      </c>
      <c r="BU1305">
        <v>1</v>
      </c>
      <c r="BV1305">
        <v>1</v>
      </c>
      <c r="BW1305">
        <v>1</v>
      </c>
      <c r="BX1305">
        <v>1</v>
      </c>
      <c r="BY1305" t="s">
        <v>3</v>
      </c>
      <c r="BZ1305">
        <v>0</v>
      </c>
      <c r="CA1305">
        <v>0</v>
      </c>
      <c r="CE1305">
        <v>30</v>
      </c>
      <c r="CF1305">
        <v>0</v>
      </c>
      <c r="CG1305">
        <v>0</v>
      </c>
      <c r="CM1305">
        <v>0</v>
      </c>
      <c r="CN1305" t="s">
        <v>3</v>
      </c>
      <c r="CO1305">
        <v>0</v>
      </c>
      <c r="CP1305">
        <f t="shared" si="875"/>
        <v>2039326.63</v>
      </c>
      <c r="CQ1305">
        <f t="shared" si="876"/>
        <v>85.56</v>
      </c>
      <c r="CR1305">
        <f>(ROUND((ROUND(((ET1305)*AV1305*1),2)*BB1305),2)+ROUND((ROUND(((AE1305-(EU1305))*AV1305*1),2)*BS1305),2))</f>
        <v>0</v>
      </c>
      <c r="CS1305">
        <f t="shared" si="877"/>
        <v>0</v>
      </c>
      <c r="CT1305">
        <f t="shared" si="878"/>
        <v>0</v>
      </c>
      <c r="CU1305">
        <f t="shared" si="879"/>
        <v>0</v>
      </c>
      <c r="CV1305">
        <f t="shared" si="880"/>
        <v>0</v>
      </c>
      <c r="CW1305">
        <f t="shared" si="881"/>
        <v>0</v>
      </c>
      <c r="CX1305">
        <f t="shared" si="881"/>
        <v>0</v>
      </c>
      <c r="CY1305">
        <f t="shared" si="882"/>
        <v>0</v>
      </c>
      <c r="CZ1305">
        <f t="shared" si="883"/>
        <v>0</v>
      </c>
      <c r="DC1305" t="s">
        <v>3</v>
      </c>
      <c r="DD1305" t="s">
        <v>3</v>
      </c>
      <c r="DE1305" t="s">
        <v>3</v>
      </c>
      <c r="DF1305" t="s">
        <v>3</v>
      </c>
      <c r="DG1305" t="s">
        <v>3</v>
      </c>
      <c r="DH1305" t="s">
        <v>3</v>
      </c>
      <c r="DI1305" t="s">
        <v>3</v>
      </c>
      <c r="DJ1305" t="s">
        <v>3</v>
      </c>
      <c r="DK1305" t="s">
        <v>3</v>
      </c>
      <c r="DL1305" t="s">
        <v>3</v>
      </c>
      <c r="DM1305" t="s">
        <v>3</v>
      </c>
      <c r="DN1305">
        <v>187</v>
      </c>
      <c r="DO1305">
        <v>101</v>
      </c>
      <c r="DP1305">
        <v>1</v>
      </c>
      <c r="DQ1305">
        <v>1</v>
      </c>
      <c r="DU1305">
        <v>1009</v>
      </c>
      <c r="DV1305" t="s">
        <v>300</v>
      </c>
      <c r="DW1305" t="s">
        <v>300</v>
      </c>
      <c r="DX1305">
        <v>1</v>
      </c>
      <c r="EE1305">
        <v>33799165</v>
      </c>
      <c r="EF1305">
        <v>30</v>
      </c>
      <c r="EG1305" t="s">
        <v>77</v>
      </c>
      <c r="EH1305">
        <v>0</v>
      </c>
      <c r="EI1305" t="s">
        <v>3</v>
      </c>
      <c r="EJ1305">
        <v>1</v>
      </c>
      <c r="EK1305">
        <v>1526</v>
      </c>
      <c r="EL1305" t="s">
        <v>608</v>
      </c>
      <c r="EM1305" t="s">
        <v>609</v>
      </c>
      <c r="EO1305" t="s">
        <v>3</v>
      </c>
      <c r="EQ1305">
        <v>0</v>
      </c>
      <c r="ER1305">
        <v>17.18</v>
      </c>
      <c r="ES1305">
        <v>17.18</v>
      </c>
      <c r="ET1305">
        <v>0</v>
      </c>
      <c r="EU1305">
        <v>0</v>
      </c>
      <c r="EV1305">
        <v>0</v>
      </c>
      <c r="EW1305">
        <v>0</v>
      </c>
      <c r="EX1305">
        <v>0</v>
      </c>
      <c r="FQ1305">
        <v>0</v>
      </c>
      <c r="FR1305">
        <f t="shared" si="884"/>
        <v>0</v>
      </c>
      <c r="FS1305">
        <v>0</v>
      </c>
      <c r="FX1305">
        <v>187</v>
      </c>
      <c r="FY1305">
        <v>101</v>
      </c>
      <c r="GA1305" t="s">
        <v>3</v>
      </c>
      <c r="GD1305">
        <v>0</v>
      </c>
      <c r="GF1305">
        <v>-1987235172</v>
      </c>
      <c r="GG1305">
        <v>2</v>
      </c>
      <c r="GH1305">
        <v>1</v>
      </c>
      <c r="GI1305">
        <v>2</v>
      </c>
      <c r="GJ1305">
        <v>0</v>
      </c>
      <c r="GK1305">
        <f>ROUND(R1305*(R12)/100,2)</f>
        <v>0</v>
      </c>
      <c r="GL1305">
        <f t="shared" si="885"/>
        <v>0</v>
      </c>
      <c r="GM1305">
        <f t="shared" si="886"/>
        <v>2039326.63</v>
      </c>
      <c r="GN1305">
        <f t="shared" si="887"/>
        <v>2039326.63</v>
      </c>
      <c r="GO1305">
        <f t="shared" si="888"/>
        <v>0</v>
      </c>
      <c r="GP1305">
        <f t="shared" si="889"/>
        <v>0</v>
      </c>
      <c r="GR1305">
        <v>0</v>
      </c>
      <c r="GS1305">
        <v>3</v>
      </c>
      <c r="GT1305">
        <v>0</v>
      </c>
      <c r="GU1305" t="s">
        <v>3</v>
      </c>
      <c r="GV1305">
        <f t="shared" si="890"/>
        <v>0</v>
      </c>
      <c r="GW1305">
        <v>1</v>
      </c>
      <c r="GX1305">
        <f t="shared" si="891"/>
        <v>0</v>
      </c>
      <c r="HA1305">
        <v>0</v>
      </c>
      <c r="HB1305">
        <v>0</v>
      </c>
      <c r="HC1305">
        <f t="shared" si="892"/>
        <v>0</v>
      </c>
      <c r="IK1305">
        <v>0</v>
      </c>
    </row>
    <row r="1307" spans="1:245" x14ac:dyDescent="0.2">
      <c r="A1307" s="2">
        <v>51</v>
      </c>
      <c r="B1307" s="2">
        <f>B1296</f>
        <v>1</v>
      </c>
      <c r="C1307" s="2">
        <f>A1296</f>
        <v>4</v>
      </c>
      <c r="D1307" s="2">
        <f>ROW(A1296)</f>
        <v>1296</v>
      </c>
      <c r="E1307" s="2"/>
      <c r="F1307" s="2" t="str">
        <f>IF(F1296&lt;&gt;"",F1296,"")</f>
        <v>Новый раздел</v>
      </c>
      <c r="G1307" s="2" t="str">
        <f>IF(G1296&lt;&gt;"",G1296,"")</f>
        <v>47. Устройство покрытия на детской площадке для детей от 5 лет 4 см (3 см - резина, 1 см - EPDM)</v>
      </c>
      <c r="H1307" s="2">
        <v>0</v>
      </c>
      <c r="I1307" s="2"/>
      <c r="J1307" s="2"/>
      <c r="K1307" s="2"/>
      <c r="L1307" s="2"/>
      <c r="M1307" s="2"/>
      <c r="N1307" s="2"/>
      <c r="O1307" s="2">
        <f t="shared" ref="O1307:T1307" si="895">ROUND(AB1307,2)</f>
        <v>9692788.5299999993</v>
      </c>
      <c r="P1307" s="2">
        <f t="shared" si="895"/>
        <v>8894349.8300000001</v>
      </c>
      <c r="Q1307" s="2">
        <f t="shared" si="895"/>
        <v>278892.56</v>
      </c>
      <c r="R1307" s="2">
        <f t="shared" si="895"/>
        <v>215694</v>
      </c>
      <c r="S1307" s="2">
        <f t="shared" si="895"/>
        <v>519546.14</v>
      </c>
      <c r="T1307" s="2">
        <f t="shared" si="895"/>
        <v>0</v>
      </c>
      <c r="U1307" s="2">
        <f>AH1307</f>
        <v>1788.8388</v>
      </c>
      <c r="V1307" s="2">
        <f>AI1307</f>
        <v>0</v>
      </c>
      <c r="W1307" s="2">
        <f>ROUND(AJ1307,2)</f>
        <v>0</v>
      </c>
      <c r="X1307" s="2">
        <f>ROUND(AK1307,2)</f>
        <v>529937.06000000006</v>
      </c>
      <c r="Y1307" s="2">
        <f>ROUND(AL1307,2)</f>
        <v>244186.68</v>
      </c>
      <c r="Z1307" s="2"/>
      <c r="AA1307" s="2"/>
      <c r="AB1307" s="2">
        <f>ROUND(SUMIF(AA1300:AA1305,"=33989672",O1300:O1305),2)</f>
        <v>9692788.5299999993</v>
      </c>
      <c r="AC1307" s="2">
        <f>ROUND(SUMIF(AA1300:AA1305,"=33989672",P1300:P1305),2)</f>
        <v>8894349.8300000001</v>
      </c>
      <c r="AD1307" s="2">
        <f>ROUND(SUMIF(AA1300:AA1305,"=33989672",Q1300:Q1305),2)</f>
        <v>278892.56</v>
      </c>
      <c r="AE1307" s="2">
        <f>ROUND(SUMIF(AA1300:AA1305,"=33989672",R1300:R1305),2)</f>
        <v>215694</v>
      </c>
      <c r="AF1307" s="2">
        <f>ROUND(SUMIF(AA1300:AA1305,"=33989672",S1300:S1305),2)</f>
        <v>519546.14</v>
      </c>
      <c r="AG1307" s="2">
        <f>ROUND(SUMIF(AA1300:AA1305,"=33989672",T1300:T1305),2)</f>
        <v>0</v>
      </c>
      <c r="AH1307" s="2">
        <f>SUMIF(AA1300:AA1305,"=33989672",U1300:U1305)</f>
        <v>1788.8388</v>
      </c>
      <c r="AI1307" s="2">
        <f>SUMIF(AA1300:AA1305,"=33989672",V1300:V1305)</f>
        <v>0</v>
      </c>
      <c r="AJ1307" s="2">
        <f>ROUND(SUMIF(AA1300:AA1305,"=33989672",W1300:W1305),2)</f>
        <v>0</v>
      </c>
      <c r="AK1307" s="2">
        <f>ROUND(SUMIF(AA1300:AA1305,"=33989672",X1300:X1305),2)</f>
        <v>529937.06000000006</v>
      </c>
      <c r="AL1307" s="2">
        <f>ROUND(SUMIF(AA1300:AA1305,"=33989672",Y1300:Y1305),2)</f>
        <v>244186.68</v>
      </c>
      <c r="AM1307" s="2"/>
      <c r="AN1307" s="2"/>
      <c r="AO1307" s="2">
        <f t="shared" ref="AO1307:BD1307" si="896">ROUND(BX1307,2)</f>
        <v>0</v>
      </c>
      <c r="AP1307" s="2">
        <f t="shared" si="896"/>
        <v>0</v>
      </c>
      <c r="AQ1307" s="2">
        <f t="shared" si="896"/>
        <v>0</v>
      </c>
      <c r="AR1307" s="2">
        <f t="shared" si="896"/>
        <v>10805551.859999999</v>
      </c>
      <c r="AS1307" s="2">
        <f t="shared" si="896"/>
        <v>10805551.859999999</v>
      </c>
      <c r="AT1307" s="2">
        <f t="shared" si="896"/>
        <v>0</v>
      </c>
      <c r="AU1307" s="2">
        <f t="shared" si="896"/>
        <v>0</v>
      </c>
      <c r="AV1307" s="2">
        <f t="shared" si="896"/>
        <v>8894349.8300000001</v>
      </c>
      <c r="AW1307" s="2">
        <f t="shared" si="896"/>
        <v>8894349.8300000001</v>
      </c>
      <c r="AX1307" s="2">
        <f t="shared" si="896"/>
        <v>0</v>
      </c>
      <c r="AY1307" s="2">
        <f t="shared" si="896"/>
        <v>8894349.8300000001</v>
      </c>
      <c r="AZ1307" s="2">
        <f t="shared" si="896"/>
        <v>0</v>
      </c>
      <c r="BA1307" s="2">
        <f t="shared" si="896"/>
        <v>0</v>
      </c>
      <c r="BB1307" s="2">
        <f t="shared" si="896"/>
        <v>0</v>
      </c>
      <c r="BC1307" s="2">
        <f t="shared" si="896"/>
        <v>0</v>
      </c>
      <c r="BD1307" s="2">
        <f t="shared" si="896"/>
        <v>0</v>
      </c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>
        <f>ROUND(SUMIF(AA1300:AA1305,"=33989672",FQ1300:FQ1305),2)</f>
        <v>0</v>
      </c>
      <c r="BY1307" s="2">
        <f>ROUND(SUMIF(AA1300:AA1305,"=33989672",FR1300:FR1305),2)</f>
        <v>0</v>
      </c>
      <c r="BZ1307" s="2">
        <f>ROUND(SUMIF(AA1300:AA1305,"=33989672",GL1300:GL1305),2)</f>
        <v>0</v>
      </c>
      <c r="CA1307" s="2">
        <f>ROUND(SUMIF(AA1300:AA1305,"=33989672",GM1300:GM1305),2)</f>
        <v>10805551.859999999</v>
      </c>
      <c r="CB1307" s="2">
        <f>ROUND(SUMIF(AA1300:AA1305,"=33989672",GN1300:GN1305),2)</f>
        <v>10805551.859999999</v>
      </c>
      <c r="CC1307" s="2">
        <f>ROUND(SUMIF(AA1300:AA1305,"=33989672",GO1300:GO1305),2)</f>
        <v>0</v>
      </c>
      <c r="CD1307" s="2">
        <f>ROUND(SUMIF(AA1300:AA1305,"=33989672",GP1300:GP1305),2)</f>
        <v>0</v>
      </c>
      <c r="CE1307" s="2">
        <f>AC1307-BX1307</f>
        <v>8894349.8300000001</v>
      </c>
      <c r="CF1307" s="2">
        <f>AC1307-BY1307</f>
        <v>8894349.8300000001</v>
      </c>
      <c r="CG1307" s="2">
        <f>BX1307-BZ1307</f>
        <v>0</v>
      </c>
      <c r="CH1307" s="2">
        <f>AC1307-BX1307-BY1307+BZ1307</f>
        <v>8894349.8300000001</v>
      </c>
      <c r="CI1307" s="2">
        <f>BY1307-BZ1307</f>
        <v>0</v>
      </c>
      <c r="CJ1307" s="2">
        <f>ROUND(SUMIF(AA1300:AA1305,"=33989672",GX1300:GX1305),2)</f>
        <v>0</v>
      </c>
      <c r="CK1307" s="2">
        <f>ROUND(SUMIF(AA1300:AA1305,"=33989672",GY1300:GY1305),2)</f>
        <v>0</v>
      </c>
      <c r="CL1307" s="2">
        <f>ROUND(SUMIF(AA1300:AA1305,"=33989672",GZ1300:GZ1305),2)</f>
        <v>0</v>
      </c>
      <c r="CM1307" s="2">
        <f>ROUND(SUMIF(AA1300:AA1305,"=33989672",HD1300:HD1305),2)</f>
        <v>0</v>
      </c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3"/>
      <c r="DH1307" s="3"/>
      <c r="DI1307" s="3"/>
      <c r="DJ1307" s="3"/>
      <c r="DK1307" s="3"/>
      <c r="DL1307" s="3"/>
      <c r="DM1307" s="3"/>
      <c r="DN1307" s="3"/>
      <c r="DO1307" s="3"/>
      <c r="DP1307" s="3"/>
      <c r="DQ1307" s="3"/>
      <c r="DR1307" s="3"/>
      <c r="DS1307" s="3"/>
      <c r="DT1307" s="3"/>
      <c r="DU1307" s="3"/>
      <c r="DV1307" s="3"/>
      <c r="DW1307" s="3"/>
      <c r="DX1307" s="3"/>
      <c r="DY1307" s="3"/>
      <c r="DZ1307" s="3"/>
      <c r="EA1307" s="3"/>
      <c r="EB1307" s="3"/>
      <c r="EC1307" s="3"/>
      <c r="ED1307" s="3"/>
      <c r="EE1307" s="3"/>
      <c r="EF1307" s="3"/>
      <c r="EG1307" s="3"/>
      <c r="EH1307" s="3"/>
      <c r="EI1307" s="3"/>
      <c r="EJ1307" s="3"/>
      <c r="EK1307" s="3"/>
      <c r="EL1307" s="3"/>
      <c r="EM1307" s="3"/>
      <c r="EN1307" s="3"/>
      <c r="EO1307" s="3"/>
      <c r="EP1307" s="3"/>
      <c r="EQ1307" s="3"/>
      <c r="ER1307" s="3"/>
      <c r="ES1307" s="3"/>
      <c r="ET1307" s="3"/>
      <c r="EU1307" s="3"/>
      <c r="EV1307" s="3"/>
      <c r="EW1307" s="3"/>
      <c r="EX1307" s="3"/>
      <c r="EY1307" s="3"/>
      <c r="EZ1307" s="3"/>
      <c r="FA1307" s="3"/>
      <c r="FB1307" s="3"/>
      <c r="FC1307" s="3"/>
      <c r="FD1307" s="3"/>
      <c r="FE1307" s="3"/>
      <c r="FF1307" s="3"/>
      <c r="FG1307" s="3"/>
      <c r="FH1307" s="3"/>
      <c r="FI1307" s="3"/>
      <c r="FJ1307" s="3"/>
      <c r="FK1307" s="3"/>
      <c r="FL1307" s="3"/>
      <c r="FM1307" s="3"/>
      <c r="FN1307" s="3"/>
      <c r="FO1307" s="3"/>
      <c r="FP1307" s="3"/>
      <c r="FQ1307" s="3"/>
      <c r="FR1307" s="3"/>
      <c r="FS1307" s="3"/>
      <c r="FT1307" s="3"/>
      <c r="FU1307" s="3"/>
      <c r="FV1307" s="3"/>
      <c r="FW1307" s="3"/>
      <c r="FX1307" s="3"/>
      <c r="FY1307" s="3"/>
      <c r="FZ1307" s="3"/>
      <c r="GA1307" s="3"/>
      <c r="GB1307" s="3"/>
      <c r="GC1307" s="3"/>
      <c r="GD1307" s="3"/>
      <c r="GE1307" s="3"/>
      <c r="GF1307" s="3"/>
      <c r="GG1307" s="3"/>
      <c r="GH1307" s="3"/>
      <c r="GI1307" s="3"/>
      <c r="GJ1307" s="3"/>
      <c r="GK1307" s="3"/>
      <c r="GL1307" s="3"/>
      <c r="GM1307" s="3"/>
      <c r="GN1307" s="3"/>
      <c r="GO1307" s="3"/>
      <c r="GP1307" s="3"/>
      <c r="GQ1307" s="3"/>
      <c r="GR1307" s="3"/>
      <c r="GS1307" s="3"/>
      <c r="GT1307" s="3"/>
      <c r="GU1307" s="3"/>
      <c r="GV1307" s="3"/>
      <c r="GW1307" s="3"/>
      <c r="GX1307" s="3">
        <v>0</v>
      </c>
    </row>
    <row r="1309" spans="1:245" x14ac:dyDescent="0.2">
      <c r="A1309" s="4">
        <v>50</v>
      </c>
      <c r="B1309" s="4">
        <v>0</v>
      </c>
      <c r="C1309" s="4">
        <v>0</v>
      </c>
      <c r="D1309" s="4">
        <v>1</v>
      </c>
      <c r="E1309" s="4">
        <v>201</v>
      </c>
      <c r="F1309" s="4">
        <f>ROUND(Source!O1307,O1309)</f>
        <v>9692788.5299999993</v>
      </c>
      <c r="G1309" s="4" t="s">
        <v>89</v>
      </c>
      <c r="H1309" s="4" t="s">
        <v>90</v>
      </c>
      <c r="I1309" s="4"/>
      <c r="J1309" s="4"/>
      <c r="K1309" s="4">
        <v>201</v>
      </c>
      <c r="L1309" s="4">
        <v>1</v>
      </c>
      <c r="M1309" s="4">
        <v>3</v>
      </c>
      <c r="N1309" s="4" t="s">
        <v>3</v>
      </c>
      <c r="O1309" s="4">
        <v>2</v>
      </c>
      <c r="P1309" s="4"/>
      <c r="Q1309" s="4"/>
      <c r="R1309" s="4"/>
      <c r="S1309" s="4"/>
      <c r="T1309" s="4"/>
      <c r="U1309" s="4"/>
      <c r="V1309" s="4"/>
      <c r="W1309" s="4"/>
    </row>
    <row r="1310" spans="1:245" x14ac:dyDescent="0.2">
      <c r="A1310" s="4">
        <v>50</v>
      </c>
      <c r="B1310" s="4">
        <v>0</v>
      </c>
      <c r="C1310" s="4">
        <v>0</v>
      </c>
      <c r="D1310" s="4">
        <v>1</v>
      </c>
      <c r="E1310" s="4">
        <v>202</v>
      </c>
      <c r="F1310" s="4">
        <f>ROUND(Source!P1307,O1310)</f>
        <v>8894349.8300000001</v>
      </c>
      <c r="G1310" s="4" t="s">
        <v>91</v>
      </c>
      <c r="H1310" s="4" t="s">
        <v>92</v>
      </c>
      <c r="I1310" s="4"/>
      <c r="J1310" s="4"/>
      <c r="K1310" s="4">
        <v>202</v>
      </c>
      <c r="L1310" s="4">
        <v>2</v>
      </c>
      <c r="M1310" s="4">
        <v>3</v>
      </c>
      <c r="N1310" s="4" t="s">
        <v>3</v>
      </c>
      <c r="O1310" s="4">
        <v>2</v>
      </c>
      <c r="P1310" s="4"/>
      <c r="Q1310" s="4"/>
      <c r="R1310" s="4"/>
      <c r="S1310" s="4"/>
      <c r="T1310" s="4"/>
      <c r="U1310" s="4"/>
      <c r="V1310" s="4"/>
      <c r="W1310" s="4"/>
    </row>
    <row r="1311" spans="1:245" x14ac:dyDescent="0.2">
      <c r="A1311" s="4">
        <v>50</v>
      </c>
      <c r="B1311" s="4">
        <v>0</v>
      </c>
      <c r="C1311" s="4">
        <v>0</v>
      </c>
      <c r="D1311" s="4">
        <v>1</v>
      </c>
      <c r="E1311" s="4">
        <v>222</v>
      </c>
      <c r="F1311" s="4">
        <f>ROUND(Source!AO1307,O1311)</f>
        <v>0</v>
      </c>
      <c r="G1311" s="4" t="s">
        <v>93</v>
      </c>
      <c r="H1311" s="4" t="s">
        <v>94</v>
      </c>
      <c r="I1311" s="4"/>
      <c r="J1311" s="4"/>
      <c r="K1311" s="4">
        <v>222</v>
      </c>
      <c r="L1311" s="4">
        <v>3</v>
      </c>
      <c r="M1311" s="4">
        <v>3</v>
      </c>
      <c r="N1311" s="4" t="s">
        <v>3</v>
      </c>
      <c r="O1311" s="4">
        <v>2</v>
      </c>
      <c r="P1311" s="4"/>
      <c r="Q1311" s="4"/>
      <c r="R1311" s="4"/>
      <c r="S1311" s="4"/>
      <c r="T1311" s="4"/>
      <c r="U1311" s="4"/>
      <c r="V1311" s="4"/>
      <c r="W1311" s="4"/>
    </row>
    <row r="1312" spans="1:245" x14ac:dyDescent="0.2">
      <c r="A1312" s="4">
        <v>50</v>
      </c>
      <c r="B1312" s="4">
        <v>0</v>
      </c>
      <c r="C1312" s="4">
        <v>0</v>
      </c>
      <c r="D1312" s="4">
        <v>1</v>
      </c>
      <c r="E1312" s="4">
        <v>225</v>
      </c>
      <c r="F1312" s="4">
        <f>ROUND(Source!AV1307,O1312)</f>
        <v>8894349.8300000001</v>
      </c>
      <c r="G1312" s="4" t="s">
        <v>95</v>
      </c>
      <c r="H1312" s="4" t="s">
        <v>96</v>
      </c>
      <c r="I1312" s="4"/>
      <c r="J1312" s="4"/>
      <c r="K1312" s="4">
        <v>225</v>
      </c>
      <c r="L1312" s="4">
        <v>4</v>
      </c>
      <c r="M1312" s="4">
        <v>3</v>
      </c>
      <c r="N1312" s="4" t="s">
        <v>3</v>
      </c>
      <c r="O1312" s="4">
        <v>2</v>
      </c>
      <c r="P1312" s="4"/>
      <c r="Q1312" s="4"/>
      <c r="R1312" s="4"/>
      <c r="S1312" s="4"/>
      <c r="T1312" s="4"/>
      <c r="U1312" s="4"/>
      <c r="V1312" s="4"/>
      <c r="W1312" s="4"/>
    </row>
    <row r="1313" spans="1:23" x14ac:dyDescent="0.2">
      <c r="A1313" s="4">
        <v>50</v>
      </c>
      <c r="B1313" s="4">
        <v>0</v>
      </c>
      <c r="C1313" s="4">
        <v>0</v>
      </c>
      <c r="D1313" s="4">
        <v>1</v>
      </c>
      <c r="E1313" s="4">
        <v>226</v>
      </c>
      <c r="F1313" s="4">
        <f>ROUND(Source!AW1307,O1313)</f>
        <v>8894349.8300000001</v>
      </c>
      <c r="G1313" s="4" t="s">
        <v>97</v>
      </c>
      <c r="H1313" s="4" t="s">
        <v>98</v>
      </c>
      <c r="I1313" s="4"/>
      <c r="J1313" s="4"/>
      <c r="K1313" s="4">
        <v>226</v>
      </c>
      <c r="L1313" s="4">
        <v>5</v>
      </c>
      <c r="M1313" s="4">
        <v>3</v>
      </c>
      <c r="N1313" s="4" t="s">
        <v>3</v>
      </c>
      <c r="O1313" s="4">
        <v>2</v>
      </c>
      <c r="P1313" s="4"/>
      <c r="Q1313" s="4"/>
      <c r="R1313" s="4"/>
      <c r="S1313" s="4"/>
      <c r="T1313" s="4"/>
      <c r="U1313" s="4"/>
      <c r="V1313" s="4"/>
      <c r="W1313" s="4"/>
    </row>
    <row r="1314" spans="1:23" x14ac:dyDescent="0.2">
      <c r="A1314" s="4">
        <v>50</v>
      </c>
      <c r="B1314" s="4">
        <v>0</v>
      </c>
      <c r="C1314" s="4">
        <v>0</v>
      </c>
      <c r="D1314" s="4">
        <v>1</v>
      </c>
      <c r="E1314" s="4">
        <v>227</v>
      </c>
      <c r="F1314" s="4">
        <f>ROUND(Source!AX1307,O1314)</f>
        <v>0</v>
      </c>
      <c r="G1314" s="4" t="s">
        <v>99</v>
      </c>
      <c r="H1314" s="4" t="s">
        <v>100</v>
      </c>
      <c r="I1314" s="4"/>
      <c r="J1314" s="4"/>
      <c r="K1314" s="4">
        <v>227</v>
      </c>
      <c r="L1314" s="4">
        <v>6</v>
      </c>
      <c r="M1314" s="4">
        <v>3</v>
      </c>
      <c r="N1314" s="4" t="s">
        <v>3</v>
      </c>
      <c r="O1314" s="4">
        <v>2</v>
      </c>
      <c r="P1314" s="4"/>
      <c r="Q1314" s="4"/>
      <c r="R1314" s="4"/>
      <c r="S1314" s="4"/>
      <c r="T1314" s="4"/>
      <c r="U1314" s="4"/>
      <c r="V1314" s="4"/>
      <c r="W1314" s="4"/>
    </row>
    <row r="1315" spans="1:23" x14ac:dyDescent="0.2">
      <c r="A1315" s="4">
        <v>50</v>
      </c>
      <c r="B1315" s="4">
        <v>0</v>
      </c>
      <c r="C1315" s="4">
        <v>0</v>
      </c>
      <c r="D1315" s="4">
        <v>1</v>
      </c>
      <c r="E1315" s="4">
        <v>228</v>
      </c>
      <c r="F1315" s="4">
        <f>ROUND(Source!AY1307,O1315)</f>
        <v>8894349.8300000001</v>
      </c>
      <c r="G1315" s="4" t="s">
        <v>101</v>
      </c>
      <c r="H1315" s="4" t="s">
        <v>102</v>
      </c>
      <c r="I1315" s="4"/>
      <c r="J1315" s="4"/>
      <c r="K1315" s="4">
        <v>228</v>
      </c>
      <c r="L1315" s="4">
        <v>7</v>
      </c>
      <c r="M1315" s="4">
        <v>3</v>
      </c>
      <c r="N1315" s="4" t="s">
        <v>3</v>
      </c>
      <c r="O1315" s="4">
        <v>2</v>
      </c>
      <c r="P1315" s="4"/>
      <c r="Q1315" s="4"/>
      <c r="R1315" s="4"/>
      <c r="S1315" s="4"/>
      <c r="T1315" s="4"/>
      <c r="U1315" s="4"/>
      <c r="V1315" s="4"/>
      <c r="W1315" s="4"/>
    </row>
    <row r="1316" spans="1:23" x14ac:dyDescent="0.2">
      <c r="A1316" s="4">
        <v>50</v>
      </c>
      <c r="B1316" s="4">
        <v>0</v>
      </c>
      <c r="C1316" s="4">
        <v>0</v>
      </c>
      <c r="D1316" s="4">
        <v>1</v>
      </c>
      <c r="E1316" s="4">
        <v>216</v>
      </c>
      <c r="F1316" s="4">
        <f>ROUND(Source!AP1307,O1316)</f>
        <v>0</v>
      </c>
      <c r="G1316" s="4" t="s">
        <v>103</v>
      </c>
      <c r="H1316" s="4" t="s">
        <v>104</v>
      </c>
      <c r="I1316" s="4"/>
      <c r="J1316" s="4"/>
      <c r="K1316" s="4">
        <v>216</v>
      </c>
      <c r="L1316" s="4">
        <v>8</v>
      </c>
      <c r="M1316" s="4">
        <v>3</v>
      </c>
      <c r="N1316" s="4" t="s">
        <v>3</v>
      </c>
      <c r="O1316" s="4">
        <v>2</v>
      </c>
      <c r="P1316" s="4"/>
      <c r="Q1316" s="4"/>
      <c r="R1316" s="4"/>
      <c r="S1316" s="4"/>
      <c r="T1316" s="4"/>
      <c r="U1316" s="4"/>
      <c r="V1316" s="4"/>
      <c r="W1316" s="4"/>
    </row>
    <row r="1317" spans="1:23" x14ac:dyDescent="0.2">
      <c r="A1317" s="4">
        <v>50</v>
      </c>
      <c r="B1317" s="4">
        <v>0</v>
      </c>
      <c r="C1317" s="4">
        <v>0</v>
      </c>
      <c r="D1317" s="4">
        <v>1</v>
      </c>
      <c r="E1317" s="4">
        <v>223</v>
      </c>
      <c r="F1317" s="4">
        <f>ROUND(Source!AQ1307,O1317)</f>
        <v>0</v>
      </c>
      <c r="G1317" s="4" t="s">
        <v>105</v>
      </c>
      <c r="H1317" s="4" t="s">
        <v>106</v>
      </c>
      <c r="I1317" s="4"/>
      <c r="J1317" s="4"/>
      <c r="K1317" s="4">
        <v>223</v>
      </c>
      <c r="L1317" s="4">
        <v>9</v>
      </c>
      <c r="M1317" s="4">
        <v>3</v>
      </c>
      <c r="N1317" s="4" t="s">
        <v>3</v>
      </c>
      <c r="O1317" s="4">
        <v>2</v>
      </c>
      <c r="P1317" s="4"/>
      <c r="Q1317" s="4"/>
      <c r="R1317" s="4"/>
      <c r="S1317" s="4"/>
      <c r="T1317" s="4"/>
      <c r="U1317" s="4"/>
      <c r="V1317" s="4"/>
      <c r="W1317" s="4"/>
    </row>
    <row r="1318" spans="1:23" x14ac:dyDescent="0.2">
      <c r="A1318" s="4">
        <v>50</v>
      </c>
      <c r="B1318" s="4">
        <v>0</v>
      </c>
      <c r="C1318" s="4">
        <v>0</v>
      </c>
      <c r="D1318" s="4">
        <v>1</v>
      </c>
      <c r="E1318" s="4">
        <v>229</v>
      </c>
      <c r="F1318" s="4">
        <f>ROUND(Source!AZ1307,O1318)</f>
        <v>0</v>
      </c>
      <c r="G1318" s="4" t="s">
        <v>107</v>
      </c>
      <c r="H1318" s="4" t="s">
        <v>108</v>
      </c>
      <c r="I1318" s="4"/>
      <c r="J1318" s="4"/>
      <c r="K1318" s="4">
        <v>229</v>
      </c>
      <c r="L1318" s="4">
        <v>10</v>
      </c>
      <c r="M1318" s="4">
        <v>3</v>
      </c>
      <c r="N1318" s="4" t="s">
        <v>3</v>
      </c>
      <c r="O1318" s="4">
        <v>2</v>
      </c>
      <c r="P1318" s="4"/>
      <c r="Q1318" s="4"/>
      <c r="R1318" s="4"/>
      <c r="S1318" s="4"/>
      <c r="T1318" s="4"/>
      <c r="U1318" s="4"/>
      <c r="V1318" s="4"/>
      <c r="W1318" s="4"/>
    </row>
    <row r="1319" spans="1:23" x14ac:dyDescent="0.2">
      <c r="A1319" s="4">
        <v>50</v>
      </c>
      <c r="B1319" s="4">
        <v>0</v>
      </c>
      <c r="C1319" s="4">
        <v>0</v>
      </c>
      <c r="D1319" s="4">
        <v>1</v>
      </c>
      <c r="E1319" s="4">
        <v>203</v>
      </c>
      <c r="F1319" s="4">
        <f>ROUND(Source!Q1307,O1319)</f>
        <v>278892.56</v>
      </c>
      <c r="G1319" s="4" t="s">
        <v>109</v>
      </c>
      <c r="H1319" s="4" t="s">
        <v>110</v>
      </c>
      <c r="I1319" s="4"/>
      <c r="J1319" s="4"/>
      <c r="K1319" s="4">
        <v>203</v>
      </c>
      <c r="L1319" s="4">
        <v>11</v>
      </c>
      <c r="M1319" s="4">
        <v>3</v>
      </c>
      <c r="N1319" s="4" t="s">
        <v>3</v>
      </c>
      <c r="O1319" s="4">
        <v>2</v>
      </c>
      <c r="P1319" s="4"/>
      <c r="Q1319" s="4"/>
      <c r="R1319" s="4"/>
      <c r="S1319" s="4"/>
      <c r="T1319" s="4"/>
      <c r="U1319" s="4"/>
      <c r="V1319" s="4"/>
      <c r="W1319" s="4"/>
    </row>
    <row r="1320" spans="1:23" x14ac:dyDescent="0.2">
      <c r="A1320" s="4">
        <v>50</v>
      </c>
      <c r="B1320" s="4">
        <v>0</v>
      </c>
      <c r="C1320" s="4">
        <v>0</v>
      </c>
      <c r="D1320" s="4">
        <v>1</v>
      </c>
      <c r="E1320" s="4">
        <v>231</v>
      </c>
      <c r="F1320" s="4">
        <f>ROUND(Source!BB1307,O1320)</f>
        <v>0</v>
      </c>
      <c r="G1320" s="4" t="s">
        <v>111</v>
      </c>
      <c r="H1320" s="4" t="s">
        <v>112</v>
      </c>
      <c r="I1320" s="4"/>
      <c r="J1320" s="4"/>
      <c r="K1320" s="4">
        <v>231</v>
      </c>
      <c r="L1320" s="4">
        <v>12</v>
      </c>
      <c r="M1320" s="4">
        <v>3</v>
      </c>
      <c r="N1320" s="4" t="s">
        <v>3</v>
      </c>
      <c r="O1320" s="4">
        <v>2</v>
      </c>
      <c r="P1320" s="4"/>
      <c r="Q1320" s="4"/>
      <c r="R1320" s="4"/>
      <c r="S1320" s="4"/>
      <c r="T1320" s="4"/>
      <c r="U1320" s="4"/>
      <c r="V1320" s="4"/>
      <c r="W1320" s="4"/>
    </row>
    <row r="1321" spans="1:23" x14ac:dyDescent="0.2">
      <c r="A1321" s="4">
        <v>50</v>
      </c>
      <c r="B1321" s="4">
        <v>0</v>
      </c>
      <c r="C1321" s="4">
        <v>0</v>
      </c>
      <c r="D1321" s="4">
        <v>1</v>
      </c>
      <c r="E1321" s="4">
        <v>204</v>
      </c>
      <c r="F1321" s="4">
        <f>ROUND(Source!R1307,O1321)</f>
        <v>215694</v>
      </c>
      <c r="G1321" s="4" t="s">
        <v>113</v>
      </c>
      <c r="H1321" s="4" t="s">
        <v>114</v>
      </c>
      <c r="I1321" s="4"/>
      <c r="J1321" s="4"/>
      <c r="K1321" s="4">
        <v>204</v>
      </c>
      <c r="L1321" s="4">
        <v>13</v>
      </c>
      <c r="M1321" s="4">
        <v>3</v>
      </c>
      <c r="N1321" s="4" t="s">
        <v>3</v>
      </c>
      <c r="O1321" s="4">
        <v>2</v>
      </c>
      <c r="P1321" s="4"/>
      <c r="Q1321" s="4"/>
      <c r="R1321" s="4"/>
      <c r="S1321" s="4"/>
      <c r="T1321" s="4"/>
      <c r="U1321" s="4"/>
      <c r="V1321" s="4"/>
      <c r="W1321" s="4"/>
    </row>
    <row r="1322" spans="1:23" x14ac:dyDescent="0.2">
      <c r="A1322" s="4">
        <v>50</v>
      </c>
      <c r="B1322" s="4">
        <v>0</v>
      </c>
      <c r="C1322" s="4">
        <v>0</v>
      </c>
      <c r="D1322" s="4">
        <v>1</v>
      </c>
      <c r="E1322" s="4">
        <v>205</v>
      </c>
      <c r="F1322" s="4">
        <f>ROUND(Source!S1307,O1322)</f>
        <v>519546.14</v>
      </c>
      <c r="G1322" s="4" t="s">
        <v>115</v>
      </c>
      <c r="H1322" s="4" t="s">
        <v>116</v>
      </c>
      <c r="I1322" s="4"/>
      <c r="J1322" s="4"/>
      <c r="K1322" s="4">
        <v>205</v>
      </c>
      <c r="L1322" s="4">
        <v>14</v>
      </c>
      <c r="M1322" s="4">
        <v>3</v>
      </c>
      <c r="N1322" s="4" t="s">
        <v>3</v>
      </c>
      <c r="O1322" s="4">
        <v>2</v>
      </c>
      <c r="P1322" s="4"/>
      <c r="Q1322" s="4"/>
      <c r="R1322" s="4"/>
      <c r="S1322" s="4"/>
      <c r="T1322" s="4"/>
      <c r="U1322" s="4"/>
      <c r="V1322" s="4"/>
      <c r="W1322" s="4"/>
    </row>
    <row r="1323" spans="1:23" x14ac:dyDescent="0.2">
      <c r="A1323" s="4">
        <v>50</v>
      </c>
      <c r="B1323" s="4">
        <v>0</v>
      </c>
      <c r="C1323" s="4">
        <v>0</v>
      </c>
      <c r="D1323" s="4">
        <v>1</v>
      </c>
      <c r="E1323" s="4">
        <v>232</v>
      </c>
      <c r="F1323" s="4">
        <f>ROUND(Source!BC1307,O1323)</f>
        <v>0</v>
      </c>
      <c r="G1323" s="4" t="s">
        <v>117</v>
      </c>
      <c r="H1323" s="4" t="s">
        <v>118</v>
      </c>
      <c r="I1323" s="4"/>
      <c r="J1323" s="4"/>
      <c r="K1323" s="4">
        <v>232</v>
      </c>
      <c r="L1323" s="4">
        <v>15</v>
      </c>
      <c r="M1323" s="4">
        <v>3</v>
      </c>
      <c r="N1323" s="4" t="s">
        <v>3</v>
      </c>
      <c r="O1323" s="4">
        <v>2</v>
      </c>
      <c r="P1323" s="4"/>
      <c r="Q1323" s="4"/>
      <c r="R1323" s="4"/>
      <c r="S1323" s="4"/>
      <c r="T1323" s="4"/>
      <c r="U1323" s="4"/>
      <c r="V1323" s="4"/>
      <c r="W1323" s="4"/>
    </row>
    <row r="1324" spans="1:23" x14ac:dyDescent="0.2">
      <c r="A1324" s="4">
        <v>50</v>
      </c>
      <c r="B1324" s="4">
        <v>0</v>
      </c>
      <c r="C1324" s="4">
        <v>0</v>
      </c>
      <c r="D1324" s="4">
        <v>1</v>
      </c>
      <c r="E1324" s="4">
        <v>214</v>
      </c>
      <c r="F1324" s="4">
        <f>ROUND(Source!AS1307,O1324)</f>
        <v>10805551.859999999</v>
      </c>
      <c r="G1324" s="4" t="s">
        <v>119</v>
      </c>
      <c r="H1324" s="4" t="s">
        <v>120</v>
      </c>
      <c r="I1324" s="4"/>
      <c r="J1324" s="4"/>
      <c r="K1324" s="4">
        <v>214</v>
      </c>
      <c r="L1324" s="4">
        <v>16</v>
      </c>
      <c r="M1324" s="4">
        <v>3</v>
      </c>
      <c r="N1324" s="4" t="s">
        <v>3</v>
      </c>
      <c r="O1324" s="4">
        <v>2</v>
      </c>
      <c r="P1324" s="4"/>
      <c r="Q1324" s="4"/>
      <c r="R1324" s="4"/>
      <c r="S1324" s="4"/>
      <c r="T1324" s="4"/>
      <c r="U1324" s="4"/>
      <c r="V1324" s="4"/>
      <c r="W1324" s="4"/>
    </row>
    <row r="1325" spans="1:23" x14ac:dyDescent="0.2">
      <c r="A1325" s="4">
        <v>50</v>
      </c>
      <c r="B1325" s="4">
        <v>0</v>
      </c>
      <c r="C1325" s="4">
        <v>0</v>
      </c>
      <c r="D1325" s="4">
        <v>1</v>
      </c>
      <c r="E1325" s="4">
        <v>215</v>
      </c>
      <c r="F1325" s="4">
        <f>ROUND(Source!AT1307,O1325)</f>
        <v>0</v>
      </c>
      <c r="G1325" s="4" t="s">
        <v>121</v>
      </c>
      <c r="H1325" s="4" t="s">
        <v>122</v>
      </c>
      <c r="I1325" s="4"/>
      <c r="J1325" s="4"/>
      <c r="K1325" s="4">
        <v>215</v>
      </c>
      <c r="L1325" s="4">
        <v>17</v>
      </c>
      <c r="M1325" s="4">
        <v>3</v>
      </c>
      <c r="N1325" s="4" t="s">
        <v>3</v>
      </c>
      <c r="O1325" s="4">
        <v>2</v>
      </c>
      <c r="P1325" s="4"/>
      <c r="Q1325" s="4"/>
      <c r="R1325" s="4"/>
      <c r="S1325" s="4"/>
      <c r="T1325" s="4"/>
      <c r="U1325" s="4"/>
      <c r="V1325" s="4"/>
      <c r="W1325" s="4"/>
    </row>
    <row r="1326" spans="1:23" x14ac:dyDescent="0.2">
      <c r="A1326" s="4">
        <v>50</v>
      </c>
      <c r="B1326" s="4">
        <v>0</v>
      </c>
      <c r="C1326" s="4">
        <v>0</v>
      </c>
      <c r="D1326" s="4">
        <v>1</v>
      </c>
      <c r="E1326" s="4">
        <v>217</v>
      </c>
      <c r="F1326" s="4">
        <f>ROUND(Source!AU1307,O1326)</f>
        <v>0</v>
      </c>
      <c r="G1326" s="4" t="s">
        <v>123</v>
      </c>
      <c r="H1326" s="4" t="s">
        <v>124</v>
      </c>
      <c r="I1326" s="4"/>
      <c r="J1326" s="4"/>
      <c r="K1326" s="4">
        <v>217</v>
      </c>
      <c r="L1326" s="4">
        <v>18</v>
      </c>
      <c r="M1326" s="4">
        <v>3</v>
      </c>
      <c r="N1326" s="4" t="s">
        <v>3</v>
      </c>
      <c r="O1326" s="4">
        <v>2</v>
      </c>
      <c r="P1326" s="4"/>
      <c r="Q1326" s="4"/>
      <c r="R1326" s="4"/>
      <c r="S1326" s="4"/>
      <c r="T1326" s="4"/>
      <c r="U1326" s="4"/>
      <c r="V1326" s="4"/>
      <c r="W1326" s="4"/>
    </row>
    <row r="1327" spans="1:23" x14ac:dyDescent="0.2">
      <c r="A1327" s="4">
        <v>50</v>
      </c>
      <c r="B1327" s="4">
        <v>0</v>
      </c>
      <c r="C1327" s="4">
        <v>0</v>
      </c>
      <c r="D1327" s="4">
        <v>1</v>
      </c>
      <c r="E1327" s="4">
        <v>230</v>
      </c>
      <c r="F1327" s="4">
        <f>ROUND(Source!BA1307,O1327)</f>
        <v>0</v>
      </c>
      <c r="G1327" s="4" t="s">
        <v>125</v>
      </c>
      <c r="H1327" s="4" t="s">
        <v>126</v>
      </c>
      <c r="I1327" s="4"/>
      <c r="J1327" s="4"/>
      <c r="K1327" s="4">
        <v>230</v>
      </c>
      <c r="L1327" s="4">
        <v>19</v>
      </c>
      <c r="M1327" s="4">
        <v>3</v>
      </c>
      <c r="N1327" s="4" t="s">
        <v>3</v>
      </c>
      <c r="O1327" s="4">
        <v>2</v>
      </c>
      <c r="P1327" s="4"/>
      <c r="Q1327" s="4"/>
      <c r="R1327" s="4"/>
      <c r="S1327" s="4"/>
      <c r="T1327" s="4"/>
      <c r="U1327" s="4"/>
      <c r="V1327" s="4"/>
      <c r="W1327" s="4"/>
    </row>
    <row r="1328" spans="1:23" x14ac:dyDescent="0.2">
      <c r="A1328" s="4">
        <v>50</v>
      </c>
      <c r="B1328" s="4">
        <v>0</v>
      </c>
      <c r="C1328" s="4">
        <v>0</v>
      </c>
      <c r="D1328" s="4">
        <v>1</v>
      </c>
      <c r="E1328" s="4">
        <v>206</v>
      </c>
      <c r="F1328" s="4">
        <f>ROUND(Source!T1307,O1328)</f>
        <v>0</v>
      </c>
      <c r="G1328" s="4" t="s">
        <v>127</v>
      </c>
      <c r="H1328" s="4" t="s">
        <v>128</v>
      </c>
      <c r="I1328" s="4"/>
      <c r="J1328" s="4"/>
      <c r="K1328" s="4">
        <v>206</v>
      </c>
      <c r="L1328" s="4">
        <v>20</v>
      </c>
      <c r="M1328" s="4">
        <v>3</v>
      </c>
      <c r="N1328" s="4" t="s">
        <v>3</v>
      </c>
      <c r="O1328" s="4">
        <v>2</v>
      </c>
      <c r="P1328" s="4"/>
      <c r="Q1328" s="4"/>
      <c r="R1328" s="4"/>
      <c r="S1328" s="4"/>
      <c r="T1328" s="4"/>
      <c r="U1328" s="4"/>
      <c r="V1328" s="4"/>
      <c r="W1328" s="4"/>
    </row>
    <row r="1329" spans="1:245" x14ac:dyDescent="0.2">
      <c r="A1329" s="4">
        <v>50</v>
      </c>
      <c r="B1329" s="4">
        <v>0</v>
      </c>
      <c r="C1329" s="4">
        <v>0</v>
      </c>
      <c r="D1329" s="4">
        <v>1</v>
      </c>
      <c r="E1329" s="4">
        <v>207</v>
      </c>
      <c r="F1329" s="4">
        <f>Source!U1307</f>
        <v>1788.8388</v>
      </c>
      <c r="G1329" s="4" t="s">
        <v>129</v>
      </c>
      <c r="H1329" s="4" t="s">
        <v>130</v>
      </c>
      <c r="I1329" s="4"/>
      <c r="J1329" s="4"/>
      <c r="K1329" s="4">
        <v>207</v>
      </c>
      <c r="L1329" s="4">
        <v>21</v>
      </c>
      <c r="M1329" s="4">
        <v>3</v>
      </c>
      <c r="N1329" s="4" t="s">
        <v>3</v>
      </c>
      <c r="O1329" s="4">
        <v>-1</v>
      </c>
      <c r="P1329" s="4"/>
      <c r="Q1329" s="4"/>
      <c r="R1329" s="4"/>
      <c r="S1329" s="4"/>
      <c r="T1329" s="4"/>
      <c r="U1329" s="4"/>
      <c r="V1329" s="4"/>
      <c r="W1329" s="4"/>
    </row>
    <row r="1330" spans="1:245" x14ac:dyDescent="0.2">
      <c r="A1330" s="4">
        <v>50</v>
      </c>
      <c r="B1330" s="4">
        <v>0</v>
      </c>
      <c r="C1330" s="4">
        <v>0</v>
      </c>
      <c r="D1330" s="4">
        <v>1</v>
      </c>
      <c r="E1330" s="4">
        <v>208</v>
      </c>
      <c r="F1330" s="4">
        <f>Source!V1307</f>
        <v>0</v>
      </c>
      <c r="G1330" s="4" t="s">
        <v>131</v>
      </c>
      <c r="H1330" s="4" t="s">
        <v>132</v>
      </c>
      <c r="I1330" s="4"/>
      <c r="J1330" s="4"/>
      <c r="K1330" s="4">
        <v>208</v>
      </c>
      <c r="L1330" s="4">
        <v>22</v>
      </c>
      <c r="M1330" s="4">
        <v>3</v>
      </c>
      <c r="N1330" s="4" t="s">
        <v>3</v>
      </c>
      <c r="O1330" s="4">
        <v>-1</v>
      </c>
      <c r="P1330" s="4"/>
      <c r="Q1330" s="4"/>
      <c r="R1330" s="4"/>
      <c r="S1330" s="4"/>
      <c r="T1330" s="4"/>
      <c r="U1330" s="4"/>
      <c r="V1330" s="4"/>
      <c r="W1330" s="4"/>
    </row>
    <row r="1331" spans="1:245" x14ac:dyDescent="0.2">
      <c r="A1331" s="4">
        <v>50</v>
      </c>
      <c r="B1331" s="4">
        <v>0</v>
      </c>
      <c r="C1331" s="4">
        <v>0</v>
      </c>
      <c r="D1331" s="4">
        <v>1</v>
      </c>
      <c r="E1331" s="4">
        <v>209</v>
      </c>
      <c r="F1331" s="4">
        <f>ROUND(Source!W1307,O1331)</f>
        <v>0</v>
      </c>
      <c r="G1331" s="4" t="s">
        <v>133</v>
      </c>
      <c r="H1331" s="4" t="s">
        <v>134</v>
      </c>
      <c r="I1331" s="4"/>
      <c r="J1331" s="4"/>
      <c r="K1331" s="4">
        <v>209</v>
      </c>
      <c r="L1331" s="4">
        <v>23</v>
      </c>
      <c r="M1331" s="4">
        <v>3</v>
      </c>
      <c r="N1331" s="4" t="s">
        <v>3</v>
      </c>
      <c r="O1331" s="4">
        <v>2</v>
      </c>
      <c r="P1331" s="4"/>
      <c r="Q1331" s="4"/>
      <c r="R1331" s="4"/>
      <c r="S1331" s="4"/>
      <c r="T1331" s="4"/>
      <c r="U1331" s="4"/>
      <c r="V1331" s="4"/>
      <c r="W1331" s="4"/>
    </row>
    <row r="1332" spans="1:245" x14ac:dyDescent="0.2">
      <c r="A1332" s="4">
        <v>50</v>
      </c>
      <c r="B1332" s="4">
        <v>0</v>
      </c>
      <c r="C1332" s="4">
        <v>0</v>
      </c>
      <c r="D1332" s="4">
        <v>1</v>
      </c>
      <c r="E1332" s="4">
        <v>233</v>
      </c>
      <c r="F1332" s="4">
        <f>ROUND(Source!BD1307,O1332)</f>
        <v>0</v>
      </c>
      <c r="G1332" s="4" t="s">
        <v>135</v>
      </c>
      <c r="H1332" s="4" t="s">
        <v>136</v>
      </c>
      <c r="I1332" s="4"/>
      <c r="J1332" s="4"/>
      <c r="K1332" s="4">
        <v>233</v>
      </c>
      <c r="L1332" s="4">
        <v>24</v>
      </c>
      <c r="M1332" s="4">
        <v>3</v>
      </c>
      <c r="N1332" s="4" t="s">
        <v>3</v>
      </c>
      <c r="O1332" s="4">
        <v>2</v>
      </c>
      <c r="P1332" s="4"/>
      <c r="Q1332" s="4"/>
      <c r="R1332" s="4"/>
      <c r="S1332" s="4"/>
      <c r="T1332" s="4"/>
      <c r="U1332" s="4"/>
      <c r="V1332" s="4"/>
      <c r="W1332" s="4"/>
    </row>
    <row r="1333" spans="1:245" x14ac:dyDescent="0.2">
      <c r="A1333" s="4">
        <v>50</v>
      </c>
      <c r="B1333" s="4">
        <v>0</v>
      </c>
      <c r="C1333" s="4">
        <v>0</v>
      </c>
      <c r="D1333" s="4">
        <v>1</v>
      </c>
      <c r="E1333" s="4">
        <v>210</v>
      </c>
      <c r="F1333" s="4">
        <f>ROUND(Source!X1307,O1333)</f>
        <v>529937.06000000006</v>
      </c>
      <c r="G1333" s="4" t="s">
        <v>137</v>
      </c>
      <c r="H1333" s="4" t="s">
        <v>138</v>
      </c>
      <c r="I1333" s="4"/>
      <c r="J1333" s="4"/>
      <c r="K1333" s="4">
        <v>210</v>
      </c>
      <c r="L1333" s="4">
        <v>25</v>
      </c>
      <c r="M1333" s="4">
        <v>3</v>
      </c>
      <c r="N1333" s="4" t="s">
        <v>3</v>
      </c>
      <c r="O1333" s="4">
        <v>2</v>
      </c>
      <c r="P1333" s="4"/>
      <c r="Q1333" s="4"/>
      <c r="R1333" s="4"/>
      <c r="S1333" s="4"/>
      <c r="T1333" s="4"/>
      <c r="U1333" s="4"/>
      <c r="V1333" s="4"/>
      <c r="W1333" s="4"/>
    </row>
    <row r="1334" spans="1:245" x14ac:dyDescent="0.2">
      <c r="A1334" s="4">
        <v>50</v>
      </c>
      <c r="B1334" s="4">
        <v>0</v>
      </c>
      <c r="C1334" s="4">
        <v>0</v>
      </c>
      <c r="D1334" s="4">
        <v>1</v>
      </c>
      <c r="E1334" s="4">
        <v>211</v>
      </c>
      <c r="F1334" s="4">
        <f>ROUND(Source!Y1307,O1334)</f>
        <v>244186.68</v>
      </c>
      <c r="G1334" s="4" t="s">
        <v>139</v>
      </c>
      <c r="H1334" s="4" t="s">
        <v>140</v>
      </c>
      <c r="I1334" s="4"/>
      <c r="J1334" s="4"/>
      <c r="K1334" s="4">
        <v>211</v>
      </c>
      <c r="L1334" s="4">
        <v>26</v>
      </c>
      <c r="M1334" s="4">
        <v>3</v>
      </c>
      <c r="N1334" s="4" t="s">
        <v>3</v>
      </c>
      <c r="O1334" s="4">
        <v>2</v>
      </c>
      <c r="P1334" s="4"/>
      <c r="Q1334" s="4"/>
      <c r="R1334" s="4"/>
      <c r="S1334" s="4"/>
      <c r="T1334" s="4"/>
      <c r="U1334" s="4"/>
      <c r="V1334" s="4"/>
      <c r="W1334" s="4"/>
    </row>
    <row r="1335" spans="1:245" x14ac:dyDescent="0.2">
      <c r="A1335" s="4">
        <v>50</v>
      </c>
      <c r="B1335" s="4">
        <v>0</v>
      </c>
      <c r="C1335" s="4">
        <v>0</v>
      </c>
      <c r="D1335" s="4">
        <v>1</v>
      </c>
      <c r="E1335" s="4">
        <v>224</v>
      </c>
      <c r="F1335" s="4">
        <f>ROUND(Source!AR1307,O1335)</f>
        <v>10805551.859999999</v>
      </c>
      <c r="G1335" s="4" t="s">
        <v>141</v>
      </c>
      <c r="H1335" s="4" t="s">
        <v>142</v>
      </c>
      <c r="I1335" s="4"/>
      <c r="J1335" s="4"/>
      <c r="K1335" s="4">
        <v>224</v>
      </c>
      <c r="L1335" s="4">
        <v>27</v>
      </c>
      <c r="M1335" s="4">
        <v>3</v>
      </c>
      <c r="N1335" s="4" t="s">
        <v>3</v>
      </c>
      <c r="O1335" s="4">
        <v>2</v>
      </c>
      <c r="P1335" s="4"/>
      <c r="Q1335" s="4"/>
      <c r="R1335" s="4"/>
      <c r="S1335" s="4"/>
      <c r="T1335" s="4"/>
      <c r="U1335" s="4"/>
      <c r="V1335" s="4"/>
      <c r="W1335" s="4"/>
    </row>
    <row r="1336" spans="1:245" x14ac:dyDescent="0.2">
      <c r="A1336" s="4">
        <v>50</v>
      </c>
      <c r="B1336" s="4">
        <v>1</v>
      </c>
      <c r="C1336" s="4">
        <v>0</v>
      </c>
      <c r="D1336" s="4">
        <v>2</v>
      </c>
      <c r="E1336" s="4">
        <v>0</v>
      </c>
      <c r="F1336" s="4">
        <f>ROUND(F1335*1.2,O1336)</f>
        <v>12966662.23</v>
      </c>
      <c r="G1336" s="4" t="s">
        <v>15</v>
      </c>
      <c r="H1336" s="4" t="s">
        <v>239</v>
      </c>
      <c r="I1336" s="4"/>
      <c r="J1336" s="4"/>
      <c r="K1336" s="4">
        <v>212</v>
      </c>
      <c r="L1336" s="4">
        <v>28</v>
      </c>
      <c r="M1336" s="4">
        <v>0</v>
      </c>
      <c r="N1336" s="4" t="s">
        <v>3</v>
      </c>
      <c r="O1336" s="4">
        <v>2</v>
      </c>
      <c r="P1336" s="4"/>
      <c r="Q1336" s="4"/>
      <c r="R1336" s="4"/>
      <c r="S1336" s="4"/>
      <c r="T1336" s="4"/>
      <c r="U1336" s="4"/>
      <c r="V1336" s="4"/>
      <c r="W1336" s="4"/>
    </row>
    <row r="1338" spans="1:245" x14ac:dyDescent="0.2">
      <c r="A1338" s="1">
        <v>4</v>
      </c>
      <c r="B1338" s="1">
        <v>1</v>
      </c>
      <c r="C1338" s="1"/>
      <c r="D1338" s="1">
        <f>ROW(A1347)</f>
        <v>1347</v>
      </c>
      <c r="E1338" s="1"/>
      <c r="F1338" s="1" t="s">
        <v>13</v>
      </c>
      <c r="G1338" s="1" t="s">
        <v>625</v>
      </c>
      <c r="H1338" s="1" t="s">
        <v>3</v>
      </c>
      <c r="I1338" s="1">
        <v>0</v>
      </c>
      <c r="J1338" s="1"/>
      <c r="K1338" s="1">
        <v>0</v>
      </c>
      <c r="L1338" s="1"/>
      <c r="M1338" s="1"/>
      <c r="N1338" s="1"/>
      <c r="O1338" s="1"/>
      <c r="P1338" s="1"/>
      <c r="Q1338" s="1"/>
      <c r="R1338" s="1"/>
      <c r="S1338" s="1"/>
      <c r="T1338" s="1"/>
      <c r="U1338" s="1" t="s">
        <v>3</v>
      </c>
      <c r="V1338" s="1">
        <v>0</v>
      </c>
      <c r="W1338" s="1"/>
      <c r="X1338" s="1"/>
      <c r="Y1338" s="1"/>
      <c r="Z1338" s="1"/>
      <c r="AA1338" s="1"/>
      <c r="AB1338" s="1" t="s">
        <v>3</v>
      </c>
      <c r="AC1338" s="1" t="s">
        <v>3</v>
      </c>
      <c r="AD1338" s="1" t="s">
        <v>3</v>
      </c>
      <c r="AE1338" s="1" t="s">
        <v>3</v>
      </c>
      <c r="AF1338" s="1" t="s">
        <v>3</v>
      </c>
      <c r="AG1338" s="1" t="s">
        <v>3</v>
      </c>
      <c r="AH1338" s="1"/>
      <c r="AI1338" s="1"/>
      <c r="AJ1338" s="1"/>
      <c r="AK1338" s="1"/>
      <c r="AL1338" s="1"/>
      <c r="AM1338" s="1"/>
      <c r="AN1338" s="1"/>
      <c r="AO1338" s="1"/>
      <c r="AP1338" s="1" t="s">
        <v>3</v>
      </c>
      <c r="AQ1338" s="1" t="s">
        <v>3</v>
      </c>
      <c r="AR1338" s="1" t="s">
        <v>3</v>
      </c>
      <c r="AS1338" s="1"/>
      <c r="AT1338" s="1"/>
      <c r="AU1338" s="1"/>
      <c r="AV1338" s="1"/>
      <c r="AW1338" s="1"/>
      <c r="AX1338" s="1"/>
      <c r="AY1338" s="1"/>
      <c r="AZ1338" s="1" t="s">
        <v>3</v>
      </c>
      <c r="BA1338" s="1"/>
      <c r="BB1338" s="1" t="s">
        <v>3</v>
      </c>
      <c r="BC1338" s="1" t="s">
        <v>3</v>
      </c>
      <c r="BD1338" s="1" t="s">
        <v>3</v>
      </c>
      <c r="BE1338" s="1" t="s">
        <v>3</v>
      </c>
      <c r="BF1338" s="1" t="s">
        <v>3</v>
      </c>
      <c r="BG1338" s="1" t="s">
        <v>3</v>
      </c>
      <c r="BH1338" s="1" t="s">
        <v>3</v>
      </c>
      <c r="BI1338" s="1" t="s">
        <v>3</v>
      </c>
      <c r="BJ1338" s="1" t="s">
        <v>3</v>
      </c>
      <c r="BK1338" s="1" t="s">
        <v>3</v>
      </c>
      <c r="BL1338" s="1" t="s">
        <v>3</v>
      </c>
      <c r="BM1338" s="1" t="s">
        <v>3</v>
      </c>
      <c r="BN1338" s="1" t="s">
        <v>3</v>
      </c>
      <c r="BO1338" s="1" t="s">
        <v>3</v>
      </c>
      <c r="BP1338" s="1" t="s">
        <v>3</v>
      </c>
      <c r="BQ1338" s="1"/>
      <c r="BR1338" s="1"/>
      <c r="BS1338" s="1"/>
      <c r="BT1338" s="1"/>
      <c r="BU1338" s="1"/>
      <c r="BV1338" s="1"/>
      <c r="BW1338" s="1"/>
      <c r="BX1338" s="1">
        <v>0</v>
      </c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>
        <v>0</v>
      </c>
    </row>
    <row r="1340" spans="1:245" x14ac:dyDescent="0.2">
      <c r="A1340" s="2">
        <v>52</v>
      </c>
      <c r="B1340" s="2">
        <f t="shared" ref="B1340:G1340" si="897">B1347</f>
        <v>1</v>
      </c>
      <c r="C1340" s="2">
        <f t="shared" si="897"/>
        <v>4</v>
      </c>
      <c r="D1340" s="2">
        <f t="shared" si="897"/>
        <v>1338</v>
      </c>
      <c r="E1340" s="2">
        <f t="shared" si="897"/>
        <v>0</v>
      </c>
      <c r="F1340" s="2" t="str">
        <f t="shared" si="897"/>
        <v>Новый раздел</v>
      </c>
      <c r="G1340" s="2" t="str">
        <f t="shared" si="897"/>
        <v>54. Облицовка подпорной стенки мраморной штукатуркой</v>
      </c>
      <c r="H1340" s="2"/>
      <c r="I1340" s="2"/>
      <c r="J1340" s="2"/>
      <c r="K1340" s="2"/>
      <c r="L1340" s="2"/>
      <c r="M1340" s="2"/>
      <c r="N1340" s="2"/>
      <c r="O1340" s="2">
        <f t="shared" ref="O1340:AT1340" si="898">O1347</f>
        <v>27144.99</v>
      </c>
      <c r="P1340" s="2">
        <f t="shared" si="898"/>
        <v>13582.47</v>
      </c>
      <c r="Q1340" s="2">
        <f t="shared" si="898"/>
        <v>679.36</v>
      </c>
      <c r="R1340" s="2">
        <f t="shared" si="898"/>
        <v>359.86</v>
      </c>
      <c r="S1340" s="2">
        <f t="shared" si="898"/>
        <v>12883.16</v>
      </c>
      <c r="T1340" s="2">
        <f t="shared" si="898"/>
        <v>0</v>
      </c>
      <c r="U1340" s="2">
        <f t="shared" si="898"/>
        <v>40.400000000000006</v>
      </c>
      <c r="V1340" s="2">
        <f t="shared" si="898"/>
        <v>0</v>
      </c>
      <c r="W1340" s="2">
        <f t="shared" si="898"/>
        <v>0</v>
      </c>
      <c r="X1340" s="2">
        <f t="shared" si="898"/>
        <v>11337.18</v>
      </c>
      <c r="Y1340" s="2">
        <f t="shared" si="898"/>
        <v>5410.93</v>
      </c>
      <c r="Z1340" s="2">
        <f t="shared" si="898"/>
        <v>0</v>
      </c>
      <c r="AA1340" s="2">
        <f t="shared" si="898"/>
        <v>0</v>
      </c>
      <c r="AB1340" s="2">
        <f t="shared" si="898"/>
        <v>27144.99</v>
      </c>
      <c r="AC1340" s="2">
        <f t="shared" si="898"/>
        <v>13582.47</v>
      </c>
      <c r="AD1340" s="2">
        <f t="shared" si="898"/>
        <v>679.36</v>
      </c>
      <c r="AE1340" s="2">
        <f t="shared" si="898"/>
        <v>359.86</v>
      </c>
      <c r="AF1340" s="2">
        <f t="shared" si="898"/>
        <v>12883.16</v>
      </c>
      <c r="AG1340" s="2">
        <f t="shared" si="898"/>
        <v>0</v>
      </c>
      <c r="AH1340" s="2">
        <f t="shared" si="898"/>
        <v>40.400000000000006</v>
      </c>
      <c r="AI1340" s="2">
        <f t="shared" si="898"/>
        <v>0</v>
      </c>
      <c r="AJ1340" s="2">
        <f t="shared" si="898"/>
        <v>0</v>
      </c>
      <c r="AK1340" s="2">
        <f t="shared" si="898"/>
        <v>11337.18</v>
      </c>
      <c r="AL1340" s="2">
        <f t="shared" si="898"/>
        <v>5410.93</v>
      </c>
      <c r="AM1340" s="2">
        <f t="shared" si="898"/>
        <v>0</v>
      </c>
      <c r="AN1340" s="2">
        <f t="shared" si="898"/>
        <v>0</v>
      </c>
      <c r="AO1340" s="2">
        <f t="shared" si="898"/>
        <v>0</v>
      </c>
      <c r="AP1340" s="2">
        <f t="shared" si="898"/>
        <v>0</v>
      </c>
      <c r="AQ1340" s="2">
        <f t="shared" si="898"/>
        <v>0</v>
      </c>
      <c r="AR1340" s="2">
        <f t="shared" si="898"/>
        <v>44458.080000000002</v>
      </c>
      <c r="AS1340" s="2">
        <f t="shared" si="898"/>
        <v>44458.080000000002</v>
      </c>
      <c r="AT1340" s="2">
        <f t="shared" si="898"/>
        <v>0</v>
      </c>
      <c r="AU1340" s="2">
        <f t="shared" ref="AU1340:BZ1340" si="899">AU1347</f>
        <v>0</v>
      </c>
      <c r="AV1340" s="2">
        <f t="shared" si="899"/>
        <v>13582.47</v>
      </c>
      <c r="AW1340" s="2">
        <f t="shared" si="899"/>
        <v>13582.47</v>
      </c>
      <c r="AX1340" s="2">
        <f t="shared" si="899"/>
        <v>0</v>
      </c>
      <c r="AY1340" s="2">
        <f t="shared" si="899"/>
        <v>13582.47</v>
      </c>
      <c r="AZ1340" s="2">
        <f t="shared" si="899"/>
        <v>0</v>
      </c>
      <c r="BA1340" s="2">
        <f t="shared" si="899"/>
        <v>0</v>
      </c>
      <c r="BB1340" s="2">
        <f t="shared" si="899"/>
        <v>0</v>
      </c>
      <c r="BC1340" s="2">
        <f t="shared" si="899"/>
        <v>0</v>
      </c>
      <c r="BD1340" s="2">
        <f t="shared" si="899"/>
        <v>0</v>
      </c>
      <c r="BE1340" s="2">
        <f t="shared" si="899"/>
        <v>0</v>
      </c>
      <c r="BF1340" s="2">
        <f t="shared" si="899"/>
        <v>0</v>
      </c>
      <c r="BG1340" s="2">
        <f t="shared" si="899"/>
        <v>0</v>
      </c>
      <c r="BH1340" s="2">
        <f t="shared" si="899"/>
        <v>0</v>
      </c>
      <c r="BI1340" s="2">
        <f t="shared" si="899"/>
        <v>0</v>
      </c>
      <c r="BJ1340" s="2">
        <f t="shared" si="899"/>
        <v>0</v>
      </c>
      <c r="BK1340" s="2">
        <f t="shared" si="899"/>
        <v>0</v>
      </c>
      <c r="BL1340" s="2">
        <f t="shared" si="899"/>
        <v>0</v>
      </c>
      <c r="BM1340" s="2">
        <f t="shared" si="899"/>
        <v>0</v>
      </c>
      <c r="BN1340" s="2">
        <f t="shared" si="899"/>
        <v>0</v>
      </c>
      <c r="BO1340" s="2">
        <f t="shared" si="899"/>
        <v>0</v>
      </c>
      <c r="BP1340" s="2">
        <f t="shared" si="899"/>
        <v>0</v>
      </c>
      <c r="BQ1340" s="2">
        <f t="shared" si="899"/>
        <v>0</v>
      </c>
      <c r="BR1340" s="2">
        <f t="shared" si="899"/>
        <v>0</v>
      </c>
      <c r="BS1340" s="2">
        <f t="shared" si="899"/>
        <v>0</v>
      </c>
      <c r="BT1340" s="2">
        <f t="shared" si="899"/>
        <v>0</v>
      </c>
      <c r="BU1340" s="2">
        <f t="shared" si="899"/>
        <v>0</v>
      </c>
      <c r="BV1340" s="2">
        <f t="shared" si="899"/>
        <v>0</v>
      </c>
      <c r="BW1340" s="2">
        <f t="shared" si="899"/>
        <v>0</v>
      </c>
      <c r="BX1340" s="2">
        <f t="shared" si="899"/>
        <v>0</v>
      </c>
      <c r="BY1340" s="2">
        <f t="shared" si="899"/>
        <v>0</v>
      </c>
      <c r="BZ1340" s="2">
        <f t="shared" si="899"/>
        <v>0</v>
      </c>
      <c r="CA1340" s="2">
        <f t="shared" ref="CA1340:DF1340" si="900">CA1347</f>
        <v>44458.080000000002</v>
      </c>
      <c r="CB1340" s="2">
        <f t="shared" si="900"/>
        <v>44458.080000000002</v>
      </c>
      <c r="CC1340" s="2">
        <f t="shared" si="900"/>
        <v>0</v>
      </c>
      <c r="CD1340" s="2">
        <f t="shared" si="900"/>
        <v>0</v>
      </c>
      <c r="CE1340" s="2">
        <f t="shared" si="900"/>
        <v>13582.47</v>
      </c>
      <c r="CF1340" s="2">
        <f t="shared" si="900"/>
        <v>13582.47</v>
      </c>
      <c r="CG1340" s="2">
        <f t="shared" si="900"/>
        <v>0</v>
      </c>
      <c r="CH1340" s="2">
        <f t="shared" si="900"/>
        <v>13582.47</v>
      </c>
      <c r="CI1340" s="2">
        <f t="shared" si="900"/>
        <v>0</v>
      </c>
      <c r="CJ1340" s="2">
        <f t="shared" si="900"/>
        <v>0</v>
      </c>
      <c r="CK1340" s="2">
        <f t="shared" si="900"/>
        <v>0</v>
      </c>
      <c r="CL1340" s="2">
        <f t="shared" si="900"/>
        <v>0</v>
      </c>
      <c r="CM1340" s="2">
        <f t="shared" si="900"/>
        <v>0</v>
      </c>
      <c r="CN1340" s="2">
        <f t="shared" si="900"/>
        <v>0</v>
      </c>
      <c r="CO1340" s="2">
        <f t="shared" si="900"/>
        <v>0</v>
      </c>
      <c r="CP1340" s="2">
        <f t="shared" si="900"/>
        <v>0</v>
      </c>
      <c r="CQ1340" s="2">
        <f t="shared" si="900"/>
        <v>0</v>
      </c>
      <c r="CR1340" s="2">
        <f t="shared" si="900"/>
        <v>0</v>
      </c>
      <c r="CS1340" s="2">
        <f t="shared" si="900"/>
        <v>0</v>
      </c>
      <c r="CT1340" s="2">
        <f t="shared" si="900"/>
        <v>0</v>
      </c>
      <c r="CU1340" s="2">
        <f t="shared" si="900"/>
        <v>0</v>
      </c>
      <c r="CV1340" s="2">
        <f t="shared" si="900"/>
        <v>0</v>
      </c>
      <c r="CW1340" s="2">
        <f t="shared" si="900"/>
        <v>0</v>
      </c>
      <c r="CX1340" s="2">
        <f t="shared" si="900"/>
        <v>0</v>
      </c>
      <c r="CY1340" s="2">
        <f t="shared" si="900"/>
        <v>0</v>
      </c>
      <c r="CZ1340" s="2">
        <f t="shared" si="900"/>
        <v>0</v>
      </c>
      <c r="DA1340" s="2">
        <f t="shared" si="900"/>
        <v>0</v>
      </c>
      <c r="DB1340" s="2">
        <f t="shared" si="900"/>
        <v>0</v>
      </c>
      <c r="DC1340" s="2">
        <f t="shared" si="900"/>
        <v>0</v>
      </c>
      <c r="DD1340" s="2">
        <f t="shared" si="900"/>
        <v>0</v>
      </c>
      <c r="DE1340" s="2">
        <f t="shared" si="900"/>
        <v>0</v>
      </c>
      <c r="DF1340" s="2">
        <f t="shared" si="900"/>
        <v>0</v>
      </c>
      <c r="DG1340" s="3">
        <f t="shared" ref="DG1340:EL1340" si="901">DG1347</f>
        <v>0</v>
      </c>
      <c r="DH1340" s="3">
        <f t="shared" si="901"/>
        <v>0</v>
      </c>
      <c r="DI1340" s="3">
        <f t="shared" si="901"/>
        <v>0</v>
      </c>
      <c r="DJ1340" s="3">
        <f t="shared" si="901"/>
        <v>0</v>
      </c>
      <c r="DK1340" s="3">
        <f t="shared" si="901"/>
        <v>0</v>
      </c>
      <c r="DL1340" s="3">
        <f t="shared" si="901"/>
        <v>0</v>
      </c>
      <c r="DM1340" s="3">
        <f t="shared" si="901"/>
        <v>0</v>
      </c>
      <c r="DN1340" s="3">
        <f t="shared" si="901"/>
        <v>0</v>
      </c>
      <c r="DO1340" s="3">
        <f t="shared" si="901"/>
        <v>0</v>
      </c>
      <c r="DP1340" s="3">
        <f t="shared" si="901"/>
        <v>0</v>
      </c>
      <c r="DQ1340" s="3">
        <f t="shared" si="901"/>
        <v>0</v>
      </c>
      <c r="DR1340" s="3">
        <f t="shared" si="901"/>
        <v>0</v>
      </c>
      <c r="DS1340" s="3">
        <f t="shared" si="901"/>
        <v>0</v>
      </c>
      <c r="DT1340" s="3">
        <f t="shared" si="901"/>
        <v>0</v>
      </c>
      <c r="DU1340" s="3">
        <f t="shared" si="901"/>
        <v>0</v>
      </c>
      <c r="DV1340" s="3">
        <f t="shared" si="901"/>
        <v>0</v>
      </c>
      <c r="DW1340" s="3">
        <f t="shared" si="901"/>
        <v>0</v>
      </c>
      <c r="DX1340" s="3">
        <f t="shared" si="901"/>
        <v>0</v>
      </c>
      <c r="DY1340" s="3">
        <f t="shared" si="901"/>
        <v>0</v>
      </c>
      <c r="DZ1340" s="3">
        <f t="shared" si="901"/>
        <v>0</v>
      </c>
      <c r="EA1340" s="3">
        <f t="shared" si="901"/>
        <v>0</v>
      </c>
      <c r="EB1340" s="3">
        <f t="shared" si="901"/>
        <v>0</v>
      </c>
      <c r="EC1340" s="3">
        <f t="shared" si="901"/>
        <v>0</v>
      </c>
      <c r="ED1340" s="3">
        <f t="shared" si="901"/>
        <v>0</v>
      </c>
      <c r="EE1340" s="3">
        <f t="shared" si="901"/>
        <v>0</v>
      </c>
      <c r="EF1340" s="3">
        <f t="shared" si="901"/>
        <v>0</v>
      </c>
      <c r="EG1340" s="3">
        <f t="shared" si="901"/>
        <v>0</v>
      </c>
      <c r="EH1340" s="3">
        <f t="shared" si="901"/>
        <v>0</v>
      </c>
      <c r="EI1340" s="3">
        <f t="shared" si="901"/>
        <v>0</v>
      </c>
      <c r="EJ1340" s="3">
        <f t="shared" si="901"/>
        <v>0</v>
      </c>
      <c r="EK1340" s="3">
        <f t="shared" si="901"/>
        <v>0</v>
      </c>
      <c r="EL1340" s="3">
        <f t="shared" si="901"/>
        <v>0</v>
      </c>
      <c r="EM1340" s="3">
        <f t="shared" ref="EM1340:FR1340" si="902">EM1347</f>
        <v>0</v>
      </c>
      <c r="EN1340" s="3">
        <f t="shared" si="902"/>
        <v>0</v>
      </c>
      <c r="EO1340" s="3">
        <f t="shared" si="902"/>
        <v>0</v>
      </c>
      <c r="EP1340" s="3">
        <f t="shared" si="902"/>
        <v>0</v>
      </c>
      <c r="EQ1340" s="3">
        <f t="shared" si="902"/>
        <v>0</v>
      </c>
      <c r="ER1340" s="3">
        <f t="shared" si="902"/>
        <v>0</v>
      </c>
      <c r="ES1340" s="3">
        <f t="shared" si="902"/>
        <v>0</v>
      </c>
      <c r="ET1340" s="3">
        <f t="shared" si="902"/>
        <v>0</v>
      </c>
      <c r="EU1340" s="3">
        <f t="shared" si="902"/>
        <v>0</v>
      </c>
      <c r="EV1340" s="3">
        <f t="shared" si="902"/>
        <v>0</v>
      </c>
      <c r="EW1340" s="3">
        <f t="shared" si="902"/>
        <v>0</v>
      </c>
      <c r="EX1340" s="3">
        <f t="shared" si="902"/>
        <v>0</v>
      </c>
      <c r="EY1340" s="3">
        <f t="shared" si="902"/>
        <v>0</v>
      </c>
      <c r="EZ1340" s="3">
        <f t="shared" si="902"/>
        <v>0</v>
      </c>
      <c r="FA1340" s="3">
        <f t="shared" si="902"/>
        <v>0</v>
      </c>
      <c r="FB1340" s="3">
        <f t="shared" si="902"/>
        <v>0</v>
      </c>
      <c r="FC1340" s="3">
        <f t="shared" si="902"/>
        <v>0</v>
      </c>
      <c r="FD1340" s="3">
        <f t="shared" si="902"/>
        <v>0</v>
      </c>
      <c r="FE1340" s="3">
        <f t="shared" si="902"/>
        <v>0</v>
      </c>
      <c r="FF1340" s="3">
        <f t="shared" si="902"/>
        <v>0</v>
      </c>
      <c r="FG1340" s="3">
        <f t="shared" si="902"/>
        <v>0</v>
      </c>
      <c r="FH1340" s="3">
        <f t="shared" si="902"/>
        <v>0</v>
      </c>
      <c r="FI1340" s="3">
        <f t="shared" si="902"/>
        <v>0</v>
      </c>
      <c r="FJ1340" s="3">
        <f t="shared" si="902"/>
        <v>0</v>
      </c>
      <c r="FK1340" s="3">
        <f t="shared" si="902"/>
        <v>0</v>
      </c>
      <c r="FL1340" s="3">
        <f t="shared" si="902"/>
        <v>0</v>
      </c>
      <c r="FM1340" s="3">
        <f t="shared" si="902"/>
        <v>0</v>
      </c>
      <c r="FN1340" s="3">
        <f t="shared" si="902"/>
        <v>0</v>
      </c>
      <c r="FO1340" s="3">
        <f t="shared" si="902"/>
        <v>0</v>
      </c>
      <c r="FP1340" s="3">
        <f t="shared" si="902"/>
        <v>0</v>
      </c>
      <c r="FQ1340" s="3">
        <f t="shared" si="902"/>
        <v>0</v>
      </c>
      <c r="FR1340" s="3">
        <f t="shared" si="902"/>
        <v>0</v>
      </c>
      <c r="FS1340" s="3">
        <f t="shared" ref="FS1340:GX1340" si="903">FS1347</f>
        <v>0</v>
      </c>
      <c r="FT1340" s="3">
        <f t="shared" si="903"/>
        <v>0</v>
      </c>
      <c r="FU1340" s="3">
        <f t="shared" si="903"/>
        <v>0</v>
      </c>
      <c r="FV1340" s="3">
        <f t="shared" si="903"/>
        <v>0</v>
      </c>
      <c r="FW1340" s="3">
        <f t="shared" si="903"/>
        <v>0</v>
      </c>
      <c r="FX1340" s="3">
        <f t="shared" si="903"/>
        <v>0</v>
      </c>
      <c r="FY1340" s="3">
        <f t="shared" si="903"/>
        <v>0</v>
      </c>
      <c r="FZ1340" s="3">
        <f t="shared" si="903"/>
        <v>0</v>
      </c>
      <c r="GA1340" s="3">
        <f t="shared" si="903"/>
        <v>0</v>
      </c>
      <c r="GB1340" s="3">
        <f t="shared" si="903"/>
        <v>0</v>
      </c>
      <c r="GC1340" s="3">
        <f t="shared" si="903"/>
        <v>0</v>
      </c>
      <c r="GD1340" s="3">
        <f t="shared" si="903"/>
        <v>0</v>
      </c>
      <c r="GE1340" s="3">
        <f t="shared" si="903"/>
        <v>0</v>
      </c>
      <c r="GF1340" s="3">
        <f t="shared" si="903"/>
        <v>0</v>
      </c>
      <c r="GG1340" s="3">
        <f t="shared" si="903"/>
        <v>0</v>
      </c>
      <c r="GH1340" s="3">
        <f t="shared" si="903"/>
        <v>0</v>
      </c>
      <c r="GI1340" s="3">
        <f t="shared" si="903"/>
        <v>0</v>
      </c>
      <c r="GJ1340" s="3">
        <f t="shared" si="903"/>
        <v>0</v>
      </c>
      <c r="GK1340" s="3">
        <f t="shared" si="903"/>
        <v>0</v>
      </c>
      <c r="GL1340" s="3">
        <f t="shared" si="903"/>
        <v>0</v>
      </c>
      <c r="GM1340" s="3">
        <f t="shared" si="903"/>
        <v>0</v>
      </c>
      <c r="GN1340" s="3">
        <f t="shared" si="903"/>
        <v>0</v>
      </c>
      <c r="GO1340" s="3">
        <f t="shared" si="903"/>
        <v>0</v>
      </c>
      <c r="GP1340" s="3">
        <f t="shared" si="903"/>
        <v>0</v>
      </c>
      <c r="GQ1340" s="3">
        <f t="shared" si="903"/>
        <v>0</v>
      </c>
      <c r="GR1340" s="3">
        <f t="shared" si="903"/>
        <v>0</v>
      </c>
      <c r="GS1340" s="3">
        <f t="shared" si="903"/>
        <v>0</v>
      </c>
      <c r="GT1340" s="3">
        <f t="shared" si="903"/>
        <v>0</v>
      </c>
      <c r="GU1340" s="3">
        <f t="shared" si="903"/>
        <v>0</v>
      </c>
      <c r="GV1340" s="3">
        <f t="shared" si="903"/>
        <v>0</v>
      </c>
      <c r="GW1340" s="3">
        <f t="shared" si="903"/>
        <v>0</v>
      </c>
      <c r="GX1340" s="3">
        <f t="shared" si="903"/>
        <v>0</v>
      </c>
    </row>
    <row r="1342" spans="1:245" x14ac:dyDescent="0.2">
      <c r="A1342">
        <v>17</v>
      </c>
      <c r="B1342">
        <v>1</v>
      </c>
      <c r="C1342">
        <f>ROW(SmtRes!A403)</f>
        <v>403</v>
      </c>
      <c r="D1342">
        <f>ROW(EtalonRes!A406)</f>
        <v>406</v>
      </c>
      <c r="E1342" t="s">
        <v>626</v>
      </c>
      <c r="F1342" t="s">
        <v>627</v>
      </c>
      <c r="G1342" t="s">
        <v>628</v>
      </c>
      <c r="H1342" t="s">
        <v>462</v>
      </c>
      <c r="I1342">
        <f>ROUND(40/100,5)</f>
        <v>0.4</v>
      </c>
      <c r="J1342">
        <v>0</v>
      </c>
      <c r="O1342">
        <f>ROUND(CP1342,2)</f>
        <v>13565.71</v>
      </c>
      <c r="P1342">
        <f>ROUND((ROUND((AC1342*AW1342*I1342),2)*BC1342),2)</f>
        <v>3.19</v>
      </c>
      <c r="Q1342">
        <f>(ROUND((ROUND(((ET1342)*AV1342*I1342),2)*BB1342),2)+ROUND((ROUND(((AE1342-(EU1342))*AV1342*I1342),2)*BS1342),2))</f>
        <v>679.36</v>
      </c>
      <c r="R1342">
        <f>ROUND((ROUND((AE1342*AV1342*I1342),2)*BS1342),2)</f>
        <v>359.86</v>
      </c>
      <c r="S1342">
        <f>ROUND((ROUND((AF1342*AV1342*I1342),2)*BA1342),2)</f>
        <v>12883.16</v>
      </c>
      <c r="T1342">
        <f>ROUND(CU1342*I1342,2)</f>
        <v>0</v>
      </c>
      <c r="U1342">
        <f>CV1342*I1342</f>
        <v>40.400000000000006</v>
      </c>
      <c r="V1342">
        <f>CW1342*I1342</f>
        <v>0</v>
      </c>
      <c r="W1342">
        <f>ROUND(CX1342*I1342,2)</f>
        <v>0</v>
      </c>
      <c r="X1342">
        <f t="shared" ref="X1342:Y1345" si="904">ROUND(CY1342,2)</f>
        <v>11337.18</v>
      </c>
      <c r="Y1342">
        <f t="shared" si="904"/>
        <v>5410.93</v>
      </c>
      <c r="AA1342">
        <v>33989672</v>
      </c>
      <c r="AB1342">
        <f>ROUND((AC1342+AD1342+AF1342),6)</f>
        <v>1474.18</v>
      </c>
      <c r="AC1342">
        <f>ROUND((ES1342),6)</f>
        <v>1.41</v>
      </c>
      <c r="AD1342">
        <f>ROUND((((ET1342)-(EU1342))+AE1342),6)</f>
        <v>159.77000000000001</v>
      </c>
      <c r="AE1342">
        <f t="shared" ref="AE1342:AF1345" si="905">ROUND((EU1342),6)</f>
        <v>36.68</v>
      </c>
      <c r="AF1342">
        <f t="shared" si="905"/>
        <v>1313</v>
      </c>
      <c r="AG1342">
        <f>ROUND((AP1342),6)</f>
        <v>0</v>
      </c>
      <c r="AH1342">
        <f t="shared" ref="AH1342:AI1345" si="906">(EW1342)</f>
        <v>101</v>
      </c>
      <c r="AI1342">
        <f t="shared" si="906"/>
        <v>0</v>
      </c>
      <c r="AJ1342">
        <f>(AS1342)</f>
        <v>0</v>
      </c>
      <c r="AK1342">
        <v>1474.18</v>
      </c>
      <c r="AL1342">
        <v>1.41</v>
      </c>
      <c r="AM1342">
        <v>159.77000000000001</v>
      </c>
      <c r="AN1342">
        <v>36.68</v>
      </c>
      <c r="AO1342">
        <v>1313</v>
      </c>
      <c r="AP1342">
        <v>0</v>
      </c>
      <c r="AQ1342">
        <v>101</v>
      </c>
      <c r="AR1342">
        <v>0</v>
      </c>
      <c r="AS1342">
        <v>0</v>
      </c>
      <c r="AT1342">
        <v>88</v>
      </c>
      <c r="AU1342">
        <v>42</v>
      </c>
      <c r="AV1342">
        <v>1</v>
      </c>
      <c r="AW1342">
        <v>1</v>
      </c>
      <c r="AZ1342">
        <v>1</v>
      </c>
      <c r="BA1342">
        <v>24.53</v>
      </c>
      <c r="BB1342">
        <v>10.63</v>
      </c>
      <c r="BC1342">
        <v>5.69</v>
      </c>
      <c r="BD1342" t="s">
        <v>3</v>
      </c>
      <c r="BE1342" t="s">
        <v>3</v>
      </c>
      <c r="BF1342" t="s">
        <v>3</v>
      </c>
      <c r="BG1342" t="s">
        <v>3</v>
      </c>
      <c r="BH1342">
        <v>0</v>
      </c>
      <c r="BI1342">
        <v>1</v>
      </c>
      <c r="BJ1342" t="s">
        <v>629</v>
      </c>
      <c r="BM1342">
        <v>114</v>
      </c>
      <c r="BN1342">
        <v>0</v>
      </c>
      <c r="BO1342" t="s">
        <v>627</v>
      </c>
      <c r="BP1342">
        <v>1</v>
      </c>
      <c r="BQ1342">
        <v>30</v>
      </c>
      <c r="BR1342">
        <v>0</v>
      </c>
      <c r="BS1342">
        <v>24.53</v>
      </c>
      <c r="BT1342">
        <v>1</v>
      </c>
      <c r="BU1342">
        <v>1</v>
      </c>
      <c r="BV1342">
        <v>1</v>
      </c>
      <c r="BW1342">
        <v>1</v>
      </c>
      <c r="BX1342">
        <v>1</v>
      </c>
      <c r="BY1342" t="s">
        <v>3</v>
      </c>
      <c r="BZ1342">
        <v>88</v>
      </c>
      <c r="CA1342">
        <v>42</v>
      </c>
      <c r="CE1342">
        <v>30</v>
      </c>
      <c r="CF1342">
        <v>0</v>
      </c>
      <c r="CG1342">
        <v>0</v>
      </c>
      <c r="CM1342">
        <v>0</v>
      </c>
      <c r="CN1342" t="s">
        <v>3</v>
      </c>
      <c r="CO1342">
        <v>0</v>
      </c>
      <c r="CP1342">
        <f>(P1342+Q1342+S1342)</f>
        <v>13565.71</v>
      </c>
      <c r="CQ1342">
        <f>ROUND((ROUND((AC1342*AW1342*1),2)*BC1342),2)</f>
        <v>8.02</v>
      </c>
      <c r="CR1342">
        <f>(ROUND((ROUND(((ET1342)*AV1342*1),2)*BB1342),2)+ROUND((ROUND(((AE1342-(EU1342))*AV1342*1),2)*BS1342),2))</f>
        <v>1698.36</v>
      </c>
      <c r="CS1342">
        <f>ROUND((ROUND((AE1342*AV1342*1),2)*BS1342),2)</f>
        <v>899.76</v>
      </c>
      <c r="CT1342">
        <f>ROUND((ROUND((AF1342*AV1342*1),2)*BA1342),2)</f>
        <v>32207.89</v>
      </c>
      <c r="CU1342">
        <f>AG1342</f>
        <v>0</v>
      </c>
      <c r="CV1342">
        <f>(AH1342*AV1342)</f>
        <v>101</v>
      </c>
      <c r="CW1342">
        <f t="shared" ref="CW1342:CX1345" si="907">AI1342</f>
        <v>0</v>
      </c>
      <c r="CX1342">
        <f t="shared" si="907"/>
        <v>0</v>
      </c>
      <c r="CY1342">
        <f>S1342*(BZ1342/100)</f>
        <v>11337.1808</v>
      </c>
      <c r="CZ1342">
        <f>S1342*(CA1342/100)</f>
        <v>5410.9272000000001</v>
      </c>
      <c r="DC1342" t="s">
        <v>3</v>
      </c>
      <c r="DD1342" t="s">
        <v>3</v>
      </c>
      <c r="DE1342" t="s">
        <v>3</v>
      </c>
      <c r="DF1342" t="s">
        <v>3</v>
      </c>
      <c r="DG1342" t="s">
        <v>3</v>
      </c>
      <c r="DH1342" t="s">
        <v>3</v>
      </c>
      <c r="DI1342" t="s">
        <v>3</v>
      </c>
      <c r="DJ1342" t="s">
        <v>3</v>
      </c>
      <c r="DK1342" t="s">
        <v>3</v>
      </c>
      <c r="DL1342" t="s">
        <v>3</v>
      </c>
      <c r="DM1342" t="s">
        <v>3</v>
      </c>
      <c r="DN1342">
        <v>120</v>
      </c>
      <c r="DO1342">
        <v>84</v>
      </c>
      <c r="DP1342">
        <v>1</v>
      </c>
      <c r="DQ1342">
        <v>1</v>
      </c>
      <c r="DU1342">
        <v>1013</v>
      </c>
      <c r="DV1342" t="s">
        <v>462</v>
      </c>
      <c r="DW1342" t="s">
        <v>462</v>
      </c>
      <c r="DX1342">
        <v>1</v>
      </c>
      <c r="EE1342">
        <v>33797753</v>
      </c>
      <c r="EF1342">
        <v>30</v>
      </c>
      <c r="EG1342" t="s">
        <v>77</v>
      </c>
      <c r="EH1342">
        <v>0</v>
      </c>
      <c r="EI1342" t="s">
        <v>3</v>
      </c>
      <c r="EJ1342">
        <v>1</v>
      </c>
      <c r="EK1342">
        <v>114</v>
      </c>
      <c r="EL1342" t="s">
        <v>464</v>
      </c>
      <c r="EM1342" t="s">
        <v>465</v>
      </c>
      <c r="EO1342" t="s">
        <v>3</v>
      </c>
      <c r="EQ1342">
        <v>131072</v>
      </c>
      <c r="ER1342">
        <v>1474.18</v>
      </c>
      <c r="ES1342">
        <v>1.41</v>
      </c>
      <c r="ET1342">
        <v>159.77000000000001</v>
      </c>
      <c r="EU1342">
        <v>36.68</v>
      </c>
      <c r="EV1342">
        <v>1313</v>
      </c>
      <c r="EW1342">
        <v>101</v>
      </c>
      <c r="EX1342">
        <v>0</v>
      </c>
      <c r="EY1342">
        <v>0</v>
      </c>
      <c r="FQ1342">
        <v>0</v>
      </c>
      <c r="FR1342">
        <f>ROUND(IF(AND(BH1342=3,BI1342=3),P1342,0),2)</f>
        <v>0</v>
      </c>
      <c r="FS1342">
        <v>0</v>
      </c>
      <c r="FX1342">
        <v>120</v>
      </c>
      <c r="FY1342">
        <v>84</v>
      </c>
      <c r="GA1342" t="s">
        <v>3</v>
      </c>
      <c r="GD1342">
        <v>0</v>
      </c>
      <c r="GF1342">
        <v>1524837789</v>
      </c>
      <c r="GG1342">
        <v>2</v>
      </c>
      <c r="GH1342">
        <v>1</v>
      </c>
      <c r="GI1342">
        <v>2</v>
      </c>
      <c r="GJ1342">
        <v>0</v>
      </c>
      <c r="GK1342">
        <f>ROUND(R1342*(R12)/100,2)</f>
        <v>564.98</v>
      </c>
      <c r="GL1342">
        <f>ROUND(IF(AND(BH1342=3,BI1342=3,FS1342&lt;&gt;0),P1342,0),2)</f>
        <v>0</v>
      </c>
      <c r="GM1342">
        <f>ROUND(O1342+X1342+Y1342+GK1342,2)+GX1342</f>
        <v>30878.799999999999</v>
      </c>
      <c r="GN1342">
        <f>IF(OR(BI1342=0,BI1342=1),ROUND(O1342+X1342+Y1342+GK1342,2),0)</f>
        <v>30878.799999999999</v>
      </c>
      <c r="GO1342">
        <f>IF(BI1342=2,ROUND(O1342+X1342+Y1342+GK1342,2),0)</f>
        <v>0</v>
      </c>
      <c r="GP1342">
        <f>IF(BI1342=4,ROUND(O1342+X1342+Y1342+GK1342,2)+GX1342,0)</f>
        <v>0</v>
      </c>
      <c r="GR1342">
        <v>0</v>
      </c>
      <c r="GS1342">
        <v>3</v>
      </c>
      <c r="GT1342">
        <v>0</v>
      </c>
      <c r="GU1342" t="s">
        <v>3</v>
      </c>
      <c r="GV1342">
        <f>ROUND((GT1342),6)</f>
        <v>0</v>
      </c>
      <c r="GW1342">
        <v>1</v>
      </c>
      <c r="GX1342">
        <f>ROUND(HC1342*I1342,2)</f>
        <v>0</v>
      </c>
      <c r="HA1342">
        <v>0</v>
      </c>
      <c r="HB1342">
        <v>0</v>
      </c>
      <c r="HC1342">
        <f>GV1342*GW1342</f>
        <v>0</v>
      </c>
      <c r="IK1342">
        <v>0</v>
      </c>
    </row>
    <row r="1343" spans="1:245" x14ac:dyDescent="0.2">
      <c r="A1343">
        <v>18</v>
      </c>
      <c r="B1343">
        <v>1</v>
      </c>
      <c r="C1343">
        <v>400</v>
      </c>
      <c r="E1343" t="s">
        <v>630</v>
      </c>
      <c r="F1343" t="s">
        <v>467</v>
      </c>
      <c r="G1343" t="s">
        <v>468</v>
      </c>
      <c r="H1343" t="s">
        <v>66</v>
      </c>
      <c r="I1343">
        <f>I1342*J1343</f>
        <v>5.7119999999999997E-2</v>
      </c>
      <c r="J1343">
        <v>0.14279999999999998</v>
      </c>
      <c r="O1343">
        <f>ROUND(CP1343,2)</f>
        <v>2</v>
      </c>
      <c r="P1343">
        <f>ROUND((ROUND((AC1343*AW1343*I1343),2)*BC1343),2)</f>
        <v>2</v>
      </c>
      <c r="Q1343">
        <f>(ROUND((ROUND(((ET1343)*AV1343*I1343),2)*BB1343),2)+ROUND((ROUND(((AE1343-(EU1343))*AV1343*I1343),2)*BS1343),2))</f>
        <v>0</v>
      </c>
      <c r="R1343">
        <f>ROUND((ROUND((AE1343*AV1343*I1343),2)*BS1343),2)</f>
        <v>0</v>
      </c>
      <c r="S1343">
        <f>ROUND((ROUND((AF1343*AV1343*I1343),2)*BA1343),2)</f>
        <v>0</v>
      </c>
      <c r="T1343">
        <f>ROUND(CU1343*I1343,2)</f>
        <v>0</v>
      </c>
      <c r="U1343">
        <f>CV1343*I1343</f>
        <v>0</v>
      </c>
      <c r="V1343">
        <f>CW1343*I1343</f>
        <v>0</v>
      </c>
      <c r="W1343">
        <f>ROUND(CX1343*I1343,2)</f>
        <v>0</v>
      </c>
      <c r="X1343">
        <f t="shared" si="904"/>
        <v>0</v>
      </c>
      <c r="Y1343">
        <f t="shared" si="904"/>
        <v>0</v>
      </c>
      <c r="AA1343">
        <v>33989672</v>
      </c>
      <c r="AB1343">
        <f>ROUND((AC1343+AD1343+AF1343),6)</f>
        <v>7.07</v>
      </c>
      <c r="AC1343">
        <f>ROUND((ES1343),6)</f>
        <v>7.07</v>
      </c>
      <c r="AD1343">
        <f>ROUND((((ET1343)-(EU1343))+AE1343),6)</f>
        <v>0</v>
      </c>
      <c r="AE1343">
        <f t="shared" si="905"/>
        <v>0</v>
      </c>
      <c r="AF1343">
        <f t="shared" si="905"/>
        <v>0</v>
      </c>
      <c r="AG1343">
        <f>ROUND((AP1343),6)</f>
        <v>0</v>
      </c>
      <c r="AH1343">
        <f t="shared" si="906"/>
        <v>0</v>
      </c>
      <c r="AI1343">
        <f t="shared" si="906"/>
        <v>0</v>
      </c>
      <c r="AJ1343">
        <f>(AS1343)</f>
        <v>0</v>
      </c>
      <c r="AK1343">
        <v>7.07</v>
      </c>
      <c r="AL1343">
        <v>7.07</v>
      </c>
      <c r="AM1343">
        <v>0</v>
      </c>
      <c r="AN1343">
        <v>0</v>
      </c>
      <c r="AO1343">
        <v>0</v>
      </c>
      <c r="AP1343">
        <v>0</v>
      </c>
      <c r="AQ1343">
        <v>0</v>
      </c>
      <c r="AR1343">
        <v>0</v>
      </c>
      <c r="AS1343">
        <v>0</v>
      </c>
      <c r="AT1343">
        <v>0</v>
      </c>
      <c r="AU1343">
        <v>0</v>
      </c>
      <c r="AV1343">
        <v>1</v>
      </c>
      <c r="AW1343">
        <v>1</v>
      </c>
      <c r="AZ1343">
        <v>1</v>
      </c>
      <c r="BA1343">
        <v>1</v>
      </c>
      <c r="BB1343">
        <v>1</v>
      </c>
      <c r="BC1343">
        <v>4.99</v>
      </c>
      <c r="BD1343" t="s">
        <v>3</v>
      </c>
      <c r="BE1343" t="s">
        <v>3</v>
      </c>
      <c r="BF1343" t="s">
        <v>3</v>
      </c>
      <c r="BG1343" t="s">
        <v>3</v>
      </c>
      <c r="BH1343">
        <v>3</v>
      </c>
      <c r="BI1343">
        <v>1</v>
      </c>
      <c r="BJ1343" t="s">
        <v>469</v>
      </c>
      <c r="BM1343">
        <v>114</v>
      </c>
      <c r="BN1343">
        <v>0</v>
      </c>
      <c r="BO1343" t="s">
        <v>467</v>
      </c>
      <c r="BP1343">
        <v>1</v>
      </c>
      <c r="BQ1343">
        <v>30</v>
      </c>
      <c r="BR1343">
        <v>0</v>
      </c>
      <c r="BS1343">
        <v>1</v>
      </c>
      <c r="BT1343">
        <v>1</v>
      </c>
      <c r="BU1343">
        <v>1</v>
      </c>
      <c r="BV1343">
        <v>1</v>
      </c>
      <c r="BW1343">
        <v>1</v>
      </c>
      <c r="BX1343">
        <v>1</v>
      </c>
      <c r="BY1343" t="s">
        <v>3</v>
      </c>
      <c r="BZ1343">
        <v>0</v>
      </c>
      <c r="CA1343">
        <v>0</v>
      </c>
      <c r="CE1343">
        <v>30</v>
      </c>
      <c r="CF1343">
        <v>0</v>
      </c>
      <c r="CG1343">
        <v>0</v>
      </c>
      <c r="CM1343">
        <v>0</v>
      </c>
      <c r="CN1343" t="s">
        <v>3</v>
      </c>
      <c r="CO1343">
        <v>0</v>
      </c>
      <c r="CP1343">
        <f>(P1343+Q1343+S1343)</f>
        <v>2</v>
      </c>
      <c r="CQ1343">
        <f>ROUND((ROUND((AC1343*AW1343*1),2)*BC1343),2)</f>
        <v>35.28</v>
      </c>
      <c r="CR1343">
        <f>(ROUND((ROUND(((ET1343)*AV1343*1),2)*BB1343),2)+ROUND((ROUND(((AE1343-(EU1343))*AV1343*1),2)*BS1343),2))</f>
        <v>0</v>
      </c>
      <c r="CS1343">
        <f>ROUND((ROUND((AE1343*AV1343*1),2)*BS1343),2)</f>
        <v>0</v>
      </c>
      <c r="CT1343">
        <f>ROUND((ROUND((AF1343*AV1343*1),2)*BA1343),2)</f>
        <v>0</v>
      </c>
      <c r="CU1343">
        <f>AG1343</f>
        <v>0</v>
      </c>
      <c r="CV1343">
        <f>(AH1343*AV1343)</f>
        <v>0</v>
      </c>
      <c r="CW1343">
        <f t="shared" si="907"/>
        <v>0</v>
      </c>
      <c r="CX1343">
        <f t="shared" si="907"/>
        <v>0</v>
      </c>
      <c r="CY1343">
        <f>S1343*(BZ1343/100)</f>
        <v>0</v>
      </c>
      <c r="CZ1343">
        <f>S1343*(CA1343/100)</f>
        <v>0</v>
      </c>
      <c r="DC1343" t="s">
        <v>3</v>
      </c>
      <c r="DD1343" t="s">
        <v>3</v>
      </c>
      <c r="DE1343" t="s">
        <v>3</v>
      </c>
      <c r="DF1343" t="s">
        <v>3</v>
      </c>
      <c r="DG1343" t="s">
        <v>3</v>
      </c>
      <c r="DH1343" t="s">
        <v>3</v>
      </c>
      <c r="DI1343" t="s">
        <v>3</v>
      </c>
      <c r="DJ1343" t="s">
        <v>3</v>
      </c>
      <c r="DK1343" t="s">
        <v>3</v>
      </c>
      <c r="DL1343" t="s">
        <v>3</v>
      </c>
      <c r="DM1343" t="s">
        <v>3</v>
      </c>
      <c r="DN1343">
        <v>120</v>
      </c>
      <c r="DO1343">
        <v>84</v>
      </c>
      <c r="DP1343">
        <v>1</v>
      </c>
      <c r="DQ1343">
        <v>1</v>
      </c>
      <c r="DU1343">
        <v>1007</v>
      </c>
      <c r="DV1343" t="s">
        <v>66</v>
      </c>
      <c r="DW1343" t="s">
        <v>66</v>
      </c>
      <c r="DX1343">
        <v>1</v>
      </c>
      <c r="EE1343">
        <v>33797753</v>
      </c>
      <c r="EF1343">
        <v>30</v>
      </c>
      <c r="EG1343" t="s">
        <v>77</v>
      </c>
      <c r="EH1343">
        <v>0</v>
      </c>
      <c r="EI1343" t="s">
        <v>3</v>
      </c>
      <c r="EJ1343">
        <v>1</v>
      </c>
      <c r="EK1343">
        <v>114</v>
      </c>
      <c r="EL1343" t="s">
        <v>464</v>
      </c>
      <c r="EM1343" t="s">
        <v>465</v>
      </c>
      <c r="EO1343" t="s">
        <v>3</v>
      </c>
      <c r="EQ1343">
        <v>0</v>
      </c>
      <c r="ER1343">
        <v>7.07</v>
      </c>
      <c r="ES1343">
        <v>7.07</v>
      </c>
      <c r="ET1343">
        <v>0</v>
      </c>
      <c r="EU1343">
        <v>0</v>
      </c>
      <c r="EV1343">
        <v>0</v>
      </c>
      <c r="EW1343">
        <v>0</v>
      </c>
      <c r="EX1343">
        <v>0</v>
      </c>
      <c r="FQ1343">
        <v>0</v>
      </c>
      <c r="FR1343">
        <f>ROUND(IF(AND(BH1343=3,BI1343=3),P1343,0),2)</f>
        <v>0</v>
      </c>
      <c r="FS1343">
        <v>0</v>
      </c>
      <c r="FX1343">
        <v>120</v>
      </c>
      <c r="FY1343">
        <v>84</v>
      </c>
      <c r="GA1343" t="s">
        <v>3</v>
      </c>
      <c r="GD1343">
        <v>0</v>
      </c>
      <c r="GF1343">
        <v>-862991314</v>
      </c>
      <c r="GG1343">
        <v>2</v>
      </c>
      <c r="GH1343">
        <v>1</v>
      </c>
      <c r="GI1343">
        <v>2</v>
      </c>
      <c r="GJ1343">
        <v>0</v>
      </c>
      <c r="GK1343">
        <f>ROUND(R1343*(R12)/100,2)</f>
        <v>0</v>
      </c>
      <c r="GL1343">
        <f>ROUND(IF(AND(BH1343=3,BI1343=3,FS1343&lt;&gt;0),P1343,0),2)</f>
        <v>0</v>
      </c>
      <c r="GM1343">
        <f>ROUND(O1343+X1343+Y1343+GK1343,2)+GX1343</f>
        <v>2</v>
      </c>
      <c r="GN1343">
        <f>IF(OR(BI1343=0,BI1343=1),ROUND(O1343+X1343+Y1343+GK1343,2),0)</f>
        <v>2</v>
      </c>
      <c r="GO1343">
        <f>IF(BI1343=2,ROUND(O1343+X1343+Y1343+GK1343,2),0)</f>
        <v>0</v>
      </c>
      <c r="GP1343">
        <f>IF(BI1343=4,ROUND(O1343+X1343+Y1343+GK1343,2)+GX1343,0)</f>
        <v>0</v>
      </c>
      <c r="GR1343">
        <v>0</v>
      </c>
      <c r="GS1343">
        <v>3</v>
      </c>
      <c r="GT1343">
        <v>0</v>
      </c>
      <c r="GU1343" t="s">
        <v>3</v>
      </c>
      <c r="GV1343">
        <f>ROUND((GT1343),6)</f>
        <v>0</v>
      </c>
      <c r="GW1343">
        <v>1</v>
      </c>
      <c r="GX1343">
        <f>ROUND(HC1343*I1343,2)</f>
        <v>0</v>
      </c>
      <c r="HA1343">
        <v>0</v>
      </c>
      <c r="HB1343">
        <v>0</v>
      </c>
      <c r="HC1343">
        <f>GV1343*GW1343</f>
        <v>0</v>
      </c>
      <c r="IK1343">
        <v>0</v>
      </c>
    </row>
    <row r="1344" spans="1:245" x14ac:dyDescent="0.2">
      <c r="A1344">
        <v>18</v>
      </c>
      <c r="B1344">
        <v>1</v>
      </c>
      <c r="C1344">
        <v>402</v>
      </c>
      <c r="E1344" t="s">
        <v>631</v>
      </c>
      <c r="F1344" t="s">
        <v>632</v>
      </c>
      <c r="G1344" t="s">
        <v>633</v>
      </c>
      <c r="H1344" t="s">
        <v>51</v>
      </c>
      <c r="I1344">
        <f>I1342*J1344</f>
        <v>0.32640000000000002</v>
      </c>
      <c r="J1344">
        <v>0.81600000000000006</v>
      </c>
      <c r="O1344">
        <f>ROUND(CP1344,2)</f>
        <v>10947.71</v>
      </c>
      <c r="P1344">
        <f>ROUND((ROUND((AC1344*AW1344*I1344),2)*BC1344),2)</f>
        <v>10947.71</v>
      </c>
      <c r="Q1344">
        <f>(ROUND((ROUND(((ET1344)*AV1344*I1344),2)*BB1344),2)+ROUND((ROUND(((AE1344-(EU1344))*AV1344*I1344),2)*BS1344),2))</f>
        <v>0</v>
      </c>
      <c r="R1344">
        <f>ROUND((ROUND((AE1344*AV1344*I1344),2)*BS1344),2)</f>
        <v>0</v>
      </c>
      <c r="S1344">
        <f>ROUND((ROUND((AF1344*AV1344*I1344),2)*BA1344),2)</f>
        <v>0</v>
      </c>
      <c r="T1344">
        <f>ROUND(CU1344*I1344,2)</f>
        <v>0</v>
      </c>
      <c r="U1344">
        <f>CV1344*I1344</f>
        <v>0</v>
      </c>
      <c r="V1344">
        <f>CW1344*I1344</f>
        <v>0</v>
      </c>
      <c r="W1344">
        <f>ROUND(CX1344*I1344,2)</f>
        <v>0</v>
      </c>
      <c r="X1344">
        <f t="shared" si="904"/>
        <v>0</v>
      </c>
      <c r="Y1344">
        <f t="shared" si="904"/>
        <v>0</v>
      </c>
      <c r="AA1344">
        <v>33989672</v>
      </c>
      <c r="AB1344">
        <f>ROUND((AC1344+AD1344+AF1344),6)</f>
        <v>18737.86</v>
      </c>
      <c r="AC1344">
        <f>ROUND((ES1344),6)</f>
        <v>18737.86</v>
      </c>
      <c r="AD1344">
        <f>ROUND((((ET1344)-(EU1344))+AE1344),6)</f>
        <v>0</v>
      </c>
      <c r="AE1344">
        <f t="shared" si="905"/>
        <v>0</v>
      </c>
      <c r="AF1344">
        <f t="shared" si="905"/>
        <v>0</v>
      </c>
      <c r="AG1344">
        <f>ROUND((AP1344),6)</f>
        <v>0</v>
      </c>
      <c r="AH1344">
        <f t="shared" si="906"/>
        <v>0</v>
      </c>
      <c r="AI1344">
        <f t="shared" si="906"/>
        <v>0</v>
      </c>
      <c r="AJ1344">
        <f>(AS1344)</f>
        <v>0</v>
      </c>
      <c r="AK1344">
        <v>18737.86</v>
      </c>
      <c r="AL1344">
        <v>18737.86</v>
      </c>
      <c r="AM1344">
        <v>0</v>
      </c>
      <c r="AN1344">
        <v>0</v>
      </c>
      <c r="AO1344">
        <v>0</v>
      </c>
      <c r="AP1344">
        <v>0</v>
      </c>
      <c r="AQ1344">
        <v>0</v>
      </c>
      <c r="AR1344">
        <v>0</v>
      </c>
      <c r="AS1344">
        <v>0</v>
      </c>
      <c r="AT1344">
        <v>0</v>
      </c>
      <c r="AU1344">
        <v>0</v>
      </c>
      <c r="AV1344">
        <v>1</v>
      </c>
      <c r="AW1344">
        <v>1</v>
      </c>
      <c r="AZ1344">
        <v>1</v>
      </c>
      <c r="BA1344">
        <v>1</v>
      </c>
      <c r="BB1344">
        <v>1</v>
      </c>
      <c r="BC1344">
        <v>1.79</v>
      </c>
      <c r="BD1344" t="s">
        <v>3</v>
      </c>
      <c r="BE1344" t="s">
        <v>3</v>
      </c>
      <c r="BF1344" t="s">
        <v>3</v>
      </c>
      <c r="BG1344" t="s">
        <v>3</v>
      </c>
      <c r="BH1344">
        <v>3</v>
      </c>
      <c r="BI1344">
        <v>1</v>
      </c>
      <c r="BJ1344" t="s">
        <v>634</v>
      </c>
      <c r="BM1344">
        <v>114</v>
      </c>
      <c r="BN1344">
        <v>0</v>
      </c>
      <c r="BO1344" t="s">
        <v>632</v>
      </c>
      <c r="BP1344">
        <v>1</v>
      </c>
      <c r="BQ1344">
        <v>30</v>
      </c>
      <c r="BR1344">
        <v>0</v>
      </c>
      <c r="BS1344">
        <v>1</v>
      </c>
      <c r="BT1344">
        <v>1</v>
      </c>
      <c r="BU1344">
        <v>1</v>
      </c>
      <c r="BV1344">
        <v>1</v>
      </c>
      <c r="BW1344">
        <v>1</v>
      </c>
      <c r="BX1344">
        <v>1</v>
      </c>
      <c r="BY1344" t="s">
        <v>3</v>
      </c>
      <c r="BZ1344">
        <v>0</v>
      </c>
      <c r="CA1344">
        <v>0</v>
      </c>
      <c r="CE1344">
        <v>30</v>
      </c>
      <c r="CF1344">
        <v>0</v>
      </c>
      <c r="CG1344">
        <v>0</v>
      </c>
      <c r="CM1344">
        <v>0</v>
      </c>
      <c r="CN1344" t="s">
        <v>3</v>
      </c>
      <c r="CO1344">
        <v>0</v>
      </c>
      <c r="CP1344">
        <f>(P1344+Q1344+S1344)</f>
        <v>10947.71</v>
      </c>
      <c r="CQ1344">
        <f>ROUND((ROUND((AC1344*AW1344*1),2)*BC1344),2)</f>
        <v>33540.769999999997</v>
      </c>
      <c r="CR1344">
        <f>(ROUND((ROUND(((ET1344)*AV1344*1),2)*BB1344),2)+ROUND((ROUND(((AE1344-(EU1344))*AV1344*1),2)*BS1344),2))</f>
        <v>0</v>
      </c>
      <c r="CS1344">
        <f>ROUND((ROUND((AE1344*AV1344*1),2)*BS1344),2)</f>
        <v>0</v>
      </c>
      <c r="CT1344">
        <f>ROUND((ROUND((AF1344*AV1344*1),2)*BA1344),2)</f>
        <v>0</v>
      </c>
      <c r="CU1344">
        <f>AG1344</f>
        <v>0</v>
      </c>
      <c r="CV1344">
        <f>(AH1344*AV1344)</f>
        <v>0</v>
      </c>
      <c r="CW1344">
        <f t="shared" si="907"/>
        <v>0</v>
      </c>
      <c r="CX1344">
        <f t="shared" si="907"/>
        <v>0</v>
      </c>
      <c r="CY1344">
        <f>S1344*(BZ1344/100)</f>
        <v>0</v>
      </c>
      <c r="CZ1344">
        <f>S1344*(CA1344/100)</f>
        <v>0</v>
      </c>
      <c r="DC1344" t="s">
        <v>3</v>
      </c>
      <c r="DD1344" t="s">
        <v>3</v>
      </c>
      <c r="DE1344" t="s">
        <v>3</v>
      </c>
      <c r="DF1344" t="s">
        <v>3</v>
      </c>
      <c r="DG1344" t="s">
        <v>3</v>
      </c>
      <c r="DH1344" t="s">
        <v>3</v>
      </c>
      <c r="DI1344" t="s">
        <v>3</v>
      </c>
      <c r="DJ1344" t="s">
        <v>3</v>
      </c>
      <c r="DK1344" t="s">
        <v>3</v>
      </c>
      <c r="DL1344" t="s">
        <v>3</v>
      </c>
      <c r="DM1344" t="s">
        <v>3</v>
      </c>
      <c r="DN1344">
        <v>120</v>
      </c>
      <c r="DO1344">
        <v>84</v>
      </c>
      <c r="DP1344">
        <v>1</v>
      </c>
      <c r="DQ1344">
        <v>1</v>
      </c>
      <c r="DU1344">
        <v>1009</v>
      </c>
      <c r="DV1344" t="s">
        <v>51</v>
      </c>
      <c r="DW1344" t="s">
        <v>51</v>
      </c>
      <c r="DX1344">
        <v>1000</v>
      </c>
      <c r="EE1344">
        <v>33797753</v>
      </c>
      <c r="EF1344">
        <v>30</v>
      </c>
      <c r="EG1344" t="s">
        <v>77</v>
      </c>
      <c r="EH1344">
        <v>0</v>
      </c>
      <c r="EI1344" t="s">
        <v>3</v>
      </c>
      <c r="EJ1344">
        <v>1</v>
      </c>
      <c r="EK1344">
        <v>114</v>
      </c>
      <c r="EL1344" t="s">
        <v>464</v>
      </c>
      <c r="EM1344" t="s">
        <v>465</v>
      </c>
      <c r="EO1344" t="s">
        <v>3</v>
      </c>
      <c r="EQ1344">
        <v>0</v>
      </c>
      <c r="ER1344">
        <v>18737.86</v>
      </c>
      <c r="ES1344">
        <v>18737.86</v>
      </c>
      <c r="ET1344">
        <v>0</v>
      </c>
      <c r="EU1344">
        <v>0</v>
      </c>
      <c r="EV1344">
        <v>0</v>
      </c>
      <c r="EW1344">
        <v>0</v>
      </c>
      <c r="EX1344">
        <v>0</v>
      </c>
      <c r="FQ1344">
        <v>0</v>
      </c>
      <c r="FR1344">
        <f>ROUND(IF(AND(BH1344=3,BI1344=3),P1344,0),2)</f>
        <v>0</v>
      </c>
      <c r="FS1344">
        <v>0</v>
      </c>
      <c r="FX1344">
        <v>120</v>
      </c>
      <c r="FY1344">
        <v>84</v>
      </c>
      <c r="GA1344" t="s">
        <v>3</v>
      </c>
      <c r="GD1344">
        <v>0</v>
      </c>
      <c r="GF1344">
        <v>1606119865</v>
      </c>
      <c r="GG1344">
        <v>2</v>
      </c>
      <c r="GH1344">
        <v>1</v>
      </c>
      <c r="GI1344">
        <v>2</v>
      </c>
      <c r="GJ1344">
        <v>0</v>
      </c>
      <c r="GK1344">
        <f>ROUND(R1344*(R12)/100,2)</f>
        <v>0</v>
      </c>
      <c r="GL1344">
        <f>ROUND(IF(AND(BH1344=3,BI1344=3,FS1344&lt;&gt;0),P1344,0),2)</f>
        <v>0</v>
      </c>
      <c r="GM1344">
        <f>ROUND(O1344+X1344+Y1344+GK1344,2)+GX1344</f>
        <v>10947.71</v>
      </c>
      <c r="GN1344">
        <f>IF(OR(BI1344=0,BI1344=1),ROUND(O1344+X1344+Y1344+GK1344,2),0)</f>
        <v>10947.71</v>
      </c>
      <c r="GO1344">
        <f>IF(BI1344=2,ROUND(O1344+X1344+Y1344+GK1344,2),0)</f>
        <v>0</v>
      </c>
      <c r="GP1344">
        <f>IF(BI1344=4,ROUND(O1344+X1344+Y1344+GK1344,2)+GX1344,0)</f>
        <v>0</v>
      </c>
      <c r="GR1344">
        <v>0</v>
      </c>
      <c r="GS1344">
        <v>3</v>
      </c>
      <c r="GT1344">
        <v>0</v>
      </c>
      <c r="GU1344" t="s">
        <v>3</v>
      </c>
      <c r="GV1344">
        <f>ROUND((GT1344),6)</f>
        <v>0</v>
      </c>
      <c r="GW1344">
        <v>1</v>
      </c>
      <c r="GX1344">
        <f>ROUND(HC1344*I1344,2)</f>
        <v>0</v>
      </c>
      <c r="HA1344">
        <v>0</v>
      </c>
      <c r="HB1344">
        <v>0</v>
      </c>
      <c r="HC1344">
        <f>GV1344*GW1344</f>
        <v>0</v>
      </c>
      <c r="IK1344">
        <v>0</v>
      </c>
    </row>
    <row r="1345" spans="1:245" x14ac:dyDescent="0.2">
      <c r="A1345">
        <v>18</v>
      </c>
      <c r="B1345">
        <v>1</v>
      </c>
      <c r="C1345">
        <v>401</v>
      </c>
      <c r="E1345" t="s">
        <v>635</v>
      </c>
      <c r="F1345" t="s">
        <v>475</v>
      </c>
      <c r="G1345" t="s">
        <v>476</v>
      </c>
      <c r="H1345" t="s">
        <v>66</v>
      </c>
      <c r="I1345">
        <f>I1342*J1345</f>
        <v>0.81599999999999984</v>
      </c>
      <c r="J1345">
        <v>2.0399999999999996</v>
      </c>
      <c r="O1345">
        <f>ROUND(CP1345,2)</f>
        <v>2629.57</v>
      </c>
      <c r="P1345">
        <f>ROUND((ROUND((AC1345*AW1345*I1345),2)*BC1345),2)</f>
        <v>2629.57</v>
      </c>
      <c r="Q1345">
        <f>(ROUND((ROUND(((ET1345)*AV1345*I1345),2)*BB1345),2)+ROUND((ROUND(((AE1345-(EU1345))*AV1345*I1345),2)*BS1345),2))</f>
        <v>0</v>
      </c>
      <c r="R1345">
        <f>ROUND((ROUND((AE1345*AV1345*I1345),2)*BS1345),2)</f>
        <v>0</v>
      </c>
      <c r="S1345">
        <f>ROUND((ROUND((AF1345*AV1345*I1345),2)*BA1345),2)</f>
        <v>0</v>
      </c>
      <c r="T1345">
        <f>ROUND(CU1345*I1345,2)</f>
        <v>0</v>
      </c>
      <c r="U1345">
        <f>CV1345*I1345</f>
        <v>0</v>
      </c>
      <c r="V1345">
        <f>CW1345*I1345</f>
        <v>0</v>
      </c>
      <c r="W1345">
        <f>ROUND(CX1345*I1345,2)</f>
        <v>0</v>
      </c>
      <c r="X1345">
        <f t="shared" si="904"/>
        <v>0</v>
      </c>
      <c r="Y1345">
        <f t="shared" si="904"/>
        <v>0</v>
      </c>
      <c r="AA1345">
        <v>33989672</v>
      </c>
      <c r="AB1345">
        <f>ROUND((AC1345+AD1345+AF1345),6)</f>
        <v>481.69</v>
      </c>
      <c r="AC1345">
        <f>ROUND((ES1345),6)</f>
        <v>481.69</v>
      </c>
      <c r="AD1345">
        <f>ROUND((((ET1345)-(EU1345))+AE1345),6)</f>
        <v>0</v>
      </c>
      <c r="AE1345">
        <f t="shared" si="905"/>
        <v>0</v>
      </c>
      <c r="AF1345">
        <f t="shared" si="905"/>
        <v>0</v>
      </c>
      <c r="AG1345">
        <f>ROUND((AP1345),6)</f>
        <v>0</v>
      </c>
      <c r="AH1345">
        <f t="shared" si="906"/>
        <v>0</v>
      </c>
      <c r="AI1345">
        <f t="shared" si="906"/>
        <v>0</v>
      </c>
      <c r="AJ1345">
        <f>(AS1345)</f>
        <v>0</v>
      </c>
      <c r="AK1345">
        <v>481.69</v>
      </c>
      <c r="AL1345">
        <v>481.69</v>
      </c>
      <c r="AM1345">
        <v>0</v>
      </c>
      <c r="AN1345">
        <v>0</v>
      </c>
      <c r="AO1345">
        <v>0</v>
      </c>
      <c r="AP1345">
        <v>0</v>
      </c>
      <c r="AQ1345">
        <v>0</v>
      </c>
      <c r="AR1345">
        <v>0</v>
      </c>
      <c r="AS1345">
        <v>0</v>
      </c>
      <c r="AT1345">
        <v>0</v>
      </c>
      <c r="AU1345">
        <v>0</v>
      </c>
      <c r="AV1345">
        <v>1</v>
      </c>
      <c r="AW1345">
        <v>1</v>
      </c>
      <c r="AZ1345">
        <v>1</v>
      </c>
      <c r="BA1345">
        <v>1</v>
      </c>
      <c r="BB1345">
        <v>1</v>
      </c>
      <c r="BC1345">
        <v>6.69</v>
      </c>
      <c r="BD1345" t="s">
        <v>3</v>
      </c>
      <c r="BE1345" t="s">
        <v>3</v>
      </c>
      <c r="BF1345" t="s">
        <v>3</v>
      </c>
      <c r="BG1345" t="s">
        <v>3</v>
      </c>
      <c r="BH1345">
        <v>3</v>
      </c>
      <c r="BI1345">
        <v>1</v>
      </c>
      <c r="BJ1345" t="s">
        <v>477</v>
      </c>
      <c r="BM1345">
        <v>114</v>
      </c>
      <c r="BN1345">
        <v>0</v>
      </c>
      <c r="BO1345" t="s">
        <v>475</v>
      </c>
      <c r="BP1345">
        <v>1</v>
      </c>
      <c r="BQ1345">
        <v>30</v>
      </c>
      <c r="BR1345">
        <v>0</v>
      </c>
      <c r="BS1345">
        <v>1</v>
      </c>
      <c r="BT1345">
        <v>1</v>
      </c>
      <c r="BU1345">
        <v>1</v>
      </c>
      <c r="BV1345">
        <v>1</v>
      </c>
      <c r="BW1345">
        <v>1</v>
      </c>
      <c r="BX1345">
        <v>1</v>
      </c>
      <c r="BY1345" t="s">
        <v>3</v>
      </c>
      <c r="BZ1345">
        <v>0</v>
      </c>
      <c r="CA1345">
        <v>0</v>
      </c>
      <c r="CE1345">
        <v>30</v>
      </c>
      <c r="CF1345">
        <v>0</v>
      </c>
      <c r="CG1345">
        <v>0</v>
      </c>
      <c r="CM1345">
        <v>0</v>
      </c>
      <c r="CN1345" t="s">
        <v>3</v>
      </c>
      <c r="CO1345">
        <v>0</v>
      </c>
      <c r="CP1345">
        <f>(P1345+Q1345+S1345)</f>
        <v>2629.57</v>
      </c>
      <c r="CQ1345">
        <f>ROUND((ROUND((AC1345*AW1345*1),2)*BC1345),2)</f>
        <v>3222.51</v>
      </c>
      <c r="CR1345">
        <f>(ROUND((ROUND(((ET1345)*AV1345*1),2)*BB1345),2)+ROUND((ROUND(((AE1345-(EU1345))*AV1345*1),2)*BS1345),2))</f>
        <v>0</v>
      </c>
      <c r="CS1345">
        <f>ROUND((ROUND((AE1345*AV1345*1),2)*BS1345),2)</f>
        <v>0</v>
      </c>
      <c r="CT1345">
        <f>ROUND((ROUND((AF1345*AV1345*1),2)*BA1345),2)</f>
        <v>0</v>
      </c>
      <c r="CU1345">
        <f>AG1345</f>
        <v>0</v>
      </c>
      <c r="CV1345">
        <f>(AH1345*AV1345)</f>
        <v>0</v>
      </c>
      <c r="CW1345">
        <f t="shared" si="907"/>
        <v>0</v>
      </c>
      <c r="CX1345">
        <f t="shared" si="907"/>
        <v>0</v>
      </c>
      <c r="CY1345">
        <f>S1345*(BZ1345/100)</f>
        <v>0</v>
      </c>
      <c r="CZ1345">
        <f>S1345*(CA1345/100)</f>
        <v>0</v>
      </c>
      <c r="DC1345" t="s">
        <v>3</v>
      </c>
      <c r="DD1345" t="s">
        <v>3</v>
      </c>
      <c r="DE1345" t="s">
        <v>3</v>
      </c>
      <c r="DF1345" t="s">
        <v>3</v>
      </c>
      <c r="DG1345" t="s">
        <v>3</v>
      </c>
      <c r="DH1345" t="s">
        <v>3</v>
      </c>
      <c r="DI1345" t="s">
        <v>3</v>
      </c>
      <c r="DJ1345" t="s">
        <v>3</v>
      </c>
      <c r="DK1345" t="s">
        <v>3</v>
      </c>
      <c r="DL1345" t="s">
        <v>3</v>
      </c>
      <c r="DM1345" t="s">
        <v>3</v>
      </c>
      <c r="DN1345">
        <v>120</v>
      </c>
      <c r="DO1345">
        <v>84</v>
      </c>
      <c r="DP1345">
        <v>1</v>
      </c>
      <c r="DQ1345">
        <v>1</v>
      </c>
      <c r="DU1345">
        <v>1007</v>
      </c>
      <c r="DV1345" t="s">
        <v>66</v>
      </c>
      <c r="DW1345" t="s">
        <v>66</v>
      </c>
      <c r="DX1345">
        <v>1</v>
      </c>
      <c r="EE1345">
        <v>33797753</v>
      </c>
      <c r="EF1345">
        <v>30</v>
      </c>
      <c r="EG1345" t="s">
        <v>77</v>
      </c>
      <c r="EH1345">
        <v>0</v>
      </c>
      <c r="EI1345" t="s">
        <v>3</v>
      </c>
      <c r="EJ1345">
        <v>1</v>
      </c>
      <c r="EK1345">
        <v>114</v>
      </c>
      <c r="EL1345" t="s">
        <v>464</v>
      </c>
      <c r="EM1345" t="s">
        <v>465</v>
      </c>
      <c r="EO1345" t="s">
        <v>3</v>
      </c>
      <c r="EQ1345">
        <v>0</v>
      </c>
      <c r="ER1345">
        <v>481.69</v>
      </c>
      <c r="ES1345">
        <v>481.69</v>
      </c>
      <c r="ET1345">
        <v>0</v>
      </c>
      <c r="EU1345">
        <v>0</v>
      </c>
      <c r="EV1345">
        <v>0</v>
      </c>
      <c r="EW1345">
        <v>0</v>
      </c>
      <c r="EX1345">
        <v>0</v>
      </c>
      <c r="FQ1345">
        <v>0</v>
      </c>
      <c r="FR1345">
        <f>ROUND(IF(AND(BH1345=3,BI1345=3),P1345,0),2)</f>
        <v>0</v>
      </c>
      <c r="FS1345">
        <v>0</v>
      </c>
      <c r="FX1345">
        <v>120</v>
      </c>
      <c r="FY1345">
        <v>84</v>
      </c>
      <c r="GA1345" t="s">
        <v>3</v>
      </c>
      <c r="GD1345">
        <v>0</v>
      </c>
      <c r="GF1345">
        <v>202608499</v>
      </c>
      <c r="GG1345">
        <v>2</v>
      </c>
      <c r="GH1345">
        <v>1</v>
      </c>
      <c r="GI1345">
        <v>2</v>
      </c>
      <c r="GJ1345">
        <v>0</v>
      </c>
      <c r="GK1345">
        <f>ROUND(R1345*(R12)/100,2)</f>
        <v>0</v>
      </c>
      <c r="GL1345">
        <f>ROUND(IF(AND(BH1345=3,BI1345=3,FS1345&lt;&gt;0),P1345,0),2)</f>
        <v>0</v>
      </c>
      <c r="GM1345">
        <f>ROUND(O1345+X1345+Y1345+GK1345,2)+GX1345</f>
        <v>2629.57</v>
      </c>
      <c r="GN1345">
        <f>IF(OR(BI1345=0,BI1345=1),ROUND(O1345+X1345+Y1345+GK1345,2),0)</f>
        <v>2629.57</v>
      </c>
      <c r="GO1345">
        <f>IF(BI1345=2,ROUND(O1345+X1345+Y1345+GK1345,2),0)</f>
        <v>0</v>
      </c>
      <c r="GP1345">
        <f>IF(BI1345=4,ROUND(O1345+X1345+Y1345+GK1345,2)+GX1345,0)</f>
        <v>0</v>
      </c>
      <c r="GR1345">
        <v>0</v>
      </c>
      <c r="GS1345">
        <v>3</v>
      </c>
      <c r="GT1345">
        <v>0</v>
      </c>
      <c r="GU1345" t="s">
        <v>3</v>
      </c>
      <c r="GV1345">
        <f>ROUND((GT1345),6)</f>
        <v>0</v>
      </c>
      <c r="GW1345">
        <v>1</v>
      </c>
      <c r="GX1345">
        <f>ROUND(HC1345*I1345,2)</f>
        <v>0</v>
      </c>
      <c r="HA1345">
        <v>0</v>
      </c>
      <c r="HB1345">
        <v>0</v>
      </c>
      <c r="HC1345">
        <f>GV1345*GW1345</f>
        <v>0</v>
      </c>
      <c r="IK1345">
        <v>0</v>
      </c>
    </row>
    <row r="1347" spans="1:245" x14ac:dyDescent="0.2">
      <c r="A1347" s="2">
        <v>51</v>
      </c>
      <c r="B1347" s="2">
        <f>B1338</f>
        <v>1</v>
      </c>
      <c r="C1347" s="2">
        <f>A1338</f>
        <v>4</v>
      </c>
      <c r="D1347" s="2">
        <f>ROW(A1338)</f>
        <v>1338</v>
      </c>
      <c r="E1347" s="2"/>
      <c r="F1347" s="2" t="str">
        <f>IF(F1338&lt;&gt;"",F1338,"")</f>
        <v>Новый раздел</v>
      </c>
      <c r="G1347" s="2" t="str">
        <f>IF(G1338&lt;&gt;"",G1338,"")</f>
        <v>54. Облицовка подпорной стенки мраморной штукатуркой</v>
      </c>
      <c r="H1347" s="2">
        <v>0</v>
      </c>
      <c r="I1347" s="2"/>
      <c r="J1347" s="2"/>
      <c r="K1347" s="2"/>
      <c r="L1347" s="2"/>
      <c r="M1347" s="2"/>
      <c r="N1347" s="2"/>
      <c r="O1347" s="2">
        <f t="shared" ref="O1347:T1347" si="908">ROUND(AB1347,2)</f>
        <v>27144.99</v>
      </c>
      <c r="P1347" s="2">
        <f t="shared" si="908"/>
        <v>13582.47</v>
      </c>
      <c r="Q1347" s="2">
        <f t="shared" si="908"/>
        <v>679.36</v>
      </c>
      <c r="R1347" s="2">
        <f t="shared" si="908"/>
        <v>359.86</v>
      </c>
      <c r="S1347" s="2">
        <f t="shared" si="908"/>
        <v>12883.16</v>
      </c>
      <c r="T1347" s="2">
        <f t="shared" si="908"/>
        <v>0</v>
      </c>
      <c r="U1347" s="2">
        <f>AH1347</f>
        <v>40.400000000000006</v>
      </c>
      <c r="V1347" s="2">
        <f>AI1347</f>
        <v>0</v>
      </c>
      <c r="W1347" s="2">
        <f>ROUND(AJ1347,2)</f>
        <v>0</v>
      </c>
      <c r="X1347" s="2">
        <f>ROUND(AK1347,2)</f>
        <v>11337.18</v>
      </c>
      <c r="Y1347" s="2">
        <f>ROUND(AL1347,2)</f>
        <v>5410.93</v>
      </c>
      <c r="Z1347" s="2"/>
      <c r="AA1347" s="2"/>
      <c r="AB1347" s="2">
        <f>ROUND(SUMIF(AA1342:AA1345,"=33989672",O1342:O1345),2)</f>
        <v>27144.99</v>
      </c>
      <c r="AC1347" s="2">
        <f>ROUND(SUMIF(AA1342:AA1345,"=33989672",P1342:P1345),2)</f>
        <v>13582.47</v>
      </c>
      <c r="AD1347" s="2">
        <f>ROUND(SUMIF(AA1342:AA1345,"=33989672",Q1342:Q1345),2)</f>
        <v>679.36</v>
      </c>
      <c r="AE1347" s="2">
        <f>ROUND(SUMIF(AA1342:AA1345,"=33989672",R1342:R1345),2)</f>
        <v>359.86</v>
      </c>
      <c r="AF1347" s="2">
        <f>ROUND(SUMIF(AA1342:AA1345,"=33989672",S1342:S1345),2)</f>
        <v>12883.16</v>
      </c>
      <c r="AG1347" s="2">
        <f>ROUND(SUMIF(AA1342:AA1345,"=33989672",T1342:T1345),2)</f>
        <v>0</v>
      </c>
      <c r="AH1347" s="2">
        <f>SUMIF(AA1342:AA1345,"=33989672",U1342:U1345)</f>
        <v>40.400000000000006</v>
      </c>
      <c r="AI1347" s="2">
        <f>SUMIF(AA1342:AA1345,"=33989672",V1342:V1345)</f>
        <v>0</v>
      </c>
      <c r="AJ1347" s="2">
        <f>ROUND(SUMIF(AA1342:AA1345,"=33989672",W1342:W1345),2)</f>
        <v>0</v>
      </c>
      <c r="AK1347" s="2">
        <f>ROUND(SUMIF(AA1342:AA1345,"=33989672",X1342:X1345),2)</f>
        <v>11337.18</v>
      </c>
      <c r="AL1347" s="2">
        <f>ROUND(SUMIF(AA1342:AA1345,"=33989672",Y1342:Y1345),2)</f>
        <v>5410.93</v>
      </c>
      <c r="AM1347" s="2"/>
      <c r="AN1347" s="2"/>
      <c r="AO1347" s="2">
        <f t="shared" ref="AO1347:BD1347" si="909">ROUND(BX1347,2)</f>
        <v>0</v>
      </c>
      <c r="AP1347" s="2">
        <f t="shared" si="909"/>
        <v>0</v>
      </c>
      <c r="AQ1347" s="2">
        <f t="shared" si="909"/>
        <v>0</v>
      </c>
      <c r="AR1347" s="2">
        <f t="shared" si="909"/>
        <v>44458.080000000002</v>
      </c>
      <c r="AS1347" s="2">
        <f t="shared" si="909"/>
        <v>44458.080000000002</v>
      </c>
      <c r="AT1347" s="2">
        <f t="shared" si="909"/>
        <v>0</v>
      </c>
      <c r="AU1347" s="2">
        <f t="shared" si="909"/>
        <v>0</v>
      </c>
      <c r="AV1347" s="2">
        <f t="shared" si="909"/>
        <v>13582.47</v>
      </c>
      <c r="AW1347" s="2">
        <f t="shared" si="909"/>
        <v>13582.47</v>
      </c>
      <c r="AX1347" s="2">
        <f t="shared" si="909"/>
        <v>0</v>
      </c>
      <c r="AY1347" s="2">
        <f t="shared" si="909"/>
        <v>13582.47</v>
      </c>
      <c r="AZ1347" s="2">
        <f t="shared" si="909"/>
        <v>0</v>
      </c>
      <c r="BA1347" s="2">
        <f t="shared" si="909"/>
        <v>0</v>
      </c>
      <c r="BB1347" s="2">
        <f t="shared" si="909"/>
        <v>0</v>
      </c>
      <c r="BC1347" s="2">
        <f t="shared" si="909"/>
        <v>0</v>
      </c>
      <c r="BD1347" s="2">
        <f t="shared" si="909"/>
        <v>0</v>
      </c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>
        <f>ROUND(SUMIF(AA1342:AA1345,"=33989672",FQ1342:FQ1345),2)</f>
        <v>0</v>
      </c>
      <c r="BY1347" s="2">
        <f>ROUND(SUMIF(AA1342:AA1345,"=33989672",FR1342:FR1345),2)</f>
        <v>0</v>
      </c>
      <c r="BZ1347" s="2">
        <f>ROUND(SUMIF(AA1342:AA1345,"=33989672",GL1342:GL1345),2)</f>
        <v>0</v>
      </c>
      <c r="CA1347" s="2">
        <f>ROUND(SUMIF(AA1342:AA1345,"=33989672",GM1342:GM1345),2)</f>
        <v>44458.080000000002</v>
      </c>
      <c r="CB1347" s="2">
        <f>ROUND(SUMIF(AA1342:AA1345,"=33989672",GN1342:GN1345),2)</f>
        <v>44458.080000000002</v>
      </c>
      <c r="CC1347" s="2">
        <f>ROUND(SUMIF(AA1342:AA1345,"=33989672",GO1342:GO1345),2)</f>
        <v>0</v>
      </c>
      <c r="CD1347" s="2">
        <f>ROUND(SUMIF(AA1342:AA1345,"=33989672",GP1342:GP1345),2)</f>
        <v>0</v>
      </c>
      <c r="CE1347" s="2">
        <f>AC1347-BX1347</f>
        <v>13582.47</v>
      </c>
      <c r="CF1347" s="2">
        <f>AC1347-BY1347</f>
        <v>13582.47</v>
      </c>
      <c r="CG1347" s="2">
        <f>BX1347-BZ1347</f>
        <v>0</v>
      </c>
      <c r="CH1347" s="2">
        <f>AC1347-BX1347-BY1347+BZ1347</f>
        <v>13582.47</v>
      </c>
      <c r="CI1347" s="2">
        <f>BY1347-BZ1347</f>
        <v>0</v>
      </c>
      <c r="CJ1347" s="2">
        <f>ROUND(SUMIF(AA1342:AA1345,"=33989672",GX1342:GX1345),2)</f>
        <v>0</v>
      </c>
      <c r="CK1347" s="2">
        <f>ROUND(SUMIF(AA1342:AA1345,"=33989672",GY1342:GY1345),2)</f>
        <v>0</v>
      </c>
      <c r="CL1347" s="2">
        <f>ROUND(SUMIF(AA1342:AA1345,"=33989672",GZ1342:GZ1345),2)</f>
        <v>0</v>
      </c>
      <c r="CM1347" s="2">
        <f>ROUND(SUMIF(AA1342:AA1345,"=33989672",HD1342:HD1345),2)</f>
        <v>0</v>
      </c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3"/>
      <c r="DH1347" s="3"/>
      <c r="DI1347" s="3"/>
      <c r="DJ1347" s="3"/>
      <c r="DK1347" s="3"/>
      <c r="DL1347" s="3"/>
      <c r="DM1347" s="3"/>
      <c r="DN1347" s="3"/>
      <c r="DO1347" s="3"/>
      <c r="DP1347" s="3"/>
      <c r="DQ1347" s="3"/>
      <c r="DR1347" s="3"/>
      <c r="DS1347" s="3"/>
      <c r="DT1347" s="3"/>
      <c r="DU1347" s="3"/>
      <c r="DV1347" s="3"/>
      <c r="DW1347" s="3"/>
      <c r="DX1347" s="3"/>
      <c r="DY1347" s="3"/>
      <c r="DZ1347" s="3"/>
      <c r="EA1347" s="3"/>
      <c r="EB1347" s="3"/>
      <c r="EC1347" s="3"/>
      <c r="ED1347" s="3"/>
      <c r="EE1347" s="3"/>
      <c r="EF1347" s="3"/>
      <c r="EG1347" s="3"/>
      <c r="EH1347" s="3"/>
      <c r="EI1347" s="3"/>
      <c r="EJ1347" s="3"/>
      <c r="EK1347" s="3"/>
      <c r="EL1347" s="3"/>
      <c r="EM1347" s="3"/>
      <c r="EN1347" s="3"/>
      <c r="EO1347" s="3"/>
      <c r="EP1347" s="3"/>
      <c r="EQ1347" s="3"/>
      <c r="ER1347" s="3"/>
      <c r="ES1347" s="3"/>
      <c r="ET1347" s="3"/>
      <c r="EU1347" s="3"/>
      <c r="EV1347" s="3"/>
      <c r="EW1347" s="3"/>
      <c r="EX1347" s="3"/>
      <c r="EY1347" s="3"/>
      <c r="EZ1347" s="3"/>
      <c r="FA1347" s="3"/>
      <c r="FB1347" s="3"/>
      <c r="FC1347" s="3"/>
      <c r="FD1347" s="3"/>
      <c r="FE1347" s="3"/>
      <c r="FF1347" s="3"/>
      <c r="FG1347" s="3"/>
      <c r="FH1347" s="3"/>
      <c r="FI1347" s="3"/>
      <c r="FJ1347" s="3"/>
      <c r="FK1347" s="3"/>
      <c r="FL1347" s="3"/>
      <c r="FM1347" s="3"/>
      <c r="FN1347" s="3"/>
      <c r="FO1347" s="3"/>
      <c r="FP1347" s="3"/>
      <c r="FQ1347" s="3"/>
      <c r="FR1347" s="3"/>
      <c r="FS1347" s="3"/>
      <c r="FT1347" s="3"/>
      <c r="FU1347" s="3"/>
      <c r="FV1347" s="3"/>
      <c r="FW1347" s="3"/>
      <c r="FX1347" s="3"/>
      <c r="FY1347" s="3"/>
      <c r="FZ1347" s="3"/>
      <c r="GA1347" s="3"/>
      <c r="GB1347" s="3"/>
      <c r="GC1347" s="3"/>
      <c r="GD1347" s="3"/>
      <c r="GE1347" s="3"/>
      <c r="GF1347" s="3"/>
      <c r="GG1347" s="3"/>
      <c r="GH1347" s="3"/>
      <c r="GI1347" s="3"/>
      <c r="GJ1347" s="3"/>
      <c r="GK1347" s="3"/>
      <c r="GL1347" s="3"/>
      <c r="GM1347" s="3"/>
      <c r="GN1347" s="3"/>
      <c r="GO1347" s="3"/>
      <c r="GP1347" s="3"/>
      <c r="GQ1347" s="3"/>
      <c r="GR1347" s="3"/>
      <c r="GS1347" s="3"/>
      <c r="GT1347" s="3"/>
      <c r="GU1347" s="3"/>
      <c r="GV1347" s="3"/>
      <c r="GW1347" s="3"/>
      <c r="GX1347" s="3">
        <v>0</v>
      </c>
    </row>
    <row r="1349" spans="1:245" x14ac:dyDescent="0.2">
      <c r="A1349" s="4">
        <v>50</v>
      </c>
      <c r="B1349" s="4">
        <v>0</v>
      </c>
      <c r="C1349" s="4">
        <v>0</v>
      </c>
      <c r="D1349" s="4">
        <v>1</v>
      </c>
      <c r="E1349" s="4">
        <v>201</v>
      </c>
      <c r="F1349" s="4">
        <f>ROUND(Source!O1347,O1349)</f>
        <v>27144.99</v>
      </c>
      <c r="G1349" s="4" t="s">
        <v>89</v>
      </c>
      <c r="H1349" s="4" t="s">
        <v>90</v>
      </c>
      <c r="I1349" s="4"/>
      <c r="J1349" s="4"/>
      <c r="K1349" s="4">
        <v>201</v>
      </c>
      <c r="L1349" s="4">
        <v>1</v>
      </c>
      <c r="M1349" s="4">
        <v>3</v>
      </c>
      <c r="N1349" s="4" t="s">
        <v>3</v>
      </c>
      <c r="O1349" s="4">
        <v>2</v>
      </c>
      <c r="P1349" s="4"/>
      <c r="Q1349" s="4"/>
      <c r="R1349" s="4"/>
      <c r="S1349" s="4"/>
      <c r="T1349" s="4"/>
      <c r="U1349" s="4"/>
      <c r="V1349" s="4"/>
      <c r="W1349" s="4"/>
    </row>
    <row r="1350" spans="1:245" x14ac:dyDescent="0.2">
      <c r="A1350" s="4">
        <v>50</v>
      </c>
      <c r="B1350" s="4">
        <v>0</v>
      </c>
      <c r="C1350" s="4">
        <v>0</v>
      </c>
      <c r="D1350" s="4">
        <v>1</v>
      </c>
      <c r="E1350" s="4">
        <v>202</v>
      </c>
      <c r="F1350" s="4">
        <f>ROUND(Source!P1347,O1350)</f>
        <v>13582.47</v>
      </c>
      <c r="G1350" s="4" t="s">
        <v>91</v>
      </c>
      <c r="H1350" s="4" t="s">
        <v>92</v>
      </c>
      <c r="I1350" s="4"/>
      <c r="J1350" s="4"/>
      <c r="K1350" s="4">
        <v>202</v>
      </c>
      <c r="L1350" s="4">
        <v>2</v>
      </c>
      <c r="M1350" s="4">
        <v>3</v>
      </c>
      <c r="N1350" s="4" t="s">
        <v>3</v>
      </c>
      <c r="O1350" s="4">
        <v>2</v>
      </c>
      <c r="P1350" s="4"/>
      <c r="Q1350" s="4"/>
      <c r="R1350" s="4"/>
      <c r="S1350" s="4"/>
      <c r="T1350" s="4"/>
      <c r="U1350" s="4"/>
      <c r="V1350" s="4"/>
      <c r="W1350" s="4"/>
    </row>
    <row r="1351" spans="1:245" x14ac:dyDescent="0.2">
      <c r="A1351" s="4">
        <v>50</v>
      </c>
      <c r="B1351" s="4">
        <v>0</v>
      </c>
      <c r="C1351" s="4">
        <v>0</v>
      </c>
      <c r="D1351" s="4">
        <v>1</v>
      </c>
      <c r="E1351" s="4">
        <v>222</v>
      </c>
      <c r="F1351" s="4">
        <f>ROUND(Source!AO1347,O1351)</f>
        <v>0</v>
      </c>
      <c r="G1351" s="4" t="s">
        <v>93</v>
      </c>
      <c r="H1351" s="4" t="s">
        <v>94</v>
      </c>
      <c r="I1351" s="4"/>
      <c r="J1351" s="4"/>
      <c r="K1351" s="4">
        <v>222</v>
      </c>
      <c r="L1351" s="4">
        <v>3</v>
      </c>
      <c r="M1351" s="4">
        <v>3</v>
      </c>
      <c r="N1351" s="4" t="s">
        <v>3</v>
      </c>
      <c r="O1351" s="4">
        <v>2</v>
      </c>
      <c r="P1351" s="4"/>
      <c r="Q1351" s="4"/>
      <c r="R1351" s="4"/>
      <c r="S1351" s="4"/>
      <c r="T1351" s="4"/>
      <c r="U1351" s="4"/>
      <c r="V1351" s="4"/>
      <c r="W1351" s="4"/>
    </row>
    <row r="1352" spans="1:245" x14ac:dyDescent="0.2">
      <c r="A1352" s="4">
        <v>50</v>
      </c>
      <c r="B1352" s="4">
        <v>0</v>
      </c>
      <c r="C1352" s="4">
        <v>0</v>
      </c>
      <c r="D1352" s="4">
        <v>1</v>
      </c>
      <c r="E1352" s="4">
        <v>225</v>
      </c>
      <c r="F1352" s="4">
        <f>ROUND(Source!AV1347,O1352)</f>
        <v>13582.47</v>
      </c>
      <c r="G1352" s="4" t="s">
        <v>95</v>
      </c>
      <c r="H1352" s="4" t="s">
        <v>96</v>
      </c>
      <c r="I1352" s="4"/>
      <c r="J1352" s="4"/>
      <c r="K1352" s="4">
        <v>225</v>
      </c>
      <c r="L1352" s="4">
        <v>4</v>
      </c>
      <c r="M1352" s="4">
        <v>3</v>
      </c>
      <c r="N1352" s="4" t="s">
        <v>3</v>
      </c>
      <c r="O1352" s="4">
        <v>2</v>
      </c>
      <c r="P1352" s="4"/>
      <c r="Q1352" s="4"/>
      <c r="R1352" s="4"/>
      <c r="S1352" s="4"/>
      <c r="T1352" s="4"/>
      <c r="U1352" s="4"/>
      <c r="V1352" s="4"/>
      <c r="W1352" s="4"/>
    </row>
    <row r="1353" spans="1:245" x14ac:dyDescent="0.2">
      <c r="A1353" s="4">
        <v>50</v>
      </c>
      <c r="B1353" s="4">
        <v>0</v>
      </c>
      <c r="C1353" s="4">
        <v>0</v>
      </c>
      <c r="D1353" s="4">
        <v>1</v>
      </c>
      <c r="E1353" s="4">
        <v>226</v>
      </c>
      <c r="F1353" s="4">
        <f>ROUND(Source!AW1347,O1353)</f>
        <v>13582.47</v>
      </c>
      <c r="G1353" s="4" t="s">
        <v>97</v>
      </c>
      <c r="H1353" s="4" t="s">
        <v>98</v>
      </c>
      <c r="I1353" s="4"/>
      <c r="J1353" s="4"/>
      <c r="K1353" s="4">
        <v>226</v>
      </c>
      <c r="L1353" s="4">
        <v>5</v>
      </c>
      <c r="M1353" s="4">
        <v>3</v>
      </c>
      <c r="N1353" s="4" t="s">
        <v>3</v>
      </c>
      <c r="O1353" s="4">
        <v>2</v>
      </c>
      <c r="P1353" s="4"/>
      <c r="Q1353" s="4"/>
      <c r="R1353" s="4"/>
      <c r="S1353" s="4"/>
      <c r="T1353" s="4"/>
      <c r="U1353" s="4"/>
      <c r="V1353" s="4"/>
      <c r="W1353" s="4"/>
    </row>
    <row r="1354" spans="1:245" x14ac:dyDescent="0.2">
      <c r="A1354" s="4">
        <v>50</v>
      </c>
      <c r="B1354" s="4">
        <v>0</v>
      </c>
      <c r="C1354" s="4">
        <v>0</v>
      </c>
      <c r="D1354" s="4">
        <v>1</v>
      </c>
      <c r="E1354" s="4">
        <v>227</v>
      </c>
      <c r="F1354" s="4">
        <f>ROUND(Source!AX1347,O1354)</f>
        <v>0</v>
      </c>
      <c r="G1354" s="4" t="s">
        <v>99</v>
      </c>
      <c r="H1354" s="4" t="s">
        <v>100</v>
      </c>
      <c r="I1354" s="4"/>
      <c r="J1354" s="4"/>
      <c r="K1354" s="4">
        <v>227</v>
      </c>
      <c r="L1354" s="4">
        <v>6</v>
      </c>
      <c r="M1354" s="4">
        <v>3</v>
      </c>
      <c r="N1354" s="4" t="s">
        <v>3</v>
      </c>
      <c r="O1354" s="4">
        <v>2</v>
      </c>
      <c r="P1354" s="4"/>
      <c r="Q1354" s="4"/>
      <c r="R1354" s="4"/>
      <c r="S1354" s="4"/>
      <c r="T1354" s="4"/>
      <c r="U1354" s="4"/>
      <c r="V1354" s="4"/>
      <c r="W1354" s="4"/>
    </row>
    <row r="1355" spans="1:245" x14ac:dyDescent="0.2">
      <c r="A1355" s="4">
        <v>50</v>
      </c>
      <c r="B1355" s="4">
        <v>0</v>
      </c>
      <c r="C1355" s="4">
        <v>0</v>
      </c>
      <c r="D1355" s="4">
        <v>1</v>
      </c>
      <c r="E1355" s="4">
        <v>228</v>
      </c>
      <c r="F1355" s="4">
        <f>ROUND(Source!AY1347,O1355)</f>
        <v>13582.47</v>
      </c>
      <c r="G1355" s="4" t="s">
        <v>101</v>
      </c>
      <c r="H1355" s="4" t="s">
        <v>102</v>
      </c>
      <c r="I1355" s="4"/>
      <c r="J1355" s="4"/>
      <c r="K1355" s="4">
        <v>228</v>
      </c>
      <c r="L1355" s="4">
        <v>7</v>
      </c>
      <c r="M1355" s="4">
        <v>3</v>
      </c>
      <c r="N1355" s="4" t="s">
        <v>3</v>
      </c>
      <c r="O1355" s="4">
        <v>2</v>
      </c>
      <c r="P1355" s="4"/>
      <c r="Q1355" s="4"/>
      <c r="R1355" s="4"/>
      <c r="S1355" s="4"/>
      <c r="T1355" s="4"/>
      <c r="U1355" s="4"/>
      <c r="V1355" s="4"/>
      <c r="W1355" s="4"/>
    </row>
    <row r="1356" spans="1:245" x14ac:dyDescent="0.2">
      <c r="A1356" s="4">
        <v>50</v>
      </c>
      <c r="B1356" s="4">
        <v>0</v>
      </c>
      <c r="C1356" s="4">
        <v>0</v>
      </c>
      <c r="D1356" s="4">
        <v>1</v>
      </c>
      <c r="E1356" s="4">
        <v>216</v>
      </c>
      <c r="F1356" s="4">
        <f>ROUND(Source!AP1347,O1356)</f>
        <v>0</v>
      </c>
      <c r="G1356" s="4" t="s">
        <v>103</v>
      </c>
      <c r="H1356" s="4" t="s">
        <v>104</v>
      </c>
      <c r="I1356" s="4"/>
      <c r="J1356" s="4"/>
      <c r="K1356" s="4">
        <v>216</v>
      </c>
      <c r="L1356" s="4">
        <v>8</v>
      </c>
      <c r="M1356" s="4">
        <v>3</v>
      </c>
      <c r="N1356" s="4" t="s">
        <v>3</v>
      </c>
      <c r="O1356" s="4">
        <v>2</v>
      </c>
      <c r="P1356" s="4"/>
      <c r="Q1356" s="4"/>
      <c r="R1356" s="4"/>
      <c r="S1356" s="4"/>
      <c r="T1356" s="4"/>
      <c r="U1356" s="4"/>
      <c r="V1356" s="4"/>
      <c r="W1356" s="4"/>
    </row>
    <row r="1357" spans="1:245" x14ac:dyDescent="0.2">
      <c r="A1357" s="4">
        <v>50</v>
      </c>
      <c r="B1357" s="4">
        <v>0</v>
      </c>
      <c r="C1357" s="4">
        <v>0</v>
      </c>
      <c r="D1357" s="4">
        <v>1</v>
      </c>
      <c r="E1357" s="4">
        <v>223</v>
      </c>
      <c r="F1357" s="4">
        <f>ROUND(Source!AQ1347,O1357)</f>
        <v>0</v>
      </c>
      <c r="G1357" s="4" t="s">
        <v>105</v>
      </c>
      <c r="H1357" s="4" t="s">
        <v>106</v>
      </c>
      <c r="I1357" s="4"/>
      <c r="J1357" s="4"/>
      <c r="K1357" s="4">
        <v>223</v>
      </c>
      <c r="L1357" s="4">
        <v>9</v>
      </c>
      <c r="M1357" s="4">
        <v>3</v>
      </c>
      <c r="N1357" s="4" t="s">
        <v>3</v>
      </c>
      <c r="O1357" s="4">
        <v>2</v>
      </c>
      <c r="P1357" s="4"/>
      <c r="Q1357" s="4"/>
      <c r="R1357" s="4"/>
      <c r="S1357" s="4"/>
      <c r="T1357" s="4"/>
      <c r="U1357" s="4"/>
      <c r="V1357" s="4"/>
      <c r="W1357" s="4"/>
    </row>
    <row r="1358" spans="1:245" x14ac:dyDescent="0.2">
      <c r="A1358" s="4">
        <v>50</v>
      </c>
      <c r="B1358" s="4">
        <v>0</v>
      </c>
      <c r="C1358" s="4">
        <v>0</v>
      </c>
      <c r="D1358" s="4">
        <v>1</v>
      </c>
      <c r="E1358" s="4">
        <v>229</v>
      </c>
      <c r="F1358" s="4">
        <f>ROUND(Source!AZ1347,O1358)</f>
        <v>0</v>
      </c>
      <c r="G1358" s="4" t="s">
        <v>107</v>
      </c>
      <c r="H1358" s="4" t="s">
        <v>108</v>
      </c>
      <c r="I1358" s="4"/>
      <c r="J1358" s="4"/>
      <c r="K1358" s="4">
        <v>229</v>
      </c>
      <c r="L1358" s="4">
        <v>10</v>
      </c>
      <c r="M1358" s="4">
        <v>3</v>
      </c>
      <c r="N1358" s="4" t="s">
        <v>3</v>
      </c>
      <c r="O1358" s="4">
        <v>2</v>
      </c>
      <c r="P1358" s="4"/>
      <c r="Q1358" s="4"/>
      <c r="R1358" s="4"/>
      <c r="S1358" s="4"/>
      <c r="T1358" s="4"/>
      <c r="U1358" s="4"/>
      <c r="V1358" s="4"/>
      <c r="W1358" s="4"/>
    </row>
    <row r="1359" spans="1:245" x14ac:dyDescent="0.2">
      <c r="A1359" s="4">
        <v>50</v>
      </c>
      <c r="B1359" s="4">
        <v>0</v>
      </c>
      <c r="C1359" s="4">
        <v>0</v>
      </c>
      <c r="D1359" s="4">
        <v>1</v>
      </c>
      <c r="E1359" s="4">
        <v>203</v>
      </c>
      <c r="F1359" s="4">
        <f>ROUND(Source!Q1347,O1359)</f>
        <v>679.36</v>
      </c>
      <c r="G1359" s="4" t="s">
        <v>109</v>
      </c>
      <c r="H1359" s="4" t="s">
        <v>110</v>
      </c>
      <c r="I1359" s="4"/>
      <c r="J1359" s="4"/>
      <c r="K1359" s="4">
        <v>203</v>
      </c>
      <c r="L1359" s="4">
        <v>11</v>
      </c>
      <c r="M1359" s="4">
        <v>3</v>
      </c>
      <c r="N1359" s="4" t="s">
        <v>3</v>
      </c>
      <c r="O1359" s="4">
        <v>2</v>
      </c>
      <c r="P1359" s="4"/>
      <c r="Q1359" s="4"/>
      <c r="R1359" s="4"/>
      <c r="S1359" s="4"/>
      <c r="T1359" s="4"/>
      <c r="U1359" s="4"/>
      <c r="V1359" s="4"/>
      <c r="W1359" s="4"/>
    </row>
    <row r="1360" spans="1:245" x14ac:dyDescent="0.2">
      <c r="A1360" s="4">
        <v>50</v>
      </c>
      <c r="B1360" s="4">
        <v>0</v>
      </c>
      <c r="C1360" s="4">
        <v>0</v>
      </c>
      <c r="D1360" s="4">
        <v>1</v>
      </c>
      <c r="E1360" s="4">
        <v>231</v>
      </c>
      <c r="F1360" s="4">
        <f>ROUND(Source!BB1347,O1360)</f>
        <v>0</v>
      </c>
      <c r="G1360" s="4" t="s">
        <v>111</v>
      </c>
      <c r="H1360" s="4" t="s">
        <v>112</v>
      </c>
      <c r="I1360" s="4"/>
      <c r="J1360" s="4"/>
      <c r="K1360" s="4">
        <v>231</v>
      </c>
      <c r="L1360" s="4">
        <v>12</v>
      </c>
      <c r="M1360" s="4">
        <v>3</v>
      </c>
      <c r="N1360" s="4" t="s">
        <v>3</v>
      </c>
      <c r="O1360" s="4">
        <v>2</v>
      </c>
      <c r="P1360" s="4"/>
      <c r="Q1360" s="4"/>
      <c r="R1360" s="4"/>
      <c r="S1360" s="4"/>
      <c r="T1360" s="4"/>
      <c r="U1360" s="4"/>
      <c r="V1360" s="4"/>
      <c r="W1360" s="4"/>
    </row>
    <row r="1361" spans="1:23" x14ac:dyDescent="0.2">
      <c r="A1361" s="4">
        <v>50</v>
      </c>
      <c r="B1361" s="4">
        <v>0</v>
      </c>
      <c r="C1361" s="4">
        <v>0</v>
      </c>
      <c r="D1361" s="4">
        <v>1</v>
      </c>
      <c r="E1361" s="4">
        <v>204</v>
      </c>
      <c r="F1361" s="4">
        <f>ROUND(Source!R1347,O1361)</f>
        <v>359.86</v>
      </c>
      <c r="G1361" s="4" t="s">
        <v>113</v>
      </c>
      <c r="H1361" s="4" t="s">
        <v>114</v>
      </c>
      <c r="I1361" s="4"/>
      <c r="J1361" s="4"/>
      <c r="K1361" s="4">
        <v>204</v>
      </c>
      <c r="L1361" s="4">
        <v>13</v>
      </c>
      <c r="M1361" s="4">
        <v>3</v>
      </c>
      <c r="N1361" s="4" t="s">
        <v>3</v>
      </c>
      <c r="O1361" s="4">
        <v>2</v>
      </c>
      <c r="P1361" s="4"/>
      <c r="Q1361" s="4"/>
      <c r="R1361" s="4"/>
      <c r="S1361" s="4"/>
      <c r="T1361" s="4"/>
      <c r="U1361" s="4"/>
      <c r="V1361" s="4"/>
      <c r="W1361" s="4"/>
    </row>
    <row r="1362" spans="1:23" x14ac:dyDescent="0.2">
      <c r="A1362" s="4">
        <v>50</v>
      </c>
      <c r="B1362" s="4">
        <v>0</v>
      </c>
      <c r="C1362" s="4">
        <v>0</v>
      </c>
      <c r="D1362" s="4">
        <v>1</v>
      </c>
      <c r="E1362" s="4">
        <v>205</v>
      </c>
      <c r="F1362" s="4">
        <f>ROUND(Source!S1347,O1362)</f>
        <v>12883.16</v>
      </c>
      <c r="G1362" s="4" t="s">
        <v>115</v>
      </c>
      <c r="H1362" s="4" t="s">
        <v>116</v>
      </c>
      <c r="I1362" s="4"/>
      <c r="J1362" s="4"/>
      <c r="K1362" s="4">
        <v>205</v>
      </c>
      <c r="L1362" s="4">
        <v>14</v>
      </c>
      <c r="M1362" s="4">
        <v>3</v>
      </c>
      <c r="N1362" s="4" t="s">
        <v>3</v>
      </c>
      <c r="O1362" s="4">
        <v>2</v>
      </c>
      <c r="P1362" s="4"/>
      <c r="Q1362" s="4"/>
      <c r="R1362" s="4"/>
      <c r="S1362" s="4"/>
      <c r="T1362" s="4"/>
      <c r="U1362" s="4"/>
      <c r="V1362" s="4"/>
      <c r="W1362" s="4"/>
    </row>
    <row r="1363" spans="1:23" x14ac:dyDescent="0.2">
      <c r="A1363" s="4">
        <v>50</v>
      </c>
      <c r="B1363" s="4">
        <v>0</v>
      </c>
      <c r="C1363" s="4">
        <v>0</v>
      </c>
      <c r="D1363" s="4">
        <v>1</v>
      </c>
      <c r="E1363" s="4">
        <v>232</v>
      </c>
      <c r="F1363" s="4">
        <f>ROUND(Source!BC1347,O1363)</f>
        <v>0</v>
      </c>
      <c r="G1363" s="4" t="s">
        <v>117</v>
      </c>
      <c r="H1363" s="4" t="s">
        <v>118</v>
      </c>
      <c r="I1363" s="4"/>
      <c r="J1363" s="4"/>
      <c r="K1363" s="4">
        <v>232</v>
      </c>
      <c r="L1363" s="4">
        <v>15</v>
      </c>
      <c r="M1363" s="4">
        <v>3</v>
      </c>
      <c r="N1363" s="4" t="s">
        <v>3</v>
      </c>
      <c r="O1363" s="4">
        <v>2</v>
      </c>
      <c r="P1363" s="4"/>
      <c r="Q1363" s="4"/>
      <c r="R1363" s="4"/>
      <c r="S1363" s="4"/>
      <c r="T1363" s="4"/>
      <c r="U1363" s="4"/>
      <c r="V1363" s="4"/>
      <c r="W1363" s="4"/>
    </row>
    <row r="1364" spans="1:23" x14ac:dyDescent="0.2">
      <c r="A1364" s="4">
        <v>50</v>
      </c>
      <c r="B1364" s="4">
        <v>0</v>
      </c>
      <c r="C1364" s="4">
        <v>0</v>
      </c>
      <c r="D1364" s="4">
        <v>1</v>
      </c>
      <c r="E1364" s="4">
        <v>214</v>
      </c>
      <c r="F1364" s="4">
        <f>ROUND(Source!AS1347,O1364)</f>
        <v>44458.080000000002</v>
      </c>
      <c r="G1364" s="4" t="s">
        <v>119</v>
      </c>
      <c r="H1364" s="4" t="s">
        <v>120</v>
      </c>
      <c r="I1364" s="4"/>
      <c r="J1364" s="4"/>
      <c r="K1364" s="4">
        <v>214</v>
      </c>
      <c r="L1364" s="4">
        <v>16</v>
      </c>
      <c r="M1364" s="4">
        <v>3</v>
      </c>
      <c r="N1364" s="4" t="s">
        <v>3</v>
      </c>
      <c r="O1364" s="4">
        <v>2</v>
      </c>
      <c r="P1364" s="4"/>
      <c r="Q1364" s="4"/>
      <c r="R1364" s="4"/>
      <c r="S1364" s="4"/>
      <c r="T1364" s="4"/>
      <c r="U1364" s="4"/>
      <c r="V1364" s="4"/>
      <c r="W1364" s="4"/>
    </row>
    <row r="1365" spans="1:23" x14ac:dyDescent="0.2">
      <c r="A1365" s="4">
        <v>50</v>
      </c>
      <c r="B1365" s="4">
        <v>0</v>
      </c>
      <c r="C1365" s="4">
        <v>0</v>
      </c>
      <c r="D1365" s="4">
        <v>1</v>
      </c>
      <c r="E1365" s="4">
        <v>215</v>
      </c>
      <c r="F1365" s="4">
        <f>ROUND(Source!AT1347,O1365)</f>
        <v>0</v>
      </c>
      <c r="G1365" s="4" t="s">
        <v>121</v>
      </c>
      <c r="H1365" s="4" t="s">
        <v>122</v>
      </c>
      <c r="I1365" s="4"/>
      <c r="J1365" s="4"/>
      <c r="K1365" s="4">
        <v>215</v>
      </c>
      <c r="L1365" s="4">
        <v>17</v>
      </c>
      <c r="M1365" s="4">
        <v>3</v>
      </c>
      <c r="N1365" s="4" t="s">
        <v>3</v>
      </c>
      <c r="O1365" s="4">
        <v>2</v>
      </c>
      <c r="P1365" s="4"/>
      <c r="Q1365" s="4"/>
      <c r="R1365" s="4"/>
      <c r="S1365" s="4"/>
      <c r="T1365" s="4"/>
      <c r="U1365" s="4"/>
      <c r="V1365" s="4"/>
      <c r="W1365" s="4"/>
    </row>
    <row r="1366" spans="1:23" x14ac:dyDescent="0.2">
      <c r="A1366" s="4">
        <v>50</v>
      </c>
      <c r="B1366" s="4">
        <v>0</v>
      </c>
      <c r="C1366" s="4">
        <v>0</v>
      </c>
      <c r="D1366" s="4">
        <v>1</v>
      </c>
      <c r="E1366" s="4">
        <v>217</v>
      </c>
      <c r="F1366" s="4">
        <f>ROUND(Source!AU1347,O1366)</f>
        <v>0</v>
      </c>
      <c r="G1366" s="4" t="s">
        <v>123</v>
      </c>
      <c r="H1366" s="4" t="s">
        <v>124</v>
      </c>
      <c r="I1366" s="4"/>
      <c r="J1366" s="4"/>
      <c r="K1366" s="4">
        <v>217</v>
      </c>
      <c r="L1366" s="4">
        <v>18</v>
      </c>
      <c r="M1366" s="4">
        <v>3</v>
      </c>
      <c r="N1366" s="4" t="s">
        <v>3</v>
      </c>
      <c r="O1366" s="4">
        <v>2</v>
      </c>
      <c r="P1366" s="4"/>
      <c r="Q1366" s="4"/>
      <c r="R1366" s="4"/>
      <c r="S1366" s="4"/>
      <c r="T1366" s="4"/>
      <c r="U1366" s="4"/>
      <c r="V1366" s="4"/>
      <c r="W1366" s="4"/>
    </row>
    <row r="1367" spans="1:23" x14ac:dyDescent="0.2">
      <c r="A1367" s="4">
        <v>50</v>
      </c>
      <c r="B1367" s="4">
        <v>0</v>
      </c>
      <c r="C1367" s="4">
        <v>0</v>
      </c>
      <c r="D1367" s="4">
        <v>1</v>
      </c>
      <c r="E1367" s="4">
        <v>230</v>
      </c>
      <c r="F1367" s="4">
        <f>ROUND(Source!BA1347,O1367)</f>
        <v>0</v>
      </c>
      <c r="G1367" s="4" t="s">
        <v>125</v>
      </c>
      <c r="H1367" s="4" t="s">
        <v>126</v>
      </c>
      <c r="I1367" s="4"/>
      <c r="J1367" s="4"/>
      <c r="K1367" s="4">
        <v>230</v>
      </c>
      <c r="L1367" s="4">
        <v>19</v>
      </c>
      <c r="M1367" s="4">
        <v>3</v>
      </c>
      <c r="N1367" s="4" t="s">
        <v>3</v>
      </c>
      <c r="O1367" s="4">
        <v>2</v>
      </c>
      <c r="P1367" s="4"/>
      <c r="Q1367" s="4"/>
      <c r="R1367" s="4"/>
      <c r="S1367" s="4"/>
      <c r="T1367" s="4"/>
      <c r="U1367" s="4"/>
      <c r="V1367" s="4"/>
      <c r="W1367" s="4"/>
    </row>
    <row r="1368" spans="1:23" x14ac:dyDescent="0.2">
      <c r="A1368" s="4">
        <v>50</v>
      </c>
      <c r="B1368" s="4">
        <v>0</v>
      </c>
      <c r="C1368" s="4">
        <v>0</v>
      </c>
      <c r="D1368" s="4">
        <v>1</v>
      </c>
      <c r="E1368" s="4">
        <v>206</v>
      </c>
      <c r="F1368" s="4">
        <f>ROUND(Source!T1347,O1368)</f>
        <v>0</v>
      </c>
      <c r="G1368" s="4" t="s">
        <v>127</v>
      </c>
      <c r="H1368" s="4" t="s">
        <v>128</v>
      </c>
      <c r="I1368" s="4"/>
      <c r="J1368" s="4"/>
      <c r="K1368" s="4">
        <v>206</v>
      </c>
      <c r="L1368" s="4">
        <v>20</v>
      </c>
      <c r="M1368" s="4">
        <v>3</v>
      </c>
      <c r="N1368" s="4" t="s">
        <v>3</v>
      </c>
      <c r="O1368" s="4">
        <v>2</v>
      </c>
      <c r="P1368" s="4"/>
      <c r="Q1368" s="4"/>
      <c r="R1368" s="4"/>
      <c r="S1368" s="4"/>
      <c r="T1368" s="4"/>
      <c r="U1368" s="4"/>
      <c r="V1368" s="4"/>
      <c r="W1368" s="4"/>
    </row>
    <row r="1369" spans="1:23" x14ac:dyDescent="0.2">
      <c r="A1369" s="4">
        <v>50</v>
      </c>
      <c r="B1369" s="4">
        <v>0</v>
      </c>
      <c r="C1369" s="4">
        <v>0</v>
      </c>
      <c r="D1369" s="4">
        <v>1</v>
      </c>
      <c r="E1369" s="4">
        <v>207</v>
      </c>
      <c r="F1369" s="4">
        <f>Source!U1347</f>
        <v>40.400000000000006</v>
      </c>
      <c r="G1369" s="4" t="s">
        <v>129</v>
      </c>
      <c r="H1369" s="4" t="s">
        <v>130</v>
      </c>
      <c r="I1369" s="4"/>
      <c r="J1369" s="4"/>
      <c r="K1369" s="4">
        <v>207</v>
      </c>
      <c r="L1369" s="4">
        <v>21</v>
      </c>
      <c r="M1369" s="4">
        <v>3</v>
      </c>
      <c r="N1369" s="4" t="s">
        <v>3</v>
      </c>
      <c r="O1369" s="4">
        <v>-1</v>
      </c>
      <c r="P1369" s="4"/>
      <c r="Q1369" s="4"/>
      <c r="R1369" s="4"/>
      <c r="S1369" s="4"/>
      <c r="T1369" s="4"/>
      <c r="U1369" s="4"/>
      <c r="V1369" s="4"/>
      <c r="W1369" s="4"/>
    </row>
    <row r="1370" spans="1:23" x14ac:dyDescent="0.2">
      <c r="A1370" s="4">
        <v>50</v>
      </c>
      <c r="B1370" s="4">
        <v>0</v>
      </c>
      <c r="C1370" s="4">
        <v>0</v>
      </c>
      <c r="D1370" s="4">
        <v>1</v>
      </c>
      <c r="E1370" s="4">
        <v>208</v>
      </c>
      <c r="F1370" s="4">
        <f>Source!V1347</f>
        <v>0</v>
      </c>
      <c r="G1370" s="4" t="s">
        <v>131</v>
      </c>
      <c r="H1370" s="4" t="s">
        <v>132</v>
      </c>
      <c r="I1370" s="4"/>
      <c r="J1370" s="4"/>
      <c r="K1370" s="4">
        <v>208</v>
      </c>
      <c r="L1370" s="4">
        <v>22</v>
      </c>
      <c r="M1370" s="4">
        <v>3</v>
      </c>
      <c r="N1370" s="4" t="s">
        <v>3</v>
      </c>
      <c r="O1370" s="4">
        <v>-1</v>
      </c>
      <c r="P1370" s="4"/>
      <c r="Q1370" s="4"/>
      <c r="R1370" s="4"/>
      <c r="S1370" s="4"/>
      <c r="T1370" s="4"/>
      <c r="U1370" s="4"/>
      <c r="V1370" s="4"/>
      <c r="W1370" s="4"/>
    </row>
    <row r="1371" spans="1:23" x14ac:dyDescent="0.2">
      <c r="A1371" s="4">
        <v>50</v>
      </c>
      <c r="B1371" s="4">
        <v>0</v>
      </c>
      <c r="C1371" s="4">
        <v>0</v>
      </c>
      <c r="D1371" s="4">
        <v>1</v>
      </c>
      <c r="E1371" s="4">
        <v>209</v>
      </c>
      <c r="F1371" s="4">
        <f>ROUND(Source!W1347,O1371)</f>
        <v>0</v>
      </c>
      <c r="G1371" s="4" t="s">
        <v>133</v>
      </c>
      <c r="H1371" s="4" t="s">
        <v>134</v>
      </c>
      <c r="I1371" s="4"/>
      <c r="J1371" s="4"/>
      <c r="K1371" s="4">
        <v>209</v>
      </c>
      <c r="L1371" s="4">
        <v>23</v>
      </c>
      <c r="M1371" s="4">
        <v>3</v>
      </c>
      <c r="N1371" s="4" t="s">
        <v>3</v>
      </c>
      <c r="O1371" s="4">
        <v>2</v>
      </c>
      <c r="P1371" s="4"/>
      <c r="Q1371" s="4"/>
      <c r="R1371" s="4"/>
      <c r="S1371" s="4"/>
      <c r="T1371" s="4"/>
      <c r="U1371" s="4"/>
      <c r="V1371" s="4"/>
      <c r="W1371" s="4"/>
    </row>
    <row r="1372" spans="1:23" x14ac:dyDescent="0.2">
      <c r="A1372" s="4">
        <v>50</v>
      </c>
      <c r="B1372" s="4">
        <v>0</v>
      </c>
      <c r="C1372" s="4">
        <v>0</v>
      </c>
      <c r="D1372" s="4">
        <v>1</v>
      </c>
      <c r="E1372" s="4">
        <v>233</v>
      </c>
      <c r="F1372" s="4">
        <f>ROUND(Source!BD1347,O1372)</f>
        <v>0</v>
      </c>
      <c r="G1372" s="4" t="s">
        <v>135</v>
      </c>
      <c r="H1372" s="4" t="s">
        <v>136</v>
      </c>
      <c r="I1372" s="4"/>
      <c r="J1372" s="4"/>
      <c r="K1372" s="4">
        <v>233</v>
      </c>
      <c r="L1372" s="4">
        <v>24</v>
      </c>
      <c r="M1372" s="4">
        <v>3</v>
      </c>
      <c r="N1372" s="4" t="s">
        <v>3</v>
      </c>
      <c r="O1372" s="4">
        <v>2</v>
      </c>
      <c r="P1372" s="4"/>
      <c r="Q1372" s="4"/>
      <c r="R1372" s="4"/>
      <c r="S1372" s="4"/>
      <c r="T1372" s="4"/>
      <c r="U1372" s="4"/>
      <c r="V1372" s="4"/>
      <c r="W1372" s="4"/>
    </row>
    <row r="1373" spans="1:23" x14ac:dyDescent="0.2">
      <c r="A1373" s="4">
        <v>50</v>
      </c>
      <c r="B1373" s="4">
        <v>0</v>
      </c>
      <c r="C1373" s="4">
        <v>0</v>
      </c>
      <c r="D1373" s="4">
        <v>1</v>
      </c>
      <c r="E1373" s="4">
        <v>210</v>
      </c>
      <c r="F1373" s="4">
        <f>ROUND(Source!X1347,O1373)</f>
        <v>11337.18</v>
      </c>
      <c r="G1373" s="4" t="s">
        <v>137</v>
      </c>
      <c r="H1373" s="4" t="s">
        <v>138</v>
      </c>
      <c r="I1373" s="4"/>
      <c r="J1373" s="4"/>
      <c r="K1373" s="4">
        <v>210</v>
      </c>
      <c r="L1373" s="4">
        <v>25</v>
      </c>
      <c r="M1373" s="4">
        <v>3</v>
      </c>
      <c r="N1373" s="4" t="s">
        <v>3</v>
      </c>
      <c r="O1373" s="4">
        <v>2</v>
      </c>
      <c r="P1373" s="4"/>
      <c r="Q1373" s="4"/>
      <c r="R1373" s="4"/>
      <c r="S1373" s="4"/>
      <c r="T1373" s="4"/>
      <c r="U1373" s="4"/>
      <c r="V1373" s="4"/>
      <c r="W1373" s="4"/>
    </row>
    <row r="1374" spans="1:23" x14ac:dyDescent="0.2">
      <c r="A1374" s="4">
        <v>50</v>
      </c>
      <c r="B1374" s="4">
        <v>0</v>
      </c>
      <c r="C1374" s="4">
        <v>0</v>
      </c>
      <c r="D1374" s="4">
        <v>1</v>
      </c>
      <c r="E1374" s="4">
        <v>211</v>
      </c>
      <c r="F1374" s="4">
        <f>ROUND(Source!Y1347,O1374)</f>
        <v>5410.93</v>
      </c>
      <c r="G1374" s="4" t="s">
        <v>139</v>
      </c>
      <c r="H1374" s="4" t="s">
        <v>140</v>
      </c>
      <c r="I1374" s="4"/>
      <c r="J1374" s="4"/>
      <c r="K1374" s="4">
        <v>211</v>
      </c>
      <c r="L1374" s="4">
        <v>26</v>
      </c>
      <c r="M1374" s="4">
        <v>3</v>
      </c>
      <c r="N1374" s="4" t="s">
        <v>3</v>
      </c>
      <c r="O1374" s="4">
        <v>2</v>
      </c>
      <c r="P1374" s="4"/>
      <c r="Q1374" s="4"/>
      <c r="R1374" s="4"/>
      <c r="S1374" s="4"/>
      <c r="T1374" s="4"/>
      <c r="U1374" s="4"/>
      <c r="V1374" s="4"/>
      <c r="W1374" s="4"/>
    </row>
    <row r="1375" spans="1:23" x14ac:dyDescent="0.2">
      <c r="A1375" s="4">
        <v>50</v>
      </c>
      <c r="B1375" s="4">
        <v>0</v>
      </c>
      <c r="C1375" s="4">
        <v>0</v>
      </c>
      <c r="D1375" s="4">
        <v>1</v>
      </c>
      <c r="E1375" s="4">
        <v>224</v>
      </c>
      <c r="F1375" s="4">
        <f>ROUND(Source!AR1347,O1375)</f>
        <v>44458.080000000002</v>
      </c>
      <c r="G1375" s="4" t="s">
        <v>141</v>
      </c>
      <c r="H1375" s="4" t="s">
        <v>142</v>
      </c>
      <c r="I1375" s="4"/>
      <c r="J1375" s="4"/>
      <c r="K1375" s="4">
        <v>224</v>
      </c>
      <c r="L1375" s="4">
        <v>27</v>
      </c>
      <c r="M1375" s="4">
        <v>3</v>
      </c>
      <c r="N1375" s="4" t="s">
        <v>3</v>
      </c>
      <c r="O1375" s="4">
        <v>2</v>
      </c>
      <c r="P1375" s="4"/>
      <c r="Q1375" s="4"/>
      <c r="R1375" s="4"/>
      <c r="S1375" s="4"/>
      <c r="T1375" s="4"/>
      <c r="U1375" s="4"/>
      <c r="V1375" s="4"/>
      <c r="W1375" s="4"/>
    </row>
    <row r="1376" spans="1:23" x14ac:dyDescent="0.2">
      <c r="A1376" s="4">
        <v>50</v>
      </c>
      <c r="B1376" s="4">
        <v>1</v>
      </c>
      <c r="C1376" s="4">
        <v>0</v>
      </c>
      <c r="D1376" s="4">
        <v>2</v>
      </c>
      <c r="E1376" s="4">
        <v>0</v>
      </c>
      <c r="F1376" s="4">
        <f>ROUND(F1375*1.2,O1376)</f>
        <v>53349.7</v>
      </c>
      <c r="G1376" s="4" t="s">
        <v>15</v>
      </c>
      <c r="H1376" s="4" t="s">
        <v>239</v>
      </c>
      <c r="I1376" s="4"/>
      <c r="J1376" s="4"/>
      <c r="K1376" s="4">
        <v>212</v>
      </c>
      <c r="L1376" s="4">
        <v>28</v>
      </c>
      <c r="M1376" s="4">
        <v>0</v>
      </c>
      <c r="N1376" s="4" t="s">
        <v>3</v>
      </c>
      <c r="O1376" s="4">
        <v>2</v>
      </c>
      <c r="P1376" s="4"/>
      <c r="Q1376" s="4"/>
      <c r="R1376" s="4"/>
      <c r="S1376" s="4"/>
      <c r="T1376" s="4"/>
      <c r="U1376" s="4"/>
      <c r="V1376" s="4"/>
      <c r="W1376" s="4"/>
    </row>
    <row r="1378" spans="1:206" x14ac:dyDescent="0.2">
      <c r="A1378" s="1">
        <v>4</v>
      </c>
      <c r="B1378" s="1">
        <v>1</v>
      </c>
      <c r="C1378" s="1"/>
      <c r="D1378" s="1">
        <f>ROW(A1382)</f>
        <v>1382</v>
      </c>
      <c r="E1378" s="1"/>
      <c r="F1378" s="1" t="s">
        <v>13</v>
      </c>
      <c r="G1378" s="1" t="s">
        <v>636</v>
      </c>
      <c r="H1378" s="1" t="s">
        <v>3</v>
      </c>
      <c r="I1378" s="1">
        <v>0</v>
      </c>
      <c r="J1378" s="1"/>
      <c r="K1378" s="1">
        <v>0</v>
      </c>
      <c r="L1378" s="1"/>
      <c r="M1378" s="1"/>
      <c r="N1378" s="1"/>
      <c r="O1378" s="1"/>
      <c r="P1378" s="1"/>
      <c r="Q1378" s="1"/>
      <c r="R1378" s="1"/>
      <c r="S1378" s="1"/>
      <c r="T1378" s="1"/>
      <c r="U1378" s="1" t="s">
        <v>3</v>
      </c>
      <c r="V1378" s="1">
        <v>0</v>
      </c>
      <c r="W1378" s="1"/>
      <c r="X1378" s="1"/>
      <c r="Y1378" s="1"/>
      <c r="Z1378" s="1"/>
      <c r="AA1378" s="1"/>
      <c r="AB1378" s="1" t="s">
        <v>3</v>
      </c>
      <c r="AC1378" s="1" t="s">
        <v>3</v>
      </c>
      <c r="AD1378" s="1" t="s">
        <v>3</v>
      </c>
      <c r="AE1378" s="1" t="s">
        <v>3</v>
      </c>
      <c r="AF1378" s="1" t="s">
        <v>3</v>
      </c>
      <c r="AG1378" s="1" t="s">
        <v>3</v>
      </c>
      <c r="AH1378" s="1"/>
      <c r="AI1378" s="1"/>
      <c r="AJ1378" s="1"/>
      <c r="AK1378" s="1"/>
      <c r="AL1378" s="1"/>
      <c r="AM1378" s="1"/>
      <c r="AN1378" s="1"/>
      <c r="AO1378" s="1"/>
      <c r="AP1378" s="1" t="s">
        <v>3</v>
      </c>
      <c r="AQ1378" s="1" t="s">
        <v>3</v>
      </c>
      <c r="AR1378" s="1" t="s">
        <v>3</v>
      </c>
      <c r="AS1378" s="1"/>
      <c r="AT1378" s="1"/>
      <c r="AU1378" s="1"/>
      <c r="AV1378" s="1"/>
      <c r="AW1378" s="1"/>
      <c r="AX1378" s="1"/>
      <c r="AY1378" s="1"/>
      <c r="AZ1378" s="1" t="s">
        <v>3</v>
      </c>
      <c r="BA1378" s="1"/>
      <c r="BB1378" s="1" t="s">
        <v>3</v>
      </c>
      <c r="BC1378" s="1" t="s">
        <v>3</v>
      </c>
      <c r="BD1378" s="1" t="s">
        <v>3</v>
      </c>
      <c r="BE1378" s="1" t="s">
        <v>3</v>
      </c>
      <c r="BF1378" s="1" t="s">
        <v>3</v>
      </c>
      <c r="BG1378" s="1" t="s">
        <v>3</v>
      </c>
      <c r="BH1378" s="1" t="s">
        <v>3</v>
      </c>
      <c r="BI1378" s="1" t="s">
        <v>3</v>
      </c>
      <c r="BJ1378" s="1" t="s">
        <v>3</v>
      </c>
      <c r="BK1378" s="1" t="s">
        <v>3</v>
      </c>
      <c r="BL1378" s="1" t="s">
        <v>3</v>
      </c>
      <c r="BM1378" s="1" t="s">
        <v>3</v>
      </c>
      <c r="BN1378" s="1" t="s">
        <v>3</v>
      </c>
      <c r="BO1378" s="1" t="s">
        <v>3</v>
      </c>
      <c r="BP1378" s="1" t="s">
        <v>3</v>
      </c>
      <c r="BQ1378" s="1"/>
      <c r="BR1378" s="1"/>
      <c r="BS1378" s="1"/>
      <c r="BT1378" s="1"/>
      <c r="BU1378" s="1"/>
      <c r="BV1378" s="1"/>
      <c r="BW1378" s="1"/>
      <c r="BX1378" s="1">
        <v>0</v>
      </c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>
        <v>0</v>
      </c>
    </row>
    <row r="1380" spans="1:206" x14ac:dyDescent="0.2">
      <c r="A1380" s="2">
        <v>52</v>
      </c>
      <c r="B1380" s="2">
        <f t="shared" ref="B1380:G1380" si="910">B1382</f>
        <v>1</v>
      </c>
      <c r="C1380" s="2">
        <f t="shared" si="910"/>
        <v>4</v>
      </c>
      <c r="D1380" s="2">
        <f t="shared" si="910"/>
        <v>1378</v>
      </c>
      <c r="E1380" s="2">
        <f t="shared" si="910"/>
        <v>0</v>
      </c>
      <c r="F1380" s="2" t="str">
        <f t="shared" si="910"/>
        <v>Новый раздел</v>
      </c>
      <c r="G1380" s="2" t="str">
        <f t="shared" si="910"/>
        <v>57. Гидроизоляция рулонная 1см</v>
      </c>
      <c r="H1380" s="2"/>
      <c r="I1380" s="2"/>
      <c r="J1380" s="2"/>
      <c r="K1380" s="2"/>
      <c r="L1380" s="2"/>
      <c r="M1380" s="2"/>
      <c r="N1380" s="2"/>
      <c r="O1380" s="2">
        <f t="shared" ref="O1380:AT1380" si="911">O1382</f>
        <v>0</v>
      </c>
      <c r="P1380" s="2">
        <f t="shared" si="911"/>
        <v>0</v>
      </c>
      <c r="Q1380" s="2">
        <f t="shared" si="911"/>
        <v>0</v>
      </c>
      <c r="R1380" s="2">
        <f t="shared" si="911"/>
        <v>0</v>
      </c>
      <c r="S1380" s="2">
        <f t="shared" si="911"/>
        <v>0</v>
      </c>
      <c r="T1380" s="2">
        <f t="shared" si="911"/>
        <v>0</v>
      </c>
      <c r="U1380" s="2">
        <f t="shared" si="911"/>
        <v>0</v>
      </c>
      <c r="V1380" s="2">
        <f t="shared" si="911"/>
        <v>0</v>
      </c>
      <c r="W1380" s="2">
        <f t="shared" si="911"/>
        <v>0</v>
      </c>
      <c r="X1380" s="2">
        <f t="shared" si="911"/>
        <v>0</v>
      </c>
      <c r="Y1380" s="2">
        <f t="shared" si="911"/>
        <v>0</v>
      </c>
      <c r="Z1380" s="2">
        <f t="shared" si="911"/>
        <v>0</v>
      </c>
      <c r="AA1380" s="2">
        <f t="shared" si="911"/>
        <v>0</v>
      </c>
      <c r="AB1380" s="2">
        <f t="shared" si="911"/>
        <v>0</v>
      </c>
      <c r="AC1380" s="2">
        <f t="shared" si="911"/>
        <v>0</v>
      </c>
      <c r="AD1380" s="2">
        <f t="shared" si="911"/>
        <v>0</v>
      </c>
      <c r="AE1380" s="2">
        <f t="shared" si="911"/>
        <v>0</v>
      </c>
      <c r="AF1380" s="2">
        <f t="shared" si="911"/>
        <v>0</v>
      </c>
      <c r="AG1380" s="2">
        <f t="shared" si="911"/>
        <v>0</v>
      </c>
      <c r="AH1380" s="2">
        <f t="shared" si="911"/>
        <v>0</v>
      </c>
      <c r="AI1380" s="2">
        <f t="shared" si="911"/>
        <v>0</v>
      </c>
      <c r="AJ1380" s="2">
        <f t="shared" si="911"/>
        <v>0</v>
      </c>
      <c r="AK1380" s="2">
        <f t="shared" si="911"/>
        <v>0</v>
      </c>
      <c r="AL1380" s="2">
        <f t="shared" si="911"/>
        <v>0</v>
      </c>
      <c r="AM1380" s="2">
        <f t="shared" si="911"/>
        <v>0</v>
      </c>
      <c r="AN1380" s="2">
        <f t="shared" si="911"/>
        <v>0</v>
      </c>
      <c r="AO1380" s="2">
        <f t="shared" si="911"/>
        <v>0</v>
      </c>
      <c r="AP1380" s="2">
        <f t="shared" si="911"/>
        <v>0</v>
      </c>
      <c r="AQ1380" s="2">
        <f t="shared" si="911"/>
        <v>0</v>
      </c>
      <c r="AR1380" s="2">
        <f t="shared" si="911"/>
        <v>0</v>
      </c>
      <c r="AS1380" s="2">
        <f t="shared" si="911"/>
        <v>0</v>
      </c>
      <c r="AT1380" s="2">
        <f t="shared" si="911"/>
        <v>0</v>
      </c>
      <c r="AU1380" s="2">
        <f t="shared" ref="AU1380:BZ1380" si="912">AU1382</f>
        <v>0</v>
      </c>
      <c r="AV1380" s="2">
        <f t="shared" si="912"/>
        <v>0</v>
      </c>
      <c r="AW1380" s="2">
        <f t="shared" si="912"/>
        <v>0</v>
      </c>
      <c r="AX1380" s="2">
        <f t="shared" si="912"/>
        <v>0</v>
      </c>
      <c r="AY1380" s="2">
        <f t="shared" si="912"/>
        <v>0</v>
      </c>
      <c r="AZ1380" s="2">
        <f t="shared" si="912"/>
        <v>0</v>
      </c>
      <c r="BA1380" s="2">
        <f t="shared" si="912"/>
        <v>0</v>
      </c>
      <c r="BB1380" s="2">
        <f t="shared" si="912"/>
        <v>0</v>
      </c>
      <c r="BC1380" s="2">
        <f t="shared" si="912"/>
        <v>0</v>
      </c>
      <c r="BD1380" s="2">
        <f t="shared" si="912"/>
        <v>0</v>
      </c>
      <c r="BE1380" s="2">
        <f t="shared" si="912"/>
        <v>0</v>
      </c>
      <c r="BF1380" s="2">
        <f t="shared" si="912"/>
        <v>0</v>
      </c>
      <c r="BG1380" s="2">
        <f t="shared" si="912"/>
        <v>0</v>
      </c>
      <c r="BH1380" s="2">
        <f t="shared" si="912"/>
        <v>0</v>
      </c>
      <c r="BI1380" s="2">
        <f t="shared" si="912"/>
        <v>0</v>
      </c>
      <c r="BJ1380" s="2">
        <f t="shared" si="912"/>
        <v>0</v>
      </c>
      <c r="BK1380" s="2">
        <f t="shared" si="912"/>
        <v>0</v>
      </c>
      <c r="BL1380" s="2">
        <f t="shared" si="912"/>
        <v>0</v>
      </c>
      <c r="BM1380" s="2">
        <f t="shared" si="912"/>
        <v>0</v>
      </c>
      <c r="BN1380" s="2">
        <f t="shared" si="912"/>
        <v>0</v>
      </c>
      <c r="BO1380" s="2">
        <f t="shared" si="912"/>
        <v>0</v>
      </c>
      <c r="BP1380" s="2">
        <f t="shared" si="912"/>
        <v>0</v>
      </c>
      <c r="BQ1380" s="2">
        <f t="shared" si="912"/>
        <v>0</v>
      </c>
      <c r="BR1380" s="2">
        <f t="shared" si="912"/>
        <v>0</v>
      </c>
      <c r="BS1380" s="2">
        <f t="shared" si="912"/>
        <v>0</v>
      </c>
      <c r="BT1380" s="2">
        <f t="shared" si="912"/>
        <v>0</v>
      </c>
      <c r="BU1380" s="2">
        <f t="shared" si="912"/>
        <v>0</v>
      </c>
      <c r="BV1380" s="2">
        <f t="shared" si="912"/>
        <v>0</v>
      </c>
      <c r="BW1380" s="2">
        <f t="shared" si="912"/>
        <v>0</v>
      </c>
      <c r="BX1380" s="2">
        <f t="shared" si="912"/>
        <v>0</v>
      </c>
      <c r="BY1380" s="2">
        <f t="shared" si="912"/>
        <v>0</v>
      </c>
      <c r="BZ1380" s="2">
        <f t="shared" si="912"/>
        <v>0</v>
      </c>
      <c r="CA1380" s="2">
        <f t="shared" ref="CA1380:DF1380" si="913">CA1382</f>
        <v>0</v>
      </c>
      <c r="CB1380" s="2">
        <f t="shared" si="913"/>
        <v>0</v>
      </c>
      <c r="CC1380" s="2">
        <f t="shared" si="913"/>
        <v>0</v>
      </c>
      <c r="CD1380" s="2">
        <f t="shared" si="913"/>
        <v>0</v>
      </c>
      <c r="CE1380" s="2">
        <f t="shared" si="913"/>
        <v>0</v>
      </c>
      <c r="CF1380" s="2">
        <f t="shared" si="913"/>
        <v>0</v>
      </c>
      <c r="CG1380" s="2">
        <f t="shared" si="913"/>
        <v>0</v>
      </c>
      <c r="CH1380" s="2">
        <f t="shared" si="913"/>
        <v>0</v>
      </c>
      <c r="CI1380" s="2">
        <f t="shared" si="913"/>
        <v>0</v>
      </c>
      <c r="CJ1380" s="2">
        <f t="shared" si="913"/>
        <v>0</v>
      </c>
      <c r="CK1380" s="2">
        <f t="shared" si="913"/>
        <v>0</v>
      </c>
      <c r="CL1380" s="2">
        <f t="shared" si="913"/>
        <v>0</v>
      </c>
      <c r="CM1380" s="2">
        <f t="shared" si="913"/>
        <v>0</v>
      </c>
      <c r="CN1380" s="2">
        <f t="shared" si="913"/>
        <v>0</v>
      </c>
      <c r="CO1380" s="2">
        <f t="shared" si="913"/>
        <v>0</v>
      </c>
      <c r="CP1380" s="2">
        <f t="shared" si="913"/>
        <v>0</v>
      </c>
      <c r="CQ1380" s="2">
        <f t="shared" si="913"/>
        <v>0</v>
      </c>
      <c r="CR1380" s="2">
        <f t="shared" si="913"/>
        <v>0</v>
      </c>
      <c r="CS1380" s="2">
        <f t="shared" si="913"/>
        <v>0</v>
      </c>
      <c r="CT1380" s="2">
        <f t="shared" si="913"/>
        <v>0</v>
      </c>
      <c r="CU1380" s="2">
        <f t="shared" si="913"/>
        <v>0</v>
      </c>
      <c r="CV1380" s="2">
        <f t="shared" si="913"/>
        <v>0</v>
      </c>
      <c r="CW1380" s="2">
        <f t="shared" si="913"/>
        <v>0</v>
      </c>
      <c r="CX1380" s="2">
        <f t="shared" si="913"/>
        <v>0</v>
      </c>
      <c r="CY1380" s="2">
        <f t="shared" si="913"/>
        <v>0</v>
      </c>
      <c r="CZ1380" s="2">
        <f t="shared" si="913"/>
        <v>0</v>
      </c>
      <c r="DA1380" s="2">
        <f t="shared" si="913"/>
        <v>0</v>
      </c>
      <c r="DB1380" s="2">
        <f t="shared" si="913"/>
        <v>0</v>
      </c>
      <c r="DC1380" s="2">
        <f t="shared" si="913"/>
        <v>0</v>
      </c>
      <c r="DD1380" s="2">
        <f t="shared" si="913"/>
        <v>0</v>
      </c>
      <c r="DE1380" s="2">
        <f t="shared" si="913"/>
        <v>0</v>
      </c>
      <c r="DF1380" s="2">
        <f t="shared" si="913"/>
        <v>0</v>
      </c>
      <c r="DG1380" s="3">
        <f t="shared" ref="DG1380:EL1380" si="914">DG1382</f>
        <v>0</v>
      </c>
      <c r="DH1380" s="3">
        <f t="shared" si="914"/>
        <v>0</v>
      </c>
      <c r="DI1380" s="3">
        <f t="shared" si="914"/>
        <v>0</v>
      </c>
      <c r="DJ1380" s="3">
        <f t="shared" si="914"/>
        <v>0</v>
      </c>
      <c r="DK1380" s="3">
        <f t="shared" si="914"/>
        <v>0</v>
      </c>
      <c r="DL1380" s="3">
        <f t="shared" si="914"/>
        <v>0</v>
      </c>
      <c r="DM1380" s="3">
        <f t="shared" si="914"/>
        <v>0</v>
      </c>
      <c r="DN1380" s="3">
        <f t="shared" si="914"/>
        <v>0</v>
      </c>
      <c r="DO1380" s="3">
        <f t="shared" si="914"/>
        <v>0</v>
      </c>
      <c r="DP1380" s="3">
        <f t="shared" si="914"/>
        <v>0</v>
      </c>
      <c r="DQ1380" s="3">
        <f t="shared" si="914"/>
        <v>0</v>
      </c>
      <c r="DR1380" s="3">
        <f t="shared" si="914"/>
        <v>0</v>
      </c>
      <c r="DS1380" s="3">
        <f t="shared" si="914"/>
        <v>0</v>
      </c>
      <c r="DT1380" s="3">
        <f t="shared" si="914"/>
        <v>0</v>
      </c>
      <c r="DU1380" s="3">
        <f t="shared" si="914"/>
        <v>0</v>
      </c>
      <c r="DV1380" s="3">
        <f t="shared" si="914"/>
        <v>0</v>
      </c>
      <c r="DW1380" s="3">
        <f t="shared" si="914"/>
        <v>0</v>
      </c>
      <c r="DX1380" s="3">
        <f t="shared" si="914"/>
        <v>0</v>
      </c>
      <c r="DY1380" s="3">
        <f t="shared" si="914"/>
        <v>0</v>
      </c>
      <c r="DZ1380" s="3">
        <f t="shared" si="914"/>
        <v>0</v>
      </c>
      <c r="EA1380" s="3">
        <f t="shared" si="914"/>
        <v>0</v>
      </c>
      <c r="EB1380" s="3">
        <f t="shared" si="914"/>
        <v>0</v>
      </c>
      <c r="EC1380" s="3">
        <f t="shared" si="914"/>
        <v>0</v>
      </c>
      <c r="ED1380" s="3">
        <f t="shared" si="914"/>
        <v>0</v>
      </c>
      <c r="EE1380" s="3">
        <f t="shared" si="914"/>
        <v>0</v>
      </c>
      <c r="EF1380" s="3">
        <f t="shared" si="914"/>
        <v>0</v>
      </c>
      <c r="EG1380" s="3">
        <f t="shared" si="914"/>
        <v>0</v>
      </c>
      <c r="EH1380" s="3">
        <f t="shared" si="914"/>
        <v>0</v>
      </c>
      <c r="EI1380" s="3">
        <f t="shared" si="914"/>
        <v>0</v>
      </c>
      <c r="EJ1380" s="3">
        <f t="shared" si="914"/>
        <v>0</v>
      </c>
      <c r="EK1380" s="3">
        <f t="shared" si="914"/>
        <v>0</v>
      </c>
      <c r="EL1380" s="3">
        <f t="shared" si="914"/>
        <v>0</v>
      </c>
      <c r="EM1380" s="3">
        <f t="shared" ref="EM1380:FR1380" si="915">EM1382</f>
        <v>0</v>
      </c>
      <c r="EN1380" s="3">
        <f t="shared" si="915"/>
        <v>0</v>
      </c>
      <c r="EO1380" s="3">
        <f t="shared" si="915"/>
        <v>0</v>
      </c>
      <c r="EP1380" s="3">
        <f t="shared" si="915"/>
        <v>0</v>
      </c>
      <c r="EQ1380" s="3">
        <f t="shared" si="915"/>
        <v>0</v>
      </c>
      <c r="ER1380" s="3">
        <f t="shared" si="915"/>
        <v>0</v>
      </c>
      <c r="ES1380" s="3">
        <f t="shared" si="915"/>
        <v>0</v>
      </c>
      <c r="ET1380" s="3">
        <f t="shared" si="915"/>
        <v>0</v>
      </c>
      <c r="EU1380" s="3">
        <f t="shared" si="915"/>
        <v>0</v>
      </c>
      <c r="EV1380" s="3">
        <f t="shared" si="915"/>
        <v>0</v>
      </c>
      <c r="EW1380" s="3">
        <f t="shared" si="915"/>
        <v>0</v>
      </c>
      <c r="EX1380" s="3">
        <f t="shared" si="915"/>
        <v>0</v>
      </c>
      <c r="EY1380" s="3">
        <f t="shared" si="915"/>
        <v>0</v>
      </c>
      <c r="EZ1380" s="3">
        <f t="shared" si="915"/>
        <v>0</v>
      </c>
      <c r="FA1380" s="3">
        <f t="shared" si="915"/>
        <v>0</v>
      </c>
      <c r="FB1380" s="3">
        <f t="shared" si="915"/>
        <v>0</v>
      </c>
      <c r="FC1380" s="3">
        <f t="shared" si="915"/>
        <v>0</v>
      </c>
      <c r="FD1380" s="3">
        <f t="shared" si="915"/>
        <v>0</v>
      </c>
      <c r="FE1380" s="3">
        <f t="shared" si="915"/>
        <v>0</v>
      </c>
      <c r="FF1380" s="3">
        <f t="shared" si="915"/>
        <v>0</v>
      </c>
      <c r="FG1380" s="3">
        <f t="shared" si="915"/>
        <v>0</v>
      </c>
      <c r="FH1380" s="3">
        <f t="shared" si="915"/>
        <v>0</v>
      </c>
      <c r="FI1380" s="3">
        <f t="shared" si="915"/>
        <v>0</v>
      </c>
      <c r="FJ1380" s="3">
        <f t="shared" si="915"/>
        <v>0</v>
      </c>
      <c r="FK1380" s="3">
        <f t="shared" si="915"/>
        <v>0</v>
      </c>
      <c r="FL1380" s="3">
        <f t="shared" si="915"/>
        <v>0</v>
      </c>
      <c r="FM1380" s="3">
        <f t="shared" si="915"/>
        <v>0</v>
      </c>
      <c r="FN1380" s="3">
        <f t="shared" si="915"/>
        <v>0</v>
      </c>
      <c r="FO1380" s="3">
        <f t="shared" si="915"/>
        <v>0</v>
      </c>
      <c r="FP1380" s="3">
        <f t="shared" si="915"/>
        <v>0</v>
      </c>
      <c r="FQ1380" s="3">
        <f t="shared" si="915"/>
        <v>0</v>
      </c>
      <c r="FR1380" s="3">
        <f t="shared" si="915"/>
        <v>0</v>
      </c>
      <c r="FS1380" s="3">
        <f t="shared" ref="FS1380:GX1380" si="916">FS1382</f>
        <v>0</v>
      </c>
      <c r="FT1380" s="3">
        <f t="shared" si="916"/>
        <v>0</v>
      </c>
      <c r="FU1380" s="3">
        <f t="shared" si="916"/>
        <v>0</v>
      </c>
      <c r="FV1380" s="3">
        <f t="shared" si="916"/>
        <v>0</v>
      </c>
      <c r="FW1380" s="3">
        <f t="shared" si="916"/>
        <v>0</v>
      </c>
      <c r="FX1380" s="3">
        <f t="shared" si="916"/>
        <v>0</v>
      </c>
      <c r="FY1380" s="3">
        <f t="shared" si="916"/>
        <v>0</v>
      </c>
      <c r="FZ1380" s="3">
        <f t="shared" si="916"/>
        <v>0</v>
      </c>
      <c r="GA1380" s="3">
        <f t="shared" si="916"/>
        <v>0</v>
      </c>
      <c r="GB1380" s="3">
        <f t="shared" si="916"/>
        <v>0</v>
      </c>
      <c r="GC1380" s="3">
        <f t="shared" si="916"/>
        <v>0</v>
      </c>
      <c r="GD1380" s="3">
        <f t="shared" si="916"/>
        <v>0</v>
      </c>
      <c r="GE1380" s="3">
        <f t="shared" si="916"/>
        <v>0</v>
      </c>
      <c r="GF1380" s="3">
        <f t="shared" si="916"/>
        <v>0</v>
      </c>
      <c r="GG1380" s="3">
        <f t="shared" si="916"/>
        <v>0</v>
      </c>
      <c r="GH1380" s="3">
        <f t="shared" si="916"/>
        <v>0</v>
      </c>
      <c r="GI1380" s="3">
        <f t="shared" si="916"/>
        <v>0</v>
      </c>
      <c r="GJ1380" s="3">
        <f t="shared" si="916"/>
        <v>0</v>
      </c>
      <c r="GK1380" s="3">
        <f t="shared" si="916"/>
        <v>0</v>
      </c>
      <c r="GL1380" s="3">
        <f t="shared" si="916"/>
        <v>0</v>
      </c>
      <c r="GM1380" s="3">
        <f t="shared" si="916"/>
        <v>0</v>
      </c>
      <c r="GN1380" s="3">
        <f t="shared" si="916"/>
        <v>0</v>
      </c>
      <c r="GO1380" s="3">
        <f t="shared" si="916"/>
        <v>0</v>
      </c>
      <c r="GP1380" s="3">
        <f t="shared" si="916"/>
        <v>0</v>
      </c>
      <c r="GQ1380" s="3">
        <f t="shared" si="916"/>
        <v>0</v>
      </c>
      <c r="GR1380" s="3">
        <f t="shared" si="916"/>
        <v>0</v>
      </c>
      <c r="GS1380" s="3">
        <f t="shared" si="916"/>
        <v>0</v>
      </c>
      <c r="GT1380" s="3">
        <f t="shared" si="916"/>
        <v>0</v>
      </c>
      <c r="GU1380" s="3">
        <f t="shared" si="916"/>
        <v>0</v>
      </c>
      <c r="GV1380" s="3">
        <f t="shared" si="916"/>
        <v>0</v>
      </c>
      <c r="GW1380" s="3">
        <f t="shared" si="916"/>
        <v>0</v>
      </c>
      <c r="GX1380" s="3">
        <f t="shared" si="916"/>
        <v>0</v>
      </c>
    </row>
    <row r="1382" spans="1:206" x14ac:dyDescent="0.2">
      <c r="A1382" s="2">
        <v>51</v>
      </c>
      <c r="B1382" s="2">
        <f>B1378</f>
        <v>1</v>
      </c>
      <c r="C1382" s="2">
        <f>A1378</f>
        <v>4</v>
      </c>
      <c r="D1382" s="2">
        <f>ROW(A1378)</f>
        <v>1378</v>
      </c>
      <c r="E1382" s="2"/>
      <c r="F1382" s="2" t="str">
        <f>IF(F1378&lt;&gt;"",F1378,"")</f>
        <v>Новый раздел</v>
      </c>
      <c r="G1382" s="2" t="str">
        <f>IF(G1378&lt;&gt;"",G1378,"")</f>
        <v>57. Гидроизоляция рулонная 1см</v>
      </c>
      <c r="H1382" s="2">
        <v>0</v>
      </c>
      <c r="I1382" s="2"/>
      <c r="J1382" s="2"/>
      <c r="K1382" s="2"/>
      <c r="L1382" s="2"/>
      <c r="M1382" s="2"/>
      <c r="N1382" s="2"/>
      <c r="O1382" s="2">
        <f t="shared" ref="O1382:T1382" si="917">ROUND(AB1382,2)</f>
        <v>0</v>
      </c>
      <c r="P1382" s="2">
        <f t="shared" si="917"/>
        <v>0</v>
      </c>
      <c r="Q1382" s="2">
        <f t="shared" si="917"/>
        <v>0</v>
      </c>
      <c r="R1382" s="2">
        <f t="shared" si="917"/>
        <v>0</v>
      </c>
      <c r="S1382" s="2">
        <f t="shared" si="917"/>
        <v>0</v>
      </c>
      <c r="T1382" s="2">
        <f t="shared" si="917"/>
        <v>0</v>
      </c>
      <c r="U1382" s="2">
        <f>AH1382</f>
        <v>0</v>
      </c>
      <c r="V1382" s="2">
        <f>AI1382</f>
        <v>0</v>
      </c>
      <c r="W1382" s="2">
        <f>ROUND(AJ1382,2)</f>
        <v>0</v>
      </c>
      <c r="X1382" s="2">
        <f>ROUND(AK1382,2)</f>
        <v>0</v>
      </c>
      <c r="Y1382" s="2">
        <f>ROUND(AL1382,2)</f>
        <v>0</v>
      </c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>
        <f t="shared" ref="AO1382:BD1382" si="918">ROUND(BX1382,2)</f>
        <v>0</v>
      </c>
      <c r="AP1382" s="2">
        <f t="shared" si="918"/>
        <v>0</v>
      </c>
      <c r="AQ1382" s="2">
        <f t="shared" si="918"/>
        <v>0</v>
      </c>
      <c r="AR1382" s="2">
        <f t="shared" si="918"/>
        <v>0</v>
      </c>
      <c r="AS1382" s="2">
        <f t="shared" si="918"/>
        <v>0</v>
      </c>
      <c r="AT1382" s="2">
        <f t="shared" si="918"/>
        <v>0</v>
      </c>
      <c r="AU1382" s="2">
        <f t="shared" si="918"/>
        <v>0</v>
      </c>
      <c r="AV1382" s="2">
        <f t="shared" si="918"/>
        <v>0</v>
      </c>
      <c r="AW1382" s="2">
        <f t="shared" si="918"/>
        <v>0</v>
      </c>
      <c r="AX1382" s="2">
        <f t="shared" si="918"/>
        <v>0</v>
      </c>
      <c r="AY1382" s="2">
        <f t="shared" si="918"/>
        <v>0</v>
      </c>
      <c r="AZ1382" s="2">
        <f t="shared" si="918"/>
        <v>0</v>
      </c>
      <c r="BA1382" s="2">
        <f t="shared" si="918"/>
        <v>0</v>
      </c>
      <c r="BB1382" s="2">
        <f t="shared" si="918"/>
        <v>0</v>
      </c>
      <c r="BC1382" s="2">
        <f t="shared" si="918"/>
        <v>0</v>
      </c>
      <c r="BD1382" s="2">
        <f t="shared" si="918"/>
        <v>0</v>
      </c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3"/>
      <c r="DH1382" s="3"/>
      <c r="DI1382" s="3"/>
      <c r="DJ1382" s="3"/>
      <c r="DK1382" s="3"/>
      <c r="DL1382" s="3"/>
      <c r="DM1382" s="3"/>
      <c r="DN1382" s="3"/>
      <c r="DO1382" s="3"/>
      <c r="DP1382" s="3"/>
      <c r="DQ1382" s="3"/>
      <c r="DR1382" s="3"/>
      <c r="DS1382" s="3"/>
      <c r="DT1382" s="3"/>
      <c r="DU1382" s="3"/>
      <c r="DV1382" s="3"/>
      <c r="DW1382" s="3"/>
      <c r="DX1382" s="3"/>
      <c r="DY1382" s="3"/>
      <c r="DZ1382" s="3"/>
      <c r="EA1382" s="3"/>
      <c r="EB1382" s="3"/>
      <c r="EC1382" s="3"/>
      <c r="ED1382" s="3"/>
      <c r="EE1382" s="3"/>
      <c r="EF1382" s="3"/>
      <c r="EG1382" s="3"/>
      <c r="EH1382" s="3"/>
      <c r="EI1382" s="3"/>
      <c r="EJ1382" s="3"/>
      <c r="EK1382" s="3"/>
      <c r="EL1382" s="3"/>
      <c r="EM1382" s="3"/>
      <c r="EN1382" s="3"/>
      <c r="EO1382" s="3"/>
      <c r="EP1382" s="3"/>
      <c r="EQ1382" s="3"/>
      <c r="ER1382" s="3"/>
      <c r="ES1382" s="3"/>
      <c r="ET1382" s="3"/>
      <c r="EU1382" s="3"/>
      <c r="EV1382" s="3"/>
      <c r="EW1382" s="3"/>
      <c r="EX1382" s="3"/>
      <c r="EY1382" s="3"/>
      <c r="EZ1382" s="3"/>
      <c r="FA1382" s="3"/>
      <c r="FB1382" s="3"/>
      <c r="FC1382" s="3"/>
      <c r="FD1382" s="3"/>
      <c r="FE1382" s="3"/>
      <c r="FF1382" s="3"/>
      <c r="FG1382" s="3"/>
      <c r="FH1382" s="3"/>
      <c r="FI1382" s="3"/>
      <c r="FJ1382" s="3"/>
      <c r="FK1382" s="3"/>
      <c r="FL1382" s="3"/>
      <c r="FM1382" s="3"/>
      <c r="FN1382" s="3"/>
      <c r="FO1382" s="3"/>
      <c r="FP1382" s="3"/>
      <c r="FQ1382" s="3"/>
      <c r="FR1382" s="3"/>
      <c r="FS1382" s="3"/>
      <c r="FT1382" s="3"/>
      <c r="FU1382" s="3"/>
      <c r="FV1382" s="3"/>
      <c r="FW1382" s="3"/>
      <c r="FX1382" s="3"/>
      <c r="FY1382" s="3"/>
      <c r="FZ1382" s="3"/>
      <c r="GA1382" s="3"/>
      <c r="GB1382" s="3"/>
      <c r="GC1382" s="3"/>
      <c r="GD1382" s="3"/>
      <c r="GE1382" s="3"/>
      <c r="GF1382" s="3"/>
      <c r="GG1382" s="3"/>
      <c r="GH1382" s="3"/>
      <c r="GI1382" s="3"/>
      <c r="GJ1382" s="3"/>
      <c r="GK1382" s="3"/>
      <c r="GL1382" s="3"/>
      <c r="GM1382" s="3"/>
      <c r="GN1382" s="3"/>
      <c r="GO1382" s="3"/>
      <c r="GP1382" s="3"/>
      <c r="GQ1382" s="3"/>
      <c r="GR1382" s="3"/>
      <c r="GS1382" s="3"/>
      <c r="GT1382" s="3"/>
      <c r="GU1382" s="3"/>
      <c r="GV1382" s="3"/>
      <c r="GW1382" s="3"/>
      <c r="GX1382" s="3">
        <v>0</v>
      </c>
    </row>
    <row r="1384" spans="1:206" x14ac:dyDescent="0.2">
      <c r="A1384" s="4">
        <v>50</v>
      </c>
      <c r="B1384" s="4">
        <v>0</v>
      </c>
      <c r="C1384" s="4">
        <v>0</v>
      </c>
      <c r="D1384" s="4">
        <v>1</v>
      </c>
      <c r="E1384" s="4">
        <v>201</v>
      </c>
      <c r="F1384" s="4">
        <f>ROUND(Source!O1382,O1384)</f>
        <v>0</v>
      </c>
      <c r="G1384" s="4" t="s">
        <v>89</v>
      </c>
      <c r="H1384" s="4" t="s">
        <v>90</v>
      </c>
      <c r="I1384" s="4"/>
      <c r="J1384" s="4"/>
      <c r="K1384" s="4">
        <v>201</v>
      </c>
      <c r="L1384" s="4">
        <v>1</v>
      </c>
      <c r="M1384" s="4">
        <v>3</v>
      </c>
      <c r="N1384" s="4" t="s">
        <v>3</v>
      </c>
      <c r="O1384" s="4">
        <v>2</v>
      </c>
      <c r="P1384" s="4"/>
      <c r="Q1384" s="4"/>
      <c r="R1384" s="4"/>
      <c r="S1384" s="4"/>
      <c r="T1384" s="4"/>
      <c r="U1384" s="4"/>
      <c r="V1384" s="4"/>
      <c r="W1384" s="4"/>
    </row>
    <row r="1385" spans="1:206" x14ac:dyDescent="0.2">
      <c r="A1385" s="4">
        <v>50</v>
      </c>
      <c r="B1385" s="4">
        <v>0</v>
      </c>
      <c r="C1385" s="4">
        <v>0</v>
      </c>
      <c r="D1385" s="4">
        <v>1</v>
      </c>
      <c r="E1385" s="4">
        <v>202</v>
      </c>
      <c r="F1385" s="4">
        <f>ROUND(Source!P1382,O1385)</f>
        <v>0</v>
      </c>
      <c r="G1385" s="4" t="s">
        <v>91</v>
      </c>
      <c r="H1385" s="4" t="s">
        <v>92</v>
      </c>
      <c r="I1385" s="4"/>
      <c r="J1385" s="4"/>
      <c r="K1385" s="4">
        <v>202</v>
      </c>
      <c r="L1385" s="4">
        <v>2</v>
      </c>
      <c r="M1385" s="4">
        <v>3</v>
      </c>
      <c r="N1385" s="4" t="s">
        <v>3</v>
      </c>
      <c r="O1385" s="4">
        <v>2</v>
      </c>
      <c r="P1385" s="4"/>
      <c r="Q1385" s="4"/>
      <c r="R1385" s="4"/>
      <c r="S1385" s="4"/>
      <c r="T1385" s="4"/>
      <c r="U1385" s="4"/>
      <c r="V1385" s="4"/>
      <c r="W1385" s="4"/>
    </row>
    <row r="1386" spans="1:206" x14ac:dyDescent="0.2">
      <c r="A1386" s="4">
        <v>50</v>
      </c>
      <c r="B1386" s="4">
        <v>0</v>
      </c>
      <c r="C1386" s="4">
        <v>0</v>
      </c>
      <c r="D1386" s="4">
        <v>1</v>
      </c>
      <c r="E1386" s="4">
        <v>222</v>
      </c>
      <c r="F1386" s="4">
        <f>ROUND(Source!AO1382,O1386)</f>
        <v>0</v>
      </c>
      <c r="G1386" s="4" t="s">
        <v>93</v>
      </c>
      <c r="H1386" s="4" t="s">
        <v>94</v>
      </c>
      <c r="I1386" s="4"/>
      <c r="J1386" s="4"/>
      <c r="K1386" s="4">
        <v>222</v>
      </c>
      <c r="L1386" s="4">
        <v>3</v>
      </c>
      <c r="M1386" s="4">
        <v>3</v>
      </c>
      <c r="N1386" s="4" t="s">
        <v>3</v>
      </c>
      <c r="O1386" s="4">
        <v>2</v>
      </c>
      <c r="P1386" s="4"/>
      <c r="Q1386" s="4"/>
      <c r="R1386" s="4"/>
      <c r="S1386" s="4"/>
      <c r="T1386" s="4"/>
      <c r="U1386" s="4"/>
      <c r="V1386" s="4"/>
      <c r="W1386" s="4"/>
    </row>
    <row r="1387" spans="1:206" x14ac:dyDescent="0.2">
      <c r="A1387" s="4">
        <v>50</v>
      </c>
      <c r="B1387" s="4">
        <v>0</v>
      </c>
      <c r="C1387" s="4">
        <v>0</v>
      </c>
      <c r="D1387" s="4">
        <v>1</v>
      </c>
      <c r="E1387" s="4">
        <v>225</v>
      </c>
      <c r="F1387" s="4">
        <f>ROUND(Source!AV1382,O1387)</f>
        <v>0</v>
      </c>
      <c r="G1387" s="4" t="s">
        <v>95</v>
      </c>
      <c r="H1387" s="4" t="s">
        <v>96</v>
      </c>
      <c r="I1387" s="4"/>
      <c r="J1387" s="4"/>
      <c r="K1387" s="4">
        <v>225</v>
      </c>
      <c r="L1387" s="4">
        <v>4</v>
      </c>
      <c r="M1387" s="4">
        <v>3</v>
      </c>
      <c r="N1387" s="4" t="s">
        <v>3</v>
      </c>
      <c r="O1387" s="4">
        <v>2</v>
      </c>
      <c r="P1387" s="4"/>
      <c r="Q1387" s="4"/>
      <c r="R1387" s="4"/>
      <c r="S1387" s="4"/>
      <c r="T1387" s="4"/>
      <c r="U1387" s="4"/>
      <c r="V1387" s="4"/>
      <c r="W1387" s="4"/>
    </row>
    <row r="1388" spans="1:206" x14ac:dyDescent="0.2">
      <c r="A1388" s="4">
        <v>50</v>
      </c>
      <c r="B1388" s="4">
        <v>0</v>
      </c>
      <c r="C1388" s="4">
        <v>0</v>
      </c>
      <c r="D1388" s="4">
        <v>1</v>
      </c>
      <c r="E1388" s="4">
        <v>226</v>
      </c>
      <c r="F1388" s="4">
        <f>ROUND(Source!AW1382,O1388)</f>
        <v>0</v>
      </c>
      <c r="G1388" s="4" t="s">
        <v>97</v>
      </c>
      <c r="H1388" s="4" t="s">
        <v>98</v>
      </c>
      <c r="I1388" s="4"/>
      <c r="J1388" s="4"/>
      <c r="K1388" s="4">
        <v>226</v>
      </c>
      <c r="L1388" s="4">
        <v>5</v>
      </c>
      <c r="M1388" s="4">
        <v>3</v>
      </c>
      <c r="N1388" s="4" t="s">
        <v>3</v>
      </c>
      <c r="O1388" s="4">
        <v>2</v>
      </c>
      <c r="P1388" s="4"/>
      <c r="Q1388" s="4"/>
      <c r="R1388" s="4"/>
      <c r="S1388" s="4"/>
      <c r="T1388" s="4"/>
      <c r="U1388" s="4"/>
      <c r="V1388" s="4"/>
      <c r="W1388" s="4"/>
    </row>
    <row r="1389" spans="1:206" x14ac:dyDescent="0.2">
      <c r="A1389" s="4">
        <v>50</v>
      </c>
      <c r="B1389" s="4">
        <v>0</v>
      </c>
      <c r="C1389" s="4">
        <v>0</v>
      </c>
      <c r="D1389" s="4">
        <v>1</v>
      </c>
      <c r="E1389" s="4">
        <v>227</v>
      </c>
      <c r="F1389" s="4">
        <f>ROUND(Source!AX1382,O1389)</f>
        <v>0</v>
      </c>
      <c r="G1389" s="4" t="s">
        <v>99</v>
      </c>
      <c r="H1389" s="4" t="s">
        <v>100</v>
      </c>
      <c r="I1389" s="4"/>
      <c r="J1389" s="4"/>
      <c r="K1389" s="4">
        <v>227</v>
      </c>
      <c r="L1389" s="4">
        <v>6</v>
      </c>
      <c r="M1389" s="4">
        <v>3</v>
      </c>
      <c r="N1389" s="4" t="s">
        <v>3</v>
      </c>
      <c r="O1389" s="4">
        <v>2</v>
      </c>
      <c r="P1389" s="4"/>
      <c r="Q1389" s="4"/>
      <c r="R1389" s="4"/>
      <c r="S1389" s="4"/>
      <c r="T1389" s="4"/>
      <c r="U1389" s="4"/>
      <c r="V1389" s="4"/>
      <c r="W1389" s="4"/>
    </row>
    <row r="1390" spans="1:206" x14ac:dyDescent="0.2">
      <c r="A1390" s="4">
        <v>50</v>
      </c>
      <c r="B1390" s="4">
        <v>0</v>
      </c>
      <c r="C1390" s="4">
        <v>0</v>
      </c>
      <c r="D1390" s="4">
        <v>1</v>
      </c>
      <c r="E1390" s="4">
        <v>228</v>
      </c>
      <c r="F1390" s="4">
        <f>ROUND(Source!AY1382,O1390)</f>
        <v>0</v>
      </c>
      <c r="G1390" s="4" t="s">
        <v>101</v>
      </c>
      <c r="H1390" s="4" t="s">
        <v>102</v>
      </c>
      <c r="I1390" s="4"/>
      <c r="J1390" s="4"/>
      <c r="K1390" s="4">
        <v>228</v>
      </c>
      <c r="L1390" s="4">
        <v>7</v>
      </c>
      <c r="M1390" s="4">
        <v>3</v>
      </c>
      <c r="N1390" s="4" t="s">
        <v>3</v>
      </c>
      <c r="O1390" s="4">
        <v>2</v>
      </c>
      <c r="P1390" s="4"/>
      <c r="Q1390" s="4"/>
      <c r="R1390" s="4"/>
      <c r="S1390" s="4"/>
      <c r="T1390" s="4"/>
      <c r="U1390" s="4"/>
      <c r="V1390" s="4"/>
      <c r="W1390" s="4"/>
    </row>
    <row r="1391" spans="1:206" x14ac:dyDescent="0.2">
      <c r="A1391" s="4">
        <v>50</v>
      </c>
      <c r="B1391" s="4">
        <v>0</v>
      </c>
      <c r="C1391" s="4">
        <v>0</v>
      </c>
      <c r="D1391" s="4">
        <v>1</v>
      </c>
      <c r="E1391" s="4">
        <v>216</v>
      </c>
      <c r="F1391" s="4">
        <f>ROUND(Source!AP1382,O1391)</f>
        <v>0</v>
      </c>
      <c r="G1391" s="4" t="s">
        <v>103</v>
      </c>
      <c r="H1391" s="4" t="s">
        <v>104</v>
      </c>
      <c r="I1391" s="4"/>
      <c r="J1391" s="4"/>
      <c r="K1391" s="4">
        <v>216</v>
      </c>
      <c r="L1391" s="4">
        <v>8</v>
      </c>
      <c r="M1391" s="4">
        <v>3</v>
      </c>
      <c r="N1391" s="4" t="s">
        <v>3</v>
      </c>
      <c r="O1391" s="4">
        <v>2</v>
      </c>
      <c r="P1391" s="4"/>
      <c r="Q1391" s="4"/>
      <c r="R1391" s="4"/>
      <c r="S1391" s="4"/>
      <c r="T1391" s="4"/>
      <c r="U1391" s="4"/>
      <c r="V1391" s="4"/>
      <c r="W1391" s="4"/>
    </row>
    <row r="1392" spans="1:206" x14ac:dyDescent="0.2">
      <c r="A1392" s="4">
        <v>50</v>
      </c>
      <c r="B1392" s="4">
        <v>0</v>
      </c>
      <c r="C1392" s="4">
        <v>0</v>
      </c>
      <c r="D1392" s="4">
        <v>1</v>
      </c>
      <c r="E1392" s="4">
        <v>223</v>
      </c>
      <c r="F1392" s="4">
        <f>ROUND(Source!AQ1382,O1392)</f>
        <v>0</v>
      </c>
      <c r="G1392" s="4" t="s">
        <v>105</v>
      </c>
      <c r="H1392" s="4" t="s">
        <v>106</v>
      </c>
      <c r="I1392" s="4"/>
      <c r="J1392" s="4"/>
      <c r="K1392" s="4">
        <v>223</v>
      </c>
      <c r="L1392" s="4">
        <v>9</v>
      </c>
      <c r="M1392" s="4">
        <v>3</v>
      </c>
      <c r="N1392" s="4" t="s">
        <v>3</v>
      </c>
      <c r="O1392" s="4">
        <v>2</v>
      </c>
      <c r="P1392" s="4"/>
      <c r="Q1392" s="4"/>
      <c r="R1392" s="4"/>
      <c r="S1392" s="4"/>
      <c r="T1392" s="4"/>
      <c r="U1392" s="4"/>
      <c r="V1392" s="4"/>
      <c r="W1392" s="4"/>
    </row>
    <row r="1393" spans="1:23" x14ac:dyDescent="0.2">
      <c r="A1393" s="4">
        <v>50</v>
      </c>
      <c r="B1393" s="4">
        <v>0</v>
      </c>
      <c r="C1393" s="4">
        <v>0</v>
      </c>
      <c r="D1393" s="4">
        <v>1</v>
      </c>
      <c r="E1393" s="4">
        <v>229</v>
      </c>
      <c r="F1393" s="4">
        <f>ROUND(Source!AZ1382,O1393)</f>
        <v>0</v>
      </c>
      <c r="G1393" s="4" t="s">
        <v>107</v>
      </c>
      <c r="H1393" s="4" t="s">
        <v>108</v>
      </c>
      <c r="I1393" s="4"/>
      <c r="J1393" s="4"/>
      <c r="K1393" s="4">
        <v>229</v>
      </c>
      <c r="L1393" s="4">
        <v>10</v>
      </c>
      <c r="M1393" s="4">
        <v>3</v>
      </c>
      <c r="N1393" s="4" t="s">
        <v>3</v>
      </c>
      <c r="O1393" s="4">
        <v>2</v>
      </c>
      <c r="P1393" s="4"/>
      <c r="Q1393" s="4"/>
      <c r="R1393" s="4"/>
      <c r="S1393" s="4"/>
      <c r="T1393" s="4"/>
      <c r="U1393" s="4"/>
      <c r="V1393" s="4"/>
      <c r="W1393" s="4"/>
    </row>
    <row r="1394" spans="1:23" x14ac:dyDescent="0.2">
      <c r="A1394" s="4">
        <v>50</v>
      </c>
      <c r="B1394" s="4">
        <v>0</v>
      </c>
      <c r="C1394" s="4">
        <v>0</v>
      </c>
      <c r="D1394" s="4">
        <v>1</v>
      </c>
      <c r="E1394" s="4">
        <v>203</v>
      </c>
      <c r="F1394" s="4">
        <f>ROUND(Source!Q1382,O1394)</f>
        <v>0</v>
      </c>
      <c r="G1394" s="4" t="s">
        <v>109</v>
      </c>
      <c r="H1394" s="4" t="s">
        <v>110</v>
      </c>
      <c r="I1394" s="4"/>
      <c r="J1394" s="4"/>
      <c r="K1394" s="4">
        <v>203</v>
      </c>
      <c r="L1394" s="4">
        <v>11</v>
      </c>
      <c r="M1394" s="4">
        <v>3</v>
      </c>
      <c r="N1394" s="4" t="s">
        <v>3</v>
      </c>
      <c r="O1394" s="4">
        <v>2</v>
      </c>
      <c r="P1394" s="4"/>
      <c r="Q1394" s="4"/>
      <c r="R1394" s="4"/>
      <c r="S1394" s="4"/>
      <c r="T1394" s="4"/>
      <c r="U1394" s="4"/>
      <c r="V1394" s="4"/>
      <c r="W1394" s="4"/>
    </row>
    <row r="1395" spans="1:23" x14ac:dyDescent="0.2">
      <c r="A1395" s="4">
        <v>50</v>
      </c>
      <c r="B1395" s="4">
        <v>0</v>
      </c>
      <c r="C1395" s="4">
        <v>0</v>
      </c>
      <c r="D1395" s="4">
        <v>1</v>
      </c>
      <c r="E1395" s="4">
        <v>231</v>
      </c>
      <c r="F1395" s="4">
        <f>ROUND(Source!BB1382,O1395)</f>
        <v>0</v>
      </c>
      <c r="G1395" s="4" t="s">
        <v>111</v>
      </c>
      <c r="H1395" s="4" t="s">
        <v>112</v>
      </c>
      <c r="I1395" s="4"/>
      <c r="J1395" s="4"/>
      <c r="K1395" s="4">
        <v>231</v>
      </c>
      <c r="L1395" s="4">
        <v>12</v>
      </c>
      <c r="M1395" s="4">
        <v>3</v>
      </c>
      <c r="N1395" s="4" t="s">
        <v>3</v>
      </c>
      <c r="O1395" s="4">
        <v>2</v>
      </c>
      <c r="P1395" s="4"/>
      <c r="Q1395" s="4"/>
      <c r="R1395" s="4"/>
      <c r="S1395" s="4"/>
      <c r="T1395" s="4"/>
      <c r="U1395" s="4"/>
      <c r="V1395" s="4"/>
      <c r="W1395" s="4"/>
    </row>
    <row r="1396" spans="1:23" x14ac:dyDescent="0.2">
      <c r="A1396" s="4">
        <v>50</v>
      </c>
      <c r="B1396" s="4">
        <v>0</v>
      </c>
      <c r="C1396" s="4">
        <v>0</v>
      </c>
      <c r="D1396" s="4">
        <v>1</v>
      </c>
      <c r="E1396" s="4">
        <v>204</v>
      </c>
      <c r="F1396" s="4">
        <f>ROUND(Source!R1382,O1396)</f>
        <v>0</v>
      </c>
      <c r="G1396" s="4" t="s">
        <v>113</v>
      </c>
      <c r="H1396" s="4" t="s">
        <v>114</v>
      </c>
      <c r="I1396" s="4"/>
      <c r="J1396" s="4"/>
      <c r="K1396" s="4">
        <v>204</v>
      </c>
      <c r="L1396" s="4">
        <v>13</v>
      </c>
      <c r="M1396" s="4">
        <v>3</v>
      </c>
      <c r="N1396" s="4" t="s">
        <v>3</v>
      </c>
      <c r="O1396" s="4">
        <v>2</v>
      </c>
      <c r="P1396" s="4"/>
      <c r="Q1396" s="4"/>
      <c r="R1396" s="4"/>
      <c r="S1396" s="4"/>
      <c r="T1396" s="4"/>
      <c r="U1396" s="4"/>
      <c r="V1396" s="4"/>
      <c r="W1396" s="4"/>
    </row>
    <row r="1397" spans="1:23" x14ac:dyDescent="0.2">
      <c r="A1397" s="4">
        <v>50</v>
      </c>
      <c r="B1397" s="4">
        <v>0</v>
      </c>
      <c r="C1397" s="4">
        <v>0</v>
      </c>
      <c r="D1397" s="4">
        <v>1</v>
      </c>
      <c r="E1397" s="4">
        <v>205</v>
      </c>
      <c r="F1397" s="4">
        <f>ROUND(Source!S1382,O1397)</f>
        <v>0</v>
      </c>
      <c r="G1397" s="4" t="s">
        <v>115</v>
      </c>
      <c r="H1397" s="4" t="s">
        <v>116</v>
      </c>
      <c r="I1397" s="4"/>
      <c r="J1397" s="4"/>
      <c r="K1397" s="4">
        <v>205</v>
      </c>
      <c r="L1397" s="4">
        <v>14</v>
      </c>
      <c r="M1397" s="4">
        <v>3</v>
      </c>
      <c r="N1397" s="4" t="s">
        <v>3</v>
      </c>
      <c r="O1397" s="4">
        <v>2</v>
      </c>
      <c r="P1397" s="4"/>
      <c r="Q1397" s="4"/>
      <c r="R1397" s="4"/>
      <c r="S1397" s="4"/>
      <c r="T1397" s="4"/>
      <c r="U1397" s="4"/>
      <c r="V1397" s="4"/>
      <c r="W1397" s="4"/>
    </row>
    <row r="1398" spans="1:23" x14ac:dyDescent="0.2">
      <c r="A1398" s="4">
        <v>50</v>
      </c>
      <c r="B1398" s="4">
        <v>0</v>
      </c>
      <c r="C1398" s="4">
        <v>0</v>
      </c>
      <c r="D1398" s="4">
        <v>1</v>
      </c>
      <c r="E1398" s="4">
        <v>232</v>
      </c>
      <c r="F1398" s="4">
        <f>ROUND(Source!BC1382,O1398)</f>
        <v>0</v>
      </c>
      <c r="G1398" s="4" t="s">
        <v>117</v>
      </c>
      <c r="H1398" s="4" t="s">
        <v>118</v>
      </c>
      <c r="I1398" s="4"/>
      <c r="J1398" s="4"/>
      <c r="K1398" s="4">
        <v>232</v>
      </c>
      <c r="L1398" s="4">
        <v>15</v>
      </c>
      <c r="M1398" s="4">
        <v>3</v>
      </c>
      <c r="N1398" s="4" t="s">
        <v>3</v>
      </c>
      <c r="O1398" s="4">
        <v>2</v>
      </c>
      <c r="P1398" s="4"/>
      <c r="Q1398" s="4"/>
      <c r="R1398" s="4"/>
      <c r="S1398" s="4"/>
      <c r="T1398" s="4"/>
      <c r="U1398" s="4"/>
      <c r="V1398" s="4"/>
      <c r="W1398" s="4"/>
    </row>
    <row r="1399" spans="1:23" x14ac:dyDescent="0.2">
      <c r="A1399" s="4">
        <v>50</v>
      </c>
      <c r="B1399" s="4">
        <v>0</v>
      </c>
      <c r="C1399" s="4">
        <v>0</v>
      </c>
      <c r="D1399" s="4">
        <v>1</v>
      </c>
      <c r="E1399" s="4">
        <v>214</v>
      </c>
      <c r="F1399" s="4">
        <f>ROUND(Source!AS1382,O1399)</f>
        <v>0</v>
      </c>
      <c r="G1399" s="4" t="s">
        <v>119</v>
      </c>
      <c r="H1399" s="4" t="s">
        <v>120</v>
      </c>
      <c r="I1399" s="4"/>
      <c r="J1399" s="4"/>
      <c r="K1399" s="4">
        <v>214</v>
      </c>
      <c r="L1399" s="4">
        <v>16</v>
      </c>
      <c r="M1399" s="4">
        <v>3</v>
      </c>
      <c r="N1399" s="4" t="s">
        <v>3</v>
      </c>
      <c r="O1399" s="4">
        <v>2</v>
      </c>
      <c r="P1399" s="4"/>
      <c r="Q1399" s="4"/>
      <c r="R1399" s="4"/>
      <c r="S1399" s="4"/>
      <c r="T1399" s="4"/>
      <c r="U1399" s="4"/>
      <c r="V1399" s="4"/>
      <c r="W1399" s="4"/>
    </row>
    <row r="1400" spans="1:23" x14ac:dyDescent="0.2">
      <c r="A1400" s="4">
        <v>50</v>
      </c>
      <c r="B1400" s="4">
        <v>0</v>
      </c>
      <c r="C1400" s="4">
        <v>0</v>
      </c>
      <c r="D1400" s="4">
        <v>1</v>
      </c>
      <c r="E1400" s="4">
        <v>215</v>
      </c>
      <c r="F1400" s="4">
        <f>ROUND(Source!AT1382,O1400)</f>
        <v>0</v>
      </c>
      <c r="G1400" s="4" t="s">
        <v>121</v>
      </c>
      <c r="H1400" s="4" t="s">
        <v>122</v>
      </c>
      <c r="I1400" s="4"/>
      <c r="J1400" s="4"/>
      <c r="K1400" s="4">
        <v>215</v>
      </c>
      <c r="L1400" s="4">
        <v>17</v>
      </c>
      <c r="M1400" s="4">
        <v>3</v>
      </c>
      <c r="N1400" s="4" t="s">
        <v>3</v>
      </c>
      <c r="O1400" s="4">
        <v>2</v>
      </c>
      <c r="P1400" s="4"/>
      <c r="Q1400" s="4"/>
      <c r="R1400" s="4"/>
      <c r="S1400" s="4"/>
      <c r="T1400" s="4"/>
      <c r="U1400" s="4"/>
      <c r="V1400" s="4"/>
      <c r="W1400" s="4"/>
    </row>
    <row r="1401" spans="1:23" x14ac:dyDescent="0.2">
      <c r="A1401" s="4">
        <v>50</v>
      </c>
      <c r="B1401" s="4">
        <v>0</v>
      </c>
      <c r="C1401" s="4">
        <v>0</v>
      </c>
      <c r="D1401" s="4">
        <v>1</v>
      </c>
      <c r="E1401" s="4">
        <v>217</v>
      </c>
      <c r="F1401" s="4">
        <f>ROUND(Source!AU1382,O1401)</f>
        <v>0</v>
      </c>
      <c r="G1401" s="4" t="s">
        <v>123</v>
      </c>
      <c r="H1401" s="4" t="s">
        <v>124</v>
      </c>
      <c r="I1401" s="4"/>
      <c r="J1401" s="4"/>
      <c r="K1401" s="4">
        <v>217</v>
      </c>
      <c r="L1401" s="4">
        <v>18</v>
      </c>
      <c r="M1401" s="4">
        <v>3</v>
      </c>
      <c r="N1401" s="4" t="s">
        <v>3</v>
      </c>
      <c r="O1401" s="4">
        <v>2</v>
      </c>
      <c r="P1401" s="4"/>
      <c r="Q1401" s="4"/>
      <c r="R1401" s="4"/>
      <c r="S1401" s="4"/>
      <c r="T1401" s="4"/>
      <c r="U1401" s="4"/>
      <c r="V1401" s="4"/>
      <c r="W1401" s="4"/>
    </row>
    <row r="1402" spans="1:23" x14ac:dyDescent="0.2">
      <c r="A1402" s="4">
        <v>50</v>
      </c>
      <c r="B1402" s="4">
        <v>0</v>
      </c>
      <c r="C1402" s="4">
        <v>0</v>
      </c>
      <c r="D1402" s="4">
        <v>1</v>
      </c>
      <c r="E1402" s="4">
        <v>230</v>
      </c>
      <c r="F1402" s="4">
        <f>ROUND(Source!BA1382,O1402)</f>
        <v>0</v>
      </c>
      <c r="G1402" s="4" t="s">
        <v>125</v>
      </c>
      <c r="H1402" s="4" t="s">
        <v>126</v>
      </c>
      <c r="I1402" s="4"/>
      <c r="J1402" s="4"/>
      <c r="K1402" s="4">
        <v>230</v>
      </c>
      <c r="L1402" s="4">
        <v>19</v>
      </c>
      <c r="M1402" s="4">
        <v>3</v>
      </c>
      <c r="N1402" s="4" t="s">
        <v>3</v>
      </c>
      <c r="O1402" s="4">
        <v>2</v>
      </c>
      <c r="P1402" s="4"/>
      <c r="Q1402" s="4"/>
      <c r="R1402" s="4"/>
      <c r="S1402" s="4"/>
      <c r="T1402" s="4"/>
      <c r="U1402" s="4"/>
      <c r="V1402" s="4"/>
      <c r="W1402" s="4"/>
    </row>
    <row r="1403" spans="1:23" x14ac:dyDescent="0.2">
      <c r="A1403" s="4">
        <v>50</v>
      </c>
      <c r="B1403" s="4">
        <v>0</v>
      </c>
      <c r="C1403" s="4">
        <v>0</v>
      </c>
      <c r="D1403" s="4">
        <v>1</v>
      </c>
      <c r="E1403" s="4">
        <v>206</v>
      </c>
      <c r="F1403" s="4">
        <f>ROUND(Source!T1382,O1403)</f>
        <v>0</v>
      </c>
      <c r="G1403" s="4" t="s">
        <v>127</v>
      </c>
      <c r="H1403" s="4" t="s">
        <v>128</v>
      </c>
      <c r="I1403" s="4"/>
      <c r="J1403" s="4"/>
      <c r="K1403" s="4">
        <v>206</v>
      </c>
      <c r="L1403" s="4">
        <v>20</v>
      </c>
      <c r="M1403" s="4">
        <v>3</v>
      </c>
      <c r="N1403" s="4" t="s">
        <v>3</v>
      </c>
      <c r="O1403" s="4">
        <v>2</v>
      </c>
      <c r="P1403" s="4"/>
      <c r="Q1403" s="4"/>
      <c r="R1403" s="4"/>
      <c r="S1403" s="4"/>
      <c r="T1403" s="4"/>
      <c r="U1403" s="4"/>
      <c r="V1403" s="4"/>
      <c r="W1403" s="4"/>
    </row>
    <row r="1404" spans="1:23" x14ac:dyDescent="0.2">
      <c r="A1404" s="4">
        <v>50</v>
      </c>
      <c r="B1404" s="4">
        <v>0</v>
      </c>
      <c r="C1404" s="4">
        <v>0</v>
      </c>
      <c r="D1404" s="4">
        <v>1</v>
      </c>
      <c r="E1404" s="4">
        <v>207</v>
      </c>
      <c r="F1404" s="4">
        <f>Source!U1382</f>
        <v>0</v>
      </c>
      <c r="G1404" s="4" t="s">
        <v>129</v>
      </c>
      <c r="H1404" s="4" t="s">
        <v>130</v>
      </c>
      <c r="I1404" s="4"/>
      <c r="J1404" s="4"/>
      <c r="K1404" s="4">
        <v>207</v>
      </c>
      <c r="L1404" s="4">
        <v>21</v>
      </c>
      <c r="M1404" s="4">
        <v>3</v>
      </c>
      <c r="N1404" s="4" t="s">
        <v>3</v>
      </c>
      <c r="O1404" s="4">
        <v>-1</v>
      </c>
      <c r="P1404" s="4"/>
      <c r="Q1404" s="4"/>
      <c r="R1404" s="4"/>
      <c r="S1404" s="4"/>
      <c r="T1404" s="4"/>
      <c r="U1404" s="4"/>
      <c r="V1404" s="4"/>
      <c r="W1404" s="4"/>
    </row>
    <row r="1405" spans="1:23" x14ac:dyDescent="0.2">
      <c r="A1405" s="4">
        <v>50</v>
      </c>
      <c r="B1405" s="4">
        <v>0</v>
      </c>
      <c r="C1405" s="4">
        <v>0</v>
      </c>
      <c r="D1405" s="4">
        <v>1</v>
      </c>
      <c r="E1405" s="4">
        <v>208</v>
      </c>
      <c r="F1405" s="4">
        <f>Source!V1382</f>
        <v>0</v>
      </c>
      <c r="G1405" s="4" t="s">
        <v>131</v>
      </c>
      <c r="H1405" s="4" t="s">
        <v>132</v>
      </c>
      <c r="I1405" s="4"/>
      <c r="J1405" s="4"/>
      <c r="K1405" s="4">
        <v>208</v>
      </c>
      <c r="L1405" s="4">
        <v>22</v>
      </c>
      <c r="M1405" s="4">
        <v>3</v>
      </c>
      <c r="N1405" s="4" t="s">
        <v>3</v>
      </c>
      <c r="O1405" s="4">
        <v>-1</v>
      </c>
      <c r="P1405" s="4"/>
      <c r="Q1405" s="4"/>
      <c r="R1405" s="4"/>
      <c r="S1405" s="4"/>
      <c r="T1405" s="4"/>
      <c r="U1405" s="4"/>
      <c r="V1405" s="4"/>
      <c r="W1405" s="4"/>
    </row>
    <row r="1406" spans="1:23" x14ac:dyDescent="0.2">
      <c r="A1406" s="4">
        <v>50</v>
      </c>
      <c r="B1406" s="4">
        <v>0</v>
      </c>
      <c r="C1406" s="4">
        <v>0</v>
      </c>
      <c r="D1406" s="4">
        <v>1</v>
      </c>
      <c r="E1406" s="4">
        <v>209</v>
      </c>
      <c r="F1406" s="4">
        <f>ROUND(Source!W1382,O1406)</f>
        <v>0</v>
      </c>
      <c r="G1406" s="4" t="s">
        <v>133</v>
      </c>
      <c r="H1406" s="4" t="s">
        <v>134</v>
      </c>
      <c r="I1406" s="4"/>
      <c r="J1406" s="4"/>
      <c r="K1406" s="4">
        <v>209</v>
      </c>
      <c r="L1406" s="4">
        <v>23</v>
      </c>
      <c r="M1406" s="4">
        <v>3</v>
      </c>
      <c r="N1406" s="4" t="s">
        <v>3</v>
      </c>
      <c r="O1406" s="4">
        <v>2</v>
      </c>
      <c r="P1406" s="4"/>
      <c r="Q1406" s="4"/>
      <c r="R1406" s="4"/>
      <c r="S1406" s="4"/>
      <c r="T1406" s="4"/>
      <c r="U1406" s="4"/>
      <c r="V1406" s="4"/>
      <c r="W1406" s="4"/>
    </row>
    <row r="1407" spans="1:23" x14ac:dyDescent="0.2">
      <c r="A1407" s="4">
        <v>50</v>
      </c>
      <c r="B1407" s="4">
        <v>0</v>
      </c>
      <c r="C1407" s="4">
        <v>0</v>
      </c>
      <c r="D1407" s="4">
        <v>1</v>
      </c>
      <c r="E1407" s="4">
        <v>233</v>
      </c>
      <c r="F1407" s="4">
        <f>ROUND(Source!BD1382,O1407)</f>
        <v>0</v>
      </c>
      <c r="G1407" s="4" t="s">
        <v>135</v>
      </c>
      <c r="H1407" s="4" t="s">
        <v>136</v>
      </c>
      <c r="I1407" s="4"/>
      <c r="J1407" s="4"/>
      <c r="K1407" s="4">
        <v>233</v>
      </c>
      <c r="L1407" s="4">
        <v>24</v>
      </c>
      <c r="M1407" s="4">
        <v>3</v>
      </c>
      <c r="N1407" s="4" t="s">
        <v>3</v>
      </c>
      <c r="O1407" s="4">
        <v>2</v>
      </c>
      <c r="P1407" s="4"/>
      <c r="Q1407" s="4"/>
      <c r="R1407" s="4"/>
      <c r="S1407" s="4"/>
      <c r="T1407" s="4"/>
      <c r="U1407" s="4"/>
      <c r="V1407" s="4"/>
      <c r="W1407" s="4"/>
    </row>
    <row r="1408" spans="1:23" x14ac:dyDescent="0.2">
      <c r="A1408" s="4">
        <v>50</v>
      </c>
      <c r="B1408" s="4">
        <v>0</v>
      </c>
      <c r="C1408" s="4">
        <v>0</v>
      </c>
      <c r="D1408" s="4">
        <v>1</v>
      </c>
      <c r="E1408" s="4">
        <v>210</v>
      </c>
      <c r="F1408" s="4">
        <f>ROUND(Source!X1382,O1408)</f>
        <v>0</v>
      </c>
      <c r="G1408" s="4" t="s">
        <v>137</v>
      </c>
      <c r="H1408" s="4" t="s">
        <v>138</v>
      </c>
      <c r="I1408" s="4"/>
      <c r="J1408" s="4"/>
      <c r="K1408" s="4">
        <v>210</v>
      </c>
      <c r="L1408" s="4">
        <v>25</v>
      </c>
      <c r="M1408" s="4">
        <v>3</v>
      </c>
      <c r="N1408" s="4" t="s">
        <v>3</v>
      </c>
      <c r="O1408" s="4">
        <v>2</v>
      </c>
      <c r="P1408" s="4"/>
      <c r="Q1408" s="4"/>
      <c r="R1408" s="4"/>
      <c r="S1408" s="4"/>
      <c r="T1408" s="4"/>
      <c r="U1408" s="4"/>
      <c r="V1408" s="4"/>
      <c r="W1408" s="4"/>
    </row>
    <row r="1409" spans="1:206" x14ac:dyDescent="0.2">
      <c r="A1409" s="4">
        <v>50</v>
      </c>
      <c r="B1409" s="4">
        <v>0</v>
      </c>
      <c r="C1409" s="4">
        <v>0</v>
      </c>
      <c r="D1409" s="4">
        <v>1</v>
      </c>
      <c r="E1409" s="4">
        <v>211</v>
      </c>
      <c r="F1409" s="4">
        <f>ROUND(Source!Y1382,O1409)</f>
        <v>0</v>
      </c>
      <c r="G1409" s="4" t="s">
        <v>139</v>
      </c>
      <c r="H1409" s="4" t="s">
        <v>140</v>
      </c>
      <c r="I1409" s="4"/>
      <c r="J1409" s="4"/>
      <c r="K1409" s="4">
        <v>211</v>
      </c>
      <c r="L1409" s="4">
        <v>26</v>
      </c>
      <c r="M1409" s="4">
        <v>3</v>
      </c>
      <c r="N1409" s="4" t="s">
        <v>3</v>
      </c>
      <c r="O1409" s="4">
        <v>2</v>
      </c>
      <c r="P1409" s="4"/>
      <c r="Q1409" s="4"/>
      <c r="R1409" s="4"/>
      <c r="S1409" s="4"/>
      <c r="T1409" s="4"/>
      <c r="U1409" s="4"/>
      <c r="V1409" s="4"/>
      <c r="W1409" s="4"/>
    </row>
    <row r="1410" spans="1:206" x14ac:dyDescent="0.2">
      <c r="A1410" s="4">
        <v>50</v>
      </c>
      <c r="B1410" s="4">
        <v>0</v>
      </c>
      <c r="C1410" s="4">
        <v>0</v>
      </c>
      <c r="D1410" s="4">
        <v>1</v>
      </c>
      <c r="E1410" s="4">
        <v>224</v>
      </c>
      <c r="F1410" s="4">
        <f>ROUND(Source!AR1382,O1410)</f>
        <v>0</v>
      </c>
      <c r="G1410" s="4" t="s">
        <v>141</v>
      </c>
      <c r="H1410" s="4" t="s">
        <v>142</v>
      </c>
      <c r="I1410" s="4"/>
      <c r="J1410" s="4"/>
      <c r="K1410" s="4">
        <v>224</v>
      </c>
      <c r="L1410" s="4">
        <v>27</v>
      </c>
      <c r="M1410" s="4">
        <v>3</v>
      </c>
      <c r="N1410" s="4" t="s">
        <v>3</v>
      </c>
      <c r="O1410" s="4">
        <v>2</v>
      </c>
      <c r="P1410" s="4"/>
      <c r="Q1410" s="4"/>
      <c r="R1410" s="4"/>
      <c r="S1410" s="4"/>
      <c r="T1410" s="4"/>
      <c r="U1410" s="4"/>
      <c r="V1410" s="4"/>
      <c r="W1410" s="4"/>
    </row>
    <row r="1412" spans="1:206" x14ac:dyDescent="0.2">
      <c r="A1412" s="1">
        <v>4</v>
      </c>
      <c r="B1412" s="1">
        <v>1</v>
      </c>
      <c r="C1412" s="1"/>
      <c r="D1412" s="1">
        <f>ROW(A1416)</f>
        <v>1416</v>
      </c>
      <c r="E1412" s="1"/>
      <c r="F1412" s="1" t="s">
        <v>13</v>
      </c>
      <c r="G1412" s="1" t="s">
        <v>637</v>
      </c>
      <c r="H1412" s="1" t="s">
        <v>3</v>
      </c>
      <c r="I1412" s="1">
        <v>0</v>
      </c>
      <c r="J1412" s="1"/>
      <c r="K1412" s="1">
        <v>0</v>
      </c>
      <c r="L1412" s="1"/>
      <c r="M1412" s="1"/>
      <c r="N1412" s="1"/>
      <c r="O1412" s="1"/>
      <c r="P1412" s="1"/>
      <c r="Q1412" s="1"/>
      <c r="R1412" s="1"/>
      <c r="S1412" s="1"/>
      <c r="T1412" s="1"/>
      <c r="U1412" s="1" t="s">
        <v>3</v>
      </c>
      <c r="V1412" s="1">
        <v>0</v>
      </c>
      <c r="W1412" s="1"/>
      <c r="X1412" s="1"/>
      <c r="Y1412" s="1"/>
      <c r="Z1412" s="1"/>
      <c r="AA1412" s="1"/>
      <c r="AB1412" s="1" t="s">
        <v>3</v>
      </c>
      <c r="AC1412" s="1" t="s">
        <v>3</v>
      </c>
      <c r="AD1412" s="1" t="s">
        <v>3</v>
      </c>
      <c r="AE1412" s="1" t="s">
        <v>3</v>
      </c>
      <c r="AF1412" s="1" t="s">
        <v>3</v>
      </c>
      <c r="AG1412" s="1" t="s">
        <v>3</v>
      </c>
      <c r="AH1412" s="1"/>
      <c r="AI1412" s="1"/>
      <c r="AJ1412" s="1"/>
      <c r="AK1412" s="1"/>
      <c r="AL1412" s="1"/>
      <c r="AM1412" s="1"/>
      <c r="AN1412" s="1"/>
      <c r="AO1412" s="1"/>
      <c r="AP1412" s="1" t="s">
        <v>3</v>
      </c>
      <c r="AQ1412" s="1" t="s">
        <v>3</v>
      </c>
      <c r="AR1412" s="1" t="s">
        <v>3</v>
      </c>
      <c r="AS1412" s="1"/>
      <c r="AT1412" s="1"/>
      <c r="AU1412" s="1"/>
      <c r="AV1412" s="1"/>
      <c r="AW1412" s="1"/>
      <c r="AX1412" s="1"/>
      <c r="AY1412" s="1"/>
      <c r="AZ1412" s="1" t="s">
        <v>3</v>
      </c>
      <c r="BA1412" s="1"/>
      <c r="BB1412" s="1" t="s">
        <v>3</v>
      </c>
      <c r="BC1412" s="1" t="s">
        <v>3</v>
      </c>
      <c r="BD1412" s="1" t="s">
        <v>3</v>
      </c>
      <c r="BE1412" s="1" t="s">
        <v>3</v>
      </c>
      <c r="BF1412" s="1" t="s">
        <v>3</v>
      </c>
      <c r="BG1412" s="1" t="s">
        <v>3</v>
      </c>
      <c r="BH1412" s="1" t="s">
        <v>3</v>
      </c>
      <c r="BI1412" s="1" t="s">
        <v>3</v>
      </c>
      <c r="BJ1412" s="1" t="s">
        <v>3</v>
      </c>
      <c r="BK1412" s="1" t="s">
        <v>3</v>
      </c>
      <c r="BL1412" s="1" t="s">
        <v>3</v>
      </c>
      <c r="BM1412" s="1" t="s">
        <v>3</v>
      </c>
      <c r="BN1412" s="1" t="s">
        <v>3</v>
      </c>
      <c r="BO1412" s="1" t="s">
        <v>3</v>
      </c>
      <c r="BP1412" s="1" t="s">
        <v>3</v>
      </c>
      <c r="BQ1412" s="1"/>
      <c r="BR1412" s="1"/>
      <c r="BS1412" s="1"/>
      <c r="BT1412" s="1"/>
      <c r="BU1412" s="1"/>
      <c r="BV1412" s="1"/>
      <c r="BW1412" s="1"/>
      <c r="BX1412" s="1">
        <v>0</v>
      </c>
      <c r="BY1412" s="1"/>
      <c r="BZ1412" s="1"/>
      <c r="CA1412" s="1"/>
      <c r="CB1412" s="1"/>
      <c r="CC1412" s="1"/>
      <c r="CD1412" s="1"/>
      <c r="CE1412" s="1"/>
      <c r="CF1412" s="1"/>
      <c r="CG1412" s="1"/>
      <c r="CH1412" s="1"/>
      <c r="CI1412" s="1"/>
      <c r="CJ1412" s="1">
        <v>0</v>
      </c>
    </row>
    <row r="1414" spans="1:206" x14ac:dyDescent="0.2">
      <c r="A1414" s="2">
        <v>52</v>
      </c>
      <c r="B1414" s="2">
        <f t="shared" ref="B1414:G1414" si="919">B1416</f>
        <v>1</v>
      </c>
      <c r="C1414" s="2">
        <f t="shared" si="919"/>
        <v>4</v>
      </c>
      <c r="D1414" s="2">
        <f t="shared" si="919"/>
        <v>1412</v>
      </c>
      <c r="E1414" s="2">
        <f t="shared" si="919"/>
        <v>0</v>
      </c>
      <c r="F1414" s="2" t="str">
        <f t="shared" si="919"/>
        <v>Новый раздел</v>
      </c>
      <c r="G1414" s="2" t="str">
        <f t="shared" si="919"/>
        <v>58. Гидроизоляция рулонная 2 см</v>
      </c>
      <c r="H1414" s="2"/>
      <c r="I1414" s="2"/>
      <c r="J1414" s="2"/>
      <c r="K1414" s="2"/>
      <c r="L1414" s="2"/>
      <c r="M1414" s="2"/>
      <c r="N1414" s="2"/>
      <c r="O1414" s="2">
        <f t="shared" ref="O1414:AT1414" si="920">O1416</f>
        <v>0</v>
      </c>
      <c r="P1414" s="2">
        <f t="shared" si="920"/>
        <v>0</v>
      </c>
      <c r="Q1414" s="2">
        <f t="shared" si="920"/>
        <v>0</v>
      </c>
      <c r="R1414" s="2">
        <f t="shared" si="920"/>
        <v>0</v>
      </c>
      <c r="S1414" s="2">
        <f t="shared" si="920"/>
        <v>0</v>
      </c>
      <c r="T1414" s="2">
        <f t="shared" si="920"/>
        <v>0</v>
      </c>
      <c r="U1414" s="2">
        <f t="shared" si="920"/>
        <v>0</v>
      </c>
      <c r="V1414" s="2">
        <f t="shared" si="920"/>
        <v>0</v>
      </c>
      <c r="W1414" s="2">
        <f t="shared" si="920"/>
        <v>0</v>
      </c>
      <c r="X1414" s="2">
        <f t="shared" si="920"/>
        <v>0</v>
      </c>
      <c r="Y1414" s="2">
        <f t="shared" si="920"/>
        <v>0</v>
      </c>
      <c r="Z1414" s="2">
        <f t="shared" si="920"/>
        <v>0</v>
      </c>
      <c r="AA1414" s="2">
        <f t="shared" si="920"/>
        <v>0</v>
      </c>
      <c r="AB1414" s="2">
        <f t="shared" si="920"/>
        <v>0</v>
      </c>
      <c r="AC1414" s="2">
        <f t="shared" si="920"/>
        <v>0</v>
      </c>
      <c r="AD1414" s="2">
        <f t="shared" si="920"/>
        <v>0</v>
      </c>
      <c r="AE1414" s="2">
        <f t="shared" si="920"/>
        <v>0</v>
      </c>
      <c r="AF1414" s="2">
        <f t="shared" si="920"/>
        <v>0</v>
      </c>
      <c r="AG1414" s="2">
        <f t="shared" si="920"/>
        <v>0</v>
      </c>
      <c r="AH1414" s="2">
        <f t="shared" si="920"/>
        <v>0</v>
      </c>
      <c r="AI1414" s="2">
        <f t="shared" si="920"/>
        <v>0</v>
      </c>
      <c r="AJ1414" s="2">
        <f t="shared" si="920"/>
        <v>0</v>
      </c>
      <c r="AK1414" s="2">
        <f t="shared" si="920"/>
        <v>0</v>
      </c>
      <c r="AL1414" s="2">
        <f t="shared" si="920"/>
        <v>0</v>
      </c>
      <c r="AM1414" s="2">
        <f t="shared" si="920"/>
        <v>0</v>
      </c>
      <c r="AN1414" s="2">
        <f t="shared" si="920"/>
        <v>0</v>
      </c>
      <c r="AO1414" s="2">
        <f t="shared" si="920"/>
        <v>0</v>
      </c>
      <c r="AP1414" s="2">
        <f t="shared" si="920"/>
        <v>0</v>
      </c>
      <c r="AQ1414" s="2">
        <f t="shared" si="920"/>
        <v>0</v>
      </c>
      <c r="AR1414" s="2">
        <f t="shared" si="920"/>
        <v>0</v>
      </c>
      <c r="AS1414" s="2">
        <f t="shared" si="920"/>
        <v>0</v>
      </c>
      <c r="AT1414" s="2">
        <f t="shared" si="920"/>
        <v>0</v>
      </c>
      <c r="AU1414" s="2">
        <f t="shared" ref="AU1414:BZ1414" si="921">AU1416</f>
        <v>0</v>
      </c>
      <c r="AV1414" s="2">
        <f t="shared" si="921"/>
        <v>0</v>
      </c>
      <c r="AW1414" s="2">
        <f t="shared" si="921"/>
        <v>0</v>
      </c>
      <c r="AX1414" s="2">
        <f t="shared" si="921"/>
        <v>0</v>
      </c>
      <c r="AY1414" s="2">
        <f t="shared" si="921"/>
        <v>0</v>
      </c>
      <c r="AZ1414" s="2">
        <f t="shared" si="921"/>
        <v>0</v>
      </c>
      <c r="BA1414" s="2">
        <f t="shared" si="921"/>
        <v>0</v>
      </c>
      <c r="BB1414" s="2">
        <f t="shared" si="921"/>
        <v>0</v>
      </c>
      <c r="BC1414" s="2">
        <f t="shared" si="921"/>
        <v>0</v>
      </c>
      <c r="BD1414" s="2">
        <f t="shared" si="921"/>
        <v>0</v>
      </c>
      <c r="BE1414" s="2">
        <f t="shared" si="921"/>
        <v>0</v>
      </c>
      <c r="BF1414" s="2">
        <f t="shared" si="921"/>
        <v>0</v>
      </c>
      <c r="BG1414" s="2">
        <f t="shared" si="921"/>
        <v>0</v>
      </c>
      <c r="BH1414" s="2">
        <f t="shared" si="921"/>
        <v>0</v>
      </c>
      <c r="BI1414" s="2">
        <f t="shared" si="921"/>
        <v>0</v>
      </c>
      <c r="BJ1414" s="2">
        <f t="shared" si="921"/>
        <v>0</v>
      </c>
      <c r="BK1414" s="2">
        <f t="shared" si="921"/>
        <v>0</v>
      </c>
      <c r="BL1414" s="2">
        <f t="shared" si="921"/>
        <v>0</v>
      </c>
      <c r="BM1414" s="2">
        <f t="shared" si="921"/>
        <v>0</v>
      </c>
      <c r="BN1414" s="2">
        <f t="shared" si="921"/>
        <v>0</v>
      </c>
      <c r="BO1414" s="2">
        <f t="shared" si="921"/>
        <v>0</v>
      </c>
      <c r="BP1414" s="2">
        <f t="shared" si="921"/>
        <v>0</v>
      </c>
      <c r="BQ1414" s="2">
        <f t="shared" si="921"/>
        <v>0</v>
      </c>
      <c r="BR1414" s="2">
        <f t="shared" si="921"/>
        <v>0</v>
      </c>
      <c r="BS1414" s="2">
        <f t="shared" si="921"/>
        <v>0</v>
      </c>
      <c r="BT1414" s="2">
        <f t="shared" si="921"/>
        <v>0</v>
      </c>
      <c r="BU1414" s="2">
        <f t="shared" si="921"/>
        <v>0</v>
      </c>
      <c r="BV1414" s="2">
        <f t="shared" si="921"/>
        <v>0</v>
      </c>
      <c r="BW1414" s="2">
        <f t="shared" si="921"/>
        <v>0</v>
      </c>
      <c r="BX1414" s="2">
        <f t="shared" si="921"/>
        <v>0</v>
      </c>
      <c r="BY1414" s="2">
        <f t="shared" si="921"/>
        <v>0</v>
      </c>
      <c r="BZ1414" s="2">
        <f t="shared" si="921"/>
        <v>0</v>
      </c>
      <c r="CA1414" s="2">
        <f t="shared" ref="CA1414:DF1414" si="922">CA1416</f>
        <v>0</v>
      </c>
      <c r="CB1414" s="2">
        <f t="shared" si="922"/>
        <v>0</v>
      </c>
      <c r="CC1414" s="2">
        <f t="shared" si="922"/>
        <v>0</v>
      </c>
      <c r="CD1414" s="2">
        <f t="shared" si="922"/>
        <v>0</v>
      </c>
      <c r="CE1414" s="2">
        <f t="shared" si="922"/>
        <v>0</v>
      </c>
      <c r="CF1414" s="2">
        <f t="shared" si="922"/>
        <v>0</v>
      </c>
      <c r="CG1414" s="2">
        <f t="shared" si="922"/>
        <v>0</v>
      </c>
      <c r="CH1414" s="2">
        <f t="shared" si="922"/>
        <v>0</v>
      </c>
      <c r="CI1414" s="2">
        <f t="shared" si="922"/>
        <v>0</v>
      </c>
      <c r="CJ1414" s="2">
        <f t="shared" si="922"/>
        <v>0</v>
      </c>
      <c r="CK1414" s="2">
        <f t="shared" si="922"/>
        <v>0</v>
      </c>
      <c r="CL1414" s="2">
        <f t="shared" si="922"/>
        <v>0</v>
      </c>
      <c r="CM1414" s="2">
        <f t="shared" si="922"/>
        <v>0</v>
      </c>
      <c r="CN1414" s="2">
        <f t="shared" si="922"/>
        <v>0</v>
      </c>
      <c r="CO1414" s="2">
        <f t="shared" si="922"/>
        <v>0</v>
      </c>
      <c r="CP1414" s="2">
        <f t="shared" si="922"/>
        <v>0</v>
      </c>
      <c r="CQ1414" s="2">
        <f t="shared" si="922"/>
        <v>0</v>
      </c>
      <c r="CR1414" s="2">
        <f t="shared" si="922"/>
        <v>0</v>
      </c>
      <c r="CS1414" s="2">
        <f t="shared" si="922"/>
        <v>0</v>
      </c>
      <c r="CT1414" s="2">
        <f t="shared" si="922"/>
        <v>0</v>
      </c>
      <c r="CU1414" s="2">
        <f t="shared" si="922"/>
        <v>0</v>
      </c>
      <c r="CV1414" s="2">
        <f t="shared" si="922"/>
        <v>0</v>
      </c>
      <c r="CW1414" s="2">
        <f t="shared" si="922"/>
        <v>0</v>
      </c>
      <c r="CX1414" s="2">
        <f t="shared" si="922"/>
        <v>0</v>
      </c>
      <c r="CY1414" s="2">
        <f t="shared" si="922"/>
        <v>0</v>
      </c>
      <c r="CZ1414" s="2">
        <f t="shared" si="922"/>
        <v>0</v>
      </c>
      <c r="DA1414" s="2">
        <f t="shared" si="922"/>
        <v>0</v>
      </c>
      <c r="DB1414" s="2">
        <f t="shared" si="922"/>
        <v>0</v>
      </c>
      <c r="DC1414" s="2">
        <f t="shared" si="922"/>
        <v>0</v>
      </c>
      <c r="DD1414" s="2">
        <f t="shared" si="922"/>
        <v>0</v>
      </c>
      <c r="DE1414" s="2">
        <f t="shared" si="922"/>
        <v>0</v>
      </c>
      <c r="DF1414" s="2">
        <f t="shared" si="922"/>
        <v>0</v>
      </c>
      <c r="DG1414" s="3">
        <f t="shared" ref="DG1414:EL1414" si="923">DG1416</f>
        <v>0</v>
      </c>
      <c r="DH1414" s="3">
        <f t="shared" si="923"/>
        <v>0</v>
      </c>
      <c r="DI1414" s="3">
        <f t="shared" si="923"/>
        <v>0</v>
      </c>
      <c r="DJ1414" s="3">
        <f t="shared" si="923"/>
        <v>0</v>
      </c>
      <c r="DK1414" s="3">
        <f t="shared" si="923"/>
        <v>0</v>
      </c>
      <c r="DL1414" s="3">
        <f t="shared" si="923"/>
        <v>0</v>
      </c>
      <c r="DM1414" s="3">
        <f t="shared" si="923"/>
        <v>0</v>
      </c>
      <c r="DN1414" s="3">
        <f t="shared" si="923"/>
        <v>0</v>
      </c>
      <c r="DO1414" s="3">
        <f t="shared" si="923"/>
        <v>0</v>
      </c>
      <c r="DP1414" s="3">
        <f t="shared" si="923"/>
        <v>0</v>
      </c>
      <c r="DQ1414" s="3">
        <f t="shared" si="923"/>
        <v>0</v>
      </c>
      <c r="DR1414" s="3">
        <f t="shared" si="923"/>
        <v>0</v>
      </c>
      <c r="DS1414" s="3">
        <f t="shared" si="923"/>
        <v>0</v>
      </c>
      <c r="DT1414" s="3">
        <f t="shared" si="923"/>
        <v>0</v>
      </c>
      <c r="DU1414" s="3">
        <f t="shared" si="923"/>
        <v>0</v>
      </c>
      <c r="DV1414" s="3">
        <f t="shared" si="923"/>
        <v>0</v>
      </c>
      <c r="DW1414" s="3">
        <f t="shared" si="923"/>
        <v>0</v>
      </c>
      <c r="DX1414" s="3">
        <f t="shared" si="923"/>
        <v>0</v>
      </c>
      <c r="DY1414" s="3">
        <f t="shared" si="923"/>
        <v>0</v>
      </c>
      <c r="DZ1414" s="3">
        <f t="shared" si="923"/>
        <v>0</v>
      </c>
      <c r="EA1414" s="3">
        <f t="shared" si="923"/>
        <v>0</v>
      </c>
      <c r="EB1414" s="3">
        <f t="shared" si="923"/>
        <v>0</v>
      </c>
      <c r="EC1414" s="3">
        <f t="shared" si="923"/>
        <v>0</v>
      </c>
      <c r="ED1414" s="3">
        <f t="shared" si="923"/>
        <v>0</v>
      </c>
      <c r="EE1414" s="3">
        <f t="shared" si="923"/>
        <v>0</v>
      </c>
      <c r="EF1414" s="3">
        <f t="shared" si="923"/>
        <v>0</v>
      </c>
      <c r="EG1414" s="3">
        <f t="shared" si="923"/>
        <v>0</v>
      </c>
      <c r="EH1414" s="3">
        <f t="shared" si="923"/>
        <v>0</v>
      </c>
      <c r="EI1414" s="3">
        <f t="shared" si="923"/>
        <v>0</v>
      </c>
      <c r="EJ1414" s="3">
        <f t="shared" si="923"/>
        <v>0</v>
      </c>
      <c r="EK1414" s="3">
        <f t="shared" si="923"/>
        <v>0</v>
      </c>
      <c r="EL1414" s="3">
        <f t="shared" si="923"/>
        <v>0</v>
      </c>
      <c r="EM1414" s="3">
        <f t="shared" ref="EM1414:FR1414" si="924">EM1416</f>
        <v>0</v>
      </c>
      <c r="EN1414" s="3">
        <f t="shared" si="924"/>
        <v>0</v>
      </c>
      <c r="EO1414" s="3">
        <f t="shared" si="924"/>
        <v>0</v>
      </c>
      <c r="EP1414" s="3">
        <f t="shared" si="924"/>
        <v>0</v>
      </c>
      <c r="EQ1414" s="3">
        <f t="shared" si="924"/>
        <v>0</v>
      </c>
      <c r="ER1414" s="3">
        <f t="shared" si="924"/>
        <v>0</v>
      </c>
      <c r="ES1414" s="3">
        <f t="shared" si="924"/>
        <v>0</v>
      </c>
      <c r="ET1414" s="3">
        <f t="shared" si="924"/>
        <v>0</v>
      </c>
      <c r="EU1414" s="3">
        <f t="shared" si="924"/>
        <v>0</v>
      </c>
      <c r="EV1414" s="3">
        <f t="shared" si="924"/>
        <v>0</v>
      </c>
      <c r="EW1414" s="3">
        <f t="shared" si="924"/>
        <v>0</v>
      </c>
      <c r="EX1414" s="3">
        <f t="shared" si="924"/>
        <v>0</v>
      </c>
      <c r="EY1414" s="3">
        <f t="shared" si="924"/>
        <v>0</v>
      </c>
      <c r="EZ1414" s="3">
        <f t="shared" si="924"/>
        <v>0</v>
      </c>
      <c r="FA1414" s="3">
        <f t="shared" si="924"/>
        <v>0</v>
      </c>
      <c r="FB1414" s="3">
        <f t="shared" si="924"/>
        <v>0</v>
      </c>
      <c r="FC1414" s="3">
        <f t="shared" si="924"/>
        <v>0</v>
      </c>
      <c r="FD1414" s="3">
        <f t="shared" si="924"/>
        <v>0</v>
      </c>
      <c r="FE1414" s="3">
        <f t="shared" si="924"/>
        <v>0</v>
      </c>
      <c r="FF1414" s="3">
        <f t="shared" si="924"/>
        <v>0</v>
      </c>
      <c r="FG1414" s="3">
        <f t="shared" si="924"/>
        <v>0</v>
      </c>
      <c r="FH1414" s="3">
        <f t="shared" si="924"/>
        <v>0</v>
      </c>
      <c r="FI1414" s="3">
        <f t="shared" si="924"/>
        <v>0</v>
      </c>
      <c r="FJ1414" s="3">
        <f t="shared" si="924"/>
        <v>0</v>
      </c>
      <c r="FK1414" s="3">
        <f t="shared" si="924"/>
        <v>0</v>
      </c>
      <c r="FL1414" s="3">
        <f t="shared" si="924"/>
        <v>0</v>
      </c>
      <c r="FM1414" s="3">
        <f t="shared" si="924"/>
        <v>0</v>
      </c>
      <c r="FN1414" s="3">
        <f t="shared" si="924"/>
        <v>0</v>
      </c>
      <c r="FO1414" s="3">
        <f t="shared" si="924"/>
        <v>0</v>
      </c>
      <c r="FP1414" s="3">
        <f t="shared" si="924"/>
        <v>0</v>
      </c>
      <c r="FQ1414" s="3">
        <f t="shared" si="924"/>
        <v>0</v>
      </c>
      <c r="FR1414" s="3">
        <f t="shared" si="924"/>
        <v>0</v>
      </c>
      <c r="FS1414" s="3">
        <f t="shared" ref="FS1414:GX1414" si="925">FS1416</f>
        <v>0</v>
      </c>
      <c r="FT1414" s="3">
        <f t="shared" si="925"/>
        <v>0</v>
      </c>
      <c r="FU1414" s="3">
        <f t="shared" si="925"/>
        <v>0</v>
      </c>
      <c r="FV1414" s="3">
        <f t="shared" si="925"/>
        <v>0</v>
      </c>
      <c r="FW1414" s="3">
        <f t="shared" si="925"/>
        <v>0</v>
      </c>
      <c r="FX1414" s="3">
        <f t="shared" si="925"/>
        <v>0</v>
      </c>
      <c r="FY1414" s="3">
        <f t="shared" si="925"/>
        <v>0</v>
      </c>
      <c r="FZ1414" s="3">
        <f t="shared" si="925"/>
        <v>0</v>
      </c>
      <c r="GA1414" s="3">
        <f t="shared" si="925"/>
        <v>0</v>
      </c>
      <c r="GB1414" s="3">
        <f t="shared" si="925"/>
        <v>0</v>
      </c>
      <c r="GC1414" s="3">
        <f t="shared" si="925"/>
        <v>0</v>
      </c>
      <c r="GD1414" s="3">
        <f t="shared" si="925"/>
        <v>0</v>
      </c>
      <c r="GE1414" s="3">
        <f t="shared" si="925"/>
        <v>0</v>
      </c>
      <c r="GF1414" s="3">
        <f t="shared" si="925"/>
        <v>0</v>
      </c>
      <c r="GG1414" s="3">
        <f t="shared" si="925"/>
        <v>0</v>
      </c>
      <c r="GH1414" s="3">
        <f t="shared" si="925"/>
        <v>0</v>
      </c>
      <c r="GI1414" s="3">
        <f t="shared" si="925"/>
        <v>0</v>
      </c>
      <c r="GJ1414" s="3">
        <f t="shared" si="925"/>
        <v>0</v>
      </c>
      <c r="GK1414" s="3">
        <f t="shared" si="925"/>
        <v>0</v>
      </c>
      <c r="GL1414" s="3">
        <f t="shared" si="925"/>
        <v>0</v>
      </c>
      <c r="GM1414" s="3">
        <f t="shared" si="925"/>
        <v>0</v>
      </c>
      <c r="GN1414" s="3">
        <f t="shared" si="925"/>
        <v>0</v>
      </c>
      <c r="GO1414" s="3">
        <f t="shared" si="925"/>
        <v>0</v>
      </c>
      <c r="GP1414" s="3">
        <f t="shared" si="925"/>
        <v>0</v>
      </c>
      <c r="GQ1414" s="3">
        <f t="shared" si="925"/>
        <v>0</v>
      </c>
      <c r="GR1414" s="3">
        <f t="shared" si="925"/>
        <v>0</v>
      </c>
      <c r="GS1414" s="3">
        <f t="shared" si="925"/>
        <v>0</v>
      </c>
      <c r="GT1414" s="3">
        <f t="shared" si="925"/>
        <v>0</v>
      </c>
      <c r="GU1414" s="3">
        <f t="shared" si="925"/>
        <v>0</v>
      </c>
      <c r="GV1414" s="3">
        <f t="shared" si="925"/>
        <v>0</v>
      </c>
      <c r="GW1414" s="3">
        <f t="shared" si="925"/>
        <v>0</v>
      </c>
      <c r="GX1414" s="3">
        <f t="shared" si="925"/>
        <v>0</v>
      </c>
    </row>
    <row r="1416" spans="1:206" x14ac:dyDescent="0.2">
      <c r="A1416" s="2">
        <v>51</v>
      </c>
      <c r="B1416" s="2">
        <f>B1412</f>
        <v>1</v>
      </c>
      <c r="C1416" s="2">
        <f>A1412</f>
        <v>4</v>
      </c>
      <c r="D1416" s="2">
        <f>ROW(A1412)</f>
        <v>1412</v>
      </c>
      <c r="E1416" s="2"/>
      <c r="F1416" s="2" t="str">
        <f>IF(F1412&lt;&gt;"",F1412,"")</f>
        <v>Новый раздел</v>
      </c>
      <c r="G1416" s="2" t="str">
        <f>IF(G1412&lt;&gt;"",G1412,"")</f>
        <v>58. Гидроизоляция рулонная 2 см</v>
      </c>
      <c r="H1416" s="2">
        <v>0</v>
      </c>
      <c r="I1416" s="2"/>
      <c r="J1416" s="2"/>
      <c r="K1416" s="2"/>
      <c r="L1416" s="2"/>
      <c r="M1416" s="2"/>
      <c r="N1416" s="2"/>
      <c r="O1416" s="2">
        <f t="shared" ref="O1416:T1416" si="926">ROUND(AB1416,2)</f>
        <v>0</v>
      </c>
      <c r="P1416" s="2">
        <f t="shared" si="926"/>
        <v>0</v>
      </c>
      <c r="Q1416" s="2">
        <f t="shared" si="926"/>
        <v>0</v>
      </c>
      <c r="R1416" s="2">
        <f t="shared" si="926"/>
        <v>0</v>
      </c>
      <c r="S1416" s="2">
        <f t="shared" si="926"/>
        <v>0</v>
      </c>
      <c r="T1416" s="2">
        <f t="shared" si="926"/>
        <v>0</v>
      </c>
      <c r="U1416" s="2">
        <f>AH1416</f>
        <v>0</v>
      </c>
      <c r="V1416" s="2">
        <f>AI1416</f>
        <v>0</v>
      </c>
      <c r="W1416" s="2">
        <f>ROUND(AJ1416,2)</f>
        <v>0</v>
      </c>
      <c r="X1416" s="2">
        <f>ROUND(AK1416,2)</f>
        <v>0</v>
      </c>
      <c r="Y1416" s="2">
        <f>ROUND(AL1416,2)</f>
        <v>0</v>
      </c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>
        <f t="shared" ref="AO1416:BD1416" si="927">ROUND(BX1416,2)</f>
        <v>0</v>
      </c>
      <c r="AP1416" s="2">
        <f t="shared" si="927"/>
        <v>0</v>
      </c>
      <c r="AQ1416" s="2">
        <f t="shared" si="927"/>
        <v>0</v>
      </c>
      <c r="AR1416" s="2">
        <f t="shared" si="927"/>
        <v>0</v>
      </c>
      <c r="AS1416" s="2">
        <f t="shared" si="927"/>
        <v>0</v>
      </c>
      <c r="AT1416" s="2">
        <f t="shared" si="927"/>
        <v>0</v>
      </c>
      <c r="AU1416" s="2">
        <f t="shared" si="927"/>
        <v>0</v>
      </c>
      <c r="AV1416" s="2">
        <f t="shared" si="927"/>
        <v>0</v>
      </c>
      <c r="AW1416" s="2">
        <f t="shared" si="927"/>
        <v>0</v>
      </c>
      <c r="AX1416" s="2">
        <f t="shared" si="927"/>
        <v>0</v>
      </c>
      <c r="AY1416" s="2">
        <f t="shared" si="927"/>
        <v>0</v>
      </c>
      <c r="AZ1416" s="2">
        <f t="shared" si="927"/>
        <v>0</v>
      </c>
      <c r="BA1416" s="2">
        <f t="shared" si="927"/>
        <v>0</v>
      </c>
      <c r="BB1416" s="2">
        <f t="shared" si="927"/>
        <v>0</v>
      </c>
      <c r="BC1416" s="2">
        <f t="shared" si="927"/>
        <v>0</v>
      </c>
      <c r="BD1416" s="2">
        <f t="shared" si="927"/>
        <v>0</v>
      </c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3"/>
      <c r="DH1416" s="3"/>
      <c r="DI1416" s="3"/>
      <c r="DJ1416" s="3"/>
      <c r="DK1416" s="3"/>
      <c r="DL1416" s="3"/>
      <c r="DM1416" s="3"/>
      <c r="DN1416" s="3"/>
      <c r="DO1416" s="3"/>
      <c r="DP1416" s="3"/>
      <c r="DQ1416" s="3"/>
      <c r="DR1416" s="3"/>
      <c r="DS1416" s="3"/>
      <c r="DT1416" s="3"/>
      <c r="DU1416" s="3"/>
      <c r="DV1416" s="3"/>
      <c r="DW1416" s="3"/>
      <c r="DX1416" s="3"/>
      <c r="DY1416" s="3"/>
      <c r="DZ1416" s="3"/>
      <c r="EA1416" s="3"/>
      <c r="EB1416" s="3"/>
      <c r="EC1416" s="3"/>
      <c r="ED1416" s="3"/>
      <c r="EE1416" s="3"/>
      <c r="EF1416" s="3"/>
      <c r="EG1416" s="3"/>
      <c r="EH1416" s="3"/>
      <c r="EI1416" s="3"/>
      <c r="EJ1416" s="3"/>
      <c r="EK1416" s="3"/>
      <c r="EL1416" s="3"/>
      <c r="EM1416" s="3"/>
      <c r="EN1416" s="3"/>
      <c r="EO1416" s="3"/>
      <c r="EP1416" s="3"/>
      <c r="EQ1416" s="3"/>
      <c r="ER1416" s="3"/>
      <c r="ES1416" s="3"/>
      <c r="ET1416" s="3"/>
      <c r="EU1416" s="3"/>
      <c r="EV1416" s="3"/>
      <c r="EW1416" s="3"/>
      <c r="EX1416" s="3"/>
      <c r="EY1416" s="3"/>
      <c r="EZ1416" s="3"/>
      <c r="FA1416" s="3"/>
      <c r="FB1416" s="3"/>
      <c r="FC1416" s="3"/>
      <c r="FD1416" s="3"/>
      <c r="FE1416" s="3"/>
      <c r="FF1416" s="3"/>
      <c r="FG1416" s="3"/>
      <c r="FH1416" s="3"/>
      <c r="FI1416" s="3"/>
      <c r="FJ1416" s="3"/>
      <c r="FK1416" s="3"/>
      <c r="FL1416" s="3"/>
      <c r="FM1416" s="3"/>
      <c r="FN1416" s="3"/>
      <c r="FO1416" s="3"/>
      <c r="FP1416" s="3"/>
      <c r="FQ1416" s="3"/>
      <c r="FR1416" s="3"/>
      <c r="FS1416" s="3"/>
      <c r="FT1416" s="3"/>
      <c r="FU1416" s="3"/>
      <c r="FV1416" s="3"/>
      <c r="FW1416" s="3"/>
      <c r="FX1416" s="3"/>
      <c r="FY1416" s="3"/>
      <c r="FZ1416" s="3"/>
      <c r="GA1416" s="3"/>
      <c r="GB1416" s="3"/>
      <c r="GC1416" s="3"/>
      <c r="GD1416" s="3"/>
      <c r="GE1416" s="3"/>
      <c r="GF1416" s="3"/>
      <c r="GG1416" s="3"/>
      <c r="GH1416" s="3"/>
      <c r="GI1416" s="3"/>
      <c r="GJ1416" s="3"/>
      <c r="GK1416" s="3"/>
      <c r="GL1416" s="3"/>
      <c r="GM1416" s="3"/>
      <c r="GN1416" s="3"/>
      <c r="GO1416" s="3"/>
      <c r="GP1416" s="3"/>
      <c r="GQ1416" s="3"/>
      <c r="GR1416" s="3"/>
      <c r="GS1416" s="3"/>
      <c r="GT1416" s="3"/>
      <c r="GU1416" s="3"/>
      <c r="GV1416" s="3"/>
      <c r="GW1416" s="3"/>
      <c r="GX1416" s="3">
        <v>0</v>
      </c>
    </row>
    <row r="1418" spans="1:206" x14ac:dyDescent="0.2">
      <c r="A1418" s="4">
        <v>50</v>
      </c>
      <c r="B1418" s="4">
        <v>0</v>
      </c>
      <c r="C1418" s="4">
        <v>0</v>
      </c>
      <c r="D1418" s="4">
        <v>1</v>
      </c>
      <c r="E1418" s="4">
        <v>201</v>
      </c>
      <c r="F1418" s="4">
        <f>ROUND(Source!O1416,O1418)</f>
        <v>0</v>
      </c>
      <c r="G1418" s="4" t="s">
        <v>89</v>
      </c>
      <c r="H1418" s="4" t="s">
        <v>90</v>
      </c>
      <c r="I1418" s="4"/>
      <c r="J1418" s="4"/>
      <c r="K1418" s="4">
        <v>201</v>
      </c>
      <c r="L1418" s="4">
        <v>1</v>
      </c>
      <c r="M1418" s="4">
        <v>3</v>
      </c>
      <c r="N1418" s="4" t="s">
        <v>3</v>
      </c>
      <c r="O1418" s="4">
        <v>2</v>
      </c>
      <c r="P1418" s="4"/>
      <c r="Q1418" s="4"/>
      <c r="R1418" s="4"/>
      <c r="S1418" s="4"/>
      <c r="T1418" s="4"/>
      <c r="U1418" s="4"/>
      <c r="V1418" s="4"/>
      <c r="W1418" s="4"/>
    </row>
    <row r="1419" spans="1:206" x14ac:dyDescent="0.2">
      <c r="A1419" s="4">
        <v>50</v>
      </c>
      <c r="B1419" s="4">
        <v>0</v>
      </c>
      <c r="C1419" s="4">
        <v>0</v>
      </c>
      <c r="D1419" s="4">
        <v>1</v>
      </c>
      <c r="E1419" s="4">
        <v>202</v>
      </c>
      <c r="F1419" s="4">
        <f>ROUND(Source!P1416,O1419)</f>
        <v>0</v>
      </c>
      <c r="G1419" s="4" t="s">
        <v>91</v>
      </c>
      <c r="H1419" s="4" t="s">
        <v>92</v>
      </c>
      <c r="I1419" s="4"/>
      <c r="J1419" s="4"/>
      <c r="K1419" s="4">
        <v>202</v>
      </c>
      <c r="L1419" s="4">
        <v>2</v>
      </c>
      <c r="M1419" s="4">
        <v>3</v>
      </c>
      <c r="N1419" s="4" t="s">
        <v>3</v>
      </c>
      <c r="O1419" s="4">
        <v>2</v>
      </c>
      <c r="P1419" s="4"/>
      <c r="Q1419" s="4"/>
      <c r="R1419" s="4"/>
      <c r="S1419" s="4"/>
      <c r="T1419" s="4"/>
      <c r="U1419" s="4"/>
      <c r="V1419" s="4"/>
      <c r="W1419" s="4"/>
    </row>
    <row r="1420" spans="1:206" x14ac:dyDescent="0.2">
      <c r="A1420" s="4">
        <v>50</v>
      </c>
      <c r="B1420" s="4">
        <v>0</v>
      </c>
      <c r="C1420" s="4">
        <v>0</v>
      </c>
      <c r="D1420" s="4">
        <v>1</v>
      </c>
      <c r="E1420" s="4">
        <v>222</v>
      </c>
      <c r="F1420" s="4">
        <f>ROUND(Source!AO1416,O1420)</f>
        <v>0</v>
      </c>
      <c r="G1420" s="4" t="s">
        <v>93</v>
      </c>
      <c r="H1420" s="4" t="s">
        <v>94</v>
      </c>
      <c r="I1420" s="4"/>
      <c r="J1420" s="4"/>
      <c r="K1420" s="4">
        <v>222</v>
      </c>
      <c r="L1420" s="4">
        <v>3</v>
      </c>
      <c r="M1420" s="4">
        <v>3</v>
      </c>
      <c r="N1420" s="4" t="s">
        <v>3</v>
      </c>
      <c r="O1420" s="4">
        <v>2</v>
      </c>
      <c r="P1420" s="4"/>
      <c r="Q1420" s="4"/>
      <c r="R1420" s="4"/>
      <c r="S1420" s="4"/>
      <c r="T1420" s="4"/>
      <c r="U1420" s="4"/>
      <c r="V1420" s="4"/>
      <c r="W1420" s="4"/>
    </row>
    <row r="1421" spans="1:206" x14ac:dyDescent="0.2">
      <c r="A1421" s="4">
        <v>50</v>
      </c>
      <c r="B1421" s="4">
        <v>0</v>
      </c>
      <c r="C1421" s="4">
        <v>0</v>
      </c>
      <c r="D1421" s="4">
        <v>1</v>
      </c>
      <c r="E1421" s="4">
        <v>225</v>
      </c>
      <c r="F1421" s="4">
        <f>ROUND(Source!AV1416,O1421)</f>
        <v>0</v>
      </c>
      <c r="G1421" s="4" t="s">
        <v>95</v>
      </c>
      <c r="H1421" s="4" t="s">
        <v>96</v>
      </c>
      <c r="I1421" s="4"/>
      <c r="J1421" s="4"/>
      <c r="K1421" s="4">
        <v>225</v>
      </c>
      <c r="L1421" s="4">
        <v>4</v>
      </c>
      <c r="M1421" s="4">
        <v>3</v>
      </c>
      <c r="N1421" s="4" t="s">
        <v>3</v>
      </c>
      <c r="O1421" s="4">
        <v>2</v>
      </c>
      <c r="P1421" s="4"/>
      <c r="Q1421" s="4"/>
      <c r="R1421" s="4"/>
      <c r="S1421" s="4"/>
      <c r="T1421" s="4"/>
      <c r="U1421" s="4"/>
      <c r="V1421" s="4"/>
      <c r="W1421" s="4"/>
    </row>
    <row r="1422" spans="1:206" x14ac:dyDescent="0.2">
      <c r="A1422" s="4">
        <v>50</v>
      </c>
      <c r="B1422" s="4">
        <v>0</v>
      </c>
      <c r="C1422" s="4">
        <v>0</v>
      </c>
      <c r="D1422" s="4">
        <v>1</v>
      </c>
      <c r="E1422" s="4">
        <v>226</v>
      </c>
      <c r="F1422" s="4">
        <f>ROUND(Source!AW1416,O1422)</f>
        <v>0</v>
      </c>
      <c r="G1422" s="4" t="s">
        <v>97</v>
      </c>
      <c r="H1422" s="4" t="s">
        <v>98</v>
      </c>
      <c r="I1422" s="4"/>
      <c r="J1422" s="4"/>
      <c r="K1422" s="4">
        <v>226</v>
      </c>
      <c r="L1422" s="4">
        <v>5</v>
      </c>
      <c r="M1422" s="4">
        <v>3</v>
      </c>
      <c r="N1422" s="4" t="s">
        <v>3</v>
      </c>
      <c r="O1422" s="4">
        <v>2</v>
      </c>
      <c r="P1422" s="4"/>
      <c r="Q1422" s="4"/>
      <c r="R1422" s="4"/>
      <c r="S1422" s="4"/>
      <c r="T1422" s="4"/>
      <c r="U1422" s="4"/>
      <c r="V1422" s="4"/>
      <c r="W1422" s="4"/>
    </row>
    <row r="1423" spans="1:206" x14ac:dyDescent="0.2">
      <c r="A1423" s="4">
        <v>50</v>
      </c>
      <c r="B1423" s="4">
        <v>0</v>
      </c>
      <c r="C1423" s="4">
        <v>0</v>
      </c>
      <c r="D1423" s="4">
        <v>1</v>
      </c>
      <c r="E1423" s="4">
        <v>227</v>
      </c>
      <c r="F1423" s="4">
        <f>ROUND(Source!AX1416,O1423)</f>
        <v>0</v>
      </c>
      <c r="G1423" s="4" t="s">
        <v>99</v>
      </c>
      <c r="H1423" s="4" t="s">
        <v>100</v>
      </c>
      <c r="I1423" s="4"/>
      <c r="J1423" s="4"/>
      <c r="K1423" s="4">
        <v>227</v>
      </c>
      <c r="L1423" s="4">
        <v>6</v>
      </c>
      <c r="M1423" s="4">
        <v>3</v>
      </c>
      <c r="N1423" s="4" t="s">
        <v>3</v>
      </c>
      <c r="O1423" s="4">
        <v>2</v>
      </c>
      <c r="P1423" s="4"/>
      <c r="Q1423" s="4"/>
      <c r="R1423" s="4"/>
      <c r="S1423" s="4"/>
      <c r="T1423" s="4"/>
      <c r="U1423" s="4"/>
      <c r="V1423" s="4"/>
      <c r="W1423" s="4"/>
    </row>
    <row r="1424" spans="1:206" x14ac:dyDescent="0.2">
      <c r="A1424" s="4">
        <v>50</v>
      </c>
      <c r="B1424" s="4">
        <v>0</v>
      </c>
      <c r="C1424" s="4">
        <v>0</v>
      </c>
      <c r="D1424" s="4">
        <v>1</v>
      </c>
      <c r="E1424" s="4">
        <v>228</v>
      </c>
      <c r="F1424" s="4">
        <f>ROUND(Source!AY1416,O1424)</f>
        <v>0</v>
      </c>
      <c r="G1424" s="4" t="s">
        <v>101</v>
      </c>
      <c r="H1424" s="4" t="s">
        <v>102</v>
      </c>
      <c r="I1424" s="4"/>
      <c r="J1424" s="4"/>
      <c r="K1424" s="4">
        <v>228</v>
      </c>
      <c r="L1424" s="4">
        <v>7</v>
      </c>
      <c r="M1424" s="4">
        <v>3</v>
      </c>
      <c r="N1424" s="4" t="s">
        <v>3</v>
      </c>
      <c r="O1424" s="4">
        <v>2</v>
      </c>
      <c r="P1424" s="4"/>
      <c r="Q1424" s="4"/>
      <c r="R1424" s="4"/>
      <c r="S1424" s="4"/>
      <c r="T1424" s="4"/>
      <c r="U1424" s="4"/>
      <c r="V1424" s="4"/>
      <c r="W1424" s="4"/>
    </row>
    <row r="1425" spans="1:23" x14ac:dyDescent="0.2">
      <c r="A1425" s="4">
        <v>50</v>
      </c>
      <c r="B1425" s="4">
        <v>0</v>
      </c>
      <c r="C1425" s="4">
        <v>0</v>
      </c>
      <c r="D1425" s="4">
        <v>1</v>
      </c>
      <c r="E1425" s="4">
        <v>216</v>
      </c>
      <c r="F1425" s="4">
        <f>ROUND(Source!AP1416,O1425)</f>
        <v>0</v>
      </c>
      <c r="G1425" s="4" t="s">
        <v>103</v>
      </c>
      <c r="H1425" s="4" t="s">
        <v>104</v>
      </c>
      <c r="I1425" s="4"/>
      <c r="J1425" s="4"/>
      <c r="K1425" s="4">
        <v>216</v>
      </c>
      <c r="L1425" s="4">
        <v>8</v>
      </c>
      <c r="M1425" s="4">
        <v>3</v>
      </c>
      <c r="N1425" s="4" t="s">
        <v>3</v>
      </c>
      <c r="O1425" s="4">
        <v>2</v>
      </c>
      <c r="P1425" s="4"/>
      <c r="Q1425" s="4"/>
      <c r="R1425" s="4"/>
      <c r="S1425" s="4"/>
      <c r="T1425" s="4"/>
      <c r="U1425" s="4"/>
      <c r="V1425" s="4"/>
      <c r="W1425" s="4"/>
    </row>
    <row r="1426" spans="1:23" x14ac:dyDescent="0.2">
      <c r="A1426" s="4">
        <v>50</v>
      </c>
      <c r="B1426" s="4">
        <v>0</v>
      </c>
      <c r="C1426" s="4">
        <v>0</v>
      </c>
      <c r="D1426" s="4">
        <v>1</v>
      </c>
      <c r="E1426" s="4">
        <v>223</v>
      </c>
      <c r="F1426" s="4">
        <f>ROUND(Source!AQ1416,O1426)</f>
        <v>0</v>
      </c>
      <c r="G1426" s="4" t="s">
        <v>105</v>
      </c>
      <c r="H1426" s="4" t="s">
        <v>106</v>
      </c>
      <c r="I1426" s="4"/>
      <c r="J1426" s="4"/>
      <c r="K1426" s="4">
        <v>223</v>
      </c>
      <c r="L1426" s="4">
        <v>9</v>
      </c>
      <c r="M1426" s="4">
        <v>3</v>
      </c>
      <c r="N1426" s="4" t="s">
        <v>3</v>
      </c>
      <c r="O1426" s="4">
        <v>2</v>
      </c>
      <c r="P1426" s="4"/>
      <c r="Q1426" s="4"/>
      <c r="R1426" s="4"/>
      <c r="S1426" s="4"/>
      <c r="T1426" s="4"/>
      <c r="U1426" s="4"/>
      <c r="V1426" s="4"/>
      <c r="W1426" s="4"/>
    </row>
    <row r="1427" spans="1:23" x14ac:dyDescent="0.2">
      <c r="A1427" s="4">
        <v>50</v>
      </c>
      <c r="B1427" s="4">
        <v>0</v>
      </c>
      <c r="C1427" s="4">
        <v>0</v>
      </c>
      <c r="D1427" s="4">
        <v>1</v>
      </c>
      <c r="E1427" s="4">
        <v>229</v>
      </c>
      <c r="F1427" s="4">
        <f>ROUND(Source!AZ1416,O1427)</f>
        <v>0</v>
      </c>
      <c r="G1427" s="4" t="s">
        <v>107</v>
      </c>
      <c r="H1427" s="4" t="s">
        <v>108</v>
      </c>
      <c r="I1427" s="4"/>
      <c r="J1427" s="4"/>
      <c r="K1427" s="4">
        <v>229</v>
      </c>
      <c r="L1427" s="4">
        <v>10</v>
      </c>
      <c r="M1427" s="4">
        <v>3</v>
      </c>
      <c r="N1427" s="4" t="s">
        <v>3</v>
      </c>
      <c r="O1427" s="4">
        <v>2</v>
      </c>
      <c r="P1427" s="4"/>
      <c r="Q1427" s="4"/>
      <c r="R1427" s="4"/>
      <c r="S1427" s="4"/>
      <c r="T1427" s="4"/>
      <c r="U1427" s="4"/>
      <c r="V1427" s="4"/>
      <c r="W1427" s="4"/>
    </row>
    <row r="1428" spans="1:23" x14ac:dyDescent="0.2">
      <c r="A1428" s="4">
        <v>50</v>
      </c>
      <c r="B1428" s="4">
        <v>0</v>
      </c>
      <c r="C1428" s="4">
        <v>0</v>
      </c>
      <c r="D1428" s="4">
        <v>1</v>
      </c>
      <c r="E1428" s="4">
        <v>203</v>
      </c>
      <c r="F1428" s="4">
        <f>ROUND(Source!Q1416,O1428)</f>
        <v>0</v>
      </c>
      <c r="G1428" s="4" t="s">
        <v>109</v>
      </c>
      <c r="H1428" s="4" t="s">
        <v>110</v>
      </c>
      <c r="I1428" s="4"/>
      <c r="J1428" s="4"/>
      <c r="K1428" s="4">
        <v>203</v>
      </c>
      <c r="L1428" s="4">
        <v>11</v>
      </c>
      <c r="M1428" s="4">
        <v>3</v>
      </c>
      <c r="N1428" s="4" t="s">
        <v>3</v>
      </c>
      <c r="O1428" s="4">
        <v>2</v>
      </c>
      <c r="P1428" s="4"/>
      <c r="Q1428" s="4"/>
      <c r="R1428" s="4"/>
      <c r="S1428" s="4"/>
      <c r="T1428" s="4"/>
      <c r="U1428" s="4"/>
      <c r="V1428" s="4"/>
      <c r="W1428" s="4"/>
    </row>
    <row r="1429" spans="1:23" x14ac:dyDescent="0.2">
      <c r="A1429" s="4">
        <v>50</v>
      </c>
      <c r="B1429" s="4">
        <v>0</v>
      </c>
      <c r="C1429" s="4">
        <v>0</v>
      </c>
      <c r="D1429" s="4">
        <v>1</v>
      </c>
      <c r="E1429" s="4">
        <v>231</v>
      </c>
      <c r="F1429" s="4">
        <f>ROUND(Source!BB1416,O1429)</f>
        <v>0</v>
      </c>
      <c r="G1429" s="4" t="s">
        <v>111</v>
      </c>
      <c r="H1429" s="4" t="s">
        <v>112</v>
      </c>
      <c r="I1429" s="4"/>
      <c r="J1429" s="4"/>
      <c r="K1429" s="4">
        <v>231</v>
      </c>
      <c r="L1429" s="4">
        <v>12</v>
      </c>
      <c r="M1429" s="4">
        <v>3</v>
      </c>
      <c r="N1429" s="4" t="s">
        <v>3</v>
      </c>
      <c r="O1429" s="4">
        <v>2</v>
      </c>
      <c r="P1429" s="4"/>
      <c r="Q1429" s="4"/>
      <c r="R1429" s="4"/>
      <c r="S1429" s="4"/>
      <c r="T1429" s="4"/>
      <c r="U1429" s="4"/>
      <c r="V1429" s="4"/>
      <c r="W1429" s="4"/>
    </row>
    <row r="1430" spans="1:23" x14ac:dyDescent="0.2">
      <c r="A1430" s="4">
        <v>50</v>
      </c>
      <c r="B1430" s="4">
        <v>0</v>
      </c>
      <c r="C1430" s="4">
        <v>0</v>
      </c>
      <c r="D1430" s="4">
        <v>1</v>
      </c>
      <c r="E1430" s="4">
        <v>204</v>
      </c>
      <c r="F1430" s="4">
        <f>ROUND(Source!R1416,O1430)</f>
        <v>0</v>
      </c>
      <c r="G1430" s="4" t="s">
        <v>113</v>
      </c>
      <c r="H1430" s="4" t="s">
        <v>114</v>
      </c>
      <c r="I1430" s="4"/>
      <c r="J1430" s="4"/>
      <c r="K1430" s="4">
        <v>204</v>
      </c>
      <c r="L1430" s="4">
        <v>13</v>
      </c>
      <c r="M1430" s="4">
        <v>3</v>
      </c>
      <c r="N1430" s="4" t="s">
        <v>3</v>
      </c>
      <c r="O1430" s="4">
        <v>2</v>
      </c>
      <c r="P1430" s="4"/>
      <c r="Q1430" s="4"/>
      <c r="R1430" s="4"/>
      <c r="S1430" s="4"/>
      <c r="T1430" s="4"/>
      <c r="U1430" s="4"/>
      <c r="V1430" s="4"/>
      <c r="W1430" s="4"/>
    </row>
    <row r="1431" spans="1:23" x14ac:dyDescent="0.2">
      <c r="A1431" s="4">
        <v>50</v>
      </c>
      <c r="B1431" s="4">
        <v>0</v>
      </c>
      <c r="C1431" s="4">
        <v>0</v>
      </c>
      <c r="D1431" s="4">
        <v>1</v>
      </c>
      <c r="E1431" s="4">
        <v>205</v>
      </c>
      <c r="F1431" s="4">
        <f>ROUND(Source!S1416,O1431)</f>
        <v>0</v>
      </c>
      <c r="G1431" s="4" t="s">
        <v>115</v>
      </c>
      <c r="H1431" s="4" t="s">
        <v>116</v>
      </c>
      <c r="I1431" s="4"/>
      <c r="J1431" s="4"/>
      <c r="K1431" s="4">
        <v>205</v>
      </c>
      <c r="L1431" s="4">
        <v>14</v>
      </c>
      <c r="M1431" s="4">
        <v>3</v>
      </c>
      <c r="N1431" s="4" t="s">
        <v>3</v>
      </c>
      <c r="O1431" s="4">
        <v>2</v>
      </c>
      <c r="P1431" s="4"/>
      <c r="Q1431" s="4"/>
      <c r="R1431" s="4"/>
      <c r="S1431" s="4"/>
      <c r="T1431" s="4"/>
      <c r="U1431" s="4"/>
      <c r="V1431" s="4"/>
      <c r="W1431" s="4"/>
    </row>
    <row r="1432" spans="1:23" x14ac:dyDescent="0.2">
      <c r="A1432" s="4">
        <v>50</v>
      </c>
      <c r="B1432" s="4">
        <v>0</v>
      </c>
      <c r="C1432" s="4">
        <v>0</v>
      </c>
      <c r="D1432" s="4">
        <v>1</v>
      </c>
      <c r="E1432" s="4">
        <v>232</v>
      </c>
      <c r="F1432" s="4">
        <f>ROUND(Source!BC1416,O1432)</f>
        <v>0</v>
      </c>
      <c r="G1432" s="4" t="s">
        <v>117</v>
      </c>
      <c r="H1432" s="4" t="s">
        <v>118</v>
      </c>
      <c r="I1432" s="4"/>
      <c r="J1432" s="4"/>
      <c r="K1432" s="4">
        <v>232</v>
      </c>
      <c r="L1432" s="4">
        <v>15</v>
      </c>
      <c r="M1432" s="4">
        <v>3</v>
      </c>
      <c r="N1432" s="4" t="s">
        <v>3</v>
      </c>
      <c r="O1432" s="4">
        <v>2</v>
      </c>
      <c r="P1432" s="4"/>
      <c r="Q1432" s="4"/>
      <c r="R1432" s="4"/>
      <c r="S1432" s="4"/>
      <c r="T1432" s="4"/>
      <c r="U1432" s="4"/>
      <c r="V1432" s="4"/>
      <c r="W1432" s="4"/>
    </row>
    <row r="1433" spans="1:23" x14ac:dyDescent="0.2">
      <c r="A1433" s="4">
        <v>50</v>
      </c>
      <c r="B1433" s="4">
        <v>0</v>
      </c>
      <c r="C1433" s="4">
        <v>0</v>
      </c>
      <c r="D1433" s="4">
        <v>1</v>
      </c>
      <c r="E1433" s="4">
        <v>214</v>
      </c>
      <c r="F1433" s="4">
        <f>ROUND(Source!AS1416,O1433)</f>
        <v>0</v>
      </c>
      <c r="G1433" s="4" t="s">
        <v>119</v>
      </c>
      <c r="H1433" s="4" t="s">
        <v>120</v>
      </c>
      <c r="I1433" s="4"/>
      <c r="J1433" s="4"/>
      <c r="K1433" s="4">
        <v>214</v>
      </c>
      <c r="L1433" s="4">
        <v>16</v>
      </c>
      <c r="M1433" s="4">
        <v>3</v>
      </c>
      <c r="N1433" s="4" t="s">
        <v>3</v>
      </c>
      <c r="O1433" s="4">
        <v>2</v>
      </c>
      <c r="P1433" s="4"/>
      <c r="Q1433" s="4"/>
      <c r="R1433" s="4"/>
      <c r="S1433" s="4"/>
      <c r="T1433" s="4"/>
      <c r="U1433" s="4"/>
      <c r="V1433" s="4"/>
      <c r="W1433" s="4"/>
    </row>
    <row r="1434" spans="1:23" x14ac:dyDescent="0.2">
      <c r="A1434" s="4">
        <v>50</v>
      </c>
      <c r="B1434" s="4">
        <v>0</v>
      </c>
      <c r="C1434" s="4">
        <v>0</v>
      </c>
      <c r="D1434" s="4">
        <v>1</v>
      </c>
      <c r="E1434" s="4">
        <v>215</v>
      </c>
      <c r="F1434" s="4">
        <f>ROUND(Source!AT1416,O1434)</f>
        <v>0</v>
      </c>
      <c r="G1434" s="4" t="s">
        <v>121</v>
      </c>
      <c r="H1434" s="4" t="s">
        <v>122</v>
      </c>
      <c r="I1434" s="4"/>
      <c r="J1434" s="4"/>
      <c r="K1434" s="4">
        <v>215</v>
      </c>
      <c r="L1434" s="4">
        <v>17</v>
      </c>
      <c r="M1434" s="4">
        <v>3</v>
      </c>
      <c r="N1434" s="4" t="s">
        <v>3</v>
      </c>
      <c r="O1434" s="4">
        <v>2</v>
      </c>
      <c r="P1434" s="4"/>
      <c r="Q1434" s="4"/>
      <c r="R1434" s="4"/>
      <c r="S1434" s="4"/>
      <c r="T1434" s="4"/>
      <c r="U1434" s="4"/>
      <c r="V1434" s="4"/>
      <c r="W1434" s="4"/>
    </row>
    <row r="1435" spans="1:23" x14ac:dyDescent="0.2">
      <c r="A1435" s="4">
        <v>50</v>
      </c>
      <c r="B1435" s="4">
        <v>0</v>
      </c>
      <c r="C1435" s="4">
        <v>0</v>
      </c>
      <c r="D1435" s="4">
        <v>1</v>
      </c>
      <c r="E1435" s="4">
        <v>217</v>
      </c>
      <c r="F1435" s="4">
        <f>ROUND(Source!AU1416,O1435)</f>
        <v>0</v>
      </c>
      <c r="G1435" s="4" t="s">
        <v>123</v>
      </c>
      <c r="H1435" s="4" t="s">
        <v>124</v>
      </c>
      <c r="I1435" s="4"/>
      <c r="J1435" s="4"/>
      <c r="K1435" s="4">
        <v>217</v>
      </c>
      <c r="L1435" s="4">
        <v>18</v>
      </c>
      <c r="M1435" s="4">
        <v>3</v>
      </c>
      <c r="N1435" s="4" t="s">
        <v>3</v>
      </c>
      <c r="O1435" s="4">
        <v>2</v>
      </c>
      <c r="P1435" s="4"/>
      <c r="Q1435" s="4"/>
      <c r="R1435" s="4"/>
      <c r="S1435" s="4"/>
      <c r="T1435" s="4"/>
      <c r="U1435" s="4"/>
      <c r="V1435" s="4"/>
      <c r="W1435" s="4"/>
    </row>
    <row r="1436" spans="1:23" x14ac:dyDescent="0.2">
      <c r="A1436" s="4">
        <v>50</v>
      </c>
      <c r="B1436" s="4">
        <v>0</v>
      </c>
      <c r="C1436" s="4">
        <v>0</v>
      </c>
      <c r="D1436" s="4">
        <v>1</v>
      </c>
      <c r="E1436" s="4">
        <v>230</v>
      </c>
      <c r="F1436" s="4">
        <f>ROUND(Source!BA1416,O1436)</f>
        <v>0</v>
      </c>
      <c r="G1436" s="4" t="s">
        <v>125</v>
      </c>
      <c r="H1436" s="4" t="s">
        <v>126</v>
      </c>
      <c r="I1436" s="4"/>
      <c r="J1436" s="4"/>
      <c r="K1436" s="4">
        <v>230</v>
      </c>
      <c r="L1436" s="4">
        <v>19</v>
      </c>
      <c r="M1436" s="4">
        <v>3</v>
      </c>
      <c r="N1436" s="4" t="s">
        <v>3</v>
      </c>
      <c r="O1436" s="4">
        <v>2</v>
      </c>
      <c r="P1436" s="4"/>
      <c r="Q1436" s="4"/>
      <c r="R1436" s="4"/>
      <c r="S1436" s="4"/>
      <c r="T1436" s="4"/>
      <c r="U1436" s="4"/>
      <c r="V1436" s="4"/>
      <c r="W1436" s="4"/>
    </row>
    <row r="1437" spans="1:23" x14ac:dyDescent="0.2">
      <c r="A1437" s="4">
        <v>50</v>
      </c>
      <c r="B1437" s="4">
        <v>0</v>
      </c>
      <c r="C1437" s="4">
        <v>0</v>
      </c>
      <c r="D1437" s="4">
        <v>1</v>
      </c>
      <c r="E1437" s="4">
        <v>206</v>
      </c>
      <c r="F1437" s="4">
        <f>ROUND(Source!T1416,O1437)</f>
        <v>0</v>
      </c>
      <c r="G1437" s="4" t="s">
        <v>127</v>
      </c>
      <c r="H1437" s="4" t="s">
        <v>128</v>
      </c>
      <c r="I1437" s="4"/>
      <c r="J1437" s="4"/>
      <c r="K1437" s="4">
        <v>206</v>
      </c>
      <c r="L1437" s="4">
        <v>20</v>
      </c>
      <c r="M1437" s="4">
        <v>3</v>
      </c>
      <c r="N1437" s="4" t="s">
        <v>3</v>
      </c>
      <c r="O1437" s="4">
        <v>2</v>
      </c>
      <c r="P1437" s="4"/>
      <c r="Q1437" s="4"/>
      <c r="R1437" s="4"/>
      <c r="S1437" s="4"/>
      <c r="T1437" s="4"/>
      <c r="U1437" s="4"/>
      <c r="V1437" s="4"/>
      <c r="W1437" s="4"/>
    </row>
    <row r="1438" spans="1:23" x14ac:dyDescent="0.2">
      <c r="A1438" s="4">
        <v>50</v>
      </c>
      <c r="B1438" s="4">
        <v>0</v>
      </c>
      <c r="C1438" s="4">
        <v>0</v>
      </c>
      <c r="D1438" s="4">
        <v>1</v>
      </c>
      <c r="E1438" s="4">
        <v>207</v>
      </c>
      <c r="F1438" s="4">
        <f>Source!U1416</f>
        <v>0</v>
      </c>
      <c r="G1438" s="4" t="s">
        <v>129</v>
      </c>
      <c r="H1438" s="4" t="s">
        <v>130</v>
      </c>
      <c r="I1438" s="4"/>
      <c r="J1438" s="4"/>
      <c r="K1438" s="4">
        <v>207</v>
      </c>
      <c r="L1438" s="4">
        <v>21</v>
      </c>
      <c r="M1438" s="4">
        <v>3</v>
      </c>
      <c r="N1438" s="4" t="s">
        <v>3</v>
      </c>
      <c r="O1438" s="4">
        <v>-1</v>
      </c>
      <c r="P1438" s="4"/>
      <c r="Q1438" s="4"/>
      <c r="R1438" s="4"/>
      <c r="S1438" s="4"/>
      <c r="T1438" s="4"/>
      <c r="U1438" s="4"/>
      <c r="V1438" s="4"/>
      <c r="W1438" s="4"/>
    </row>
    <row r="1439" spans="1:23" x14ac:dyDescent="0.2">
      <c r="A1439" s="4">
        <v>50</v>
      </c>
      <c r="B1439" s="4">
        <v>0</v>
      </c>
      <c r="C1439" s="4">
        <v>0</v>
      </c>
      <c r="D1439" s="4">
        <v>1</v>
      </c>
      <c r="E1439" s="4">
        <v>208</v>
      </c>
      <c r="F1439" s="4">
        <f>Source!V1416</f>
        <v>0</v>
      </c>
      <c r="G1439" s="4" t="s">
        <v>131</v>
      </c>
      <c r="H1439" s="4" t="s">
        <v>132</v>
      </c>
      <c r="I1439" s="4"/>
      <c r="J1439" s="4"/>
      <c r="K1439" s="4">
        <v>208</v>
      </c>
      <c r="L1439" s="4">
        <v>22</v>
      </c>
      <c r="M1439" s="4">
        <v>3</v>
      </c>
      <c r="N1439" s="4" t="s">
        <v>3</v>
      </c>
      <c r="O1439" s="4">
        <v>-1</v>
      </c>
      <c r="P1439" s="4"/>
      <c r="Q1439" s="4"/>
      <c r="R1439" s="4"/>
      <c r="S1439" s="4"/>
      <c r="T1439" s="4"/>
      <c r="U1439" s="4"/>
      <c r="V1439" s="4"/>
      <c r="W1439" s="4"/>
    </row>
    <row r="1440" spans="1:23" x14ac:dyDescent="0.2">
      <c r="A1440" s="4">
        <v>50</v>
      </c>
      <c r="B1440" s="4">
        <v>0</v>
      </c>
      <c r="C1440" s="4">
        <v>0</v>
      </c>
      <c r="D1440" s="4">
        <v>1</v>
      </c>
      <c r="E1440" s="4">
        <v>209</v>
      </c>
      <c r="F1440" s="4">
        <f>ROUND(Source!W1416,O1440)</f>
        <v>0</v>
      </c>
      <c r="G1440" s="4" t="s">
        <v>133</v>
      </c>
      <c r="H1440" s="4" t="s">
        <v>134</v>
      </c>
      <c r="I1440" s="4"/>
      <c r="J1440" s="4"/>
      <c r="K1440" s="4">
        <v>209</v>
      </c>
      <c r="L1440" s="4">
        <v>23</v>
      </c>
      <c r="M1440" s="4">
        <v>3</v>
      </c>
      <c r="N1440" s="4" t="s">
        <v>3</v>
      </c>
      <c r="O1440" s="4">
        <v>2</v>
      </c>
      <c r="P1440" s="4"/>
      <c r="Q1440" s="4"/>
      <c r="R1440" s="4"/>
      <c r="S1440" s="4"/>
      <c r="T1440" s="4"/>
      <c r="U1440" s="4"/>
      <c r="V1440" s="4"/>
      <c r="W1440" s="4"/>
    </row>
    <row r="1441" spans="1:206" x14ac:dyDescent="0.2">
      <c r="A1441" s="4">
        <v>50</v>
      </c>
      <c r="B1441" s="4">
        <v>0</v>
      </c>
      <c r="C1441" s="4">
        <v>0</v>
      </c>
      <c r="D1441" s="4">
        <v>1</v>
      </c>
      <c r="E1441" s="4">
        <v>233</v>
      </c>
      <c r="F1441" s="4">
        <f>ROUND(Source!BD1416,O1441)</f>
        <v>0</v>
      </c>
      <c r="G1441" s="4" t="s">
        <v>135</v>
      </c>
      <c r="H1441" s="4" t="s">
        <v>136</v>
      </c>
      <c r="I1441" s="4"/>
      <c r="J1441" s="4"/>
      <c r="K1441" s="4">
        <v>233</v>
      </c>
      <c r="L1441" s="4">
        <v>24</v>
      </c>
      <c r="M1441" s="4">
        <v>3</v>
      </c>
      <c r="N1441" s="4" t="s">
        <v>3</v>
      </c>
      <c r="O1441" s="4">
        <v>2</v>
      </c>
      <c r="P1441" s="4"/>
      <c r="Q1441" s="4"/>
      <c r="R1441" s="4"/>
      <c r="S1441" s="4"/>
      <c r="T1441" s="4"/>
      <c r="U1441" s="4"/>
      <c r="V1441" s="4"/>
      <c r="W1441" s="4"/>
    </row>
    <row r="1442" spans="1:206" x14ac:dyDescent="0.2">
      <c r="A1442" s="4">
        <v>50</v>
      </c>
      <c r="B1442" s="4">
        <v>0</v>
      </c>
      <c r="C1442" s="4">
        <v>0</v>
      </c>
      <c r="D1442" s="4">
        <v>1</v>
      </c>
      <c r="E1442" s="4">
        <v>210</v>
      </c>
      <c r="F1442" s="4">
        <f>ROUND(Source!X1416,O1442)</f>
        <v>0</v>
      </c>
      <c r="G1442" s="4" t="s">
        <v>137</v>
      </c>
      <c r="H1442" s="4" t="s">
        <v>138</v>
      </c>
      <c r="I1442" s="4"/>
      <c r="J1442" s="4"/>
      <c r="K1442" s="4">
        <v>210</v>
      </c>
      <c r="L1442" s="4">
        <v>25</v>
      </c>
      <c r="M1442" s="4">
        <v>3</v>
      </c>
      <c r="N1442" s="4" t="s">
        <v>3</v>
      </c>
      <c r="O1442" s="4">
        <v>2</v>
      </c>
      <c r="P1442" s="4"/>
      <c r="Q1442" s="4"/>
      <c r="R1442" s="4"/>
      <c r="S1442" s="4"/>
      <c r="T1442" s="4"/>
      <c r="U1442" s="4"/>
      <c r="V1442" s="4"/>
      <c r="W1442" s="4"/>
    </row>
    <row r="1443" spans="1:206" x14ac:dyDescent="0.2">
      <c r="A1443" s="4">
        <v>50</v>
      </c>
      <c r="B1443" s="4">
        <v>0</v>
      </c>
      <c r="C1443" s="4">
        <v>0</v>
      </c>
      <c r="D1443" s="4">
        <v>1</v>
      </c>
      <c r="E1443" s="4">
        <v>211</v>
      </c>
      <c r="F1443" s="4">
        <f>ROUND(Source!Y1416,O1443)</f>
        <v>0</v>
      </c>
      <c r="G1443" s="4" t="s">
        <v>139</v>
      </c>
      <c r="H1443" s="4" t="s">
        <v>140</v>
      </c>
      <c r="I1443" s="4"/>
      <c r="J1443" s="4"/>
      <c r="K1443" s="4">
        <v>211</v>
      </c>
      <c r="L1443" s="4">
        <v>26</v>
      </c>
      <c r="M1443" s="4">
        <v>3</v>
      </c>
      <c r="N1443" s="4" t="s">
        <v>3</v>
      </c>
      <c r="O1443" s="4">
        <v>2</v>
      </c>
      <c r="P1443" s="4"/>
      <c r="Q1443" s="4"/>
      <c r="R1443" s="4"/>
      <c r="S1443" s="4"/>
      <c r="T1443" s="4"/>
      <c r="U1443" s="4"/>
      <c r="V1443" s="4"/>
      <c r="W1443" s="4"/>
    </row>
    <row r="1444" spans="1:206" x14ac:dyDescent="0.2">
      <c r="A1444" s="4">
        <v>50</v>
      </c>
      <c r="B1444" s="4">
        <v>0</v>
      </c>
      <c r="C1444" s="4">
        <v>0</v>
      </c>
      <c r="D1444" s="4">
        <v>1</v>
      </c>
      <c r="E1444" s="4">
        <v>224</v>
      </c>
      <c r="F1444" s="4">
        <f>ROUND(Source!AR1416,O1444)</f>
        <v>0</v>
      </c>
      <c r="G1444" s="4" t="s">
        <v>141</v>
      </c>
      <c r="H1444" s="4" t="s">
        <v>142</v>
      </c>
      <c r="I1444" s="4"/>
      <c r="J1444" s="4"/>
      <c r="K1444" s="4">
        <v>224</v>
      </c>
      <c r="L1444" s="4">
        <v>27</v>
      </c>
      <c r="M1444" s="4">
        <v>3</v>
      </c>
      <c r="N1444" s="4" t="s">
        <v>3</v>
      </c>
      <c r="O1444" s="4">
        <v>2</v>
      </c>
      <c r="P1444" s="4"/>
      <c r="Q1444" s="4"/>
      <c r="R1444" s="4"/>
      <c r="S1444" s="4"/>
      <c r="T1444" s="4"/>
      <c r="U1444" s="4"/>
      <c r="V1444" s="4"/>
      <c r="W1444" s="4"/>
    </row>
    <row r="1446" spans="1:206" x14ac:dyDescent="0.2">
      <c r="A1446" s="1">
        <v>4</v>
      </c>
      <c r="B1446" s="1">
        <v>1</v>
      </c>
      <c r="C1446" s="1"/>
      <c r="D1446" s="1">
        <f>ROW(A1450)</f>
        <v>1450</v>
      </c>
      <c r="E1446" s="1"/>
      <c r="F1446" s="1" t="s">
        <v>13</v>
      </c>
      <c r="G1446" s="1" t="s">
        <v>638</v>
      </c>
      <c r="H1446" s="1" t="s">
        <v>3</v>
      </c>
      <c r="I1446" s="1">
        <v>0</v>
      </c>
      <c r="J1446" s="1"/>
      <c r="K1446" s="1">
        <v>0</v>
      </c>
      <c r="L1446" s="1"/>
      <c r="M1446" s="1"/>
      <c r="N1446" s="1"/>
      <c r="O1446" s="1"/>
      <c r="P1446" s="1"/>
      <c r="Q1446" s="1"/>
      <c r="R1446" s="1"/>
      <c r="S1446" s="1"/>
      <c r="T1446" s="1"/>
      <c r="U1446" s="1" t="s">
        <v>3</v>
      </c>
      <c r="V1446" s="1">
        <v>0</v>
      </c>
      <c r="W1446" s="1"/>
      <c r="X1446" s="1"/>
      <c r="Y1446" s="1"/>
      <c r="Z1446" s="1"/>
      <c r="AA1446" s="1"/>
      <c r="AB1446" s="1" t="s">
        <v>3</v>
      </c>
      <c r="AC1446" s="1" t="s">
        <v>3</v>
      </c>
      <c r="AD1446" s="1" t="s">
        <v>3</v>
      </c>
      <c r="AE1446" s="1" t="s">
        <v>3</v>
      </c>
      <c r="AF1446" s="1" t="s">
        <v>3</v>
      </c>
      <c r="AG1446" s="1" t="s">
        <v>3</v>
      </c>
      <c r="AH1446" s="1"/>
      <c r="AI1446" s="1"/>
      <c r="AJ1446" s="1"/>
      <c r="AK1446" s="1"/>
      <c r="AL1446" s="1"/>
      <c r="AM1446" s="1"/>
      <c r="AN1446" s="1"/>
      <c r="AO1446" s="1"/>
      <c r="AP1446" s="1" t="s">
        <v>3</v>
      </c>
      <c r="AQ1446" s="1" t="s">
        <v>3</v>
      </c>
      <c r="AR1446" s="1" t="s">
        <v>3</v>
      </c>
      <c r="AS1446" s="1"/>
      <c r="AT1446" s="1"/>
      <c r="AU1446" s="1"/>
      <c r="AV1446" s="1"/>
      <c r="AW1446" s="1"/>
      <c r="AX1446" s="1"/>
      <c r="AY1446" s="1"/>
      <c r="AZ1446" s="1" t="s">
        <v>3</v>
      </c>
      <c r="BA1446" s="1"/>
      <c r="BB1446" s="1" t="s">
        <v>3</v>
      </c>
      <c r="BC1446" s="1" t="s">
        <v>3</v>
      </c>
      <c r="BD1446" s="1" t="s">
        <v>3</v>
      </c>
      <c r="BE1446" s="1" t="s">
        <v>3</v>
      </c>
      <c r="BF1446" s="1" t="s">
        <v>3</v>
      </c>
      <c r="BG1446" s="1" t="s">
        <v>3</v>
      </c>
      <c r="BH1446" s="1" t="s">
        <v>3</v>
      </c>
      <c r="BI1446" s="1" t="s">
        <v>3</v>
      </c>
      <c r="BJ1446" s="1" t="s">
        <v>3</v>
      </c>
      <c r="BK1446" s="1" t="s">
        <v>3</v>
      </c>
      <c r="BL1446" s="1" t="s">
        <v>3</v>
      </c>
      <c r="BM1446" s="1" t="s">
        <v>3</v>
      </c>
      <c r="BN1446" s="1" t="s">
        <v>3</v>
      </c>
      <c r="BO1446" s="1" t="s">
        <v>3</v>
      </c>
      <c r="BP1446" s="1" t="s">
        <v>3</v>
      </c>
      <c r="BQ1446" s="1"/>
      <c r="BR1446" s="1"/>
      <c r="BS1446" s="1"/>
      <c r="BT1446" s="1"/>
      <c r="BU1446" s="1"/>
      <c r="BV1446" s="1"/>
      <c r="BW1446" s="1"/>
      <c r="BX1446" s="1">
        <v>0</v>
      </c>
      <c r="BY1446" s="1"/>
      <c r="BZ1446" s="1"/>
      <c r="CA1446" s="1"/>
      <c r="CB1446" s="1"/>
      <c r="CC1446" s="1"/>
      <c r="CD1446" s="1"/>
      <c r="CE1446" s="1"/>
      <c r="CF1446" s="1"/>
      <c r="CG1446" s="1"/>
      <c r="CH1446" s="1"/>
      <c r="CI1446" s="1"/>
      <c r="CJ1446" s="1">
        <v>0</v>
      </c>
    </row>
    <row r="1448" spans="1:206" x14ac:dyDescent="0.2">
      <c r="A1448" s="2">
        <v>52</v>
      </c>
      <c r="B1448" s="2">
        <f t="shared" ref="B1448:G1448" si="928">B1450</f>
        <v>1</v>
      </c>
      <c r="C1448" s="2">
        <f t="shared" si="928"/>
        <v>4</v>
      </c>
      <c r="D1448" s="2">
        <f t="shared" si="928"/>
        <v>1446</v>
      </c>
      <c r="E1448" s="2">
        <f t="shared" si="928"/>
        <v>0</v>
      </c>
      <c r="F1448" s="2" t="str">
        <f t="shared" si="928"/>
        <v>Новый раздел</v>
      </c>
      <c r="G1448" s="2" t="str">
        <f t="shared" si="928"/>
        <v>59. Гидроизоляция обмазочная</v>
      </c>
      <c r="H1448" s="2"/>
      <c r="I1448" s="2"/>
      <c r="J1448" s="2"/>
      <c r="K1448" s="2"/>
      <c r="L1448" s="2"/>
      <c r="M1448" s="2"/>
      <c r="N1448" s="2"/>
      <c r="O1448" s="2">
        <f t="shared" ref="O1448:AT1448" si="929">O1450</f>
        <v>0</v>
      </c>
      <c r="P1448" s="2">
        <f t="shared" si="929"/>
        <v>0</v>
      </c>
      <c r="Q1448" s="2">
        <f t="shared" si="929"/>
        <v>0</v>
      </c>
      <c r="R1448" s="2">
        <f t="shared" si="929"/>
        <v>0</v>
      </c>
      <c r="S1448" s="2">
        <f t="shared" si="929"/>
        <v>0</v>
      </c>
      <c r="T1448" s="2">
        <f t="shared" si="929"/>
        <v>0</v>
      </c>
      <c r="U1448" s="2">
        <f t="shared" si="929"/>
        <v>0</v>
      </c>
      <c r="V1448" s="2">
        <f t="shared" si="929"/>
        <v>0</v>
      </c>
      <c r="W1448" s="2">
        <f t="shared" si="929"/>
        <v>0</v>
      </c>
      <c r="X1448" s="2">
        <f t="shared" si="929"/>
        <v>0</v>
      </c>
      <c r="Y1448" s="2">
        <f t="shared" si="929"/>
        <v>0</v>
      </c>
      <c r="Z1448" s="2">
        <f t="shared" si="929"/>
        <v>0</v>
      </c>
      <c r="AA1448" s="2">
        <f t="shared" si="929"/>
        <v>0</v>
      </c>
      <c r="AB1448" s="2">
        <f t="shared" si="929"/>
        <v>0</v>
      </c>
      <c r="AC1448" s="2">
        <f t="shared" si="929"/>
        <v>0</v>
      </c>
      <c r="AD1448" s="2">
        <f t="shared" si="929"/>
        <v>0</v>
      </c>
      <c r="AE1448" s="2">
        <f t="shared" si="929"/>
        <v>0</v>
      </c>
      <c r="AF1448" s="2">
        <f t="shared" si="929"/>
        <v>0</v>
      </c>
      <c r="AG1448" s="2">
        <f t="shared" si="929"/>
        <v>0</v>
      </c>
      <c r="AH1448" s="2">
        <f t="shared" si="929"/>
        <v>0</v>
      </c>
      <c r="AI1448" s="2">
        <f t="shared" si="929"/>
        <v>0</v>
      </c>
      <c r="AJ1448" s="2">
        <f t="shared" si="929"/>
        <v>0</v>
      </c>
      <c r="AK1448" s="2">
        <f t="shared" si="929"/>
        <v>0</v>
      </c>
      <c r="AL1448" s="2">
        <f t="shared" si="929"/>
        <v>0</v>
      </c>
      <c r="AM1448" s="2">
        <f t="shared" si="929"/>
        <v>0</v>
      </c>
      <c r="AN1448" s="2">
        <f t="shared" si="929"/>
        <v>0</v>
      </c>
      <c r="AO1448" s="2">
        <f t="shared" si="929"/>
        <v>0</v>
      </c>
      <c r="AP1448" s="2">
        <f t="shared" si="929"/>
        <v>0</v>
      </c>
      <c r="AQ1448" s="2">
        <f t="shared" si="929"/>
        <v>0</v>
      </c>
      <c r="AR1448" s="2">
        <f t="shared" si="929"/>
        <v>0</v>
      </c>
      <c r="AS1448" s="2">
        <f t="shared" si="929"/>
        <v>0</v>
      </c>
      <c r="AT1448" s="2">
        <f t="shared" si="929"/>
        <v>0</v>
      </c>
      <c r="AU1448" s="2">
        <f t="shared" ref="AU1448:BZ1448" si="930">AU1450</f>
        <v>0</v>
      </c>
      <c r="AV1448" s="2">
        <f t="shared" si="930"/>
        <v>0</v>
      </c>
      <c r="AW1448" s="2">
        <f t="shared" si="930"/>
        <v>0</v>
      </c>
      <c r="AX1448" s="2">
        <f t="shared" si="930"/>
        <v>0</v>
      </c>
      <c r="AY1448" s="2">
        <f t="shared" si="930"/>
        <v>0</v>
      </c>
      <c r="AZ1448" s="2">
        <f t="shared" si="930"/>
        <v>0</v>
      </c>
      <c r="BA1448" s="2">
        <f t="shared" si="930"/>
        <v>0</v>
      </c>
      <c r="BB1448" s="2">
        <f t="shared" si="930"/>
        <v>0</v>
      </c>
      <c r="BC1448" s="2">
        <f t="shared" si="930"/>
        <v>0</v>
      </c>
      <c r="BD1448" s="2">
        <f t="shared" si="930"/>
        <v>0</v>
      </c>
      <c r="BE1448" s="2">
        <f t="shared" si="930"/>
        <v>0</v>
      </c>
      <c r="BF1448" s="2">
        <f t="shared" si="930"/>
        <v>0</v>
      </c>
      <c r="BG1448" s="2">
        <f t="shared" si="930"/>
        <v>0</v>
      </c>
      <c r="BH1448" s="2">
        <f t="shared" si="930"/>
        <v>0</v>
      </c>
      <c r="BI1448" s="2">
        <f t="shared" si="930"/>
        <v>0</v>
      </c>
      <c r="BJ1448" s="2">
        <f t="shared" si="930"/>
        <v>0</v>
      </c>
      <c r="BK1448" s="2">
        <f t="shared" si="930"/>
        <v>0</v>
      </c>
      <c r="BL1448" s="2">
        <f t="shared" si="930"/>
        <v>0</v>
      </c>
      <c r="BM1448" s="2">
        <f t="shared" si="930"/>
        <v>0</v>
      </c>
      <c r="BN1448" s="2">
        <f t="shared" si="930"/>
        <v>0</v>
      </c>
      <c r="BO1448" s="2">
        <f t="shared" si="930"/>
        <v>0</v>
      </c>
      <c r="BP1448" s="2">
        <f t="shared" si="930"/>
        <v>0</v>
      </c>
      <c r="BQ1448" s="2">
        <f t="shared" si="930"/>
        <v>0</v>
      </c>
      <c r="BR1448" s="2">
        <f t="shared" si="930"/>
        <v>0</v>
      </c>
      <c r="BS1448" s="2">
        <f t="shared" si="930"/>
        <v>0</v>
      </c>
      <c r="BT1448" s="2">
        <f t="shared" si="930"/>
        <v>0</v>
      </c>
      <c r="BU1448" s="2">
        <f t="shared" si="930"/>
        <v>0</v>
      </c>
      <c r="BV1448" s="2">
        <f t="shared" si="930"/>
        <v>0</v>
      </c>
      <c r="BW1448" s="2">
        <f t="shared" si="930"/>
        <v>0</v>
      </c>
      <c r="BX1448" s="2">
        <f t="shared" si="930"/>
        <v>0</v>
      </c>
      <c r="BY1448" s="2">
        <f t="shared" si="930"/>
        <v>0</v>
      </c>
      <c r="BZ1448" s="2">
        <f t="shared" si="930"/>
        <v>0</v>
      </c>
      <c r="CA1448" s="2">
        <f t="shared" ref="CA1448:DF1448" si="931">CA1450</f>
        <v>0</v>
      </c>
      <c r="CB1448" s="2">
        <f t="shared" si="931"/>
        <v>0</v>
      </c>
      <c r="CC1448" s="2">
        <f t="shared" si="931"/>
        <v>0</v>
      </c>
      <c r="CD1448" s="2">
        <f t="shared" si="931"/>
        <v>0</v>
      </c>
      <c r="CE1448" s="2">
        <f t="shared" si="931"/>
        <v>0</v>
      </c>
      <c r="CF1448" s="2">
        <f t="shared" si="931"/>
        <v>0</v>
      </c>
      <c r="CG1448" s="2">
        <f t="shared" si="931"/>
        <v>0</v>
      </c>
      <c r="CH1448" s="2">
        <f t="shared" si="931"/>
        <v>0</v>
      </c>
      <c r="CI1448" s="2">
        <f t="shared" si="931"/>
        <v>0</v>
      </c>
      <c r="CJ1448" s="2">
        <f t="shared" si="931"/>
        <v>0</v>
      </c>
      <c r="CK1448" s="2">
        <f t="shared" si="931"/>
        <v>0</v>
      </c>
      <c r="CL1448" s="2">
        <f t="shared" si="931"/>
        <v>0</v>
      </c>
      <c r="CM1448" s="2">
        <f t="shared" si="931"/>
        <v>0</v>
      </c>
      <c r="CN1448" s="2">
        <f t="shared" si="931"/>
        <v>0</v>
      </c>
      <c r="CO1448" s="2">
        <f t="shared" si="931"/>
        <v>0</v>
      </c>
      <c r="CP1448" s="2">
        <f t="shared" si="931"/>
        <v>0</v>
      </c>
      <c r="CQ1448" s="2">
        <f t="shared" si="931"/>
        <v>0</v>
      </c>
      <c r="CR1448" s="2">
        <f t="shared" si="931"/>
        <v>0</v>
      </c>
      <c r="CS1448" s="2">
        <f t="shared" si="931"/>
        <v>0</v>
      </c>
      <c r="CT1448" s="2">
        <f t="shared" si="931"/>
        <v>0</v>
      </c>
      <c r="CU1448" s="2">
        <f t="shared" si="931"/>
        <v>0</v>
      </c>
      <c r="CV1448" s="2">
        <f t="shared" si="931"/>
        <v>0</v>
      </c>
      <c r="CW1448" s="2">
        <f t="shared" si="931"/>
        <v>0</v>
      </c>
      <c r="CX1448" s="2">
        <f t="shared" si="931"/>
        <v>0</v>
      </c>
      <c r="CY1448" s="2">
        <f t="shared" si="931"/>
        <v>0</v>
      </c>
      <c r="CZ1448" s="2">
        <f t="shared" si="931"/>
        <v>0</v>
      </c>
      <c r="DA1448" s="2">
        <f t="shared" si="931"/>
        <v>0</v>
      </c>
      <c r="DB1448" s="2">
        <f t="shared" si="931"/>
        <v>0</v>
      </c>
      <c r="DC1448" s="2">
        <f t="shared" si="931"/>
        <v>0</v>
      </c>
      <c r="DD1448" s="2">
        <f t="shared" si="931"/>
        <v>0</v>
      </c>
      <c r="DE1448" s="2">
        <f t="shared" si="931"/>
        <v>0</v>
      </c>
      <c r="DF1448" s="2">
        <f t="shared" si="931"/>
        <v>0</v>
      </c>
      <c r="DG1448" s="3">
        <f t="shared" ref="DG1448:EL1448" si="932">DG1450</f>
        <v>0</v>
      </c>
      <c r="DH1448" s="3">
        <f t="shared" si="932"/>
        <v>0</v>
      </c>
      <c r="DI1448" s="3">
        <f t="shared" si="932"/>
        <v>0</v>
      </c>
      <c r="DJ1448" s="3">
        <f t="shared" si="932"/>
        <v>0</v>
      </c>
      <c r="DK1448" s="3">
        <f t="shared" si="932"/>
        <v>0</v>
      </c>
      <c r="DL1448" s="3">
        <f t="shared" si="932"/>
        <v>0</v>
      </c>
      <c r="DM1448" s="3">
        <f t="shared" si="932"/>
        <v>0</v>
      </c>
      <c r="DN1448" s="3">
        <f t="shared" si="932"/>
        <v>0</v>
      </c>
      <c r="DO1448" s="3">
        <f t="shared" si="932"/>
        <v>0</v>
      </c>
      <c r="DP1448" s="3">
        <f t="shared" si="932"/>
        <v>0</v>
      </c>
      <c r="DQ1448" s="3">
        <f t="shared" si="932"/>
        <v>0</v>
      </c>
      <c r="DR1448" s="3">
        <f t="shared" si="932"/>
        <v>0</v>
      </c>
      <c r="DS1448" s="3">
        <f t="shared" si="932"/>
        <v>0</v>
      </c>
      <c r="DT1448" s="3">
        <f t="shared" si="932"/>
        <v>0</v>
      </c>
      <c r="DU1448" s="3">
        <f t="shared" si="932"/>
        <v>0</v>
      </c>
      <c r="DV1448" s="3">
        <f t="shared" si="932"/>
        <v>0</v>
      </c>
      <c r="DW1448" s="3">
        <f t="shared" si="932"/>
        <v>0</v>
      </c>
      <c r="DX1448" s="3">
        <f t="shared" si="932"/>
        <v>0</v>
      </c>
      <c r="DY1448" s="3">
        <f t="shared" si="932"/>
        <v>0</v>
      </c>
      <c r="DZ1448" s="3">
        <f t="shared" si="932"/>
        <v>0</v>
      </c>
      <c r="EA1448" s="3">
        <f t="shared" si="932"/>
        <v>0</v>
      </c>
      <c r="EB1448" s="3">
        <f t="shared" si="932"/>
        <v>0</v>
      </c>
      <c r="EC1448" s="3">
        <f t="shared" si="932"/>
        <v>0</v>
      </c>
      <c r="ED1448" s="3">
        <f t="shared" si="932"/>
        <v>0</v>
      </c>
      <c r="EE1448" s="3">
        <f t="shared" si="932"/>
        <v>0</v>
      </c>
      <c r="EF1448" s="3">
        <f t="shared" si="932"/>
        <v>0</v>
      </c>
      <c r="EG1448" s="3">
        <f t="shared" si="932"/>
        <v>0</v>
      </c>
      <c r="EH1448" s="3">
        <f t="shared" si="932"/>
        <v>0</v>
      </c>
      <c r="EI1448" s="3">
        <f t="shared" si="932"/>
        <v>0</v>
      </c>
      <c r="EJ1448" s="3">
        <f t="shared" si="932"/>
        <v>0</v>
      </c>
      <c r="EK1448" s="3">
        <f t="shared" si="932"/>
        <v>0</v>
      </c>
      <c r="EL1448" s="3">
        <f t="shared" si="932"/>
        <v>0</v>
      </c>
      <c r="EM1448" s="3">
        <f t="shared" ref="EM1448:FR1448" si="933">EM1450</f>
        <v>0</v>
      </c>
      <c r="EN1448" s="3">
        <f t="shared" si="933"/>
        <v>0</v>
      </c>
      <c r="EO1448" s="3">
        <f t="shared" si="933"/>
        <v>0</v>
      </c>
      <c r="EP1448" s="3">
        <f t="shared" si="933"/>
        <v>0</v>
      </c>
      <c r="EQ1448" s="3">
        <f t="shared" si="933"/>
        <v>0</v>
      </c>
      <c r="ER1448" s="3">
        <f t="shared" si="933"/>
        <v>0</v>
      </c>
      <c r="ES1448" s="3">
        <f t="shared" si="933"/>
        <v>0</v>
      </c>
      <c r="ET1448" s="3">
        <f t="shared" si="933"/>
        <v>0</v>
      </c>
      <c r="EU1448" s="3">
        <f t="shared" si="933"/>
        <v>0</v>
      </c>
      <c r="EV1448" s="3">
        <f t="shared" si="933"/>
        <v>0</v>
      </c>
      <c r="EW1448" s="3">
        <f t="shared" si="933"/>
        <v>0</v>
      </c>
      <c r="EX1448" s="3">
        <f t="shared" si="933"/>
        <v>0</v>
      </c>
      <c r="EY1448" s="3">
        <f t="shared" si="933"/>
        <v>0</v>
      </c>
      <c r="EZ1448" s="3">
        <f t="shared" si="933"/>
        <v>0</v>
      </c>
      <c r="FA1448" s="3">
        <f t="shared" si="933"/>
        <v>0</v>
      </c>
      <c r="FB1448" s="3">
        <f t="shared" si="933"/>
        <v>0</v>
      </c>
      <c r="FC1448" s="3">
        <f t="shared" si="933"/>
        <v>0</v>
      </c>
      <c r="FD1448" s="3">
        <f t="shared" si="933"/>
        <v>0</v>
      </c>
      <c r="FE1448" s="3">
        <f t="shared" si="933"/>
        <v>0</v>
      </c>
      <c r="FF1448" s="3">
        <f t="shared" si="933"/>
        <v>0</v>
      </c>
      <c r="FG1448" s="3">
        <f t="shared" si="933"/>
        <v>0</v>
      </c>
      <c r="FH1448" s="3">
        <f t="shared" si="933"/>
        <v>0</v>
      </c>
      <c r="FI1448" s="3">
        <f t="shared" si="933"/>
        <v>0</v>
      </c>
      <c r="FJ1448" s="3">
        <f t="shared" si="933"/>
        <v>0</v>
      </c>
      <c r="FK1448" s="3">
        <f t="shared" si="933"/>
        <v>0</v>
      </c>
      <c r="FL1448" s="3">
        <f t="shared" si="933"/>
        <v>0</v>
      </c>
      <c r="FM1448" s="3">
        <f t="shared" si="933"/>
        <v>0</v>
      </c>
      <c r="FN1448" s="3">
        <f t="shared" si="933"/>
        <v>0</v>
      </c>
      <c r="FO1448" s="3">
        <f t="shared" si="933"/>
        <v>0</v>
      </c>
      <c r="FP1448" s="3">
        <f t="shared" si="933"/>
        <v>0</v>
      </c>
      <c r="FQ1448" s="3">
        <f t="shared" si="933"/>
        <v>0</v>
      </c>
      <c r="FR1448" s="3">
        <f t="shared" si="933"/>
        <v>0</v>
      </c>
      <c r="FS1448" s="3">
        <f t="shared" ref="FS1448:GX1448" si="934">FS1450</f>
        <v>0</v>
      </c>
      <c r="FT1448" s="3">
        <f t="shared" si="934"/>
        <v>0</v>
      </c>
      <c r="FU1448" s="3">
        <f t="shared" si="934"/>
        <v>0</v>
      </c>
      <c r="FV1448" s="3">
        <f t="shared" si="934"/>
        <v>0</v>
      </c>
      <c r="FW1448" s="3">
        <f t="shared" si="934"/>
        <v>0</v>
      </c>
      <c r="FX1448" s="3">
        <f t="shared" si="934"/>
        <v>0</v>
      </c>
      <c r="FY1448" s="3">
        <f t="shared" si="934"/>
        <v>0</v>
      </c>
      <c r="FZ1448" s="3">
        <f t="shared" si="934"/>
        <v>0</v>
      </c>
      <c r="GA1448" s="3">
        <f t="shared" si="934"/>
        <v>0</v>
      </c>
      <c r="GB1448" s="3">
        <f t="shared" si="934"/>
        <v>0</v>
      </c>
      <c r="GC1448" s="3">
        <f t="shared" si="934"/>
        <v>0</v>
      </c>
      <c r="GD1448" s="3">
        <f t="shared" si="934"/>
        <v>0</v>
      </c>
      <c r="GE1448" s="3">
        <f t="shared" si="934"/>
        <v>0</v>
      </c>
      <c r="GF1448" s="3">
        <f t="shared" si="934"/>
        <v>0</v>
      </c>
      <c r="GG1448" s="3">
        <f t="shared" si="934"/>
        <v>0</v>
      </c>
      <c r="GH1448" s="3">
        <f t="shared" si="934"/>
        <v>0</v>
      </c>
      <c r="GI1448" s="3">
        <f t="shared" si="934"/>
        <v>0</v>
      </c>
      <c r="GJ1448" s="3">
        <f t="shared" si="934"/>
        <v>0</v>
      </c>
      <c r="GK1448" s="3">
        <f t="shared" si="934"/>
        <v>0</v>
      </c>
      <c r="GL1448" s="3">
        <f t="shared" si="934"/>
        <v>0</v>
      </c>
      <c r="GM1448" s="3">
        <f t="shared" si="934"/>
        <v>0</v>
      </c>
      <c r="GN1448" s="3">
        <f t="shared" si="934"/>
        <v>0</v>
      </c>
      <c r="GO1448" s="3">
        <f t="shared" si="934"/>
        <v>0</v>
      </c>
      <c r="GP1448" s="3">
        <f t="shared" si="934"/>
        <v>0</v>
      </c>
      <c r="GQ1448" s="3">
        <f t="shared" si="934"/>
        <v>0</v>
      </c>
      <c r="GR1448" s="3">
        <f t="shared" si="934"/>
        <v>0</v>
      </c>
      <c r="GS1448" s="3">
        <f t="shared" si="934"/>
        <v>0</v>
      </c>
      <c r="GT1448" s="3">
        <f t="shared" si="934"/>
        <v>0</v>
      </c>
      <c r="GU1448" s="3">
        <f t="shared" si="934"/>
        <v>0</v>
      </c>
      <c r="GV1448" s="3">
        <f t="shared" si="934"/>
        <v>0</v>
      </c>
      <c r="GW1448" s="3">
        <f t="shared" si="934"/>
        <v>0</v>
      </c>
      <c r="GX1448" s="3">
        <f t="shared" si="934"/>
        <v>0</v>
      </c>
    </row>
    <row r="1450" spans="1:206" x14ac:dyDescent="0.2">
      <c r="A1450" s="2">
        <v>51</v>
      </c>
      <c r="B1450" s="2">
        <f>B1446</f>
        <v>1</v>
      </c>
      <c r="C1450" s="2">
        <f>A1446</f>
        <v>4</v>
      </c>
      <c r="D1450" s="2">
        <f>ROW(A1446)</f>
        <v>1446</v>
      </c>
      <c r="E1450" s="2"/>
      <c r="F1450" s="2" t="str">
        <f>IF(F1446&lt;&gt;"",F1446,"")</f>
        <v>Новый раздел</v>
      </c>
      <c r="G1450" s="2" t="str">
        <f>IF(G1446&lt;&gt;"",G1446,"")</f>
        <v>59. Гидроизоляция обмазочная</v>
      </c>
      <c r="H1450" s="2">
        <v>0</v>
      </c>
      <c r="I1450" s="2"/>
      <c r="J1450" s="2"/>
      <c r="K1450" s="2"/>
      <c r="L1450" s="2"/>
      <c r="M1450" s="2"/>
      <c r="N1450" s="2"/>
      <c r="O1450" s="2">
        <f t="shared" ref="O1450:T1450" si="935">ROUND(AB1450,2)</f>
        <v>0</v>
      </c>
      <c r="P1450" s="2">
        <f t="shared" si="935"/>
        <v>0</v>
      </c>
      <c r="Q1450" s="2">
        <f t="shared" si="935"/>
        <v>0</v>
      </c>
      <c r="R1450" s="2">
        <f t="shared" si="935"/>
        <v>0</v>
      </c>
      <c r="S1450" s="2">
        <f t="shared" si="935"/>
        <v>0</v>
      </c>
      <c r="T1450" s="2">
        <f t="shared" si="935"/>
        <v>0</v>
      </c>
      <c r="U1450" s="2">
        <f>AH1450</f>
        <v>0</v>
      </c>
      <c r="V1450" s="2">
        <f>AI1450</f>
        <v>0</v>
      </c>
      <c r="W1450" s="2">
        <f>ROUND(AJ1450,2)</f>
        <v>0</v>
      </c>
      <c r="X1450" s="2">
        <f>ROUND(AK1450,2)</f>
        <v>0</v>
      </c>
      <c r="Y1450" s="2">
        <f>ROUND(AL1450,2)</f>
        <v>0</v>
      </c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>
        <f t="shared" ref="AO1450:BD1450" si="936">ROUND(BX1450,2)</f>
        <v>0</v>
      </c>
      <c r="AP1450" s="2">
        <f t="shared" si="936"/>
        <v>0</v>
      </c>
      <c r="AQ1450" s="2">
        <f t="shared" si="936"/>
        <v>0</v>
      </c>
      <c r="AR1450" s="2">
        <f t="shared" si="936"/>
        <v>0</v>
      </c>
      <c r="AS1450" s="2">
        <f t="shared" si="936"/>
        <v>0</v>
      </c>
      <c r="AT1450" s="2">
        <f t="shared" si="936"/>
        <v>0</v>
      </c>
      <c r="AU1450" s="2">
        <f t="shared" si="936"/>
        <v>0</v>
      </c>
      <c r="AV1450" s="2">
        <f t="shared" si="936"/>
        <v>0</v>
      </c>
      <c r="AW1450" s="2">
        <f t="shared" si="936"/>
        <v>0</v>
      </c>
      <c r="AX1450" s="2">
        <f t="shared" si="936"/>
        <v>0</v>
      </c>
      <c r="AY1450" s="2">
        <f t="shared" si="936"/>
        <v>0</v>
      </c>
      <c r="AZ1450" s="2">
        <f t="shared" si="936"/>
        <v>0</v>
      </c>
      <c r="BA1450" s="2">
        <f t="shared" si="936"/>
        <v>0</v>
      </c>
      <c r="BB1450" s="2">
        <f t="shared" si="936"/>
        <v>0</v>
      </c>
      <c r="BC1450" s="2">
        <f t="shared" si="936"/>
        <v>0</v>
      </c>
      <c r="BD1450" s="2">
        <f t="shared" si="936"/>
        <v>0</v>
      </c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3"/>
      <c r="DH1450" s="3"/>
      <c r="DI1450" s="3"/>
      <c r="DJ1450" s="3"/>
      <c r="DK1450" s="3"/>
      <c r="DL1450" s="3"/>
      <c r="DM1450" s="3"/>
      <c r="DN1450" s="3"/>
      <c r="DO1450" s="3"/>
      <c r="DP1450" s="3"/>
      <c r="DQ1450" s="3"/>
      <c r="DR1450" s="3"/>
      <c r="DS1450" s="3"/>
      <c r="DT1450" s="3"/>
      <c r="DU1450" s="3"/>
      <c r="DV1450" s="3"/>
      <c r="DW1450" s="3"/>
      <c r="DX1450" s="3"/>
      <c r="DY1450" s="3"/>
      <c r="DZ1450" s="3"/>
      <c r="EA1450" s="3"/>
      <c r="EB1450" s="3"/>
      <c r="EC1450" s="3"/>
      <c r="ED1450" s="3"/>
      <c r="EE1450" s="3"/>
      <c r="EF1450" s="3"/>
      <c r="EG1450" s="3"/>
      <c r="EH1450" s="3"/>
      <c r="EI1450" s="3"/>
      <c r="EJ1450" s="3"/>
      <c r="EK1450" s="3"/>
      <c r="EL1450" s="3"/>
      <c r="EM1450" s="3"/>
      <c r="EN1450" s="3"/>
      <c r="EO1450" s="3"/>
      <c r="EP1450" s="3"/>
      <c r="EQ1450" s="3"/>
      <c r="ER1450" s="3"/>
      <c r="ES1450" s="3"/>
      <c r="ET1450" s="3"/>
      <c r="EU1450" s="3"/>
      <c r="EV1450" s="3"/>
      <c r="EW1450" s="3"/>
      <c r="EX1450" s="3"/>
      <c r="EY1450" s="3"/>
      <c r="EZ1450" s="3"/>
      <c r="FA1450" s="3"/>
      <c r="FB1450" s="3"/>
      <c r="FC1450" s="3"/>
      <c r="FD1450" s="3"/>
      <c r="FE1450" s="3"/>
      <c r="FF1450" s="3"/>
      <c r="FG1450" s="3"/>
      <c r="FH1450" s="3"/>
      <c r="FI1450" s="3"/>
      <c r="FJ1450" s="3"/>
      <c r="FK1450" s="3"/>
      <c r="FL1450" s="3"/>
      <c r="FM1450" s="3"/>
      <c r="FN1450" s="3"/>
      <c r="FO1450" s="3"/>
      <c r="FP1450" s="3"/>
      <c r="FQ1450" s="3"/>
      <c r="FR1450" s="3"/>
      <c r="FS1450" s="3"/>
      <c r="FT1450" s="3"/>
      <c r="FU1450" s="3"/>
      <c r="FV1450" s="3"/>
      <c r="FW1450" s="3"/>
      <c r="FX1450" s="3"/>
      <c r="FY1450" s="3"/>
      <c r="FZ1450" s="3"/>
      <c r="GA1450" s="3"/>
      <c r="GB1450" s="3"/>
      <c r="GC1450" s="3"/>
      <c r="GD1450" s="3"/>
      <c r="GE1450" s="3"/>
      <c r="GF1450" s="3"/>
      <c r="GG1450" s="3"/>
      <c r="GH1450" s="3"/>
      <c r="GI1450" s="3"/>
      <c r="GJ1450" s="3"/>
      <c r="GK1450" s="3"/>
      <c r="GL1450" s="3"/>
      <c r="GM1450" s="3"/>
      <c r="GN1450" s="3"/>
      <c r="GO1450" s="3"/>
      <c r="GP1450" s="3"/>
      <c r="GQ1450" s="3"/>
      <c r="GR1450" s="3"/>
      <c r="GS1450" s="3"/>
      <c r="GT1450" s="3"/>
      <c r="GU1450" s="3"/>
      <c r="GV1450" s="3"/>
      <c r="GW1450" s="3"/>
      <c r="GX1450" s="3">
        <v>0</v>
      </c>
    </row>
    <row r="1452" spans="1:206" x14ac:dyDescent="0.2">
      <c r="A1452" s="4">
        <v>50</v>
      </c>
      <c r="B1452" s="4">
        <v>0</v>
      </c>
      <c r="C1452" s="4">
        <v>0</v>
      </c>
      <c r="D1452" s="4">
        <v>1</v>
      </c>
      <c r="E1452" s="4">
        <v>201</v>
      </c>
      <c r="F1452" s="4">
        <f>ROUND(Source!O1450,O1452)</f>
        <v>0</v>
      </c>
      <c r="G1452" s="4" t="s">
        <v>89</v>
      </c>
      <c r="H1452" s="4" t="s">
        <v>90</v>
      </c>
      <c r="I1452" s="4"/>
      <c r="J1452" s="4"/>
      <c r="K1452" s="4">
        <v>201</v>
      </c>
      <c r="L1452" s="4">
        <v>1</v>
      </c>
      <c r="M1452" s="4">
        <v>3</v>
      </c>
      <c r="N1452" s="4" t="s">
        <v>3</v>
      </c>
      <c r="O1452" s="4">
        <v>2</v>
      </c>
      <c r="P1452" s="4"/>
      <c r="Q1452" s="4"/>
      <c r="R1452" s="4"/>
      <c r="S1452" s="4"/>
      <c r="T1452" s="4"/>
      <c r="U1452" s="4"/>
      <c r="V1452" s="4"/>
      <c r="W1452" s="4"/>
    </row>
    <row r="1453" spans="1:206" x14ac:dyDescent="0.2">
      <c r="A1453" s="4">
        <v>50</v>
      </c>
      <c r="B1453" s="4">
        <v>0</v>
      </c>
      <c r="C1453" s="4">
        <v>0</v>
      </c>
      <c r="D1453" s="4">
        <v>1</v>
      </c>
      <c r="E1453" s="4">
        <v>202</v>
      </c>
      <c r="F1453" s="4">
        <f>ROUND(Source!P1450,O1453)</f>
        <v>0</v>
      </c>
      <c r="G1453" s="4" t="s">
        <v>91</v>
      </c>
      <c r="H1453" s="4" t="s">
        <v>92</v>
      </c>
      <c r="I1453" s="4"/>
      <c r="J1453" s="4"/>
      <c r="K1453" s="4">
        <v>202</v>
      </c>
      <c r="L1453" s="4">
        <v>2</v>
      </c>
      <c r="M1453" s="4">
        <v>3</v>
      </c>
      <c r="N1453" s="4" t="s">
        <v>3</v>
      </c>
      <c r="O1453" s="4">
        <v>2</v>
      </c>
      <c r="P1453" s="4"/>
      <c r="Q1453" s="4"/>
      <c r="R1453" s="4"/>
      <c r="S1453" s="4"/>
      <c r="T1453" s="4"/>
      <c r="U1453" s="4"/>
      <c r="V1453" s="4"/>
      <c r="W1453" s="4"/>
    </row>
    <row r="1454" spans="1:206" x14ac:dyDescent="0.2">
      <c r="A1454" s="4">
        <v>50</v>
      </c>
      <c r="B1454" s="4">
        <v>0</v>
      </c>
      <c r="C1454" s="4">
        <v>0</v>
      </c>
      <c r="D1454" s="4">
        <v>1</v>
      </c>
      <c r="E1454" s="4">
        <v>222</v>
      </c>
      <c r="F1454" s="4">
        <f>ROUND(Source!AO1450,O1454)</f>
        <v>0</v>
      </c>
      <c r="G1454" s="4" t="s">
        <v>93</v>
      </c>
      <c r="H1454" s="4" t="s">
        <v>94</v>
      </c>
      <c r="I1454" s="4"/>
      <c r="J1454" s="4"/>
      <c r="K1454" s="4">
        <v>222</v>
      </c>
      <c r="L1454" s="4">
        <v>3</v>
      </c>
      <c r="M1454" s="4">
        <v>3</v>
      </c>
      <c r="N1454" s="4" t="s">
        <v>3</v>
      </c>
      <c r="O1454" s="4">
        <v>2</v>
      </c>
      <c r="P1454" s="4"/>
      <c r="Q1454" s="4"/>
      <c r="R1454" s="4"/>
      <c r="S1454" s="4"/>
      <c r="T1454" s="4"/>
      <c r="U1454" s="4"/>
      <c r="V1454" s="4"/>
      <c r="W1454" s="4"/>
    </row>
    <row r="1455" spans="1:206" x14ac:dyDescent="0.2">
      <c r="A1455" s="4">
        <v>50</v>
      </c>
      <c r="B1455" s="4">
        <v>0</v>
      </c>
      <c r="C1455" s="4">
        <v>0</v>
      </c>
      <c r="D1455" s="4">
        <v>1</v>
      </c>
      <c r="E1455" s="4">
        <v>225</v>
      </c>
      <c r="F1455" s="4">
        <f>ROUND(Source!AV1450,O1455)</f>
        <v>0</v>
      </c>
      <c r="G1455" s="4" t="s">
        <v>95</v>
      </c>
      <c r="H1455" s="4" t="s">
        <v>96</v>
      </c>
      <c r="I1455" s="4"/>
      <c r="J1455" s="4"/>
      <c r="K1455" s="4">
        <v>225</v>
      </c>
      <c r="L1455" s="4">
        <v>4</v>
      </c>
      <c r="M1455" s="4">
        <v>3</v>
      </c>
      <c r="N1455" s="4" t="s">
        <v>3</v>
      </c>
      <c r="O1455" s="4">
        <v>2</v>
      </c>
      <c r="P1455" s="4"/>
      <c r="Q1455" s="4"/>
      <c r="R1455" s="4"/>
      <c r="S1455" s="4"/>
      <c r="T1455" s="4"/>
      <c r="U1455" s="4"/>
      <c r="V1455" s="4"/>
      <c r="W1455" s="4"/>
    </row>
    <row r="1456" spans="1:206" x14ac:dyDescent="0.2">
      <c r="A1456" s="4">
        <v>50</v>
      </c>
      <c r="B1456" s="4">
        <v>0</v>
      </c>
      <c r="C1456" s="4">
        <v>0</v>
      </c>
      <c r="D1456" s="4">
        <v>1</v>
      </c>
      <c r="E1456" s="4">
        <v>226</v>
      </c>
      <c r="F1456" s="4">
        <f>ROUND(Source!AW1450,O1456)</f>
        <v>0</v>
      </c>
      <c r="G1456" s="4" t="s">
        <v>97</v>
      </c>
      <c r="H1456" s="4" t="s">
        <v>98</v>
      </c>
      <c r="I1456" s="4"/>
      <c r="J1456" s="4"/>
      <c r="K1456" s="4">
        <v>226</v>
      </c>
      <c r="L1456" s="4">
        <v>5</v>
      </c>
      <c r="M1456" s="4">
        <v>3</v>
      </c>
      <c r="N1456" s="4" t="s">
        <v>3</v>
      </c>
      <c r="O1456" s="4">
        <v>2</v>
      </c>
      <c r="P1456" s="4"/>
      <c r="Q1456" s="4"/>
      <c r="R1456" s="4"/>
      <c r="S1456" s="4"/>
      <c r="T1456" s="4"/>
      <c r="U1456" s="4"/>
      <c r="V1456" s="4"/>
      <c r="W1456" s="4"/>
    </row>
    <row r="1457" spans="1:23" x14ac:dyDescent="0.2">
      <c r="A1457" s="4">
        <v>50</v>
      </c>
      <c r="B1457" s="4">
        <v>0</v>
      </c>
      <c r="C1457" s="4">
        <v>0</v>
      </c>
      <c r="D1457" s="4">
        <v>1</v>
      </c>
      <c r="E1457" s="4">
        <v>227</v>
      </c>
      <c r="F1457" s="4">
        <f>ROUND(Source!AX1450,O1457)</f>
        <v>0</v>
      </c>
      <c r="G1457" s="4" t="s">
        <v>99</v>
      </c>
      <c r="H1457" s="4" t="s">
        <v>100</v>
      </c>
      <c r="I1457" s="4"/>
      <c r="J1457" s="4"/>
      <c r="K1457" s="4">
        <v>227</v>
      </c>
      <c r="L1457" s="4">
        <v>6</v>
      </c>
      <c r="M1457" s="4">
        <v>3</v>
      </c>
      <c r="N1457" s="4" t="s">
        <v>3</v>
      </c>
      <c r="O1457" s="4">
        <v>2</v>
      </c>
      <c r="P1457" s="4"/>
      <c r="Q1457" s="4"/>
      <c r="R1457" s="4"/>
      <c r="S1457" s="4"/>
      <c r="T1457" s="4"/>
      <c r="U1457" s="4"/>
      <c r="V1457" s="4"/>
      <c r="W1457" s="4"/>
    </row>
    <row r="1458" spans="1:23" x14ac:dyDescent="0.2">
      <c r="A1458" s="4">
        <v>50</v>
      </c>
      <c r="B1458" s="4">
        <v>0</v>
      </c>
      <c r="C1458" s="4">
        <v>0</v>
      </c>
      <c r="D1458" s="4">
        <v>1</v>
      </c>
      <c r="E1458" s="4">
        <v>228</v>
      </c>
      <c r="F1458" s="4">
        <f>ROUND(Source!AY1450,O1458)</f>
        <v>0</v>
      </c>
      <c r="G1458" s="4" t="s">
        <v>101</v>
      </c>
      <c r="H1458" s="4" t="s">
        <v>102</v>
      </c>
      <c r="I1458" s="4"/>
      <c r="J1458" s="4"/>
      <c r="K1458" s="4">
        <v>228</v>
      </c>
      <c r="L1458" s="4">
        <v>7</v>
      </c>
      <c r="M1458" s="4">
        <v>3</v>
      </c>
      <c r="N1458" s="4" t="s">
        <v>3</v>
      </c>
      <c r="O1458" s="4">
        <v>2</v>
      </c>
      <c r="P1458" s="4"/>
      <c r="Q1458" s="4"/>
      <c r="R1458" s="4"/>
      <c r="S1458" s="4"/>
      <c r="T1458" s="4"/>
      <c r="U1458" s="4"/>
      <c r="V1458" s="4"/>
      <c r="W1458" s="4"/>
    </row>
    <row r="1459" spans="1:23" x14ac:dyDescent="0.2">
      <c r="A1459" s="4">
        <v>50</v>
      </c>
      <c r="B1459" s="4">
        <v>0</v>
      </c>
      <c r="C1459" s="4">
        <v>0</v>
      </c>
      <c r="D1459" s="4">
        <v>1</v>
      </c>
      <c r="E1459" s="4">
        <v>216</v>
      </c>
      <c r="F1459" s="4">
        <f>ROUND(Source!AP1450,O1459)</f>
        <v>0</v>
      </c>
      <c r="G1459" s="4" t="s">
        <v>103</v>
      </c>
      <c r="H1459" s="4" t="s">
        <v>104</v>
      </c>
      <c r="I1459" s="4"/>
      <c r="J1459" s="4"/>
      <c r="K1459" s="4">
        <v>216</v>
      </c>
      <c r="L1459" s="4">
        <v>8</v>
      </c>
      <c r="M1459" s="4">
        <v>3</v>
      </c>
      <c r="N1459" s="4" t="s">
        <v>3</v>
      </c>
      <c r="O1459" s="4">
        <v>2</v>
      </c>
      <c r="P1459" s="4"/>
      <c r="Q1459" s="4"/>
      <c r="R1459" s="4"/>
      <c r="S1459" s="4"/>
      <c r="T1459" s="4"/>
      <c r="U1459" s="4"/>
      <c r="V1459" s="4"/>
      <c r="W1459" s="4"/>
    </row>
    <row r="1460" spans="1:23" x14ac:dyDescent="0.2">
      <c r="A1460" s="4">
        <v>50</v>
      </c>
      <c r="B1460" s="4">
        <v>0</v>
      </c>
      <c r="C1460" s="4">
        <v>0</v>
      </c>
      <c r="D1460" s="4">
        <v>1</v>
      </c>
      <c r="E1460" s="4">
        <v>223</v>
      </c>
      <c r="F1460" s="4">
        <f>ROUND(Source!AQ1450,O1460)</f>
        <v>0</v>
      </c>
      <c r="G1460" s="4" t="s">
        <v>105</v>
      </c>
      <c r="H1460" s="4" t="s">
        <v>106</v>
      </c>
      <c r="I1460" s="4"/>
      <c r="J1460" s="4"/>
      <c r="K1460" s="4">
        <v>223</v>
      </c>
      <c r="L1460" s="4">
        <v>9</v>
      </c>
      <c r="M1460" s="4">
        <v>3</v>
      </c>
      <c r="N1460" s="4" t="s">
        <v>3</v>
      </c>
      <c r="O1460" s="4">
        <v>2</v>
      </c>
      <c r="P1460" s="4"/>
      <c r="Q1460" s="4"/>
      <c r="R1460" s="4"/>
      <c r="S1460" s="4"/>
      <c r="T1460" s="4"/>
      <c r="U1460" s="4"/>
      <c r="V1460" s="4"/>
      <c r="W1460" s="4"/>
    </row>
    <row r="1461" spans="1:23" x14ac:dyDescent="0.2">
      <c r="A1461" s="4">
        <v>50</v>
      </c>
      <c r="B1461" s="4">
        <v>0</v>
      </c>
      <c r="C1461" s="4">
        <v>0</v>
      </c>
      <c r="D1461" s="4">
        <v>1</v>
      </c>
      <c r="E1461" s="4">
        <v>229</v>
      </c>
      <c r="F1461" s="4">
        <f>ROUND(Source!AZ1450,O1461)</f>
        <v>0</v>
      </c>
      <c r="G1461" s="4" t="s">
        <v>107</v>
      </c>
      <c r="H1461" s="4" t="s">
        <v>108</v>
      </c>
      <c r="I1461" s="4"/>
      <c r="J1461" s="4"/>
      <c r="K1461" s="4">
        <v>229</v>
      </c>
      <c r="L1461" s="4">
        <v>10</v>
      </c>
      <c r="M1461" s="4">
        <v>3</v>
      </c>
      <c r="N1461" s="4" t="s">
        <v>3</v>
      </c>
      <c r="O1461" s="4">
        <v>2</v>
      </c>
      <c r="P1461" s="4"/>
      <c r="Q1461" s="4"/>
      <c r="R1461" s="4"/>
      <c r="S1461" s="4"/>
      <c r="T1461" s="4"/>
      <c r="U1461" s="4"/>
      <c r="V1461" s="4"/>
      <c r="W1461" s="4"/>
    </row>
    <row r="1462" spans="1:23" x14ac:dyDescent="0.2">
      <c r="A1462" s="4">
        <v>50</v>
      </c>
      <c r="B1462" s="4">
        <v>0</v>
      </c>
      <c r="C1462" s="4">
        <v>0</v>
      </c>
      <c r="D1462" s="4">
        <v>1</v>
      </c>
      <c r="E1462" s="4">
        <v>203</v>
      </c>
      <c r="F1462" s="4">
        <f>ROUND(Source!Q1450,O1462)</f>
        <v>0</v>
      </c>
      <c r="G1462" s="4" t="s">
        <v>109</v>
      </c>
      <c r="H1462" s="4" t="s">
        <v>110</v>
      </c>
      <c r="I1462" s="4"/>
      <c r="J1462" s="4"/>
      <c r="K1462" s="4">
        <v>203</v>
      </c>
      <c r="L1462" s="4">
        <v>11</v>
      </c>
      <c r="M1462" s="4">
        <v>3</v>
      </c>
      <c r="N1462" s="4" t="s">
        <v>3</v>
      </c>
      <c r="O1462" s="4">
        <v>2</v>
      </c>
      <c r="P1462" s="4"/>
      <c r="Q1462" s="4"/>
      <c r="R1462" s="4"/>
      <c r="S1462" s="4"/>
      <c r="T1462" s="4"/>
      <c r="U1462" s="4"/>
      <c r="V1462" s="4"/>
      <c r="W1462" s="4"/>
    </row>
    <row r="1463" spans="1:23" x14ac:dyDescent="0.2">
      <c r="A1463" s="4">
        <v>50</v>
      </c>
      <c r="B1463" s="4">
        <v>0</v>
      </c>
      <c r="C1463" s="4">
        <v>0</v>
      </c>
      <c r="D1463" s="4">
        <v>1</v>
      </c>
      <c r="E1463" s="4">
        <v>231</v>
      </c>
      <c r="F1463" s="4">
        <f>ROUND(Source!BB1450,O1463)</f>
        <v>0</v>
      </c>
      <c r="G1463" s="4" t="s">
        <v>111</v>
      </c>
      <c r="H1463" s="4" t="s">
        <v>112</v>
      </c>
      <c r="I1463" s="4"/>
      <c r="J1463" s="4"/>
      <c r="K1463" s="4">
        <v>231</v>
      </c>
      <c r="L1463" s="4">
        <v>12</v>
      </c>
      <c r="M1463" s="4">
        <v>3</v>
      </c>
      <c r="N1463" s="4" t="s">
        <v>3</v>
      </c>
      <c r="O1463" s="4">
        <v>2</v>
      </c>
      <c r="P1463" s="4"/>
      <c r="Q1463" s="4"/>
      <c r="R1463" s="4"/>
      <c r="S1463" s="4"/>
      <c r="T1463" s="4"/>
      <c r="U1463" s="4"/>
      <c r="V1463" s="4"/>
      <c r="W1463" s="4"/>
    </row>
    <row r="1464" spans="1:23" x14ac:dyDescent="0.2">
      <c r="A1464" s="4">
        <v>50</v>
      </c>
      <c r="B1464" s="4">
        <v>0</v>
      </c>
      <c r="C1464" s="4">
        <v>0</v>
      </c>
      <c r="D1464" s="4">
        <v>1</v>
      </c>
      <c r="E1464" s="4">
        <v>204</v>
      </c>
      <c r="F1464" s="4">
        <f>ROUND(Source!R1450,O1464)</f>
        <v>0</v>
      </c>
      <c r="G1464" s="4" t="s">
        <v>113</v>
      </c>
      <c r="H1464" s="4" t="s">
        <v>114</v>
      </c>
      <c r="I1464" s="4"/>
      <c r="J1464" s="4"/>
      <c r="K1464" s="4">
        <v>204</v>
      </c>
      <c r="L1464" s="4">
        <v>13</v>
      </c>
      <c r="M1464" s="4">
        <v>3</v>
      </c>
      <c r="N1464" s="4" t="s">
        <v>3</v>
      </c>
      <c r="O1464" s="4">
        <v>2</v>
      </c>
      <c r="P1464" s="4"/>
      <c r="Q1464" s="4"/>
      <c r="R1464" s="4"/>
      <c r="S1464" s="4"/>
      <c r="T1464" s="4"/>
      <c r="U1464" s="4"/>
      <c r="V1464" s="4"/>
      <c r="W1464" s="4"/>
    </row>
    <row r="1465" spans="1:23" x14ac:dyDescent="0.2">
      <c r="A1465" s="4">
        <v>50</v>
      </c>
      <c r="B1465" s="4">
        <v>0</v>
      </c>
      <c r="C1465" s="4">
        <v>0</v>
      </c>
      <c r="D1465" s="4">
        <v>1</v>
      </c>
      <c r="E1465" s="4">
        <v>205</v>
      </c>
      <c r="F1465" s="4">
        <f>ROUND(Source!S1450,O1465)</f>
        <v>0</v>
      </c>
      <c r="G1465" s="4" t="s">
        <v>115</v>
      </c>
      <c r="H1465" s="4" t="s">
        <v>116</v>
      </c>
      <c r="I1465" s="4"/>
      <c r="J1465" s="4"/>
      <c r="K1465" s="4">
        <v>205</v>
      </c>
      <c r="L1465" s="4">
        <v>14</v>
      </c>
      <c r="M1465" s="4">
        <v>3</v>
      </c>
      <c r="N1465" s="4" t="s">
        <v>3</v>
      </c>
      <c r="O1465" s="4">
        <v>2</v>
      </c>
      <c r="P1465" s="4"/>
      <c r="Q1465" s="4"/>
      <c r="R1465" s="4"/>
      <c r="S1465" s="4"/>
      <c r="T1465" s="4"/>
      <c r="U1465" s="4"/>
      <c r="V1465" s="4"/>
      <c r="W1465" s="4"/>
    </row>
    <row r="1466" spans="1:23" x14ac:dyDescent="0.2">
      <c r="A1466" s="4">
        <v>50</v>
      </c>
      <c r="B1466" s="4">
        <v>0</v>
      </c>
      <c r="C1466" s="4">
        <v>0</v>
      </c>
      <c r="D1466" s="4">
        <v>1</v>
      </c>
      <c r="E1466" s="4">
        <v>232</v>
      </c>
      <c r="F1466" s="4">
        <f>ROUND(Source!BC1450,O1466)</f>
        <v>0</v>
      </c>
      <c r="G1466" s="4" t="s">
        <v>117</v>
      </c>
      <c r="H1466" s="4" t="s">
        <v>118</v>
      </c>
      <c r="I1466" s="4"/>
      <c r="J1466" s="4"/>
      <c r="K1466" s="4">
        <v>232</v>
      </c>
      <c r="L1466" s="4">
        <v>15</v>
      </c>
      <c r="M1466" s="4">
        <v>3</v>
      </c>
      <c r="N1466" s="4" t="s">
        <v>3</v>
      </c>
      <c r="O1466" s="4">
        <v>2</v>
      </c>
      <c r="P1466" s="4"/>
      <c r="Q1466" s="4"/>
      <c r="R1466" s="4"/>
      <c r="S1466" s="4"/>
      <c r="T1466" s="4"/>
      <c r="U1466" s="4"/>
      <c r="V1466" s="4"/>
      <c r="W1466" s="4"/>
    </row>
    <row r="1467" spans="1:23" x14ac:dyDescent="0.2">
      <c r="A1467" s="4">
        <v>50</v>
      </c>
      <c r="B1467" s="4">
        <v>0</v>
      </c>
      <c r="C1467" s="4">
        <v>0</v>
      </c>
      <c r="D1467" s="4">
        <v>1</v>
      </c>
      <c r="E1467" s="4">
        <v>214</v>
      </c>
      <c r="F1467" s="4">
        <f>ROUND(Source!AS1450,O1467)</f>
        <v>0</v>
      </c>
      <c r="G1467" s="4" t="s">
        <v>119</v>
      </c>
      <c r="H1467" s="4" t="s">
        <v>120</v>
      </c>
      <c r="I1467" s="4"/>
      <c r="J1467" s="4"/>
      <c r="K1467" s="4">
        <v>214</v>
      </c>
      <c r="L1467" s="4">
        <v>16</v>
      </c>
      <c r="M1467" s="4">
        <v>3</v>
      </c>
      <c r="N1467" s="4" t="s">
        <v>3</v>
      </c>
      <c r="O1467" s="4">
        <v>2</v>
      </c>
      <c r="P1467" s="4"/>
      <c r="Q1467" s="4"/>
      <c r="R1467" s="4"/>
      <c r="S1467" s="4"/>
      <c r="T1467" s="4"/>
      <c r="U1467" s="4"/>
      <c r="V1467" s="4"/>
      <c r="W1467" s="4"/>
    </row>
    <row r="1468" spans="1:23" x14ac:dyDescent="0.2">
      <c r="A1468" s="4">
        <v>50</v>
      </c>
      <c r="B1468" s="4">
        <v>0</v>
      </c>
      <c r="C1468" s="4">
        <v>0</v>
      </c>
      <c r="D1468" s="4">
        <v>1</v>
      </c>
      <c r="E1468" s="4">
        <v>215</v>
      </c>
      <c r="F1468" s="4">
        <f>ROUND(Source!AT1450,O1468)</f>
        <v>0</v>
      </c>
      <c r="G1468" s="4" t="s">
        <v>121</v>
      </c>
      <c r="H1468" s="4" t="s">
        <v>122</v>
      </c>
      <c r="I1468" s="4"/>
      <c r="J1468" s="4"/>
      <c r="K1468" s="4">
        <v>215</v>
      </c>
      <c r="L1468" s="4">
        <v>17</v>
      </c>
      <c r="M1468" s="4">
        <v>3</v>
      </c>
      <c r="N1468" s="4" t="s">
        <v>3</v>
      </c>
      <c r="O1468" s="4">
        <v>2</v>
      </c>
      <c r="P1468" s="4"/>
      <c r="Q1468" s="4"/>
      <c r="R1468" s="4"/>
      <c r="S1468" s="4"/>
      <c r="T1468" s="4"/>
      <c r="U1468" s="4"/>
      <c r="V1468" s="4"/>
      <c r="W1468" s="4"/>
    </row>
    <row r="1469" spans="1:23" x14ac:dyDescent="0.2">
      <c r="A1469" s="4">
        <v>50</v>
      </c>
      <c r="B1469" s="4">
        <v>0</v>
      </c>
      <c r="C1469" s="4">
        <v>0</v>
      </c>
      <c r="D1469" s="4">
        <v>1</v>
      </c>
      <c r="E1469" s="4">
        <v>217</v>
      </c>
      <c r="F1469" s="4">
        <f>ROUND(Source!AU1450,O1469)</f>
        <v>0</v>
      </c>
      <c r="G1469" s="4" t="s">
        <v>123</v>
      </c>
      <c r="H1469" s="4" t="s">
        <v>124</v>
      </c>
      <c r="I1469" s="4"/>
      <c r="J1469" s="4"/>
      <c r="K1469" s="4">
        <v>217</v>
      </c>
      <c r="L1469" s="4">
        <v>18</v>
      </c>
      <c r="M1469" s="4">
        <v>3</v>
      </c>
      <c r="N1469" s="4" t="s">
        <v>3</v>
      </c>
      <c r="O1469" s="4">
        <v>2</v>
      </c>
      <c r="P1469" s="4"/>
      <c r="Q1469" s="4"/>
      <c r="R1469" s="4"/>
      <c r="S1469" s="4"/>
      <c r="T1469" s="4"/>
      <c r="U1469" s="4"/>
      <c r="V1469" s="4"/>
      <c r="W1469" s="4"/>
    </row>
    <row r="1470" spans="1:23" x14ac:dyDescent="0.2">
      <c r="A1470" s="4">
        <v>50</v>
      </c>
      <c r="B1470" s="4">
        <v>0</v>
      </c>
      <c r="C1470" s="4">
        <v>0</v>
      </c>
      <c r="D1470" s="4">
        <v>1</v>
      </c>
      <c r="E1470" s="4">
        <v>230</v>
      </c>
      <c r="F1470" s="4">
        <f>ROUND(Source!BA1450,O1470)</f>
        <v>0</v>
      </c>
      <c r="G1470" s="4" t="s">
        <v>125</v>
      </c>
      <c r="H1470" s="4" t="s">
        <v>126</v>
      </c>
      <c r="I1470" s="4"/>
      <c r="J1470" s="4"/>
      <c r="K1470" s="4">
        <v>230</v>
      </c>
      <c r="L1470" s="4">
        <v>19</v>
      </c>
      <c r="M1470" s="4">
        <v>3</v>
      </c>
      <c r="N1470" s="4" t="s">
        <v>3</v>
      </c>
      <c r="O1470" s="4">
        <v>2</v>
      </c>
      <c r="P1470" s="4"/>
      <c r="Q1470" s="4"/>
      <c r="R1470" s="4"/>
      <c r="S1470" s="4"/>
      <c r="T1470" s="4"/>
      <c r="U1470" s="4"/>
      <c r="V1470" s="4"/>
      <c r="W1470" s="4"/>
    </row>
    <row r="1471" spans="1:23" x14ac:dyDescent="0.2">
      <c r="A1471" s="4">
        <v>50</v>
      </c>
      <c r="B1471" s="4">
        <v>0</v>
      </c>
      <c r="C1471" s="4">
        <v>0</v>
      </c>
      <c r="D1471" s="4">
        <v>1</v>
      </c>
      <c r="E1471" s="4">
        <v>206</v>
      </c>
      <c r="F1471" s="4">
        <f>ROUND(Source!T1450,O1471)</f>
        <v>0</v>
      </c>
      <c r="G1471" s="4" t="s">
        <v>127</v>
      </c>
      <c r="H1471" s="4" t="s">
        <v>128</v>
      </c>
      <c r="I1471" s="4"/>
      <c r="J1471" s="4"/>
      <c r="K1471" s="4">
        <v>206</v>
      </c>
      <c r="L1471" s="4">
        <v>20</v>
      </c>
      <c r="M1471" s="4">
        <v>3</v>
      </c>
      <c r="N1471" s="4" t="s">
        <v>3</v>
      </c>
      <c r="O1471" s="4">
        <v>2</v>
      </c>
      <c r="P1471" s="4"/>
      <c r="Q1471" s="4"/>
      <c r="R1471" s="4"/>
      <c r="S1471" s="4"/>
      <c r="T1471" s="4"/>
      <c r="U1471" s="4"/>
      <c r="V1471" s="4"/>
      <c r="W1471" s="4"/>
    </row>
    <row r="1472" spans="1:23" x14ac:dyDescent="0.2">
      <c r="A1472" s="4">
        <v>50</v>
      </c>
      <c r="B1472" s="4">
        <v>0</v>
      </c>
      <c r="C1472" s="4">
        <v>0</v>
      </c>
      <c r="D1472" s="4">
        <v>1</v>
      </c>
      <c r="E1472" s="4">
        <v>207</v>
      </c>
      <c r="F1472" s="4">
        <f>Source!U1450</f>
        <v>0</v>
      </c>
      <c r="G1472" s="4" t="s">
        <v>129</v>
      </c>
      <c r="H1472" s="4" t="s">
        <v>130</v>
      </c>
      <c r="I1472" s="4"/>
      <c r="J1472" s="4"/>
      <c r="K1472" s="4">
        <v>207</v>
      </c>
      <c r="L1472" s="4">
        <v>21</v>
      </c>
      <c r="M1472" s="4">
        <v>3</v>
      </c>
      <c r="N1472" s="4" t="s">
        <v>3</v>
      </c>
      <c r="O1472" s="4">
        <v>-1</v>
      </c>
      <c r="P1472" s="4"/>
      <c r="Q1472" s="4"/>
      <c r="R1472" s="4"/>
      <c r="S1472" s="4"/>
      <c r="T1472" s="4"/>
      <c r="U1472" s="4"/>
      <c r="V1472" s="4"/>
      <c r="W1472" s="4"/>
    </row>
    <row r="1473" spans="1:206" x14ac:dyDescent="0.2">
      <c r="A1473" s="4">
        <v>50</v>
      </c>
      <c r="B1473" s="4">
        <v>0</v>
      </c>
      <c r="C1473" s="4">
        <v>0</v>
      </c>
      <c r="D1473" s="4">
        <v>1</v>
      </c>
      <c r="E1473" s="4">
        <v>208</v>
      </c>
      <c r="F1473" s="4">
        <f>Source!V1450</f>
        <v>0</v>
      </c>
      <c r="G1473" s="4" t="s">
        <v>131</v>
      </c>
      <c r="H1473" s="4" t="s">
        <v>132</v>
      </c>
      <c r="I1473" s="4"/>
      <c r="J1473" s="4"/>
      <c r="K1473" s="4">
        <v>208</v>
      </c>
      <c r="L1473" s="4">
        <v>22</v>
      </c>
      <c r="M1473" s="4">
        <v>3</v>
      </c>
      <c r="N1473" s="4" t="s">
        <v>3</v>
      </c>
      <c r="O1473" s="4">
        <v>-1</v>
      </c>
      <c r="P1473" s="4"/>
      <c r="Q1473" s="4"/>
      <c r="R1473" s="4"/>
      <c r="S1473" s="4"/>
      <c r="T1473" s="4"/>
      <c r="U1473" s="4"/>
      <c r="V1473" s="4"/>
      <c r="W1473" s="4"/>
    </row>
    <row r="1474" spans="1:206" x14ac:dyDescent="0.2">
      <c r="A1474" s="4">
        <v>50</v>
      </c>
      <c r="B1474" s="4">
        <v>0</v>
      </c>
      <c r="C1474" s="4">
        <v>0</v>
      </c>
      <c r="D1474" s="4">
        <v>1</v>
      </c>
      <c r="E1474" s="4">
        <v>209</v>
      </c>
      <c r="F1474" s="4">
        <f>ROUND(Source!W1450,O1474)</f>
        <v>0</v>
      </c>
      <c r="G1474" s="4" t="s">
        <v>133</v>
      </c>
      <c r="H1474" s="4" t="s">
        <v>134</v>
      </c>
      <c r="I1474" s="4"/>
      <c r="J1474" s="4"/>
      <c r="K1474" s="4">
        <v>209</v>
      </c>
      <c r="L1474" s="4">
        <v>23</v>
      </c>
      <c r="M1474" s="4">
        <v>3</v>
      </c>
      <c r="N1474" s="4" t="s">
        <v>3</v>
      </c>
      <c r="O1474" s="4">
        <v>2</v>
      </c>
      <c r="P1474" s="4"/>
      <c r="Q1474" s="4"/>
      <c r="R1474" s="4"/>
      <c r="S1474" s="4"/>
      <c r="T1474" s="4"/>
      <c r="U1474" s="4"/>
      <c r="V1474" s="4"/>
      <c r="W1474" s="4"/>
    </row>
    <row r="1475" spans="1:206" x14ac:dyDescent="0.2">
      <c r="A1475" s="4">
        <v>50</v>
      </c>
      <c r="B1475" s="4">
        <v>0</v>
      </c>
      <c r="C1475" s="4">
        <v>0</v>
      </c>
      <c r="D1475" s="4">
        <v>1</v>
      </c>
      <c r="E1475" s="4">
        <v>233</v>
      </c>
      <c r="F1475" s="4">
        <f>ROUND(Source!BD1450,O1475)</f>
        <v>0</v>
      </c>
      <c r="G1475" s="4" t="s">
        <v>135</v>
      </c>
      <c r="H1475" s="4" t="s">
        <v>136</v>
      </c>
      <c r="I1475" s="4"/>
      <c r="J1475" s="4"/>
      <c r="K1475" s="4">
        <v>233</v>
      </c>
      <c r="L1475" s="4">
        <v>24</v>
      </c>
      <c r="M1475" s="4">
        <v>3</v>
      </c>
      <c r="N1475" s="4" t="s">
        <v>3</v>
      </c>
      <c r="O1475" s="4">
        <v>2</v>
      </c>
      <c r="P1475" s="4"/>
      <c r="Q1475" s="4"/>
      <c r="R1475" s="4"/>
      <c r="S1475" s="4"/>
      <c r="T1475" s="4"/>
      <c r="U1475" s="4"/>
      <c r="V1475" s="4"/>
      <c r="W1475" s="4"/>
    </row>
    <row r="1476" spans="1:206" x14ac:dyDescent="0.2">
      <c r="A1476" s="4">
        <v>50</v>
      </c>
      <c r="B1476" s="4">
        <v>0</v>
      </c>
      <c r="C1476" s="4">
        <v>0</v>
      </c>
      <c r="D1476" s="4">
        <v>1</v>
      </c>
      <c r="E1476" s="4">
        <v>210</v>
      </c>
      <c r="F1476" s="4">
        <f>ROUND(Source!X1450,O1476)</f>
        <v>0</v>
      </c>
      <c r="G1476" s="4" t="s">
        <v>137</v>
      </c>
      <c r="H1476" s="4" t="s">
        <v>138</v>
      </c>
      <c r="I1476" s="4"/>
      <c r="J1476" s="4"/>
      <c r="K1476" s="4">
        <v>210</v>
      </c>
      <c r="L1476" s="4">
        <v>25</v>
      </c>
      <c r="M1476" s="4">
        <v>3</v>
      </c>
      <c r="N1476" s="4" t="s">
        <v>3</v>
      </c>
      <c r="O1476" s="4">
        <v>2</v>
      </c>
      <c r="P1476" s="4"/>
      <c r="Q1476" s="4"/>
      <c r="R1476" s="4"/>
      <c r="S1476" s="4"/>
      <c r="T1476" s="4"/>
      <c r="U1476" s="4"/>
      <c r="V1476" s="4"/>
      <c r="W1476" s="4"/>
    </row>
    <row r="1477" spans="1:206" x14ac:dyDescent="0.2">
      <c r="A1477" s="4">
        <v>50</v>
      </c>
      <c r="B1477" s="4">
        <v>0</v>
      </c>
      <c r="C1477" s="4">
        <v>0</v>
      </c>
      <c r="D1477" s="4">
        <v>1</v>
      </c>
      <c r="E1477" s="4">
        <v>211</v>
      </c>
      <c r="F1477" s="4">
        <f>ROUND(Source!Y1450,O1477)</f>
        <v>0</v>
      </c>
      <c r="G1477" s="4" t="s">
        <v>139</v>
      </c>
      <c r="H1477" s="4" t="s">
        <v>140</v>
      </c>
      <c r="I1477" s="4"/>
      <c r="J1477" s="4"/>
      <c r="K1477" s="4">
        <v>211</v>
      </c>
      <c r="L1477" s="4">
        <v>26</v>
      </c>
      <c r="M1477" s="4">
        <v>3</v>
      </c>
      <c r="N1477" s="4" t="s">
        <v>3</v>
      </c>
      <c r="O1477" s="4">
        <v>2</v>
      </c>
      <c r="P1477" s="4"/>
      <c r="Q1477" s="4"/>
      <c r="R1477" s="4"/>
      <c r="S1477" s="4"/>
      <c r="T1477" s="4"/>
      <c r="U1477" s="4"/>
      <c r="V1477" s="4"/>
      <c r="W1477" s="4"/>
    </row>
    <row r="1478" spans="1:206" x14ac:dyDescent="0.2">
      <c r="A1478" s="4">
        <v>50</v>
      </c>
      <c r="B1478" s="4">
        <v>0</v>
      </c>
      <c r="C1478" s="4">
        <v>0</v>
      </c>
      <c r="D1478" s="4">
        <v>1</v>
      </c>
      <c r="E1478" s="4">
        <v>224</v>
      </c>
      <c r="F1478" s="4">
        <f>ROUND(Source!AR1450,O1478)</f>
        <v>0</v>
      </c>
      <c r="G1478" s="4" t="s">
        <v>141</v>
      </c>
      <c r="H1478" s="4" t="s">
        <v>142</v>
      </c>
      <c r="I1478" s="4"/>
      <c r="J1478" s="4"/>
      <c r="K1478" s="4">
        <v>224</v>
      </c>
      <c r="L1478" s="4">
        <v>27</v>
      </c>
      <c r="M1478" s="4">
        <v>3</v>
      </c>
      <c r="N1478" s="4" t="s">
        <v>3</v>
      </c>
      <c r="O1478" s="4">
        <v>2</v>
      </c>
      <c r="P1478" s="4"/>
      <c r="Q1478" s="4"/>
      <c r="R1478" s="4"/>
      <c r="S1478" s="4"/>
      <c r="T1478" s="4"/>
      <c r="U1478" s="4"/>
      <c r="V1478" s="4"/>
      <c r="W1478" s="4"/>
    </row>
    <row r="1480" spans="1:206" x14ac:dyDescent="0.2">
      <c r="A1480" s="1">
        <v>4</v>
      </c>
      <c r="B1480" s="1">
        <v>1</v>
      </c>
      <c r="C1480" s="1"/>
      <c r="D1480" s="1">
        <f>ROW(A1484)</f>
        <v>1484</v>
      </c>
      <c r="E1480" s="1"/>
      <c r="F1480" s="1" t="s">
        <v>13</v>
      </c>
      <c r="G1480" s="1" t="s">
        <v>639</v>
      </c>
      <c r="H1480" s="1" t="s">
        <v>3</v>
      </c>
      <c r="I1480" s="1">
        <v>0</v>
      </c>
      <c r="J1480" s="1"/>
      <c r="K1480" s="1">
        <v>0</v>
      </c>
      <c r="L1480" s="1"/>
      <c r="M1480" s="1"/>
      <c r="N1480" s="1"/>
      <c r="O1480" s="1"/>
      <c r="P1480" s="1"/>
      <c r="Q1480" s="1"/>
      <c r="R1480" s="1"/>
      <c r="S1480" s="1"/>
      <c r="T1480" s="1"/>
      <c r="U1480" s="1" t="s">
        <v>3</v>
      </c>
      <c r="V1480" s="1">
        <v>0</v>
      </c>
      <c r="W1480" s="1"/>
      <c r="X1480" s="1"/>
      <c r="Y1480" s="1"/>
      <c r="Z1480" s="1"/>
      <c r="AA1480" s="1"/>
      <c r="AB1480" s="1" t="s">
        <v>3</v>
      </c>
      <c r="AC1480" s="1" t="s">
        <v>3</v>
      </c>
      <c r="AD1480" s="1" t="s">
        <v>3</v>
      </c>
      <c r="AE1480" s="1" t="s">
        <v>3</v>
      </c>
      <c r="AF1480" s="1" t="s">
        <v>3</v>
      </c>
      <c r="AG1480" s="1" t="s">
        <v>3</v>
      </c>
      <c r="AH1480" s="1"/>
      <c r="AI1480" s="1"/>
      <c r="AJ1480" s="1"/>
      <c r="AK1480" s="1"/>
      <c r="AL1480" s="1"/>
      <c r="AM1480" s="1"/>
      <c r="AN1480" s="1"/>
      <c r="AO1480" s="1"/>
      <c r="AP1480" s="1" t="s">
        <v>3</v>
      </c>
      <c r="AQ1480" s="1" t="s">
        <v>3</v>
      </c>
      <c r="AR1480" s="1" t="s">
        <v>3</v>
      </c>
      <c r="AS1480" s="1"/>
      <c r="AT1480" s="1"/>
      <c r="AU1480" s="1"/>
      <c r="AV1480" s="1"/>
      <c r="AW1480" s="1"/>
      <c r="AX1480" s="1"/>
      <c r="AY1480" s="1"/>
      <c r="AZ1480" s="1" t="s">
        <v>3</v>
      </c>
      <c r="BA1480" s="1"/>
      <c r="BB1480" s="1" t="s">
        <v>3</v>
      </c>
      <c r="BC1480" s="1" t="s">
        <v>3</v>
      </c>
      <c r="BD1480" s="1" t="s">
        <v>3</v>
      </c>
      <c r="BE1480" s="1" t="s">
        <v>3</v>
      </c>
      <c r="BF1480" s="1" t="s">
        <v>3</v>
      </c>
      <c r="BG1480" s="1" t="s">
        <v>3</v>
      </c>
      <c r="BH1480" s="1" t="s">
        <v>3</v>
      </c>
      <c r="BI1480" s="1" t="s">
        <v>3</v>
      </c>
      <c r="BJ1480" s="1" t="s">
        <v>3</v>
      </c>
      <c r="BK1480" s="1" t="s">
        <v>3</v>
      </c>
      <c r="BL1480" s="1" t="s">
        <v>3</v>
      </c>
      <c r="BM1480" s="1" t="s">
        <v>3</v>
      </c>
      <c r="BN1480" s="1" t="s">
        <v>3</v>
      </c>
      <c r="BO1480" s="1" t="s">
        <v>3</v>
      </c>
      <c r="BP1480" s="1" t="s">
        <v>3</v>
      </c>
      <c r="BQ1480" s="1"/>
      <c r="BR1480" s="1"/>
      <c r="BS1480" s="1"/>
      <c r="BT1480" s="1"/>
      <c r="BU1480" s="1"/>
      <c r="BV1480" s="1"/>
      <c r="BW1480" s="1"/>
      <c r="BX1480" s="1">
        <v>0</v>
      </c>
      <c r="BY1480" s="1"/>
      <c r="BZ1480" s="1"/>
      <c r="CA1480" s="1"/>
      <c r="CB1480" s="1"/>
      <c r="CC1480" s="1"/>
      <c r="CD1480" s="1"/>
      <c r="CE1480" s="1"/>
      <c r="CF1480" s="1"/>
      <c r="CG1480" s="1"/>
      <c r="CH1480" s="1"/>
      <c r="CI1480" s="1"/>
      <c r="CJ1480" s="1">
        <v>0</v>
      </c>
    </row>
    <row r="1482" spans="1:206" x14ac:dyDescent="0.2">
      <c r="A1482" s="2">
        <v>52</v>
      </c>
      <c r="B1482" s="2">
        <f t="shared" ref="B1482:G1482" si="937">B1484</f>
        <v>1</v>
      </c>
      <c r="C1482" s="2">
        <f t="shared" si="937"/>
        <v>4</v>
      </c>
      <c r="D1482" s="2">
        <f t="shared" si="937"/>
        <v>1480</v>
      </c>
      <c r="E1482" s="2">
        <f t="shared" si="937"/>
        <v>0</v>
      </c>
      <c r="F1482" s="2" t="str">
        <f t="shared" si="937"/>
        <v>Новый раздел</v>
      </c>
      <c r="G1482" s="2" t="str">
        <f t="shared" si="937"/>
        <v>60. Установка поручней (м.п.)</v>
      </c>
      <c r="H1482" s="2"/>
      <c r="I1482" s="2"/>
      <c r="J1482" s="2"/>
      <c r="K1482" s="2"/>
      <c r="L1482" s="2"/>
      <c r="M1482" s="2"/>
      <c r="N1482" s="2"/>
      <c r="O1482" s="2">
        <f t="shared" ref="O1482:AT1482" si="938">O1484</f>
        <v>0</v>
      </c>
      <c r="P1482" s="2">
        <f t="shared" si="938"/>
        <v>0</v>
      </c>
      <c r="Q1482" s="2">
        <f t="shared" si="938"/>
        <v>0</v>
      </c>
      <c r="R1482" s="2">
        <f t="shared" si="938"/>
        <v>0</v>
      </c>
      <c r="S1482" s="2">
        <f t="shared" si="938"/>
        <v>0</v>
      </c>
      <c r="T1482" s="2">
        <f t="shared" si="938"/>
        <v>0</v>
      </c>
      <c r="U1482" s="2">
        <f t="shared" si="938"/>
        <v>0</v>
      </c>
      <c r="V1482" s="2">
        <f t="shared" si="938"/>
        <v>0</v>
      </c>
      <c r="W1482" s="2">
        <f t="shared" si="938"/>
        <v>0</v>
      </c>
      <c r="X1482" s="2">
        <f t="shared" si="938"/>
        <v>0</v>
      </c>
      <c r="Y1482" s="2">
        <f t="shared" si="938"/>
        <v>0</v>
      </c>
      <c r="Z1482" s="2">
        <f t="shared" si="938"/>
        <v>0</v>
      </c>
      <c r="AA1482" s="2">
        <f t="shared" si="938"/>
        <v>0</v>
      </c>
      <c r="AB1482" s="2">
        <f t="shared" si="938"/>
        <v>0</v>
      </c>
      <c r="AC1482" s="2">
        <f t="shared" si="938"/>
        <v>0</v>
      </c>
      <c r="AD1482" s="2">
        <f t="shared" si="938"/>
        <v>0</v>
      </c>
      <c r="AE1482" s="2">
        <f t="shared" si="938"/>
        <v>0</v>
      </c>
      <c r="AF1482" s="2">
        <f t="shared" si="938"/>
        <v>0</v>
      </c>
      <c r="AG1482" s="2">
        <f t="shared" si="938"/>
        <v>0</v>
      </c>
      <c r="AH1482" s="2">
        <f t="shared" si="938"/>
        <v>0</v>
      </c>
      <c r="AI1482" s="2">
        <f t="shared" si="938"/>
        <v>0</v>
      </c>
      <c r="AJ1482" s="2">
        <f t="shared" si="938"/>
        <v>0</v>
      </c>
      <c r="AK1482" s="2">
        <f t="shared" si="938"/>
        <v>0</v>
      </c>
      <c r="AL1482" s="2">
        <f t="shared" si="938"/>
        <v>0</v>
      </c>
      <c r="AM1482" s="2">
        <f t="shared" si="938"/>
        <v>0</v>
      </c>
      <c r="AN1482" s="2">
        <f t="shared" si="938"/>
        <v>0</v>
      </c>
      <c r="AO1482" s="2">
        <f t="shared" si="938"/>
        <v>0</v>
      </c>
      <c r="AP1482" s="2">
        <f t="shared" si="938"/>
        <v>0</v>
      </c>
      <c r="AQ1482" s="2">
        <f t="shared" si="938"/>
        <v>0</v>
      </c>
      <c r="AR1482" s="2">
        <f t="shared" si="938"/>
        <v>0</v>
      </c>
      <c r="AS1482" s="2">
        <f t="shared" si="938"/>
        <v>0</v>
      </c>
      <c r="AT1482" s="2">
        <f t="shared" si="938"/>
        <v>0</v>
      </c>
      <c r="AU1482" s="2">
        <f t="shared" ref="AU1482:BZ1482" si="939">AU1484</f>
        <v>0</v>
      </c>
      <c r="AV1482" s="2">
        <f t="shared" si="939"/>
        <v>0</v>
      </c>
      <c r="AW1482" s="2">
        <f t="shared" si="939"/>
        <v>0</v>
      </c>
      <c r="AX1482" s="2">
        <f t="shared" si="939"/>
        <v>0</v>
      </c>
      <c r="AY1482" s="2">
        <f t="shared" si="939"/>
        <v>0</v>
      </c>
      <c r="AZ1482" s="2">
        <f t="shared" si="939"/>
        <v>0</v>
      </c>
      <c r="BA1482" s="2">
        <f t="shared" si="939"/>
        <v>0</v>
      </c>
      <c r="BB1482" s="2">
        <f t="shared" si="939"/>
        <v>0</v>
      </c>
      <c r="BC1482" s="2">
        <f t="shared" si="939"/>
        <v>0</v>
      </c>
      <c r="BD1482" s="2">
        <f t="shared" si="939"/>
        <v>0</v>
      </c>
      <c r="BE1482" s="2">
        <f t="shared" si="939"/>
        <v>0</v>
      </c>
      <c r="BF1482" s="2">
        <f t="shared" si="939"/>
        <v>0</v>
      </c>
      <c r="BG1482" s="2">
        <f t="shared" si="939"/>
        <v>0</v>
      </c>
      <c r="BH1482" s="2">
        <f t="shared" si="939"/>
        <v>0</v>
      </c>
      <c r="BI1482" s="2">
        <f t="shared" si="939"/>
        <v>0</v>
      </c>
      <c r="BJ1482" s="2">
        <f t="shared" si="939"/>
        <v>0</v>
      </c>
      <c r="BK1482" s="2">
        <f t="shared" si="939"/>
        <v>0</v>
      </c>
      <c r="BL1482" s="2">
        <f t="shared" si="939"/>
        <v>0</v>
      </c>
      <c r="BM1482" s="2">
        <f t="shared" si="939"/>
        <v>0</v>
      </c>
      <c r="BN1482" s="2">
        <f t="shared" si="939"/>
        <v>0</v>
      </c>
      <c r="BO1482" s="2">
        <f t="shared" si="939"/>
        <v>0</v>
      </c>
      <c r="BP1482" s="2">
        <f t="shared" si="939"/>
        <v>0</v>
      </c>
      <c r="BQ1482" s="2">
        <f t="shared" si="939"/>
        <v>0</v>
      </c>
      <c r="BR1482" s="2">
        <f t="shared" si="939"/>
        <v>0</v>
      </c>
      <c r="BS1482" s="2">
        <f t="shared" si="939"/>
        <v>0</v>
      </c>
      <c r="BT1482" s="2">
        <f t="shared" si="939"/>
        <v>0</v>
      </c>
      <c r="BU1482" s="2">
        <f t="shared" si="939"/>
        <v>0</v>
      </c>
      <c r="BV1482" s="2">
        <f t="shared" si="939"/>
        <v>0</v>
      </c>
      <c r="BW1482" s="2">
        <f t="shared" si="939"/>
        <v>0</v>
      </c>
      <c r="BX1482" s="2">
        <f t="shared" si="939"/>
        <v>0</v>
      </c>
      <c r="BY1482" s="2">
        <f t="shared" si="939"/>
        <v>0</v>
      </c>
      <c r="BZ1482" s="2">
        <f t="shared" si="939"/>
        <v>0</v>
      </c>
      <c r="CA1482" s="2">
        <f t="shared" ref="CA1482:DF1482" si="940">CA1484</f>
        <v>0</v>
      </c>
      <c r="CB1482" s="2">
        <f t="shared" si="940"/>
        <v>0</v>
      </c>
      <c r="CC1482" s="2">
        <f t="shared" si="940"/>
        <v>0</v>
      </c>
      <c r="CD1482" s="2">
        <f t="shared" si="940"/>
        <v>0</v>
      </c>
      <c r="CE1482" s="2">
        <f t="shared" si="940"/>
        <v>0</v>
      </c>
      <c r="CF1482" s="2">
        <f t="shared" si="940"/>
        <v>0</v>
      </c>
      <c r="CG1482" s="2">
        <f t="shared" si="940"/>
        <v>0</v>
      </c>
      <c r="CH1482" s="2">
        <f t="shared" si="940"/>
        <v>0</v>
      </c>
      <c r="CI1482" s="2">
        <f t="shared" si="940"/>
        <v>0</v>
      </c>
      <c r="CJ1482" s="2">
        <f t="shared" si="940"/>
        <v>0</v>
      </c>
      <c r="CK1482" s="2">
        <f t="shared" si="940"/>
        <v>0</v>
      </c>
      <c r="CL1482" s="2">
        <f t="shared" si="940"/>
        <v>0</v>
      </c>
      <c r="CM1482" s="2">
        <f t="shared" si="940"/>
        <v>0</v>
      </c>
      <c r="CN1482" s="2">
        <f t="shared" si="940"/>
        <v>0</v>
      </c>
      <c r="CO1482" s="2">
        <f t="shared" si="940"/>
        <v>0</v>
      </c>
      <c r="CP1482" s="2">
        <f t="shared" si="940"/>
        <v>0</v>
      </c>
      <c r="CQ1482" s="2">
        <f t="shared" si="940"/>
        <v>0</v>
      </c>
      <c r="CR1482" s="2">
        <f t="shared" si="940"/>
        <v>0</v>
      </c>
      <c r="CS1482" s="2">
        <f t="shared" si="940"/>
        <v>0</v>
      </c>
      <c r="CT1482" s="2">
        <f t="shared" si="940"/>
        <v>0</v>
      </c>
      <c r="CU1482" s="2">
        <f t="shared" si="940"/>
        <v>0</v>
      </c>
      <c r="CV1482" s="2">
        <f t="shared" si="940"/>
        <v>0</v>
      </c>
      <c r="CW1482" s="2">
        <f t="shared" si="940"/>
        <v>0</v>
      </c>
      <c r="CX1482" s="2">
        <f t="shared" si="940"/>
        <v>0</v>
      </c>
      <c r="CY1482" s="2">
        <f t="shared" si="940"/>
        <v>0</v>
      </c>
      <c r="CZ1482" s="2">
        <f t="shared" si="940"/>
        <v>0</v>
      </c>
      <c r="DA1482" s="2">
        <f t="shared" si="940"/>
        <v>0</v>
      </c>
      <c r="DB1482" s="2">
        <f t="shared" si="940"/>
        <v>0</v>
      </c>
      <c r="DC1482" s="2">
        <f t="shared" si="940"/>
        <v>0</v>
      </c>
      <c r="DD1482" s="2">
        <f t="shared" si="940"/>
        <v>0</v>
      </c>
      <c r="DE1482" s="2">
        <f t="shared" si="940"/>
        <v>0</v>
      </c>
      <c r="DF1482" s="2">
        <f t="shared" si="940"/>
        <v>0</v>
      </c>
      <c r="DG1482" s="3">
        <f t="shared" ref="DG1482:EL1482" si="941">DG1484</f>
        <v>0</v>
      </c>
      <c r="DH1482" s="3">
        <f t="shared" si="941"/>
        <v>0</v>
      </c>
      <c r="DI1482" s="3">
        <f t="shared" si="941"/>
        <v>0</v>
      </c>
      <c r="DJ1482" s="3">
        <f t="shared" si="941"/>
        <v>0</v>
      </c>
      <c r="DK1482" s="3">
        <f t="shared" si="941"/>
        <v>0</v>
      </c>
      <c r="DL1482" s="3">
        <f t="shared" si="941"/>
        <v>0</v>
      </c>
      <c r="DM1482" s="3">
        <f t="shared" si="941"/>
        <v>0</v>
      </c>
      <c r="DN1482" s="3">
        <f t="shared" si="941"/>
        <v>0</v>
      </c>
      <c r="DO1482" s="3">
        <f t="shared" si="941"/>
        <v>0</v>
      </c>
      <c r="DP1482" s="3">
        <f t="shared" si="941"/>
        <v>0</v>
      </c>
      <c r="DQ1482" s="3">
        <f t="shared" si="941"/>
        <v>0</v>
      </c>
      <c r="DR1482" s="3">
        <f t="shared" si="941"/>
        <v>0</v>
      </c>
      <c r="DS1482" s="3">
        <f t="shared" si="941"/>
        <v>0</v>
      </c>
      <c r="DT1482" s="3">
        <f t="shared" si="941"/>
        <v>0</v>
      </c>
      <c r="DU1482" s="3">
        <f t="shared" si="941"/>
        <v>0</v>
      </c>
      <c r="DV1482" s="3">
        <f t="shared" si="941"/>
        <v>0</v>
      </c>
      <c r="DW1482" s="3">
        <f t="shared" si="941"/>
        <v>0</v>
      </c>
      <c r="DX1482" s="3">
        <f t="shared" si="941"/>
        <v>0</v>
      </c>
      <c r="DY1482" s="3">
        <f t="shared" si="941"/>
        <v>0</v>
      </c>
      <c r="DZ1482" s="3">
        <f t="shared" si="941"/>
        <v>0</v>
      </c>
      <c r="EA1482" s="3">
        <f t="shared" si="941"/>
        <v>0</v>
      </c>
      <c r="EB1482" s="3">
        <f t="shared" si="941"/>
        <v>0</v>
      </c>
      <c r="EC1482" s="3">
        <f t="shared" si="941"/>
        <v>0</v>
      </c>
      <c r="ED1482" s="3">
        <f t="shared" si="941"/>
        <v>0</v>
      </c>
      <c r="EE1482" s="3">
        <f t="shared" si="941"/>
        <v>0</v>
      </c>
      <c r="EF1482" s="3">
        <f t="shared" si="941"/>
        <v>0</v>
      </c>
      <c r="EG1482" s="3">
        <f t="shared" si="941"/>
        <v>0</v>
      </c>
      <c r="EH1482" s="3">
        <f t="shared" si="941"/>
        <v>0</v>
      </c>
      <c r="EI1482" s="3">
        <f t="shared" si="941"/>
        <v>0</v>
      </c>
      <c r="EJ1482" s="3">
        <f t="shared" si="941"/>
        <v>0</v>
      </c>
      <c r="EK1482" s="3">
        <f t="shared" si="941"/>
        <v>0</v>
      </c>
      <c r="EL1482" s="3">
        <f t="shared" si="941"/>
        <v>0</v>
      </c>
      <c r="EM1482" s="3">
        <f t="shared" ref="EM1482:FR1482" si="942">EM1484</f>
        <v>0</v>
      </c>
      <c r="EN1482" s="3">
        <f t="shared" si="942"/>
        <v>0</v>
      </c>
      <c r="EO1482" s="3">
        <f t="shared" si="942"/>
        <v>0</v>
      </c>
      <c r="EP1482" s="3">
        <f t="shared" si="942"/>
        <v>0</v>
      </c>
      <c r="EQ1482" s="3">
        <f t="shared" si="942"/>
        <v>0</v>
      </c>
      <c r="ER1482" s="3">
        <f t="shared" si="942"/>
        <v>0</v>
      </c>
      <c r="ES1482" s="3">
        <f t="shared" si="942"/>
        <v>0</v>
      </c>
      <c r="ET1482" s="3">
        <f t="shared" si="942"/>
        <v>0</v>
      </c>
      <c r="EU1482" s="3">
        <f t="shared" si="942"/>
        <v>0</v>
      </c>
      <c r="EV1482" s="3">
        <f t="shared" si="942"/>
        <v>0</v>
      </c>
      <c r="EW1482" s="3">
        <f t="shared" si="942"/>
        <v>0</v>
      </c>
      <c r="EX1482" s="3">
        <f t="shared" si="942"/>
        <v>0</v>
      </c>
      <c r="EY1482" s="3">
        <f t="shared" si="942"/>
        <v>0</v>
      </c>
      <c r="EZ1482" s="3">
        <f t="shared" si="942"/>
        <v>0</v>
      </c>
      <c r="FA1482" s="3">
        <f t="shared" si="942"/>
        <v>0</v>
      </c>
      <c r="FB1482" s="3">
        <f t="shared" si="942"/>
        <v>0</v>
      </c>
      <c r="FC1482" s="3">
        <f t="shared" si="942"/>
        <v>0</v>
      </c>
      <c r="FD1482" s="3">
        <f t="shared" si="942"/>
        <v>0</v>
      </c>
      <c r="FE1482" s="3">
        <f t="shared" si="942"/>
        <v>0</v>
      </c>
      <c r="FF1482" s="3">
        <f t="shared" si="942"/>
        <v>0</v>
      </c>
      <c r="FG1482" s="3">
        <f t="shared" si="942"/>
        <v>0</v>
      </c>
      <c r="FH1482" s="3">
        <f t="shared" si="942"/>
        <v>0</v>
      </c>
      <c r="FI1482" s="3">
        <f t="shared" si="942"/>
        <v>0</v>
      </c>
      <c r="FJ1482" s="3">
        <f t="shared" si="942"/>
        <v>0</v>
      </c>
      <c r="FK1482" s="3">
        <f t="shared" si="942"/>
        <v>0</v>
      </c>
      <c r="FL1482" s="3">
        <f t="shared" si="942"/>
        <v>0</v>
      </c>
      <c r="FM1482" s="3">
        <f t="shared" si="942"/>
        <v>0</v>
      </c>
      <c r="FN1482" s="3">
        <f t="shared" si="942"/>
        <v>0</v>
      </c>
      <c r="FO1482" s="3">
        <f t="shared" si="942"/>
        <v>0</v>
      </c>
      <c r="FP1482" s="3">
        <f t="shared" si="942"/>
        <v>0</v>
      </c>
      <c r="FQ1482" s="3">
        <f t="shared" si="942"/>
        <v>0</v>
      </c>
      <c r="FR1482" s="3">
        <f t="shared" si="942"/>
        <v>0</v>
      </c>
      <c r="FS1482" s="3">
        <f t="shared" ref="FS1482:GX1482" si="943">FS1484</f>
        <v>0</v>
      </c>
      <c r="FT1482" s="3">
        <f t="shared" si="943"/>
        <v>0</v>
      </c>
      <c r="FU1482" s="3">
        <f t="shared" si="943"/>
        <v>0</v>
      </c>
      <c r="FV1482" s="3">
        <f t="shared" si="943"/>
        <v>0</v>
      </c>
      <c r="FW1482" s="3">
        <f t="shared" si="943"/>
        <v>0</v>
      </c>
      <c r="FX1482" s="3">
        <f t="shared" si="943"/>
        <v>0</v>
      </c>
      <c r="FY1482" s="3">
        <f t="shared" si="943"/>
        <v>0</v>
      </c>
      <c r="FZ1482" s="3">
        <f t="shared" si="943"/>
        <v>0</v>
      </c>
      <c r="GA1482" s="3">
        <f t="shared" si="943"/>
        <v>0</v>
      </c>
      <c r="GB1482" s="3">
        <f t="shared" si="943"/>
        <v>0</v>
      </c>
      <c r="GC1482" s="3">
        <f t="shared" si="943"/>
        <v>0</v>
      </c>
      <c r="GD1482" s="3">
        <f t="shared" si="943"/>
        <v>0</v>
      </c>
      <c r="GE1482" s="3">
        <f t="shared" si="943"/>
        <v>0</v>
      </c>
      <c r="GF1482" s="3">
        <f t="shared" si="943"/>
        <v>0</v>
      </c>
      <c r="GG1482" s="3">
        <f t="shared" si="943"/>
        <v>0</v>
      </c>
      <c r="GH1482" s="3">
        <f t="shared" si="943"/>
        <v>0</v>
      </c>
      <c r="GI1482" s="3">
        <f t="shared" si="943"/>
        <v>0</v>
      </c>
      <c r="GJ1482" s="3">
        <f t="shared" si="943"/>
        <v>0</v>
      </c>
      <c r="GK1482" s="3">
        <f t="shared" si="943"/>
        <v>0</v>
      </c>
      <c r="GL1482" s="3">
        <f t="shared" si="943"/>
        <v>0</v>
      </c>
      <c r="GM1482" s="3">
        <f t="shared" si="943"/>
        <v>0</v>
      </c>
      <c r="GN1482" s="3">
        <f t="shared" si="943"/>
        <v>0</v>
      </c>
      <c r="GO1482" s="3">
        <f t="shared" si="943"/>
        <v>0</v>
      </c>
      <c r="GP1482" s="3">
        <f t="shared" si="943"/>
        <v>0</v>
      </c>
      <c r="GQ1482" s="3">
        <f t="shared" si="943"/>
        <v>0</v>
      </c>
      <c r="GR1482" s="3">
        <f t="shared" si="943"/>
        <v>0</v>
      </c>
      <c r="GS1482" s="3">
        <f t="shared" si="943"/>
        <v>0</v>
      </c>
      <c r="GT1482" s="3">
        <f t="shared" si="943"/>
        <v>0</v>
      </c>
      <c r="GU1482" s="3">
        <f t="shared" si="943"/>
        <v>0</v>
      </c>
      <c r="GV1482" s="3">
        <f t="shared" si="943"/>
        <v>0</v>
      </c>
      <c r="GW1482" s="3">
        <f t="shared" si="943"/>
        <v>0</v>
      </c>
      <c r="GX1482" s="3">
        <f t="shared" si="943"/>
        <v>0</v>
      </c>
    </row>
    <row r="1484" spans="1:206" x14ac:dyDescent="0.2">
      <c r="A1484" s="2">
        <v>51</v>
      </c>
      <c r="B1484" s="2">
        <f>B1480</f>
        <v>1</v>
      </c>
      <c r="C1484" s="2">
        <f>A1480</f>
        <v>4</v>
      </c>
      <c r="D1484" s="2">
        <f>ROW(A1480)</f>
        <v>1480</v>
      </c>
      <c r="E1484" s="2"/>
      <c r="F1484" s="2" t="str">
        <f>IF(F1480&lt;&gt;"",F1480,"")</f>
        <v>Новый раздел</v>
      </c>
      <c r="G1484" s="2" t="str">
        <f>IF(G1480&lt;&gt;"",G1480,"")</f>
        <v>60. Установка поручней (м.п.)</v>
      </c>
      <c r="H1484" s="2">
        <v>0</v>
      </c>
      <c r="I1484" s="2"/>
      <c r="J1484" s="2"/>
      <c r="K1484" s="2"/>
      <c r="L1484" s="2"/>
      <c r="M1484" s="2"/>
      <c r="N1484" s="2"/>
      <c r="O1484" s="2">
        <f t="shared" ref="O1484:T1484" si="944">ROUND(AB1484,2)</f>
        <v>0</v>
      </c>
      <c r="P1484" s="2">
        <f t="shared" si="944"/>
        <v>0</v>
      </c>
      <c r="Q1484" s="2">
        <f t="shared" si="944"/>
        <v>0</v>
      </c>
      <c r="R1484" s="2">
        <f t="shared" si="944"/>
        <v>0</v>
      </c>
      <c r="S1484" s="2">
        <f t="shared" si="944"/>
        <v>0</v>
      </c>
      <c r="T1484" s="2">
        <f t="shared" si="944"/>
        <v>0</v>
      </c>
      <c r="U1484" s="2">
        <f>AH1484</f>
        <v>0</v>
      </c>
      <c r="V1484" s="2">
        <f>AI1484</f>
        <v>0</v>
      </c>
      <c r="W1484" s="2">
        <f>ROUND(AJ1484,2)</f>
        <v>0</v>
      </c>
      <c r="X1484" s="2">
        <f>ROUND(AK1484,2)</f>
        <v>0</v>
      </c>
      <c r="Y1484" s="2">
        <f>ROUND(AL1484,2)</f>
        <v>0</v>
      </c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>
        <f t="shared" ref="AO1484:BD1484" si="945">ROUND(BX1484,2)</f>
        <v>0</v>
      </c>
      <c r="AP1484" s="2">
        <f t="shared" si="945"/>
        <v>0</v>
      </c>
      <c r="AQ1484" s="2">
        <f t="shared" si="945"/>
        <v>0</v>
      </c>
      <c r="AR1484" s="2">
        <f t="shared" si="945"/>
        <v>0</v>
      </c>
      <c r="AS1484" s="2">
        <f t="shared" si="945"/>
        <v>0</v>
      </c>
      <c r="AT1484" s="2">
        <f t="shared" si="945"/>
        <v>0</v>
      </c>
      <c r="AU1484" s="2">
        <f t="shared" si="945"/>
        <v>0</v>
      </c>
      <c r="AV1484" s="2">
        <f t="shared" si="945"/>
        <v>0</v>
      </c>
      <c r="AW1484" s="2">
        <f t="shared" si="945"/>
        <v>0</v>
      </c>
      <c r="AX1484" s="2">
        <f t="shared" si="945"/>
        <v>0</v>
      </c>
      <c r="AY1484" s="2">
        <f t="shared" si="945"/>
        <v>0</v>
      </c>
      <c r="AZ1484" s="2">
        <f t="shared" si="945"/>
        <v>0</v>
      </c>
      <c r="BA1484" s="2">
        <f t="shared" si="945"/>
        <v>0</v>
      </c>
      <c r="BB1484" s="2">
        <f t="shared" si="945"/>
        <v>0</v>
      </c>
      <c r="BC1484" s="2">
        <f t="shared" si="945"/>
        <v>0</v>
      </c>
      <c r="BD1484" s="2">
        <f t="shared" si="945"/>
        <v>0</v>
      </c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3"/>
      <c r="DH1484" s="3"/>
      <c r="DI1484" s="3"/>
      <c r="DJ1484" s="3"/>
      <c r="DK1484" s="3"/>
      <c r="DL1484" s="3"/>
      <c r="DM1484" s="3"/>
      <c r="DN1484" s="3"/>
      <c r="DO1484" s="3"/>
      <c r="DP1484" s="3"/>
      <c r="DQ1484" s="3"/>
      <c r="DR1484" s="3"/>
      <c r="DS1484" s="3"/>
      <c r="DT1484" s="3"/>
      <c r="DU1484" s="3"/>
      <c r="DV1484" s="3"/>
      <c r="DW1484" s="3"/>
      <c r="DX1484" s="3"/>
      <c r="DY1484" s="3"/>
      <c r="DZ1484" s="3"/>
      <c r="EA1484" s="3"/>
      <c r="EB1484" s="3"/>
      <c r="EC1484" s="3"/>
      <c r="ED1484" s="3"/>
      <c r="EE1484" s="3"/>
      <c r="EF1484" s="3"/>
      <c r="EG1484" s="3"/>
      <c r="EH1484" s="3"/>
      <c r="EI1484" s="3"/>
      <c r="EJ1484" s="3"/>
      <c r="EK1484" s="3"/>
      <c r="EL1484" s="3"/>
      <c r="EM1484" s="3"/>
      <c r="EN1484" s="3"/>
      <c r="EO1484" s="3"/>
      <c r="EP1484" s="3"/>
      <c r="EQ1484" s="3"/>
      <c r="ER1484" s="3"/>
      <c r="ES1484" s="3"/>
      <c r="ET1484" s="3"/>
      <c r="EU1484" s="3"/>
      <c r="EV1484" s="3"/>
      <c r="EW1484" s="3"/>
      <c r="EX1484" s="3"/>
      <c r="EY1484" s="3"/>
      <c r="EZ1484" s="3"/>
      <c r="FA1484" s="3"/>
      <c r="FB1484" s="3"/>
      <c r="FC1484" s="3"/>
      <c r="FD1484" s="3"/>
      <c r="FE1484" s="3"/>
      <c r="FF1484" s="3"/>
      <c r="FG1484" s="3"/>
      <c r="FH1484" s="3"/>
      <c r="FI1484" s="3"/>
      <c r="FJ1484" s="3"/>
      <c r="FK1484" s="3"/>
      <c r="FL1484" s="3"/>
      <c r="FM1484" s="3"/>
      <c r="FN1484" s="3"/>
      <c r="FO1484" s="3"/>
      <c r="FP1484" s="3"/>
      <c r="FQ1484" s="3"/>
      <c r="FR1484" s="3"/>
      <c r="FS1484" s="3"/>
      <c r="FT1484" s="3"/>
      <c r="FU1484" s="3"/>
      <c r="FV1484" s="3"/>
      <c r="FW1484" s="3"/>
      <c r="FX1484" s="3"/>
      <c r="FY1484" s="3"/>
      <c r="FZ1484" s="3"/>
      <c r="GA1484" s="3"/>
      <c r="GB1484" s="3"/>
      <c r="GC1484" s="3"/>
      <c r="GD1484" s="3"/>
      <c r="GE1484" s="3"/>
      <c r="GF1484" s="3"/>
      <c r="GG1484" s="3"/>
      <c r="GH1484" s="3"/>
      <c r="GI1484" s="3"/>
      <c r="GJ1484" s="3"/>
      <c r="GK1484" s="3"/>
      <c r="GL1484" s="3"/>
      <c r="GM1484" s="3"/>
      <c r="GN1484" s="3"/>
      <c r="GO1484" s="3"/>
      <c r="GP1484" s="3"/>
      <c r="GQ1484" s="3"/>
      <c r="GR1484" s="3"/>
      <c r="GS1484" s="3"/>
      <c r="GT1484" s="3"/>
      <c r="GU1484" s="3"/>
      <c r="GV1484" s="3"/>
      <c r="GW1484" s="3"/>
      <c r="GX1484" s="3">
        <v>0</v>
      </c>
    </row>
    <row r="1486" spans="1:206" x14ac:dyDescent="0.2">
      <c r="A1486" s="4">
        <v>50</v>
      </c>
      <c r="B1486" s="4">
        <v>0</v>
      </c>
      <c r="C1486" s="4">
        <v>0</v>
      </c>
      <c r="D1486" s="4">
        <v>1</v>
      </c>
      <c r="E1486" s="4">
        <v>201</v>
      </c>
      <c r="F1486" s="4">
        <f>ROUND(Source!O1484,O1486)</f>
        <v>0</v>
      </c>
      <c r="G1486" s="4" t="s">
        <v>89</v>
      </c>
      <c r="H1486" s="4" t="s">
        <v>90</v>
      </c>
      <c r="I1486" s="4"/>
      <c r="J1486" s="4"/>
      <c r="K1486" s="4">
        <v>201</v>
      </c>
      <c r="L1486" s="4">
        <v>1</v>
      </c>
      <c r="M1486" s="4">
        <v>3</v>
      </c>
      <c r="N1486" s="4" t="s">
        <v>3</v>
      </c>
      <c r="O1486" s="4">
        <v>2</v>
      </c>
      <c r="P1486" s="4"/>
      <c r="Q1486" s="4"/>
      <c r="R1486" s="4"/>
      <c r="S1486" s="4"/>
      <c r="T1486" s="4"/>
      <c r="U1486" s="4"/>
      <c r="V1486" s="4"/>
      <c r="W1486" s="4"/>
    </row>
    <row r="1487" spans="1:206" x14ac:dyDescent="0.2">
      <c r="A1487" s="4">
        <v>50</v>
      </c>
      <c r="B1487" s="4">
        <v>0</v>
      </c>
      <c r="C1487" s="4">
        <v>0</v>
      </c>
      <c r="D1487" s="4">
        <v>1</v>
      </c>
      <c r="E1487" s="4">
        <v>202</v>
      </c>
      <c r="F1487" s="4">
        <f>ROUND(Source!P1484,O1487)</f>
        <v>0</v>
      </c>
      <c r="G1487" s="4" t="s">
        <v>91</v>
      </c>
      <c r="H1487" s="4" t="s">
        <v>92</v>
      </c>
      <c r="I1487" s="4"/>
      <c r="J1487" s="4"/>
      <c r="K1487" s="4">
        <v>202</v>
      </c>
      <c r="L1487" s="4">
        <v>2</v>
      </c>
      <c r="M1487" s="4">
        <v>3</v>
      </c>
      <c r="N1487" s="4" t="s">
        <v>3</v>
      </c>
      <c r="O1487" s="4">
        <v>2</v>
      </c>
      <c r="P1487" s="4"/>
      <c r="Q1487" s="4"/>
      <c r="R1487" s="4"/>
      <c r="S1487" s="4"/>
      <c r="T1487" s="4"/>
      <c r="U1487" s="4"/>
      <c r="V1487" s="4"/>
      <c r="W1487" s="4"/>
    </row>
    <row r="1488" spans="1:206" x14ac:dyDescent="0.2">
      <c r="A1488" s="4">
        <v>50</v>
      </c>
      <c r="B1488" s="4">
        <v>0</v>
      </c>
      <c r="C1488" s="4">
        <v>0</v>
      </c>
      <c r="D1488" s="4">
        <v>1</v>
      </c>
      <c r="E1488" s="4">
        <v>222</v>
      </c>
      <c r="F1488" s="4">
        <f>ROUND(Source!AO1484,O1488)</f>
        <v>0</v>
      </c>
      <c r="G1488" s="4" t="s">
        <v>93</v>
      </c>
      <c r="H1488" s="4" t="s">
        <v>94</v>
      </c>
      <c r="I1488" s="4"/>
      <c r="J1488" s="4"/>
      <c r="K1488" s="4">
        <v>222</v>
      </c>
      <c r="L1488" s="4">
        <v>3</v>
      </c>
      <c r="M1488" s="4">
        <v>3</v>
      </c>
      <c r="N1488" s="4" t="s">
        <v>3</v>
      </c>
      <c r="O1488" s="4">
        <v>2</v>
      </c>
      <c r="P1488" s="4"/>
      <c r="Q1488" s="4"/>
      <c r="R1488" s="4"/>
      <c r="S1488" s="4"/>
      <c r="T1488" s="4"/>
      <c r="U1488" s="4"/>
      <c r="V1488" s="4"/>
      <c r="W1488" s="4"/>
    </row>
    <row r="1489" spans="1:23" x14ac:dyDescent="0.2">
      <c r="A1489" s="4">
        <v>50</v>
      </c>
      <c r="B1489" s="4">
        <v>0</v>
      </c>
      <c r="C1489" s="4">
        <v>0</v>
      </c>
      <c r="D1489" s="4">
        <v>1</v>
      </c>
      <c r="E1489" s="4">
        <v>225</v>
      </c>
      <c r="F1489" s="4">
        <f>ROUND(Source!AV1484,O1489)</f>
        <v>0</v>
      </c>
      <c r="G1489" s="4" t="s">
        <v>95</v>
      </c>
      <c r="H1489" s="4" t="s">
        <v>96</v>
      </c>
      <c r="I1489" s="4"/>
      <c r="J1489" s="4"/>
      <c r="K1489" s="4">
        <v>225</v>
      </c>
      <c r="L1489" s="4">
        <v>4</v>
      </c>
      <c r="M1489" s="4">
        <v>3</v>
      </c>
      <c r="N1489" s="4" t="s">
        <v>3</v>
      </c>
      <c r="O1489" s="4">
        <v>2</v>
      </c>
      <c r="P1489" s="4"/>
      <c r="Q1489" s="4"/>
      <c r="R1489" s="4"/>
      <c r="S1489" s="4"/>
      <c r="T1489" s="4"/>
      <c r="U1489" s="4"/>
      <c r="V1489" s="4"/>
      <c r="W1489" s="4"/>
    </row>
    <row r="1490" spans="1:23" x14ac:dyDescent="0.2">
      <c r="A1490" s="4">
        <v>50</v>
      </c>
      <c r="B1490" s="4">
        <v>0</v>
      </c>
      <c r="C1490" s="4">
        <v>0</v>
      </c>
      <c r="D1490" s="4">
        <v>1</v>
      </c>
      <c r="E1490" s="4">
        <v>226</v>
      </c>
      <c r="F1490" s="4">
        <f>ROUND(Source!AW1484,O1490)</f>
        <v>0</v>
      </c>
      <c r="G1490" s="4" t="s">
        <v>97</v>
      </c>
      <c r="H1490" s="4" t="s">
        <v>98</v>
      </c>
      <c r="I1490" s="4"/>
      <c r="J1490" s="4"/>
      <c r="K1490" s="4">
        <v>226</v>
      </c>
      <c r="L1490" s="4">
        <v>5</v>
      </c>
      <c r="M1490" s="4">
        <v>3</v>
      </c>
      <c r="N1490" s="4" t="s">
        <v>3</v>
      </c>
      <c r="O1490" s="4">
        <v>2</v>
      </c>
      <c r="P1490" s="4"/>
      <c r="Q1490" s="4"/>
      <c r="R1490" s="4"/>
      <c r="S1490" s="4"/>
      <c r="T1490" s="4"/>
      <c r="U1490" s="4"/>
      <c r="V1490" s="4"/>
      <c r="W1490" s="4"/>
    </row>
    <row r="1491" spans="1:23" x14ac:dyDescent="0.2">
      <c r="A1491" s="4">
        <v>50</v>
      </c>
      <c r="B1491" s="4">
        <v>0</v>
      </c>
      <c r="C1491" s="4">
        <v>0</v>
      </c>
      <c r="D1491" s="4">
        <v>1</v>
      </c>
      <c r="E1491" s="4">
        <v>227</v>
      </c>
      <c r="F1491" s="4">
        <f>ROUND(Source!AX1484,O1491)</f>
        <v>0</v>
      </c>
      <c r="G1491" s="4" t="s">
        <v>99</v>
      </c>
      <c r="H1491" s="4" t="s">
        <v>100</v>
      </c>
      <c r="I1491" s="4"/>
      <c r="J1491" s="4"/>
      <c r="K1491" s="4">
        <v>227</v>
      </c>
      <c r="L1491" s="4">
        <v>6</v>
      </c>
      <c r="M1491" s="4">
        <v>3</v>
      </c>
      <c r="N1491" s="4" t="s">
        <v>3</v>
      </c>
      <c r="O1491" s="4">
        <v>2</v>
      </c>
      <c r="P1491" s="4"/>
      <c r="Q1491" s="4"/>
      <c r="R1491" s="4"/>
      <c r="S1491" s="4"/>
      <c r="T1491" s="4"/>
      <c r="U1491" s="4"/>
      <c r="V1491" s="4"/>
      <c r="W1491" s="4"/>
    </row>
    <row r="1492" spans="1:23" x14ac:dyDescent="0.2">
      <c r="A1492" s="4">
        <v>50</v>
      </c>
      <c r="B1492" s="4">
        <v>0</v>
      </c>
      <c r="C1492" s="4">
        <v>0</v>
      </c>
      <c r="D1492" s="4">
        <v>1</v>
      </c>
      <c r="E1492" s="4">
        <v>228</v>
      </c>
      <c r="F1492" s="4">
        <f>ROUND(Source!AY1484,O1492)</f>
        <v>0</v>
      </c>
      <c r="G1492" s="4" t="s">
        <v>101</v>
      </c>
      <c r="H1492" s="4" t="s">
        <v>102</v>
      </c>
      <c r="I1492" s="4"/>
      <c r="J1492" s="4"/>
      <c r="K1492" s="4">
        <v>228</v>
      </c>
      <c r="L1492" s="4">
        <v>7</v>
      </c>
      <c r="M1492" s="4">
        <v>3</v>
      </c>
      <c r="N1492" s="4" t="s">
        <v>3</v>
      </c>
      <c r="O1492" s="4">
        <v>2</v>
      </c>
      <c r="P1492" s="4"/>
      <c r="Q1492" s="4"/>
      <c r="R1492" s="4"/>
      <c r="S1492" s="4"/>
      <c r="T1492" s="4"/>
      <c r="U1492" s="4"/>
      <c r="V1492" s="4"/>
      <c r="W1492" s="4"/>
    </row>
    <row r="1493" spans="1:23" x14ac:dyDescent="0.2">
      <c r="A1493" s="4">
        <v>50</v>
      </c>
      <c r="B1493" s="4">
        <v>0</v>
      </c>
      <c r="C1493" s="4">
        <v>0</v>
      </c>
      <c r="D1493" s="4">
        <v>1</v>
      </c>
      <c r="E1493" s="4">
        <v>216</v>
      </c>
      <c r="F1493" s="4">
        <f>ROUND(Source!AP1484,O1493)</f>
        <v>0</v>
      </c>
      <c r="G1493" s="4" t="s">
        <v>103</v>
      </c>
      <c r="H1493" s="4" t="s">
        <v>104</v>
      </c>
      <c r="I1493" s="4"/>
      <c r="J1493" s="4"/>
      <c r="K1493" s="4">
        <v>216</v>
      </c>
      <c r="L1493" s="4">
        <v>8</v>
      </c>
      <c r="M1493" s="4">
        <v>3</v>
      </c>
      <c r="N1493" s="4" t="s">
        <v>3</v>
      </c>
      <c r="O1493" s="4">
        <v>2</v>
      </c>
      <c r="P1493" s="4"/>
      <c r="Q1493" s="4"/>
      <c r="R1493" s="4"/>
      <c r="S1493" s="4"/>
      <c r="T1493" s="4"/>
      <c r="U1493" s="4"/>
      <c r="V1493" s="4"/>
      <c r="W1493" s="4"/>
    </row>
    <row r="1494" spans="1:23" x14ac:dyDescent="0.2">
      <c r="A1494" s="4">
        <v>50</v>
      </c>
      <c r="B1494" s="4">
        <v>0</v>
      </c>
      <c r="C1494" s="4">
        <v>0</v>
      </c>
      <c r="D1494" s="4">
        <v>1</v>
      </c>
      <c r="E1494" s="4">
        <v>223</v>
      </c>
      <c r="F1494" s="4">
        <f>ROUND(Source!AQ1484,O1494)</f>
        <v>0</v>
      </c>
      <c r="G1494" s="4" t="s">
        <v>105</v>
      </c>
      <c r="H1494" s="4" t="s">
        <v>106</v>
      </c>
      <c r="I1494" s="4"/>
      <c r="J1494" s="4"/>
      <c r="K1494" s="4">
        <v>223</v>
      </c>
      <c r="L1494" s="4">
        <v>9</v>
      </c>
      <c r="M1494" s="4">
        <v>3</v>
      </c>
      <c r="N1494" s="4" t="s">
        <v>3</v>
      </c>
      <c r="O1494" s="4">
        <v>2</v>
      </c>
      <c r="P1494" s="4"/>
      <c r="Q1494" s="4"/>
      <c r="R1494" s="4"/>
      <c r="S1494" s="4"/>
      <c r="T1494" s="4"/>
      <c r="U1494" s="4"/>
      <c r="V1494" s="4"/>
      <c r="W1494" s="4"/>
    </row>
    <row r="1495" spans="1:23" x14ac:dyDescent="0.2">
      <c r="A1495" s="4">
        <v>50</v>
      </c>
      <c r="B1495" s="4">
        <v>0</v>
      </c>
      <c r="C1495" s="4">
        <v>0</v>
      </c>
      <c r="D1495" s="4">
        <v>1</v>
      </c>
      <c r="E1495" s="4">
        <v>229</v>
      </c>
      <c r="F1495" s="4">
        <f>ROUND(Source!AZ1484,O1495)</f>
        <v>0</v>
      </c>
      <c r="G1495" s="4" t="s">
        <v>107</v>
      </c>
      <c r="H1495" s="4" t="s">
        <v>108</v>
      </c>
      <c r="I1495" s="4"/>
      <c r="J1495" s="4"/>
      <c r="K1495" s="4">
        <v>229</v>
      </c>
      <c r="L1495" s="4">
        <v>10</v>
      </c>
      <c r="M1495" s="4">
        <v>3</v>
      </c>
      <c r="N1495" s="4" t="s">
        <v>3</v>
      </c>
      <c r="O1495" s="4">
        <v>2</v>
      </c>
      <c r="P1495" s="4"/>
      <c r="Q1495" s="4"/>
      <c r="R1495" s="4"/>
      <c r="S1495" s="4"/>
      <c r="T1495" s="4"/>
      <c r="U1495" s="4"/>
      <c r="V1495" s="4"/>
      <c r="W1495" s="4"/>
    </row>
    <row r="1496" spans="1:23" x14ac:dyDescent="0.2">
      <c r="A1496" s="4">
        <v>50</v>
      </c>
      <c r="B1496" s="4">
        <v>0</v>
      </c>
      <c r="C1496" s="4">
        <v>0</v>
      </c>
      <c r="D1496" s="4">
        <v>1</v>
      </c>
      <c r="E1496" s="4">
        <v>203</v>
      </c>
      <c r="F1496" s="4">
        <f>ROUND(Source!Q1484,O1496)</f>
        <v>0</v>
      </c>
      <c r="G1496" s="4" t="s">
        <v>109</v>
      </c>
      <c r="H1496" s="4" t="s">
        <v>110</v>
      </c>
      <c r="I1496" s="4"/>
      <c r="J1496" s="4"/>
      <c r="K1496" s="4">
        <v>203</v>
      </c>
      <c r="L1496" s="4">
        <v>11</v>
      </c>
      <c r="M1496" s="4">
        <v>3</v>
      </c>
      <c r="N1496" s="4" t="s">
        <v>3</v>
      </c>
      <c r="O1496" s="4">
        <v>2</v>
      </c>
      <c r="P1496" s="4"/>
      <c r="Q1496" s="4"/>
      <c r="R1496" s="4"/>
      <c r="S1496" s="4"/>
      <c r="T1496" s="4"/>
      <c r="U1496" s="4"/>
      <c r="V1496" s="4"/>
      <c r="W1496" s="4"/>
    </row>
    <row r="1497" spans="1:23" x14ac:dyDescent="0.2">
      <c r="A1497" s="4">
        <v>50</v>
      </c>
      <c r="B1497" s="4">
        <v>0</v>
      </c>
      <c r="C1497" s="4">
        <v>0</v>
      </c>
      <c r="D1497" s="4">
        <v>1</v>
      </c>
      <c r="E1497" s="4">
        <v>231</v>
      </c>
      <c r="F1497" s="4">
        <f>ROUND(Source!BB1484,O1497)</f>
        <v>0</v>
      </c>
      <c r="G1497" s="4" t="s">
        <v>111</v>
      </c>
      <c r="H1497" s="4" t="s">
        <v>112</v>
      </c>
      <c r="I1497" s="4"/>
      <c r="J1497" s="4"/>
      <c r="K1497" s="4">
        <v>231</v>
      </c>
      <c r="L1497" s="4">
        <v>12</v>
      </c>
      <c r="M1497" s="4">
        <v>3</v>
      </c>
      <c r="N1497" s="4" t="s">
        <v>3</v>
      </c>
      <c r="O1497" s="4">
        <v>2</v>
      </c>
      <c r="P1497" s="4"/>
      <c r="Q1497" s="4"/>
      <c r="R1497" s="4"/>
      <c r="S1497" s="4"/>
      <c r="T1497" s="4"/>
      <c r="U1497" s="4"/>
      <c r="V1497" s="4"/>
      <c r="W1497" s="4"/>
    </row>
    <row r="1498" spans="1:23" x14ac:dyDescent="0.2">
      <c r="A1498" s="4">
        <v>50</v>
      </c>
      <c r="B1498" s="4">
        <v>0</v>
      </c>
      <c r="C1498" s="4">
        <v>0</v>
      </c>
      <c r="D1498" s="4">
        <v>1</v>
      </c>
      <c r="E1498" s="4">
        <v>204</v>
      </c>
      <c r="F1498" s="4">
        <f>ROUND(Source!R1484,O1498)</f>
        <v>0</v>
      </c>
      <c r="G1498" s="4" t="s">
        <v>113</v>
      </c>
      <c r="H1498" s="4" t="s">
        <v>114</v>
      </c>
      <c r="I1498" s="4"/>
      <c r="J1498" s="4"/>
      <c r="K1498" s="4">
        <v>204</v>
      </c>
      <c r="L1498" s="4">
        <v>13</v>
      </c>
      <c r="M1498" s="4">
        <v>3</v>
      </c>
      <c r="N1498" s="4" t="s">
        <v>3</v>
      </c>
      <c r="O1498" s="4">
        <v>2</v>
      </c>
      <c r="P1498" s="4"/>
      <c r="Q1498" s="4"/>
      <c r="R1498" s="4"/>
      <c r="S1498" s="4"/>
      <c r="T1498" s="4"/>
      <c r="U1498" s="4"/>
      <c r="V1498" s="4"/>
      <c r="W1498" s="4"/>
    </row>
    <row r="1499" spans="1:23" x14ac:dyDescent="0.2">
      <c r="A1499" s="4">
        <v>50</v>
      </c>
      <c r="B1499" s="4">
        <v>0</v>
      </c>
      <c r="C1499" s="4">
        <v>0</v>
      </c>
      <c r="D1499" s="4">
        <v>1</v>
      </c>
      <c r="E1499" s="4">
        <v>205</v>
      </c>
      <c r="F1499" s="4">
        <f>ROUND(Source!S1484,O1499)</f>
        <v>0</v>
      </c>
      <c r="G1499" s="4" t="s">
        <v>115</v>
      </c>
      <c r="H1499" s="4" t="s">
        <v>116</v>
      </c>
      <c r="I1499" s="4"/>
      <c r="J1499" s="4"/>
      <c r="K1499" s="4">
        <v>205</v>
      </c>
      <c r="L1499" s="4">
        <v>14</v>
      </c>
      <c r="M1499" s="4">
        <v>3</v>
      </c>
      <c r="N1499" s="4" t="s">
        <v>3</v>
      </c>
      <c r="O1499" s="4">
        <v>2</v>
      </c>
      <c r="P1499" s="4"/>
      <c r="Q1499" s="4"/>
      <c r="R1499" s="4"/>
      <c r="S1499" s="4"/>
      <c r="T1499" s="4"/>
      <c r="U1499" s="4"/>
      <c r="V1499" s="4"/>
      <c r="W1499" s="4"/>
    </row>
    <row r="1500" spans="1:23" x14ac:dyDescent="0.2">
      <c r="A1500" s="4">
        <v>50</v>
      </c>
      <c r="B1500" s="4">
        <v>0</v>
      </c>
      <c r="C1500" s="4">
        <v>0</v>
      </c>
      <c r="D1500" s="4">
        <v>1</v>
      </c>
      <c r="E1500" s="4">
        <v>232</v>
      </c>
      <c r="F1500" s="4">
        <f>ROUND(Source!BC1484,O1500)</f>
        <v>0</v>
      </c>
      <c r="G1500" s="4" t="s">
        <v>117</v>
      </c>
      <c r="H1500" s="4" t="s">
        <v>118</v>
      </c>
      <c r="I1500" s="4"/>
      <c r="J1500" s="4"/>
      <c r="K1500" s="4">
        <v>232</v>
      </c>
      <c r="L1500" s="4">
        <v>15</v>
      </c>
      <c r="M1500" s="4">
        <v>3</v>
      </c>
      <c r="N1500" s="4" t="s">
        <v>3</v>
      </c>
      <c r="O1500" s="4">
        <v>2</v>
      </c>
      <c r="P1500" s="4"/>
      <c r="Q1500" s="4"/>
      <c r="R1500" s="4"/>
      <c r="S1500" s="4"/>
      <c r="T1500" s="4"/>
      <c r="U1500" s="4"/>
      <c r="V1500" s="4"/>
      <c r="W1500" s="4"/>
    </row>
    <row r="1501" spans="1:23" x14ac:dyDescent="0.2">
      <c r="A1501" s="4">
        <v>50</v>
      </c>
      <c r="B1501" s="4">
        <v>0</v>
      </c>
      <c r="C1501" s="4">
        <v>0</v>
      </c>
      <c r="D1501" s="4">
        <v>1</v>
      </c>
      <c r="E1501" s="4">
        <v>214</v>
      </c>
      <c r="F1501" s="4">
        <f>ROUND(Source!AS1484,O1501)</f>
        <v>0</v>
      </c>
      <c r="G1501" s="4" t="s">
        <v>119</v>
      </c>
      <c r="H1501" s="4" t="s">
        <v>120</v>
      </c>
      <c r="I1501" s="4"/>
      <c r="J1501" s="4"/>
      <c r="K1501" s="4">
        <v>214</v>
      </c>
      <c r="L1501" s="4">
        <v>16</v>
      </c>
      <c r="M1501" s="4">
        <v>3</v>
      </c>
      <c r="N1501" s="4" t="s">
        <v>3</v>
      </c>
      <c r="O1501" s="4">
        <v>2</v>
      </c>
      <c r="P1501" s="4"/>
      <c r="Q1501" s="4"/>
      <c r="R1501" s="4"/>
      <c r="S1501" s="4"/>
      <c r="T1501" s="4"/>
      <c r="U1501" s="4"/>
      <c r="V1501" s="4"/>
      <c r="W1501" s="4"/>
    </row>
    <row r="1502" spans="1:23" x14ac:dyDescent="0.2">
      <c r="A1502" s="4">
        <v>50</v>
      </c>
      <c r="B1502" s="4">
        <v>0</v>
      </c>
      <c r="C1502" s="4">
        <v>0</v>
      </c>
      <c r="D1502" s="4">
        <v>1</v>
      </c>
      <c r="E1502" s="4">
        <v>215</v>
      </c>
      <c r="F1502" s="4">
        <f>ROUND(Source!AT1484,O1502)</f>
        <v>0</v>
      </c>
      <c r="G1502" s="4" t="s">
        <v>121</v>
      </c>
      <c r="H1502" s="4" t="s">
        <v>122</v>
      </c>
      <c r="I1502" s="4"/>
      <c r="J1502" s="4"/>
      <c r="K1502" s="4">
        <v>215</v>
      </c>
      <c r="L1502" s="4">
        <v>17</v>
      </c>
      <c r="M1502" s="4">
        <v>3</v>
      </c>
      <c r="N1502" s="4" t="s">
        <v>3</v>
      </c>
      <c r="O1502" s="4">
        <v>2</v>
      </c>
      <c r="P1502" s="4"/>
      <c r="Q1502" s="4"/>
      <c r="R1502" s="4"/>
      <c r="S1502" s="4"/>
      <c r="T1502" s="4"/>
      <c r="U1502" s="4"/>
      <c r="V1502" s="4"/>
      <c r="W1502" s="4"/>
    </row>
    <row r="1503" spans="1:23" x14ac:dyDescent="0.2">
      <c r="A1503" s="4">
        <v>50</v>
      </c>
      <c r="B1503" s="4">
        <v>0</v>
      </c>
      <c r="C1503" s="4">
        <v>0</v>
      </c>
      <c r="D1503" s="4">
        <v>1</v>
      </c>
      <c r="E1503" s="4">
        <v>217</v>
      </c>
      <c r="F1503" s="4">
        <f>ROUND(Source!AU1484,O1503)</f>
        <v>0</v>
      </c>
      <c r="G1503" s="4" t="s">
        <v>123</v>
      </c>
      <c r="H1503" s="4" t="s">
        <v>124</v>
      </c>
      <c r="I1503" s="4"/>
      <c r="J1503" s="4"/>
      <c r="K1503" s="4">
        <v>217</v>
      </c>
      <c r="L1503" s="4">
        <v>18</v>
      </c>
      <c r="M1503" s="4">
        <v>3</v>
      </c>
      <c r="N1503" s="4" t="s">
        <v>3</v>
      </c>
      <c r="O1503" s="4">
        <v>2</v>
      </c>
      <c r="P1503" s="4"/>
      <c r="Q1503" s="4"/>
      <c r="R1503" s="4"/>
      <c r="S1503" s="4"/>
      <c r="T1503" s="4"/>
      <c r="U1503" s="4"/>
      <c r="V1503" s="4"/>
      <c r="W1503" s="4"/>
    </row>
    <row r="1504" spans="1:23" x14ac:dyDescent="0.2">
      <c r="A1504" s="4">
        <v>50</v>
      </c>
      <c r="B1504" s="4">
        <v>0</v>
      </c>
      <c r="C1504" s="4">
        <v>0</v>
      </c>
      <c r="D1504" s="4">
        <v>1</v>
      </c>
      <c r="E1504" s="4">
        <v>230</v>
      </c>
      <c r="F1504" s="4">
        <f>ROUND(Source!BA1484,O1504)</f>
        <v>0</v>
      </c>
      <c r="G1504" s="4" t="s">
        <v>125</v>
      </c>
      <c r="H1504" s="4" t="s">
        <v>126</v>
      </c>
      <c r="I1504" s="4"/>
      <c r="J1504" s="4"/>
      <c r="K1504" s="4">
        <v>230</v>
      </c>
      <c r="L1504" s="4">
        <v>19</v>
      </c>
      <c r="M1504" s="4">
        <v>3</v>
      </c>
      <c r="N1504" s="4" t="s">
        <v>3</v>
      </c>
      <c r="O1504" s="4">
        <v>2</v>
      </c>
      <c r="P1504" s="4"/>
      <c r="Q1504" s="4"/>
      <c r="R1504" s="4"/>
      <c r="S1504" s="4"/>
      <c r="T1504" s="4"/>
      <c r="U1504" s="4"/>
      <c r="V1504" s="4"/>
      <c r="W1504" s="4"/>
    </row>
    <row r="1505" spans="1:206" x14ac:dyDescent="0.2">
      <c r="A1505" s="4">
        <v>50</v>
      </c>
      <c r="B1505" s="4">
        <v>0</v>
      </c>
      <c r="C1505" s="4">
        <v>0</v>
      </c>
      <c r="D1505" s="4">
        <v>1</v>
      </c>
      <c r="E1505" s="4">
        <v>206</v>
      </c>
      <c r="F1505" s="4">
        <f>ROUND(Source!T1484,O1505)</f>
        <v>0</v>
      </c>
      <c r="G1505" s="4" t="s">
        <v>127</v>
      </c>
      <c r="H1505" s="4" t="s">
        <v>128</v>
      </c>
      <c r="I1505" s="4"/>
      <c r="J1505" s="4"/>
      <c r="K1505" s="4">
        <v>206</v>
      </c>
      <c r="L1505" s="4">
        <v>20</v>
      </c>
      <c r="M1505" s="4">
        <v>3</v>
      </c>
      <c r="N1505" s="4" t="s">
        <v>3</v>
      </c>
      <c r="O1505" s="4">
        <v>2</v>
      </c>
      <c r="P1505" s="4"/>
      <c r="Q1505" s="4"/>
      <c r="R1505" s="4"/>
      <c r="S1505" s="4"/>
      <c r="T1505" s="4"/>
      <c r="U1505" s="4"/>
      <c r="V1505" s="4"/>
      <c r="W1505" s="4"/>
    </row>
    <row r="1506" spans="1:206" x14ac:dyDescent="0.2">
      <c r="A1506" s="4">
        <v>50</v>
      </c>
      <c r="B1506" s="4">
        <v>0</v>
      </c>
      <c r="C1506" s="4">
        <v>0</v>
      </c>
      <c r="D1506" s="4">
        <v>1</v>
      </c>
      <c r="E1506" s="4">
        <v>207</v>
      </c>
      <c r="F1506" s="4">
        <f>Source!U1484</f>
        <v>0</v>
      </c>
      <c r="G1506" s="4" t="s">
        <v>129</v>
      </c>
      <c r="H1506" s="4" t="s">
        <v>130</v>
      </c>
      <c r="I1506" s="4"/>
      <c r="J1506" s="4"/>
      <c r="K1506" s="4">
        <v>207</v>
      </c>
      <c r="L1506" s="4">
        <v>21</v>
      </c>
      <c r="M1506" s="4">
        <v>3</v>
      </c>
      <c r="N1506" s="4" t="s">
        <v>3</v>
      </c>
      <c r="O1506" s="4">
        <v>-1</v>
      </c>
      <c r="P1506" s="4"/>
      <c r="Q1506" s="4"/>
      <c r="R1506" s="4"/>
      <c r="S1506" s="4"/>
      <c r="T1506" s="4"/>
      <c r="U1506" s="4"/>
      <c r="V1506" s="4"/>
      <c r="W1506" s="4"/>
    </row>
    <row r="1507" spans="1:206" x14ac:dyDescent="0.2">
      <c r="A1507" s="4">
        <v>50</v>
      </c>
      <c r="B1507" s="4">
        <v>0</v>
      </c>
      <c r="C1507" s="4">
        <v>0</v>
      </c>
      <c r="D1507" s="4">
        <v>1</v>
      </c>
      <c r="E1507" s="4">
        <v>208</v>
      </c>
      <c r="F1507" s="4">
        <f>Source!V1484</f>
        <v>0</v>
      </c>
      <c r="G1507" s="4" t="s">
        <v>131</v>
      </c>
      <c r="H1507" s="4" t="s">
        <v>132</v>
      </c>
      <c r="I1507" s="4"/>
      <c r="J1507" s="4"/>
      <c r="K1507" s="4">
        <v>208</v>
      </c>
      <c r="L1507" s="4">
        <v>22</v>
      </c>
      <c r="M1507" s="4">
        <v>3</v>
      </c>
      <c r="N1507" s="4" t="s">
        <v>3</v>
      </c>
      <c r="O1507" s="4">
        <v>-1</v>
      </c>
      <c r="P1507" s="4"/>
      <c r="Q1507" s="4"/>
      <c r="R1507" s="4"/>
      <c r="S1507" s="4"/>
      <c r="T1507" s="4"/>
      <c r="U1507" s="4"/>
      <c r="V1507" s="4"/>
      <c r="W1507" s="4"/>
    </row>
    <row r="1508" spans="1:206" x14ac:dyDescent="0.2">
      <c r="A1508" s="4">
        <v>50</v>
      </c>
      <c r="B1508" s="4">
        <v>0</v>
      </c>
      <c r="C1508" s="4">
        <v>0</v>
      </c>
      <c r="D1508" s="4">
        <v>1</v>
      </c>
      <c r="E1508" s="4">
        <v>209</v>
      </c>
      <c r="F1508" s="4">
        <f>ROUND(Source!W1484,O1508)</f>
        <v>0</v>
      </c>
      <c r="G1508" s="4" t="s">
        <v>133</v>
      </c>
      <c r="H1508" s="4" t="s">
        <v>134</v>
      </c>
      <c r="I1508" s="4"/>
      <c r="J1508" s="4"/>
      <c r="K1508" s="4">
        <v>209</v>
      </c>
      <c r="L1508" s="4">
        <v>23</v>
      </c>
      <c r="M1508" s="4">
        <v>3</v>
      </c>
      <c r="N1508" s="4" t="s">
        <v>3</v>
      </c>
      <c r="O1508" s="4">
        <v>2</v>
      </c>
      <c r="P1508" s="4"/>
      <c r="Q1508" s="4"/>
      <c r="R1508" s="4"/>
      <c r="S1508" s="4"/>
      <c r="T1508" s="4"/>
      <c r="U1508" s="4"/>
      <c r="V1508" s="4"/>
      <c r="W1508" s="4"/>
    </row>
    <row r="1509" spans="1:206" x14ac:dyDescent="0.2">
      <c r="A1509" s="4">
        <v>50</v>
      </c>
      <c r="B1509" s="4">
        <v>0</v>
      </c>
      <c r="C1509" s="4">
        <v>0</v>
      </c>
      <c r="D1509" s="4">
        <v>1</v>
      </c>
      <c r="E1509" s="4">
        <v>233</v>
      </c>
      <c r="F1509" s="4">
        <f>ROUND(Source!BD1484,O1509)</f>
        <v>0</v>
      </c>
      <c r="G1509" s="4" t="s">
        <v>135</v>
      </c>
      <c r="H1509" s="4" t="s">
        <v>136</v>
      </c>
      <c r="I1509" s="4"/>
      <c r="J1509" s="4"/>
      <c r="K1509" s="4">
        <v>233</v>
      </c>
      <c r="L1509" s="4">
        <v>24</v>
      </c>
      <c r="M1509" s="4">
        <v>3</v>
      </c>
      <c r="N1509" s="4" t="s">
        <v>3</v>
      </c>
      <c r="O1509" s="4">
        <v>2</v>
      </c>
      <c r="P1509" s="4"/>
      <c r="Q1509" s="4"/>
      <c r="R1509" s="4"/>
      <c r="S1509" s="4"/>
      <c r="T1509" s="4"/>
      <c r="U1509" s="4"/>
      <c r="V1509" s="4"/>
      <c r="W1509" s="4"/>
    </row>
    <row r="1510" spans="1:206" x14ac:dyDescent="0.2">
      <c r="A1510" s="4">
        <v>50</v>
      </c>
      <c r="B1510" s="4">
        <v>0</v>
      </c>
      <c r="C1510" s="4">
        <v>0</v>
      </c>
      <c r="D1510" s="4">
        <v>1</v>
      </c>
      <c r="E1510" s="4">
        <v>210</v>
      </c>
      <c r="F1510" s="4">
        <f>ROUND(Source!X1484,O1510)</f>
        <v>0</v>
      </c>
      <c r="G1510" s="4" t="s">
        <v>137</v>
      </c>
      <c r="H1510" s="4" t="s">
        <v>138</v>
      </c>
      <c r="I1510" s="4"/>
      <c r="J1510" s="4"/>
      <c r="K1510" s="4">
        <v>210</v>
      </c>
      <c r="L1510" s="4">
        <v>25</v>
      </c>
      <c r="M1510" s="4">
        <v>3</v>
      </c>
      <c r="N1510" s="4" t="s">
        <v>3</v>
      </c>
      <c r="O1510" s="4">
        <v>2</v>
      </c>
      <c r="P1510" s="4"/>
      <c r="Q1510" s="4"/>
      <c r="R1510" s="4"/>
      <c r="S1510" s="4"/>
      <c r="T1510" s="4"/>
      <c r="U1510" s="4"/>
      <c r="V1510" s="4"/>
      <c r="W1510" s="4"/>
    </row>
    <row r="1511" spans="1:206" x14ac:dyDescent="0.2">
      <c r="A1511" s="4">
        <v>50</v>
      </c>
      <c r="B1511" s="4">
        <v>0</v>
      </c>
      <c r="C1511" s="4">
        <v>0</v>
      </c>
      <c r="D1511" s="4">
        <v>1</v>
      </c>
      <c r="E1511" s="4">
        <v>211</v>
      </c>
      <c r="F1511" s="4">
        <f>ROUND(Source!Y1484,O1511)</f>
        <v>0</v>
      </c>
      <c r="G1511" s="4" t="s">
        <v>139</v>
      </c>
      <c r="H1511" s="4" t="s">
        <v>140</v>
      </c>
      <c r="I1511" s="4"/>
      <c r="J1511" s="4"/>
      <c r="K1511" s="4">
        <v>211</v>
      </c>
      <c r="L1511" s="4">
        <v>26</v>
      </c>
      <c r="M1511" s="4">
        <v>3</v>
      </c>
      <c r="N1511" s="4" t="s">
        <v>3</v>
      </c>
      <c r="O1511" s="4">
        <v>2</v>
      </c>
      <c r="P1511" s="4"/>
      <c r="Q1511" s="4"/>
      <c r="R1511" s="4"/>
      <c r="S1511" s="4"/>
      <c r="T1511" s="4"/>
      <c r="U1511" s="4"/>
      <c r="V1511" s="4"/>
      <c r="W1511" s="4"/>
    </row>
    <row r="1512" spans="1:206" x14ac:dyDescent="0.2">
      <c r="A1512" s="4">
        <v>50</v>
      </c>
      <c r="B1512" s="4">
        <v>0</v>
      </c>
      <c r="C1512" s="4">
        <v>0</v>
      </c>
      <c r="D1512" s="4">
        <v>1</v>
      </c>
      <c r="E1512" s="4">
        <v>224</v>
      </c>
      <c r="F1512" s="4">
        <f>ROUND(Source!AR1484,O1512)</f>
        <v>0</v>
      </c>
      <c r="G1512" s="4" t="s">
        <v>141</v>
      </c>
      <c r="H1512" s="4" t="s">
        <v>142</v>
      </c>
      <c r="I1512" s="4"/>
      <c r="J1512" s="4"/>
      <c r="K1512" s="4">
        <v>224</v>
      </c>
      <c r="L1512" s="4">
        <v>27</v>
      </c>
      <c r="M1512" s="4">
        <v>3</v>
      </c>
      <c r="N1512" s="4" t="s">
        <v>3</v>
      </c>
      <c r="O1512" s="4">
        <v>2</v>
      </c>
      <c r="P1512" s="4"/>
      <c r="Q1512" s="4"/>
      <c r="R1512" s="4"/>
      <c r="S1512" s="4"/>
      <c r="T1512" s="4"/>
      <c r="U1512" s="4"/>
      <c r="V1512" s="4"/>
      <c r="W1512" s="4"/>
    </row>
    <row r="1514" spans="1:206" x14ac:dyDescent="0.2">
      <c r="A1514" s="2">
        <v>51</v>
      </c>
      <c r="B1514" s="2">
        <f>B20</f>
        <v>1</v>
      </c>
      <c r="C1514" s="2">
        <f>A20</f>
        <v>3</v>
      </c>
      <c r="D1514" s="2">
        <f>ROW(A20)</f>
        <v>20</v>
      </c>
      <c r="E1514" s="2"/>
      <c r="F1514" s="2" t="str">
        <f>IF(F20&lt;&gt;"",F20,"")</f>
        <v>Новая локальная смета</v>
      </c>
      <c r="G1514" s="2" t="str">
        <f>IF(G20&lt;&gt;"",G20,"")</f>
        <v>Новая локальная смета</v>
      </c>
      <c r="H1514" s="2">
        <v>0</v>
      </c>
      <c r="I1514" s="2"/>
      <c r="J1514" s="2"/>
      <c r="K1514" s="2"/>
      <c r="L1514" s="2"/>
      <c r="M1514" s="2"/>
      <c r="N1514" s="2"/>
      <c r="O1514" s="2">
        <f t="shared" ref="O1514:T1514" si="946">ROUND(O42+O89+O124+O167+O214+O259+O294+O343+O389+O424+O458+O503+O538+O583+O618+O666+O711+O746+O792+O827+O864+O899+O933+O967+O1012+O1047+O1081+O1115+O1157+O1197+O1232+O1266+O1307+O1347+O1382+O1416+O1450+O1484+AB1514,2)</f>
        <v>40803235.710000001</v>
      </c>
      <c r="P1514" s="2">
        <f t="shared" si="946"/>
        <v>28115563.460000001</v>
      </c>
      <c r="Q1514" s="2">
        <f t="shared" si="946"/>
        <v>2984277.57</v>
      </c>
      <c r="R1514" s="2">
        <f t="shared" si="946"/>
        <v>1288867.77</v>
      </c>
      <c r="S1514" s="2">
        <f t="shared" si="946"/>
        <v>9703394.6799999997</v>
      </c>
      <c r="T1514" s="2">
        <f t="shared" si="946"/>
        <v>0</v>
      </c>
      <c r="U1514" s="2">
        <f>U42+U89+U124+U167+U214+U259+U294+U343+U389+U424+U458+U503+U538+U583+U618+U666+U711+U746+U792+U827+U864+U899+U933+U967+U1012+U1047+U1081+U1115+U1157+U1197+U1232+U1266+U1307+U1347+U1382+U1416+U1450+U1484+AH1514</f>
        <v>35964.222826878162</v>
      </c>
      <c r="V1514" s="2">
        <f>V42+V89+V124+V167+V214+V259+V294+V343+V389+V424+V458+V503+V538+V583+V618+V666+V711+V746+V792+V827+V864+V899+V933+V967+V1012+V1047+V1081+V1115+V1157+V1197+V1232+V1266+V1307+V1347+V1382+V1416+V1450+V1484+AI1514</f>
        <v>0</v>
      </c>
      <c r="W1514" s="2">
        <f>ROUND(W42+W89+W124+W167+W214+W259+W294+W343+W389+W424+W458+W503+W538+W583+W618+W666+W711+W746+W792+W827+W864+W899+W933+W967+W1012+W1047+W1081+W1115+W1157+W1197+W1232+W1266+W1307+W1347+W1382+W1416+W1450+W1484+AJ1514,2)</f>
        <v>0</v>
      </c>
      <c r="X1514" s="2">
        <f>ROUND(X42+X89+X124+X167+X214+X259+X294+X343+X389+X424+X458+X503+X538+X583+X618+X666+X711+X746+X792+X827+X864+X899+X933+X967+X1012+X1047+X1081+X1115+X1157+X1197+X1232+X1266+X1307+X1347+X1382+X1416+X1450+X1484+AK1514,2)</f>
        <v>9693116.6199999992</v>
      </c>
      <c r="Y1514" s="2">
        <f>ROUND(Y42+Y89+Y124+Y167+Y214+Y259+Y294+Y343+Y389+Y424+Y458+Y503+Y538+Y583+Y618+Y666+Y711+Y746+Y792+Y827+Y864+Y899+Y933+Y967+Y1012+Y1047+Y1081+Y1115+Y1157+Y1197+Y1232+Y1266+Y1307+Y1347+Y1382+Y1416+Y1450+Y1484+AL1514,2)</f>
        <v>4458728.57</v>
      </c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>
        <f t="shared" ref="AO1514:BD1514" si="947">ROUND(AO42+AO89+AO124+AO167+AO214+AO259+AO294+AO343+AO389+AO424+AO458+AO503+AO538+AO583+AO618+AO666+AO711+AO746+AO792+AO827+AO864+AO899+AO933+AO967+AO1012+AO1047+AO1081+AO1115+AO1157+AO1197+AO1232+AO1266+AO1307+AO1347+AO1382+AO1416+AO1450+AO1484+BX1514,2)</f>
        <v>0</v>
      </c>
      <c r="AP1514" s="2">
        <f t="shared" si="947"/>
        <v>0</v>
      </c>
      <c r="AQ1514" s="2">
        <f t="shared" si="947"/>
        <v>0</v>
      </c>
      <c r="AR1514" s="2">
        <f t="shared" si="947"/>
        <v>56978603.32</v>
      </c>
      <c r="AS1514" s="2">
        <f t="shared" si="947"/>
        <v>56978603.32</v>
      </c>
      <c r="AT1514" s="2">
        <f t="shared" si="947"/>
        <v>0</v>
      </c>
      <c r="AU1514" s="2">
        <f t="shared" si="947"/>
        <v>0</v>
      </c>
      <c r="AV1514" s="2">
        <f t="shared" si="947"/>
        <v>28115563.460000001</v>
      </c>
      <c r="AW1514" s="2">
        <f t="shared" si="947"/>
        <v>28115563.460000001</v>
      </c>
      <c r="AX1514" s="2">
        <f t="shared" si="947"/>
        <v>0</v>
      </c>
      <c r="AY1514" s="2">
        <f t="shared" si="947"/>
        <v>28115563.460000001</v>
      </c>
      <c r="AZ1514" s="2">
        <f t="shared" si="947"/>
        <v>0</v>
      </c>
      <c r="BA1514" s="2">
        <f t="shared" si="947"/>
        <v>0</v>
      </c>
      <c r="BB1514" s="2">
        <f t="shared" si="947"/>
        <v>0</v>
      </c>
      <c r="BC1514" s="2">
        <f t="shared" si="947"/>
        <v>0</v>
      </c>
      <c r="BD1514" s="2">
        <f t="shared" si="947"/>
        <v>0</v>
      </c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3"/>
      <c r="DH1514" s="3"/>
      <c r="DI1514" s="3"/>
      <c r="DJ1514" s="3"/>
      <c r="DK1514" s="3"/>
      <c r="DL1514" s="3"/>
      <c r="DM1514" s="3"/>
      <c r="DN1514" s="3"/>
      <c r="DO1514" s="3"/>
      <c r="DP1514" s="3"/>
      <c r="DQ1514" s="3"/>
      <c r="DR1514" s="3"/>
      <c r="DS1514" s="3"/>
      <c r="DT1514" s="3"/>
      <c r="DU1514" s="3"/>
      <c r="DV1514" s="3"/>
      <c r="DW1514" s="3"/>
      <c r="DX1514" s="3"/>
      <c r="DY1514" s="3"/>
      <c r="DZ1514" s="3"/>
      <c r="EA1514" s="3"/>
      <c r="EB1514" s="3"/>
      <c r="EC1514" s="3"/>
      <c r="ED1514" s="3"/>
      <c r="EE1514" s="3"/>
      <c r="EF1514" s="3"/>
      <c r="EG1514" s="3"/>
      <c r="EH1514" s="3"/>
      <c r="EI1514" s="3"/>
      <c r="EJ1514" s="3"/>
      <c r="EK1514" s="3"/>
      <c r="EL1514" s="3"/>
      <c r="EM1514" s="3"/>
      <c r="EN1514" s="3"/>
      <c r="EO1514" s="3"/>
      <c r="EP1514" s="3"/>
      <c r="EQ1514" s="3"/>
      <c r="ER1514" s="3"/>
      <c r="ES1514" s="3"/>
      <c r="ET1514" s="3"/>
      <c r="EU1514" s="3"/>
      <c r="EV1514" s="3"/>
      <c r="EW1514" s="3"/>
      <c r="EX1514" s="3"/>
      <c r="EY1514" s="3"/>
      <c r="EZ1514" s="3"/>
      <c r="FA1514" s="3"/>
      <c r="FB1514" s="3"/>
      <c r="FC1514" s="3"/>
      <c r="FD1514" s="3"/>
      <c r="FE1514" s="3"/>
      <c r="FF1514" s="3"/>
      <c r="FG1514" s="3"/>
      <c r="FH1514" s="3"/>
      <c r="FI1514" s="3"/>
      <c r="FJ1514" s="3"/>
      <c r="FK1514" s="3"/>
      <c r="FL1514" s="3"/>
      <c r="FM1514" s="3"/>
      <c r="FN1514" s="3"/>
      <c r="FO1514" s="3"/>
      <c r="FP1514" s="3"/>
      <c r="FQ1514" s="3"/>
      <c r="FR1514" s="3"/>
      <c r="FS1514" s="3"/>
      <c r="FT1514" s="3"/>
      <c r="FU1514" s="3"/>
      <c r="FV1514" s="3"/>
      <c r="FW1514" s="3"/>
      <c r="FX1514" s="3"/>
      <c r="FY1514" s="3"/>
      <c r="FZ1514" s="3"/>
      <c r="GA1514" s="3"/>
      <c r="GB1514" s="3"/>
      <c r="GC1514" s="3"/>
      <c r="GD1514" s="3"/>
      <c r="GE1514" s="3"/>
      <c r="GF1514" s="3"/>
      <c r="GG1514" s="3"/>
      <c r="GH1514" s="3"/>
      <c r="GI1514" s="3"/>
      <c r="GJ1514" s="3"/>
      <c r="GK1514" s="3"/>
      <c r="GL1514" s="3"/>
      <c r="GM1514" s="3"/>
      <c r="GN1514" s="3"/>
      <c r="GO1514" s="3"/>
      <c r="GP1514" s="3"/>
      <c r="GQ1514" s="3"/>
      <c r="GR1514" s="3"/>
      <c r="GS1514" s="3"/>
      <c r="GT1514" s="3"/>
      <c r="GU1514" s="3"/>
      <c r="GV1514" s="3"/>
      <c r="GW1514" s="3"/>
      <c r="GX1514" s="3">
        <v>0</v>
      </c>
    </row>
    <row r="1516" spans="1:206" x14ac:dyDescent="0.2">
      <c r="A1516" s="4">
        <v>50</v>
      </c>
      <c r="B1516" s="4">
        <v>0</v>
      </c>
      <c r="C1516" s="4">
        <v>0</v>
      </c>
      <c r="D1516" s="4">
        <v>1</v>
      </c>
      <c r="E1516" s="4">
        <v>201</v>
      </c>
      <c r="F1516" s="4">
        <f>ROUND(Source!O1514,O1516)</f>
        <v>40803235.710000001</v>
      </c>
      <c r="G1516" s="4" t="s">
        <v>89</v>
      </c>
      <c r="H1516" s="4" t="s">
        <v>90</v>
      </c>
      <c r="I1516" s="4"/>
      <c r="J1516" s="4"/>
      <c r="K1516" s="4">
        <v>201</v>
      </c>
      <c r="L1516" s="4">
        <v>1</v>
      </c>
      <c r="M1516" s="4">
        <v>3</v>
      </c>
      <c r="N1516" s="4" t="s">
        <v>3</v>
      </c>
      <c r="O1516" s="4">
        <v>2</v>
      </c>
      <c r="P1516" s="4"/>
      <c r="Q1516" s="4"/>
      <c r="R1516" s="4"/>
      <c r="S1516" s="4"/>
      <c r="T1516" s="4"/>
      <c r="U1516" s="4"/>
      <c r="V1516" s="4"/>
      <c r="W1516" s="4"/>
    </row>
    <row r="1517" spans="1:206" x14ac:dyDescent="0.2">
      <c r="A1517" s="4">
        <v>50</v>
      </c>
      <c r="B1517" s="4">
        <v>0</v>
      </c>
      <c r="C1517" s="4">
        <v>0</v>
      </c>
      <c r="D1517" s="4">
        <v>1</v>
      </c>
      <c r="E1517" s="4">
        <v>202</v>
      </c>
      <c r="F1517" s="4">
        <f>ROUND(Source!P1514,O1517)</f>
        <v>28115563.460000001</v>
      </c>
      <c r="G1517" s="4" t="s">
        <v>91</v>
      </c>
      <c r="H1517" s="4" t="s">
        <v>92</v>
      </c>
      <c r="I1517" s="4"/>
      <c r="J1517" s="4"/>
      <c r="K1517" s="4">
        <v>202</v>
      </c>
      <c r="L1517" s="4">
        <v>2</v>
      </c>
      <c r="M1517" s="4">
        <v>3</v>
      </c>
      <c r="N1517" s="4" t="s">
        <v>3</v>
      </c>
      <c r="O1517" s="4">
        <v>2</v>
      </c>
      <c r="P1517" s="4"/>
      <c r="Q1517" s="4"/>
      <c r="R1517" s="4"/>
      <c r="S1517" s="4"/>
      <c r="T1517" s="4"/>
      <c r="U1517" s="4"/>
      <c r="V1517" s="4"/>
      <c r="W1517" s="4"/>
    </row>
    <row r="1518" spans="1:206" x14ac:dyDescent="0.2">
      <c r="A1518" s="4">
        <v>50</v>
      </c>
      <c r="B1518" s="4">
        <v>0</v>
      </c>
      <c r="C1518" s="4">
        <v>0</v>
      </c>
      <c r="D1518" s="4">
        <v>1</v>
      </c>
      <c r="E1518" s="4">
        <v>222</v>
      </c>
      <c r="F1518" s="4">
        <f>ROUND(Source!AO1514,O1518)</f>
        <v>0</v>
      </c>
      <c r="G1518" s="4" t="s">
        <v>93</v>
      </c>
      <c r="H1518" s="4" t="s">
        <v>94</v>
      </c>
      <c r="I1518" s="4"/>
      <c r="J1518" s="4"/>
      <c r="K1518" s="4">
        <v>222</v>
      </c>
      <c r="L1518" s="4">
        <v>3</v>
      </c>
      <c r="M1518" s="4">
        <v>3</v>
      </c>
      <c r="N1518" s="4" t="s">
        <v>3</v>
      </c>
      <c r="O1518" s="4">
        <v>2</v>
      </c>
      <c r="P1518" s="4"/>
      <c r="Q1518" s="4"/>
      <c r="R1518" s="4"/>
      <c r="S1518" s="4"/>
      <c r="T1518" s="4"/>
      <c r="U1518" s="4"/>
      <c r="V1518" s="4"/>
      <c r="W1518" s="4"/>
    </row>
    <row r="1519" spans="1:206" x14ac:dyDescent="0.2">
      <c r="A1519" s="4">
        <v>50</v>
      </c>
      <c r="B1519" s="4">
        <v>0</v>
      </c>
      <c r="C1519" s="4">
        <v>0</v>
      </c>
      <c r="D1519" s="4">
        <v>1</v>
      </c>
      <c r="E1519" s="4">
        <v>225</v>
      </c>
      <c r="F1519" s="4">
        <f>ROUND(Source!AV1514,O1519)</f>
        <v>28115563.460000001</v>
      </c>
      <c r="G1519" s="4" t="s">
        <v>95</v>
      </c>
      <c r="H1519" s="4" t="s">
        <v>96</v>
      </c>
      <c r="I1519" s="4"/>
      <c r="J1519" s="4"/>
      <c r="K1519" s="4">
        <v>225</v>
      </c>
      <c r="L1519" s="4">
        <v>4</v>
      </c>
      <c r="M1519" s="4">
        <v>3</v>
      </c>
      <c r="N1519" s="4" t="s">
        <v>3</v>
      </c>
      <c r="O1519" s="4">
        <v>2</v>
      </c>
      <c r="P1519" s="4"/>
      <c r="Q1519" s="4"/>
      <c r="R1519" s="4"/>
      <c r="S1519" s="4"/>
      <c r="T1519" s="4"/>
      <c r="U1519" s="4"/>
      <c r="V1519" s="4"/>
      <c r="W1519" s="4"/>
    </row>
    <row r="1520" spans="1:206" x14ac:dyDescent="0.2">
      <c r="A1520" s="4">
        <v>50</v>
      </c>
      <c r="B1520" s="4">
        <v>0</v>
      </c>
      <c r="C1520" s="4">
        <v>0</v>
      </c>
      <c r="D1520" s="4">
        <v>1</v>
      </c>
      <c r="E1520" s="4">
        <v>226</v>
      </c>
      <c r="F1520" s="4">
        <f>ROUND(Source!AW1514,O1520)</f>
        <v>28115563.460000001</v>
      </c>
      <c r="G1520" s="4" t="s">
        <v>97</v>
      </c>
      <c r="H1520" s="4" t="s">
        <v>98</v>
      </c>
      <c r="I1520" s="4"/>
      <c r="J1520" s="4"/>
      <c r="K1520" s="4">
        <v>226</v>
      </c>
      <c r="L1520" s="4">
        <v>5</v>
      </c>
      <c r="M1520" s="4">
        <v>3</v>
      </c>
      <c r="N1520" s="4" t="s">
        <v>3</v>
      </c>
      <c r="O1520" s="4">
        <v>2</v>
      </c>
      <c r="P1520" s="4"/>
      <c r="Q1520" s="4"/>
      <c r="R1520" s="4"/>
      <c r="S1520" s="4"/>
      <c r="T1520" s="4"/>
      <c r="U1520" s="4"/>
      <c r="V1520" s="4"/>
      <c r="W1520" s="4"/>
    </row>
    <row r="1521" spans="1:23" x14ac:dyDescent="0.2">
      <c r="A1521" s="4">
        <v>50</v>
      </c>
      <c r="B1521" s="4">
        <v>0</v>
      </c>
      <c r="C1521" s="4">
        <v>0</v>
      </c>
      <c r="D1521" s="4">
        <v>1</v>
      </c>
      <c r="E1521" s="4">
        <v>227</v>
      </c>
      <c r="F1521" s="4">
        <f>ROUND(Source!AX1514,O1521)</f>
        <v>0</v>
      </c>
      <c r="G1521" s="4" t="s">
        <v>99</v>
      </c>
      <c r="H1521" s="4" t="s">
        <v>100</v>
      </c>
      <c r="I1521" s="4"/>
      <c r="J1521" s="4"/>
      <c r="K1521" s="4">
        <v>227</v>
      </c>
      <c r="L1521" s="4">
        <v>6</v>
      </c>
      <c r="M1521" s="4">
        <v>3</v>
      </c>
      <c r="N1521" s="4" t="s">
        <v>3</v>
      </c>
      <c r="O1521" s="4">
        <v>2</v>
      </c>
      <c r="P1521" s="4"/>
      <c r="Q1521" s="4"/>
      <c r="R1521" s="4"/>
      <c r="S1521" s="4"/>
      <c r="T1521" s="4"/>
      <c r="U1521" s="4"/>
      <c r="V1521" s="4"/>
      <c r="W1521" s="4"/>
    </row>
    <row r="1522" spans="1:23" x14ac:dyDescent="0.2">
      <c r="A1522" s="4">
        <v>50</v>
      </c>
      <c r="B1522" s="4">
        <v>0</v>
      </c>
      <c r="C1522" s="4">
        <v>0</v>
      </c>
      <c r="D1522" s="4">
        <v>1</v>
      </c>
      <c r="E1522" s="4">
        <v>228</v>
      </c>
      <c r="F1522" s="4">
        <f>ROUND(Source!AY1514,O1522)</f>
        <v>28115563.460000001</v>
      </c>
      <c r="G1522" s="4" t="s">
        <v>101</v>
      </c>
      <c r="H1522" s="4" t="s">
        <v>102</v>
      </c>
      <c r="I1522" s="4"/>
      <c r="J1522" s="4"/>
      <c r="K1522" s="4">
        <v>228</v>
      </c>
      <c r="L1522" s="4">
        <v>7</v>
      </c>
      <c r="M1522" s="4">
        <v>3</v>
      </c>
      <c r="N1522" s="4" t="s">
        <v>3</v>
      </c>
      <c r="O1522" s="4">
        <v>2</v>
      </c>
      <c r="P1522" s="4"/>
      <c r="Q1522" s="4"/>
      <c r="R1522" s="4"/>
      <c r="S1522" s="4"/>
      <c r="T1522" s="4"/>
      <c r="U1522" s="4"/>
      <c r="V1522" s="4"/>
      <c r="W1522" s="4"/>
    </row>
    <row r="1523" spans="1:23" x14ac:dyDescent="0.2">
      <c r="A1523" s="4">
        <v>50</v>
      </c>
      <c r="B1523" s="4">
        <v>0</v>
      </c>
      <c r="C1523" s="4">
        <v>0</v>
      </c>
      <c r="D1523" s="4">
        <v>1</v>
      </c>
      <c r="E1523" s="4">
        <v>216</v>
      </c>
      <c r="F1523" s="4">
        <f>ROUND(Source!AP1514,O1523)</f>
        <v>0</v>
      </c>
      <c r="G1523" s="4" t="s">
        <v>103</v>
      </c>
      <c r="H1523" s="4" t="s">
        <v>104</v>
      </c>
      <c r="I1523" s="4"/>
      <c r="J1523" s="4"/>
      <c r="K1523" s="4">
        <v>216</v>
      </c>
      <c r="L1523" s="4">
        <v>8</v>
      </c>
      <c r="M1523" s="4">
        <v>3</v>
      </c>
      <c r="N1523" s="4" t="s">
        <v>3</v>
      </c>
      <c r="O1523" s="4">
        <v>2</v>
      </c>
      <c r="P1523" s="4"/>
      <c r="Q1523" s="4"/>
      <c r="R1523" s="4"/>
      <c r="S1523" s="4"/>
      <c r="T1523" s="4"/>
      <c r="U1523" s="4"/>
      <c r="V1523" s="4"/>
      <c r="W1523" s="4"/>
    </row>
    <row r="1524" spans="1:23" x14ac:dyDescent="0.2">
      <c r="A1524" s="4">
        <v>50</v>
      </c>
      <c r="B1524" s="4">
        <v>0</v>
      </c>
      <c r="C1524" s="4">
        <v>0</v>
      </c>
      <c r="D1524" s="4">
        <v>1</v>
      </c>
      <c r="E1524" s="4">
        <v>223</v>
      </c>
      <c r="F1524" s="4">
        <f>ROUND(Source!AQ1514,O1524)</f>
        <v>0</v>
      </c>
      <c r="G1524" s="4" t="s">
        <v>105</v>
      </c>
      <c r="H1524" s="4" t="s">
        <v>106</v>
      </c>
      <c r="I1524" s="4"/>
      <c r="J1524" s="4"/>
      <c r="K1524" s="4">
        <v>223</v>
      </c>
      <c r="L1524" s="4">
        <v>9</v>
      </c>
      <c r="M1524" s="4">
        <v>3</v>
      </c>
      <c r="N1524" s="4" t="s">
        <v>3</v>
      </c>
      <c r="O1524" s="4">
        <v>2</v>
      </c>
      <c r="P1524" s="4"/>
      <c r="Q1524" s="4"/>
      <c r="R1524" s="4"/>
      <c r="S1524" s="4"/>
      <c r="T1524" s="4"/>
      <c r="U1524" s="4"/>
      <c r="V1524" s="4"/>
      <c r="W1524" s="4"/>
    </row>
    <row r="1525" spans="1:23" x14ac:dyDescent="0.2">
      <c r="A1525" s="4">
        <v>50</v>
      </c>
      <c r="B1525" s="4">
        <v>0</v>
      </c>
      <c r="C1525" s="4">
        <v>0</v>
      </c>
      <c r="D1525" s="4">
        <v>1</v>
      </c>
      <c r="E1525" s="4">
        <v>229</v>
      </c>
      <c r="F1525" s="4">
        <f>ROUND(Source!AZ1514,O1525)</f>
        <v>0</v>
      </c>
      <c r="G1525" s="4" t="s">
        <v>107</v>
      </c>
      <c r="H1525" s="4" t="s">
        <v>108</v>
      </c>
      <c r="I1525" s="4"/>
      <c r="J1525" s="4"/>
      <c r="K1525" s="4">
        <v>229</v>
      </c>
      <c r="L1525" s="4">
        <v>10</v>
      </c>
      <c r="M1525" s="4">
        <v>3</v>
      </c>
      <c r="N1525" s="4" t="s">
        <v>3</v>
      </c>
      <c r="O1525" s="4">
        <v>2</v>
      </c>
      <c r="P1525" s="4"/>
      <c r="Q1525" s="4"/>
      <c r="R1525" s="4"/>
      <c r="S1525" s="4"/>
      <c r="T1525" s="4"/>
      <c r="U1525" s="4"/>
      <c r="V1525" s="4"/>
      <c r="W1525" s="4"/>
    </row>
    <row r="1526" spans="1:23" x14ac:dyDescent="0.2">
      <c r="A1526" s="4">
        <v>50</v>
      </c>
      <c r="B1526" s="4">
        <v>0</v>
      </c>
      <c r="C1526" s="4">
        <v>0</v>
      </c>
      <c r="D1526" s="4">
        <v>1</v>
      </c>
      <c r="E1526" s="4">
        <v>203</v>
      </c>
      <c r="F1526" s="4">
        <f>ROUND(Source!Q1514,O1526)</f>
        <v>2984277.57</v>
      </c>
      <c r="G1526" s="4" t="s">
        <v>109</v>
      </c>
      <c r="H1526" s="4" t="s">
        <v>110</v>
      </c>
      <c r="I1526" s="4"/>
      <c r="J1526" s="4"/>
      <c r="K1526" s="4">
        <v>203</v>
      </c>
      <c r="L1526" s="4">
        <v>11</v>
      </c>
      <c r="M1526" s="4">
        <v>3</v>
      </c>
      <c r="N1526" s="4" t="s">
        <v>3</v>
      </c>
      <c r="O1526" s="4">
        <v>2</v>
      </c>
      <c r="P1526" s="4"/>
      <c r="Q1526" s="4"/>
      <c r="R1526" s="4"/>
      <c r="S1526" s="4"/>
      <c r="T1526" s="4"/>
      <c r="U1526" s="4"/>
      <c r="V1526" s="4"/>
      <c r="W1526" s="4"/>
    </row>
    <row r="1527" spans="1:23" x14ac:dyDescent="0.2">
      <c r="A1527" s="4">
        <v>50</v>
      </c>
      <c r="B1527" s="4">
        <v>0</v>
      </c>
      <c r="C1527" s="4">
        <v>0</v>
      </c>
      <c r="D1527" s="4">
        <v>1</v>
      </c>
      <c r="E1527" s="4">
        <v>231</v>
      </c>
      <c r="F1527" s="4">
        <f>ROUND(Source!BB1514,O1527)</f>
        <v>0</v>
      </c>
      <c r="G1527" s="4" t="s">
        <v>111</v>
      </c>
      <c r="H1527" s="4" t="s">
        <v>112</v>
      </c>
      <c r="I1527" s="4"/>
      <c r="J1527" s="4"/>
      <c r="K1527" s="4">
        <v>231</v>
      </c>
      <c r="L1527" s="4">
        <v>12</v>
      </c>
      <c r="M1527" s="4">
        <v>3</v>
      </c>
      <c r="N1527" s="4" t="s">
        <v>3</v>
      </c>
      <c r="O1527" s="4">
        <v>2</v>
      </c>
      <c r="P1527" s="4"/>
      <c r="Q1527" s="4"/>
      <c r="R1527" s="4"/>
      <c r="S1527" s="4"/>
      <c r="T1527" s="4"/>
      <c r="U1527" s="4"/>
      <c r="V1527" s="4"/>
      <c r="W1527" s="4"/>
    </row>
    <row r="1528" spans="1:23" x14ac:dyDescent="0.2">
      <c r="A1528" s="4">
        <v>50</v>
      </c>
      <c r="B1528" s="4">
        <v>0</v>
      </c>
      <c r="C1528" s="4">
        <v>0</v>
      </c>
      <c r="D1528" s="4">
        <v>1</v>
      </c>
      <c r="E1528" s="4">
        <v>204</v>
      </c>
      <c r="F1528" s="4">
        <f>ROUND(Source!R1514,O1528)</f>
        <v>1288867.77</v>
      </c>
      <c r="G1528" s="4" t="s">
        <v>113</v>
      </c>
      <c r="H1528" s="4" t="s">
        <v>114</v>
      </c>
      <c r="I1528" s="4"/>
      <c r="J1528" s="4"/>
      <c r="K1528" s="4">
        <v>204</v>
      </c>
      <c r="L1528" s="4">
        <v>13</v>
      </c>
      <c r="M1528" s="4">
        <v>3</v>
      </c>
      <c r="N1528" s="4" t="s">
        <v>3</v>
      </c>
      <c r="O1528" s="4">
        <v>2</v>
      </c>
      <c r="P1528" s="4"/>
      <c r="Q1528" s="4"/>
      <c r="R1528" s="4"/>
      <c r="S1528" s="4"/>
      <c r="T1528" s="4"/>
      <c r="U1528" s="4"/>
      <c r="V1528" s="4"/>
      <c r="W1528" s="4"/>
    </row>
    <row r="1529" spans="1:23" x14ac:dyDescent="0.2">
      <c r="A1529" s="4">
        <v>50</v>
      </c>
      <c r="B1529" s="4">
        <v>0</v>
      </c>
      <c r="C1529" s="4">
        <v>0</v>
      </c>
      <c r="D1529" s="4">
        <v>1</v>
      </c>
      <c r="E1529" s="4">
        <v>205</v>
      </c>
      <c r="F1529" s="4">
        <f>ROUND(Source!S1514,O1529)</f>
        <v>9703394.6799999997</v>
      </c>
      <c r="G1529" s="4" t="s">
        <v>115</v>
      </c>
      <c r="H1529" s="4" t="s">
        <v>116</v>
      </c>
      <c r="I1529" s="4"/>
      <c r="J1529" s="4"/>
      <c r="K1529" s="4">
        <v>205</v>
      </c>
      <c r="L1529" s="4">
        <v>14</v>
      </c>
      <c r="M1529" s="4">
        <v>3</v>
      </c>
      <c r="N1529" s="4" t="s">
        <v>3</v>
      </c>
      <c r="O1529" s="4">
        <v>2</v>
      </c>
      <c r="P1529" s="4"/>
      <c r="Q1529" s="4"/>
      <c r="R1529" s="4"/>
      <c r="S1529" s="4"/>
      <c r="T1529" s="4"/>
      <c r="U1529" s="4"/>
      <c r="V1529" s="4"/>
      <c r="W1529" s="4"/>
    </row>
    <row r="1530" spans="1:23" x14ac:dyDescent="0.2">
      <c r="A1530" s="4">
        <v>50</v>
      </c>
      <c r="B1530" s="4">
        <v>0</v>
      </c>
      <c r="C1530" s="4">
        <v>0</v>
      </c>
      <c r="D1530" s="4">
        <v>1</v>
      </c>
      <c r="E1530" s="4">
        <v>232</v>
      </c>
      <c r="F1530" s="4">
        <f>ROUND(Source!BC1514,O1530)</f>
        <v>0</v>
      </c>
      <c r="G1530" s="4" t="s">
        <v>117</v>
      </c>
      <c r="H1530" s="4" t="s">
        <v>118</v>
      </c>
      <c r="I1530" s="4"/>
      <c r="J1530" s="4"/>
      <c r="K1530" s="4">
        <v>232</v>
      </c>
      <c r="L1530" s="4">
        <v>15</v>
      </c>
      <c r="M1530" s="4">
        <v>3</v>
      </c>
      <c r="N1530" s="4" t="s">
        <v>3</v>
      </c>
      <c r="O1530" s="4">
        <v>2</v>
      </c>
      <c r="P1530" s="4"/>
      <c r="Q1530" s="4"/>
      <c r="R1530" s="4"/>
      <c r="S1530" s="4"/>
      <c r="T1530" s="4"/>
      <c r="U1530" s="4"/>
      <c r="V1530" s="4"/>
      <c r="W1530" s="4"/>
    </row>
    <row r="1531" spans="1:23" x14ac:dyDescent="0.2">
      <c r="A1531" s="4">
        <v>50</v>
      </c>
      <c r="B1531" s="4">
        <v>0</v>
      </c>
      <c r="C1531" s="4">
        <v>0</v>
      </c>
      <c r="D1531" s="4">
        <v>1</v>
      </c>
      <c r="E1531" s="4">
        <v>214</v>
      </c>
      <c r="F1531" s="4">
        <f>ROUND(Source!AS1514,O1531)</f>
        <v>56978603.32</v>
      </c>
      <c r="G1531" s="4" t="s">
        <v>119</v>
      </c>
      <c r="H1531" s="4" t="s">
        <v>120</v>
      </c>
      <c r="I1531" s="4"/>
      <c r="J1531" s="4"/>
      <c r="K1531" s="4">
        <v>214</v>
      </c>
      <c r="L1531" s="4">
        <v>16</v>
      </c>
      <c r="M1531" s="4">
        <v>3</v>
      </c>
      <c r="N1531" s="4" t="s">
        <v>3</v>
      </c>
      <c r="O1531" s="4">
        <v>2</v>
      </c>
      <c r="P1531" s="4"/>
      <c r="Q1531" s="4"/>
      <c r="R1531" s="4"/>
      <c r="S1531" s="4"/>
      <c r="T1531" s="4"/>
      <c r="U1531" s="4"/>
      <c r="V1531" s="4"/>
      <c r="W1531" s="4"/>
    </row>
    <row r="1532" spans="1:23" x14ac:dyDescent="0.2">
      <c r="A1532" s="4">
        <v>50</v>
      </c>
      <c r="B1532" s="4">
        <v>0</v>
      </c>
      <c r="C1532" s="4">
        <v>0</v>
      </c>
      <c r="D1532" s="4">
        <v>1</v>
      </c>
      <c r="E1532" s="4">
        <v>215</v>
      </c>
      <c r="F1532" s="4">
        <f>ROUND(Source!AT1514,O1532)</f>
        <v>0</v>
      </c>
      <c r="G1532" s="4" t="s">
        <v>121</v>
      </c>
      <c r="H1532" s="4" t="s">
        <v>122</v>
      </c>
      <c r="I1532" s="4"/>
      <c r="J1532" s="4"/>
      <c r="K1532" s="4">
        <v>215</v>
      </c>
      <c r="L1532" s="4">
        <v>17</v>
      </c>
      <c r="M1532" s="4">
        <v>3</v>
      </c>
      <c r="N1532" s="4" t="s">
        <v>3</v>
      </c>
      <c r="O1532" s="4">
        <v>2</v>
      </c>
      <c r="P1532" s="4"/>
      <c r="Q1532" s="4"/>
      <c r="R1532" s="4"/>
      <c r="S1532" s="4"/>
      <c r="T1532" s="4"/>
      <c r="U1532" s="4"/>
      <c r="V1532" s="4"/>
      <c r="W1532" s="4"/>
    </row>
    <row r="1533" spans="1:23" x14ac:dyDescent="0.2">
      <c r="A1533" s="4">
        <v>50</v>
      </c>
      <c r="B1533" s="4">
        <v>0</v>
      </c>
      <c r="C1533" s="4">
        <v>0</v>
      </c>
      <c r="D1533" s="4">
        <v>1</v>
      </c>
      <c r="E1533" s="4">
        <v>217</v>
      </c>
      <c r="F1533" s="4">
        <f>ROUND(Source!AU1514,O1533)</f>
        <v>0</v>
      </c>
      <c r="G1533" s="4" t="s">
        <v>123</v>
      </c>
      <c r="H1533" s="4" t="s">
        <v>124</v>
      </c>
      <c r="I1533" s="4"/>
      <c r="J1533" s="4"/>
      <c r="K1533" s="4">
        <v>217</v>
      </c>
      <c r="L1533" s="4">
        <v>18</v>
      </c>
      <c r="M1533" s="4">
        <v>3</v>
      </c>
      <c r="N1533" s="4" t="s">
        <v>3</v>
      </c>
      <c r="O1533" s="4">
        <v>2</v>
      </c>
      <c r="P1533" s="4"/>
      <c r="Q1533" s="4"/>
      <c r="R1533" s="4"/>
      <c r="S1533" s="4"/>
      <c r="T1533" s="4"/>
      <c r="U1533" s="4"/>
      <c r="V1533" s="4"/>
      <c r="W1533" s="4"/>
    </row>
    <row r="1534" spans="1:23" x14ac:dyDescent="0.2">
      <c r="A1534" s="4">
        <v>50</v>
      </c>
      <c r="B1534" s="4">
        <v>0</v>
      </c>
      <c r="C1534" s="4">
        <v>0</v>
      </c>
      <c r="D1534" s="4">
        <v>1</v>
      </c>
      <c r="E1534" s="4">
        <v>230</v>
      </c>
      <c r="F1534" s="4">
        <f>ROUND(Source!BA1514,O1534)</f>
        <v>0</v>
      </c>
      <c r="G1534" s="4" t="s">
        <v>125</v>
      </c>
      <c r="H1534" s="4" t="s">
        <v>126</v>
      </c>
      <c r="I1534" s="4"/>
      <c r="J1534" s="4"/>
      <c r="K1534" s="4">
        <v>230</v>
      </c>
      <c r="L1534" s="4">
        <v>19</v>
      </c>
      <c r="M1534" s="4">
        <v>3</v>
      </c>
      <c r="N1534" s="4" t="s">
        <v>3</v>
      </c>
      <c r="O1534" s="4">
        <v>2</v>
      </c>
      <c r="P1534" s="4"/>
      <c r="Q1534" s="4"/>
      <c r="R1534" s="4"/>
      <c r="S1534" s="4"/>
      <c r="T1534" s="4"/>
      <c r="U1534" s="4"/>
      <c r="V1534" s="4"/>
      <c r="W1534" s="4"/>
    </row>
    <row r="1535" spans="1:23" x14ac:dyDescent="0.2">
      <c r="A1535" s="4">
        <v>50</v>
      </c>
      <c r="B1535" s="4">
        <v>0</v>
      </c>
      <c r="C1535" s="4">
        <v>0</v>
      </c>
      <c r="D1535" s="4">
        <v>1</v>
      </c>
      <c r="E1535" s="4">
        <v>206</v>
      </c>
      <c r="F1535" s="4">
        <f>ROUND(Source!T1514,O1535)</f>
        <v>0</v>
      </c>
      <c r="G1535" s="4" t="s">
        <v>127</v>
      </c>
      <c r="H1535" s="4" t="s">
        <v>128</v>
      </c>
      <c r="I1535" s="4"/>
      <c r="J1535" s="4"/>
      <c r="K1535" s="4">
        <v>206</v>
      </c>
      <c r="L1535" s="4">
        <v>20</v>
      </c>
      <c r="M1535" s="4">
        <v>3</v>
      </c>
      <c r="N1535" s="4" t="s">
        <v>3</v>
      </c>
      <c r="O1535" s="4">
        <v>2</v>
      </c>
      <c r="P1535" s="4"/>
      <c r="Q1535" s="4"/>
      <c r="R1535" s="4"/>
      <c r="S1535" s="4"/>
      <c r="T1535" s="4"/>
      <c r="U1535" s="4"/>
      <c r="V1535" s="4"/>
      <c r="W1535" s="4"/>
    </row>
    <row r="1536" spans="1:23" x14ac:dyDescent="0.2">
      <c r="A1536" s="4">
        <v>50</v>
      </c>
      <c r="B1536" s="4">
        <v>0</v>
      </c>
      <c r="C1536" s="4">
        <v>0</v>
      </c>
      <c r="D1536" s="4">
        <v>1</v>
      </c>
      <c r="E1536" s="4">
        <v>207</v>
      </c>
      <c r="F1536" s="4">
        <f>Source!U1514</f>
        <v>35964.222826878162</v>
      </c>
      <c r="G1536" s="4" t="s">
        <v>129</v>
      </c>
      <c r="H1536" s="4" t="s">
        <v>130</v>
      </c>
      <c r="I1536" s="4"/>
      <c r="J1536" s="4"/>
      <c r="K1536" s="4">
        <v>207</v>
      </c>
      <c r="L1536" s="4">
        <v>21</v>
      </c>
      <c r="M1536" s="4">
        <v>3</v>
      </c>
      <c r="N1536" s="4" t="s">
        <v>3</v>
      </c>
      <c r="O1536" s="4">
        <v>-1</v>
      </c>
      <c r="P1536" s="4"/>
      <c r="Q1536" s="4"/>
      <c r="R1536" s="4"/>
      <c r="S1536" s="4"/>
      <c r="T1536" s="4"/>
      <c r="U1536" s="4"/>
      <c r="V1536" s="4"/>
      <c r="W1536" s="4"/>
    </row>
    <row r="1537" spans="1:206" x14ac:dyDescent="0.2">
      <c r="A1537" s="4">
        <v>50</v>
      </c>
      <c r="B1537" s="4">
        <v>0</v>
      </c>
      <c r="C1537" s="4">
        <v>0</v>
      </c>
      <c r="D1537" s="4">
        <v>1</v>
      </c>
      <c r="E1537" s="4">
        <v>208</v>
      </c>
      <c r="F1537" s="4">
        <f>Source!V1514</f>
        <v>0</v>
      </c>
      <c r="G1537" s="4" t="s">
        <v>131</v>
      </c>
      <c r="H1537" s="4" t="s">
        <v>132</v>
      </c>
      <c r="I1537" s="4"/>
      <c r="J1537" s="4"/>
      <c r="K1537" s="4">
        <v>208</v>
      </c>
      <c r="L1537" s="4">
        <v>22</v>
      </c>
      <c r="M1537" s="4">
        <v>3</v>
      </c>
      <c r="N1537" s="4" t="s">
        <v>3</v>
      </c>
      <c r="O1537" s="4">
        <v>-1</v>
      </c>
      <c r="P1537" s="4"/>
      <c r="Q1537" s="4"/>
      <c r="R1537" s="4"/>
      <c r="S1537" s="4"/>
      <c r="T1537" s="4"/>
      <c r="U1537" s="4"/>
      <c r="V1537" s="4"/>
      <c r="W1537" s="4"/>
    </row>
    <row r="1538" spans="1:206" x14ac:dyDescent="0.2">
      <c r="A1538" s="4">
        <v>50</v>
      </c>
      <c r="B1538" s="4">
        <v>0</v>
      </c>
      <c r="C1538" s="4">
        <v>0</v>
      </c>
      <c r="D1538" s="4">
        <v>1</v>
      </c>
      <c r="E1538" s="4">
        <v>209</v>
      </c>
      <c r="F1538" s="4">
        <f>ROUND(Source!W1514,O1538)</f>
        <v>0</v>
      </c>
      <c r="G1538" s="4" t="s">
        <v>133</v>
      </c>
      <c r="H1538" s="4" t="s">
        <v>134</v>
      </c>
      <c r="I1538" s="4"/>
      <c r="J1538" s="4"/>
      <c r="K1538" s="4">
        <v>209</v>
      </c>
      <c r="L1538" s="4">
        <v>23</v>
      </c>
      <c r="M1538" s="4">
        <v>3</v>
      </c>
      <c r="N1538" s="4" t="s">
        <v>3</v>
      </c>
      <c r="O1538" s="4">
        <v>2</v>
      </c>
      <c r="P1538" s="4"/>
      <c r="Q1538" s="4"/>
      <c r="R1538" s="4"/>
      <c r="S1538" s="4"/>
      <c r="T1538" s="4"/>
      <c r="U1538" s="4"/>
      <c r="V1538" s="4"/>
      <c r="W1538" s="4"/>
    </row>
    <row r="1539" spans="1:206" x14ac:dyDescent="0.2">
      <c r="A1539" s="4">
        <v>50</v>
      </c>
      <c r="B1539" s="4">
        <v>0</v>
      </c>
      <c r="C1539" s="4">
        <v>0</v>
      </c>
      <c r="D1539" s="4">
        <v>1</v>
      </c>
      <c r="E1539" s="4">
        <v>233</v>
      </c>
      <c r="F1539" s="4">
        <f>ROUND(Source!BD1514,O1539)</f>
        <v>0</v>
      </c>
      <c r="G1539" s="4" t="s">
        <v>135</v>
      </c>
      <c r="H1539" s="4" t="s">
        <v>136</v>
      </c>
      <c r="I1539" s="4"/>
      <c r="J1539" s="4"/>
      <c r="K1539" s="4">
        <v>233</v>
      </c>
      <c r="L1539" s="4">
        <v>24</v>
      </c>
      <c r="M1539" s="4">
        <v>3</v>
      </c>
      <c r="N1539" s="4" t="s">
        <v>3</v>
      </c>
      <c r="O1539" s="4">
        <v>2</v>
      </c>
      <c r="P1539" s="4"/>
      <c r="Q1539" s="4"/>
      <c r="R1539" s="4"/>
      <c r="S1539" s="4"/>
      <c r="T1539" s="4"/>
      <c r="U1539" s="4"/>
      <c r="V1539" s="4"/>
      <c r="W1539" s="4"/>
    </row>
    <row r="1540" spans="1:206" x14ac:dyDescent="0.2">
      <c r="A1540" s="4">
        <v>50</v>
      </c>
      <c r="B1540" s="4">
        <v>0</v>
      </c>
      <c r="C1540" s="4">
        <v>0</v>
      </c>
      <c r="D1540" s="4">
        <v>1</v>
      </c>
      <c r="E1540" s="4">
        <v>210</v>
      </c>
      <c r="F1540" s="4">
        <f>ROUND(Source!X1514,O1540)</f>
        <v>9693116.6199999992</v>
      </c>
      <c r="G1540" s="4" t="s">
        <v>137</v>
      </c>
      <c r="H1540" s="4" t="s">
        <v>138</v>
      </c>
      <c r="I1540" s="4"/>
      <c r="J1540" s="4"/>
      <c r="K1540" s="4">
        <v>210</v>
      </c>
      <c r="L1540" s="4">
        <v>25</v>
      </c>
      <c r="M1540" s="4">
        <v>3</v>
      </c>
      <c r="N1540" s="4" t="s">
        <v>3</v>
      </c>
      <c r="O1540" s="4">
        <v>2</v>
      </c>
      <c r="P1540" s="4"/>
      <c r="Q1540" s="4"/>
      <c r="R1540" s="4"/>
      <c r="S1540" s="4"/>
      <c r="T1540" s="4"/>
      <c r="U1540" s="4"/>
      <c r="V1540" s="4"/>
      <c r="W1540" s="4"/>
    </row>
    <row r="1541" spans="1:206" x14ac:dyDescent="0.2">
      <c r="A1541" s="4">
        <v>50</v>
      </c>
      <c r="B1541" s="4">
        <v>0</v>
      </c>
      <c r="C1541" s="4">
        <v>0</v>
      </c>
      <c r="D1541" s="4">
        <v>1</v>
      </c>
      <c r="E1541" s="4">
        <v>211</v>
      </c>
      <c r="F1541" s="4">
        <f>ROUND(Source!Y1514,O1541)</f>
        <v>4458728.57</v>
      </c>
      <c r="G1541" s="4" t="s">
        <v>139</v>
      </c>
      <c r="H1541" s="4" t="s">
        <v>140</v>
      </c>
      <c r="I1541" s="4"/>
      <c r="J1541" s="4"/>
      <c r="K1541" s="4">
        <v>211</v>
      </c>
      <c r="L1541" s="4">
        <v>26</v>
      </c>
      <c r="M1541" s="4">
        <v>3</v>
      </c>
      <c r="N1541" s="4" t="s">
        <v>3</v>
      </c>
      <c r="O1541" s="4">
        <v>2</v>
      </c>
      <c r="P1541" s="4"/>
      <c r="Q1541" s="4"/>
      <c r="R1541" s="4"/>
      <c r="S1541" s="4"/>
      <c r="T1541" s="4"/>
      <c r="U1541" s="4"/>
      <c r="V1541" s="4"/>
      <c r="W1541" s="4"/>
    </row>
    <row r="1542" spans="1:206" x14ac:dyDescent="0.2">
      <c r="A1542" s="4">
        <v>50</v>
      </c>
      <c r="B1542" s="4">
        <v>0</v>
      </c>
      <c r="C1542" s="4">
        <v>0</v>
      </c>
      <c r="D1542" s="4">
        <v>1</v>
      </c>
      <c r="E1542" s="4">
        <v>224</v>
      </c>
      <c r="F1542" s="4">
        <f>ROUND(Source!AR1514,O1542)</f>
        <v>56978603.32</v>
      </c>
      <c r="G1542" s="4" t="s">
        <v>141</v>
      </c>
      <c r="H1542" s="4" t="s">
        <v>142</v>
      </c>
      <c r="I1542" s="4"/>
      <c r="J1542" s="4"/>
      <c r="K1542" s="4">
        <v>224</v>
      </c>
      <c r="L1542" s="4">
        <v>27</v>
      </c>
      <c r="M1542" s="4">
        <v>3</v>
      </c>
      <c r="N1542" s="4" t="s">
        <v>3</v>
      </c>
      <c r="O1542" s="4">
        <v>2</v>
      </c>
      <c r="P1542" s="4"/>
      <c r="Q1542" s="4"/>
      <c r="R1542" s="4"/>
      <c r="S1542" s="4"/>
      <c r="T1542" s="4"/>
      <c r="U1542" s="4"/>
      <c r="V1542" s="4"/>
      <c r="W1542" s="4"/>
    </row>
    <row r="1544" spans="1:206" x14ac:dyDescent="0.2">
      <c r="A1544" s="2">
        <v>51</v>
      </c>
      <c r="B1544" s="2">
        <f>B12</f>
        <v>1579</v>
      </c>
      <c r="C1544" s="2">
        <f>A12</f>
        <v>1</v>
      </c>
      <c r="D1544" s="2">
        <f>ROW(A12)</f>
        <v>12</v>
      </c>
      <c r="E1544" s="2"/>
      <c r="F1544" s="2" t="str">
        <f>IF(F12&lt;&gt;"",F12,"")</f>
        <v>Новый объект_(Копия)</v>
      </c>
      <c r="G1544" s="2" t="str">
        <f>IF(G12&lt;&gt;"",G12,"")</f>
        <v>5.03.2021_КВАРТАЛ Таганка  без грунта</v>
      </c>
      <c r="H1544" s="2">
        <v>0</v>
      </c>
      <c r="I1544" s="2"/>
      <c r="J1544" s="2"/>
      <c r="K1544" s="2"/>
      <c r="L1544" s="2"/>
      <c r="M1544" s="2"/>
      <c r="N1544" s="2"/>
      <c r="O1544" s="2">
        <f t="shared" ref="O1544:T1544" si="948">ROUND(O1514,2)</f>
        <v>40803235.710000001</v>
      </c>
      <c r="P1544" s="2">
        <f t="shared" si="948"/>
        <v>28115563.460000001</v>
      </c>
      <c r="Q1544" s="2">
        <f t="shared" si="948"/>
        <v>2984277.57</v>
      </c>
      <c r="R1544" s="2">
        <f t="shared" si="948"/>
        <v>1288867.77</v>
      </c>
      <c r="S1544" s="2">
        <f t="shared" si="948"/>
        <v>9703394.6799999997</v>
      </c>
      <c r="T1544" s="2">
        <f t="shared" si="948"/>
        <v>0</v>
      </c>
      <c r="U1544" s="2">
        <f>U1514</f>
        <v>35964.222826878162</v>
      </c>
      <c r="V1544" s="2">
        <f>V1514</f>
        <v>0</v>
      </c>
      <c r="W1544" s="2">
        <f>ROUND(W1514,2)</f>
        <v>0</v>
      </c>
      <c r="X1544" s="2">
        <f>ROUND(X1514,2)</f>
        <v>9693116.6199999992</v>
      </c>
      <c r="Y1544" s="2">
        <f>ROUND(Y1514,2)</f>
        <v>4458728.57</v>
      </c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>
        <f t="shared" ref="AO1544:BD1544" si="949">ROUND(AO1514,2)</f>
        <v>0</v>
      </c>
      <c r="AP1544" s="2">
        <f t="shared" si="949"/>
        <v>0</v>
      </c>
      <c r="AQ1544" s="2">
        <f t="shared" si="949"/>
        <v>0</v>
      </c>
      <c r="AR1544" s="2">
        <f t="shared" si="949"/>
        <v>56978603.32</v>
      </c>
      <c r="AS1544" s="2">
        <f t="shared" si="949"/>
        <v>56978603.32</v>
      </c>
      <c r="AT1544" s="2">
        <f t="shared" si="949"/>
        <v>0</v>
      </c>
      <c r="AU1544" s="2">
        <f t="shared" si="949"/>
        <v>0</v>
      </c>
      <c r="AV1544" s="2">
        <f t="shared" si="949"/>
        <v>28115563.460000001</v>
      </c>
      <c r="AW1544" s="2">
        <f t="shared" si="949"/>
        <v>28115563.460000001</v>
      </c>
      <c r="AX1544" s="2">
        <f t="shared" si="949"/>
        <v>0</v>
      </c>
      <c r="AY1544" s="2">
        <f t="shared" si="949"/>
        <v>28115563.460000001</v>
      </c>
      <c r="AZ1544" s="2">
        <f t="shared" si="949"/>
        <v>0</v>
      </c>
      <c r="BA1544" s="2">
        <f t="shared" si="949"/>
        <v>0</v>
      </c>
      <c r="BB1544" s="2">
        <f t="shared" si="949"/>
        <v>0</v>
      </c>
      <c r="BC1544" s="2">
        <f t="shared" si="949"/>
        <v>0</v>
      </c>
      <c r="BD1544" s="2">
        <f t="shared" si="949"/>
        <v>0</v>
      </c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  <c r="DD1544" s="2"/>
      <c r="DE1544" s="2"/>
      <c r="DF1544" s="2"/>
      <c r="DG1544" s="3"/>
      <c r="DH1544" s="3"/>
      <c r="DI1544" s="3"/>
      <c r="DJ1544" s="3"/>
      <c r="DK1544" s="3"/>
      <c r="DL1544" s="3"/>
      <c r="DM1544" s="3"/>
      <c r="DN1544" s="3"/>
      <c r="DO1544" s="3"/>
      <c r="DP1544" s="3"/>
      <c r="DQ1544" s="3"/>
      <c r="DR1544" s="3"/>
      <c r="DS1544" s="3"/>
      <c r="DT1544" s="3"/>
      <c r="DU1544" s="3"/>
      <c r="DV1544" s="3"/>
      <c r="DW1544" s="3"/>
      <c r="DX1544" s="3"/>
      <c r="DY1544" s="3"/>
      <c r="DZ1544" s="3"/>
      <c r="EA1544" s="3"/>
      <c r="EB1544" s="3"/>
      <c r="EC1544" s="3"/>
      <c r="ED1544" s="3"/>
      <c r="EE1544" s="3"/>
      <c r="EF1544" s="3"/>
      <c r="EG1544" s="3"/>
      <c r="EH1544" s="3"/>
      <c r="EI1544" s="3"/>
      <c r="EJ1544" s="3"/>
      <c r="EK1544" s="3"/>
      <c r="EL1544" s="3"/>
      <c r="EM1544" s="3"/>
      <c r="EN1544" s="3"/>
      <c r="EO1544" s="3"/>
      <c r="EP1544" s="3"/>
      <c r="EQ1544" s="3"/>
      <c r="ER1544" s="3"/>
      <c r="ES1544" s="3"/>
      <c r="ET1544" s="3"/>
      <c r="EU1544" s="3"/>
      <c r="EV1544" s="3"/>
      <c r="EW1544" s="3"/>
      <c r="EX1544" s="3"/>
      <c r="EY1544" s="3"/>
      <c r="EZ1544" s="3"/>
      <c r="FA1544" s="3"/>
      <c r="FB1544" s="3"/>
      <c r="FC1544" s="3"/>
      <c r="FD1544" s="3"/>
      <c r="FE1544" s="3"/>
      <c r="FF1544" s="3"/>
      <c r="FG1544" s="3"/>
      <c r="FH1544" s="3"/>
      <c r="FI1544" s="3"/>
      <c r="FJ1544" s="3"/>
      <c r="FK1544" s="3"/>
      <c r="FL1544" s="3"/>
      <c r="FM1544" s="3"/>
      <c r="FN1544" s="3"/>
      <c r="FO1544" s="3"/>
      <c r="FP1544" s="3"/>
      <c r="FQ1544" s="3"/>
      <c r="FR1544" s="3"/>
      <c r="FS1544" s="3"/>
      <c r="FT1544" s="3"/>
      <c r="FU1544" s="3"/>
      <c r="FV1544" s="3"/>
      <c r="FW1544" s="3"/>
      <c r="FX1544" s="3"/>
      <c r="FY1544" s="3"/>
      <c r="FZ1544" s="3"/>
      <c r="GA1544" s="3"/>
      <c r="GB1544" s="3"/>
      <c r="GC1544" s="3"/>
      <c r="GD1544" s="3"/>
      <c r="GE1544" s="3"/>
      <c r="GF1544" s="3"/>
      <c r="GG1544" s="3"/>
      <c r="GH1544" s="3"/>
      <c r="GI1544" s="3"/>
      <c r="GJ1544" s="3"/>
      <c r="GK1544" s="3"/>
      <c r="GL1544" s="3"/>
      <c r="GM1544" s="3"/>
      <c r="GN1544" s="3"/>
      <c r="GO1544" s="3"/>
      <c r="GP1544" s="3"/>
      <c r="GQ1544" s="3"/>
      <c r="GR1544" s="3"/>
      <c r="GS1544" s="3"/>
      <c r="GT1544" s="3"/>
      <c r="GU1544" s="3"/>
      <c r="GV1544" s="3"/>
      <c r="GW1544" s="3"/>
      <c r="GX1544" s="3">
        <v>0</v>
      </c>
    </row>
    <row r="1546" spans="1:206" x14ac:dyDescent="0.2">
      <c r="A1546" s="4">
        <v>50</v>
      </c>
      <c r="B1546" s="4">
        <v>0</v>
      </c>
      <c r="C1546" s="4">
        <v>0</v>
      </c>
      <c r="D1546" s="4">
        <v>1</v>
      </c>
      <c r="E1546" s="4">
        <v>201</v>
      </c>
      <c r="F1546" s="4">
        <f>ROUND(Source!O1544,O1546)</f>
        <v>40803235.710000001</v>
      </c>
      <c r="G1546" s="4" t="s">
        <v>89</v>
      </c>
      <c r="H1546" s="4" t="s">
        <v>90</v>
      </c>
      <c r="I1546" s="4"/>
      <c r="J1546" s="4"/>
      <c r="K1546" s="4">
        <v>201</v>
      </c>
      <c r="L1546" s="4">
        <v>1</v>
      </c>
      <c r="M1546" s="4">
        <v>3</v>
      </c>
      <c r="N1546" s="4" t="s">
        <v>3</v>
      </c>
      <c r="O1546" s="4">
        <v>2</v>
      </c>
      <c r="P1546" s="4"/>
      <c r="Q1546" s="4"/>
      <c r="R1546" s="4"/>
      <c r="S1546" s="4"/>
      <c r="T1546" s="4"/>
      <c r="U1546" s="4"/>
      <c r="V1546" s="4"/>
      <c r="W1546" s="4"/>
    </row>
    <row r="1547" spans="1:206" x14ac:dyDescent="0.2">
      <c r="A1547" s="4">
        <v>50</v>
      </c>
      <c r="B1547" s="4">
        <v>0</v>
      </c>
      <c r="C1547" s="4">
        <v>0</v>
      </c>
      <c r="D1547" s="4">
        <v>1</v>
      </c>
      <c r="E1547" s="4">
        <v>202</v>
      </c>
      <c r="F1547" s="4">
        <f>ROUND(Source!P1544,O1547)</f>
        <v>28115563.460000001</v>
      </c>
      <c r="G1547" s="4" t="s">
        <v>91</v>
      </c>
      <c r="H1547" s="4" t="s">
        <v>92</v>
      </c>
      <c r="I1547" s="4"/>
      <c r="J1547" s="4"/>
      <c r="K1547" s="4">
        <v>202</v>
      </c>
      <c r="L1547" s="4">
        <v>2</v>
      </c>
      <c r="M1547" s="4">
        <v>3</v>
      </c>
      <c r="N1547" s="4" t="s">
        <v>3</v>
      </c>
      <c r="O1547" s="4">
        <v>2</v>
      </c>
      <c r="P1547" s="4"/>
      <c r="Q1547" s="4"/>
      <c r="R1547" s="4"/>
      <c r="S1547" s="4"/>
      <c r="T1547" s="4"/>
      <c r="U1547" s="4"/>
      <c r="V1547" s="4"/>
      <c r="W1547" s="4"/>
    </row>
    <row r="1548" spans="1:206" x14ac:dyDescent="0.2">
      <c r="A1548" s="4">
        <v>50</v>
      </c>
      <c r="B1548" s="4">
        <v>0</v>
      </c>
      <c r="C1548" s="4">
        <v>0</v>
      </c>
      <c r="D1548" s="4">
        <v>1</v>
      </c>
      <c r="E1548" s="4">
        <v>222</v>
      </c>
      <c r="F1548" s="4">
        <f>ROUND(Source!AO1544,O1548)</f>
        <v>0</v>
      </c>
      <c r="G1548" s="4" t="s">
        <v>93</v>
      </c>
      <c r="H1548" s="4" t="s">
        <v>94</v>
      </c>
      <c r="I1548" s="4"/>
      <c r="J1548" s="4"/>
      <c r="K1548" s="4">
        <v>222</v>
      </c>
      <c r="L1548" s="4">
        <v>3</v>
      </c>
      <c r="M1548" s="4">
        <v>3</v>
      </c>
      <c r="N1548" s="4" t="s">
        <v>3</v>
      </c>
      <c r="O1548" s="4">
        <v>2</v>
      </c>
      <c r="P1548" s="4"/>
      <c r="Q1548" s="4"/>
      <c r="R1548" s="4"/>
      <c r="S1548" s="4"/>
      <c r="T1548" s="4"/>
      <c r="U1548" s="4"/>
      <c r="V1548" s="4"/>
      <c r="W1548" s="4"/>
    </row>
    <row r="1549" spans="1:206" x14ac:dyDescent="0.2">
      <c r="A1549" s="4">
        <v>50</v>
      </c>
      <c r="B1549" s="4">
        <v>0</v>
      </c>
      <c r="C1549" s="4">
        <v>0</v>
      </c>
      <c r="D1549" s="4">
        <v>1</v>
      </c>
      <c r="E1549" s="4">
        <v>225</v>
      </c>
      <c r="F1549" s="4">
        <f>ROUND(Source!AV1544,O1549)</f>
        <v>28115563.460000001</v>
      </c>
      <c r="G1549" s="4" t="s">
        <v>95</v>
      </c>
      <c r="H1549" s="4" t="s">
        <v>96</v>
      </c>
      <c r="I1549" s="4"/>
      <c r="J1549" s="4"/>
      <c r="K1549" s="4">
        <v>225</v>
      </c>
      <c r="L1549" s="4">
        <v>4</v>
      </c>
      <c r="M1549" s="4">
        <v>3</v>
      </c>
      <c r="N1549" s="4" t="s">
        <v>3</v>
      </c>
      <c r="O1549" s="4">
        <v>2</v>
      </c>
      <c r="P1549" s="4"/>
      <c r="Q1549" s="4"/>
      <c r="R1549" s="4"/>
      <c r="S1549" s="4"/>
      <c r="T1549" s="4"/>
      <c r="U1549" s="4"/>
      <c r="V1549" s="4"/>
      <c r="W1549" s="4"/>
    </row>
    <row r="1550" spans="1:206" x14ac:dyDescent="0.2">
      <c r="A1550" s="4">
        <v>50</v>
      </c>
      <c r="B1550" s="4">
        <v>0</v>
      </c>
      <c r="C1550" s="4">
        <v>0</v>
      </c>
      <c r="D1550" s="4">
        <v>1</v>
      </c>
      <c r="E1550" s="4">
        <v>226</v>
      </c>
      <c r="F1550" s="4">
        <f>ROUND(Source!AW1544,O1550)</f>
        <v>28115563.460000001</v>
      </c>
      <c r="G1550" s="4" t="s">
        <v>97</v>
      </c>
      <c r="H1550" s="4" t="s">
        <v>98</v>
      </c>
      <c r="I1550" s="4"/>
      <c r="J1550" s="4"/>
      <c r="K1550" s="4">
        <v>226</v>
      </c>
      <c r="L1550" s="4">
        <v>5</v>
      </c>
      <c r="M1550" s="4">
        <v>3</v>
      </c>
      <c r="N1550" s="4" t="s">
        <v>3</v>
      </c>
      <c r="O1550" s="4">
        <v>2</v>
      </c>
      <c r="P1550" s="4"/>
      <c r="Q1550" s="4"/>
      <c r="R1550" s="4"/>
      <c r="S1550" s="4"/>
      <c r="T1550" s="4"/>
      <c r="U1550" s="4"/>
      <c r="V1550" s="4"/>
      <c r="W1550" s="4"/>
    </row>
    <row r="1551" spans="1:206" x14ac:dyDescent="0.2">
      <c r="A1551" s="4">
        <v>50</v>
      </c>
      <c r="B1551" s="4">
        <v>0</v>
      </c>
      <c r="C1551" s="4">
        <v>0</v>
      </c>
      <c r="D1551" s="4">
        <v>1</v>
      </c>
      <c r="E1551" s="4">
        <v>227</v>
      </c>
      <c r="F1551" s="4">
        <f>ROUND(Source!AX1544,O1551)</f>
        <v>0</v>
      </c>
      <c r="G1551" s="4" t="s">
        <v>99</v>
      </c>
      <c r="H1551" s="4" t="s">
        <v>100</v>
      </c>
      <c r="I1551" s="4"/>
      <c r="J1551" s="4"/>
      <c r="K1551" s="4">
        <v>227</v>
      </c>
      <c r="L1551" s="4">
        <v>6</v>
      </c>
      <c r="M1551" s="4">
        <v>3</v>
      </c>
      <c r="N1551" s="4" t="s">
        <v>3</v>
      </c>
      <c r="O1551" s="4">
        <v>2</v>
      </c>
      <c r="P1551" s="4"/>
      <c r="Q1551" s="4"/>
      <c r="R1551" s="4"/>
      <c r="S1551" s="4"/>
      <c r="T1551" s="4"/>
      <c r="U1551" s="4"/>
      <c r="V1551" s="4"/>
      <c r="W1551" s="4"/>
    </row>
    <row r="1552" spans="1:206" x14ac:dyDescent="0.2">
      <c r="A1552" s="4">
        <v>50</v>
      </c>
      <c r="B1552" s="4">
        <v>0</v>
      </c>
      <c r="C1552" s="4">
        <v>0</v>
      </c>
      <c r="D1552" s="4">
        <v>1</v>
      </c>
      <c r="E1552" s="4">
        <v>228</v>
      </c>
      <c r="F1552" s="4">
        <f>ROUND(Source!AY1544,O1552)</f>
        <v>28115563.460000001</v>
      </c>
      <c r="G1552" s="4" t="s">
        <v>101</v>
      </c>
      <c r="H1552" s="4" t="s">
        <v>102</v>
      </c>
      <c r="I1552" s="4"/>
      <c r="J1552" s="4"/>
      <c r="K1552" s="4">
        <v>228</v>
      </c>
      <c r="L1552" s="4">
        <v>7</v>
      </c>
      <c r="M1552" s="4">
        <v>3</v>
      </c>
      <c r="N1552" s="4" t="s">
        <v>3</v>
      </c>
      <c r="O1552" s="4">
        <v>2</v>
      </c>
      <c r="P1552" s="4"/>
      <c r="Q1552" s="4"/>
      <c r="R1552" s="4"/>
      <c r="S1552" s="4"/>
      <c r="T1552" s="4"/>
      <c r="U1552" s="4"/>
      <c r="V1552" s="4"/>
      <c r="W1552" s="4"/>
    </row>
    <row r="1553" spans="1:23" x14ac:dyDescent="0.2">
      <c r="A1553" s="4">
        <v>50</v>
      </c>
      <c r="B1553" s="4">
        <v>0</v>
      </c>
      <c r="C1553" s="4">
        <v>0</v>
      </c>
      <c r="D1553" s="4">
        <v>1</v>
      </c>
      <c r="E1553" s="4">
        <v>216</v>
      </c>
      <c r="F1553" s="4">
        <f>ROUND(Source!AP1544,O1553)</f>
        <v>0</v>
      </c>
      <c r="G1553" s="4" t="s">
        <v>103</v>
      </c>
      <c r="H1553" s="4" t="s">
        <v>104</v>
      </c>
      <c r="I1553" s="4"/>
      <c r="J1553" s="4"/>
      <c r="K1553" s="4">
        <v>216</v>
      </c>
      <c r="L1553" s="4">
        <v>8</v>
      </c>
      <c r="M1553" s="4">
        <v>3</v>
      </c>
      <c r="N1553" s="4" t="s">
        <v>3</v>
      </c>
      <c r="O1553" s="4">
        <v>2</v>
      </c>
      <c r="P1553" s="4"/>
      <c r="Q1553" s="4"/>
      <c r="R1553" s="4"/>
      <c r="S1553" s="4"/>
      <c r="T1553" s="4"/>
      <c r="U1553" s="4"/>
      <c r="V1553" s="4"/>
      <c r="W1553" s="4"/>
    </row>
    <row r="1554" spans="1:23" x14ac:dyDescent="0.2">
      <c r="A1554" s="4">
        <v>50</v>
      </c>
      <c r="B1554" s="4">
        <v>0</v>
      </c>
      <c r="C1554" s="4">
        <v>0</v>
      </c>
      <c r="D1554" s="4">
        <v>1</v>
      </c>
      <c r="E1554" s="4">
        <v>223</v>
      </c>
      <c r="F1554" s="4">
        <f>ROUND(Source!AQ1544,O1554)</f>
        <v>0</v>
      </c>
      <c r="G1554" s="4" t="s">
        <v>105</v>
      </c>
      <c r="H1554" s="4" t="s">
        <v>106</v>
      </c>
      <c r="I1554" s="4"/>
      <c r="J1554" s="4"/>
      <c r="K1554" s="4">
        <v>223</v>
      </c>
      <c r="L1554" s="4">
        <v>9</v>
      </c>
      <c r="M1554" s="4">
        <v>3</v>
      </c>
      <c r="N1554" s="4" t="s">
        <v>3</v>
      </c>
      <c r="O1554" s="4">
        <v>2</v>
      </c>
      <c r="P1554" s="4"/>
      <c r="Q1554" s="4"/>
      <c r="R1554" s="4"/>
      <c r="S1554" s="4"/>
      <c r="T1554" s="4"/>
      <c r="U1554" s="4"/>
      <c r="V1554" s="4"/>
      <c r="W1554" s="4"/>
    </row>
    <row r="1555" spans="1:23" x14ac:dyDescent="0.2">
      <c r="A1555" s="4">
        <v>50</v>
      </c>
      <c r="B1555" s="4">
        <v>0</v>
      </c>
      <c r="C1555" s="4">
        <v>0</v>
      </c>
      <c r="D1555" s="4">
        <v>1</v>
      </c>
      <c r="E1555" s="4">
        <v>229</v>
      </c>
      <c r="F1555" s="4">
        <f>ROUND(Source!AZ1544,O1555)</f>
        <v>0</v>
      </c>
      <c r="G1555" s="4" t="s">
        <v>107</v>
      </c>
      <c r="H1555" s="4" t="s">
        <v>108</v>
      </c>
      <c r="I1555" s="4"/>
      <c r="J1555" s="4"/>
      <c r="K1555" s="4">
        <v>229</v>
      </c>
      <c r="L1555" s="4">
        <v>10</v>
      </c>
      <c r="M1555" s="4">
        <v>3</v>
      </c>
      <c r="N1555" s="4" t="s">
        <v>3</v>
      </c>
      <c r="O1555" s="4">
        <v>2</v>
      </c>
      <c r="P1555" s="4"/>
      <c r="Q1555" s="4"/>
      <c r="R1555" s="4"/>
      <c r="S1555" s="4"/>
      <c r="T1555" s="4"/>
      <c r="U1555" s="4"/>
      <c r="V1555" s="4"/>
      <c r="W1555" s="4"/>
    </row>
    <row r="1556" spans="1:23" x14ac:dyDescent="0.2">
      <c r="A1556" s="4">
        <v>50</v>
      </c>
      <c r="B1556" s="4">
        <v>0</v>
      </c>
      <c r="C1556" s="4">
        <v>0</v>
      </c>
      <c r="D1556" s="4">
        <v>1</v>
      </c>
      <c r="E1556" s="4">
        <v>203</v>
      </c>
      <c r="F1556" s="4">
        <f>ROUND(Source!Q1544,O1556)</f>
        <v>2984277.57</v>
      </c>
      <c r="G1556" s="4" t="s">
        <v>109</v>
      </c>
      <c r="H1556" s="4" t="s">
        <v>110</v>
      </c>
      <c r="I1556" s="4"/>
      <c r="J1556" s="4"/>
      <c r="K1556" s="4">
        <v>203</v>
      </c>
      <c r="L1556" s="4">
        <v>11</v>
      </c>
      <c r="M1556" s="4">
        <v>3</v>
      </c>
      <c r="N1556" s="4" t="s">
        <v>3</v>
      </c>
      <c r="O1556" s="4">
        <v>2</v>
      </c>
      <c r="P1556" s="4"/>
      <c r="Q1556" s="4"/>
      <c r="R1556" s="4"/>
      <c r="S1556" s="4"/>
      <c r="T1556" s="4"/>
      <c r="U1556" s="4"/>
      <c r="V1556" s="4"/>
      <c r="W1556" s="4"/>
    </row>
    <row r="1557" spans="1:23" x14ac:dyDescent="0.2">
      <c r="A1557" s="4">
        <v>50</v>
      </c>
      <c r="B1557" s="4">
        <v>0</v>
      </c>
      <c r="C1557" s="4">
        <v>0</v>
      </c>
      <c r="D1557" s="4">
        <v>1</v>
      </c>
      <c r="E1557" s="4">
        <v>231</v>
      </c>
      <c r="F1557" s="4">
        <f>ROUND(Source!BB1544,O1557)</f>
        <v>0</v>
      </c>
      <c r="G1557" s="4" t="s">
        <v>111</v>
      </c>
      <c r="H1557" s="4" t="s">
        <v>112</v>
      </c>
      <c r="I1557" s="4"/>
      <c r="J1557" s="4"/>
      <c r="K1557" s="4">
        <v>231</v>
      </c>
      <c r="L1557" s="4">
        <v>12</v>
      </c>
      <c r="M1557" s="4">
        <v>3</v>
      </c>
      <c r="N1557" s="4" t="s">
        <v>3</v>
      </c>
      <c r="O1557" s="4">
        <v>2</v>
      </c>
      <c r="P1557" s="4"/>
      <c r="Q1557" s="4"/>
      <c r="R1557" s="4"/>
      <c r="S1557" s="4"/>
      <c r="T1557" s="4"/>
      <c r="U1557" s="4"/>
      <c r="V1557" s="4"/>
      <c r="W1557" s="4"/>
    </row>
    <row r="1558" spans="1:23" x14ac:dyDescent="0.2">
      <c r="A1558" s="4">
        <v>50</v>
      </c>
      <c r="B1558" s="4">
        <v>0</v>
      </c>
      <c r="C1558" s="4">
        <v>0</v>
      </c>
      <c r="D1558" s="4">
        <v>1</v>
      </c>
      <c r="E1558" s="4">
        <v>204</v>
      </c>
      <c r="F1558" s="4">
        <f>ROUND(Source!R1544,O1558)</f>
        <v>1288867.77</v>
      </c>
      <c r="G1558" s="4" t="s">
        <v>113</v>
      </c>
      <c r="H1558" s="4" t="s">
        <v>114</v>
      </c>
      <c r="I1558" s="4"/>
      <c r="J1558" s="4"/>
      <c r="K1558" s="4">
        <v>204</v>
      </c>
      <c r="L1558" s="4">
        <v>13</v>
      </c>
      <c r="M1558" s="4">
        <v>3</v>
      </c>
      <c r="N1558" s="4" t="s">
        <v>3</v>
      </c>
      <c r="O1558" s="4">
        <v>2</v>
      </c>
      <c r="P1558" s="4"/>
      <c r="Q1558" s="4"/>
      <c r="R1558" s="4"/>
      <c r="S1558" s="4"/>
      <c r="T1558" s="4"/>
      <c r="U1558" s="4"/>
      <c r="V1558" s="4"/>
      <c r="W1558" s="4"/>
    </row>
    <row r="1559" spans="1:23" x14ac:dyDescent="0.2">
      <c r="A1559" s="4">
        <v>50</v>
      </c>
      <c r="B1559" s="4">
        <v>0</v>
      </c>
      <c r="C1559" s="4">
        <v>0</v>
      </c>
      <c r="D1559" s="4">
        <v>1</v>
      </c>
      <c r="E1559" s="4">
        <v>205</v>
      </c>
      <c r="F1559" s="4">
        <f>ROUND(Source!S1544,O1559)</f>
        <v>9703394.6799999997</v>
      </c>
      <c r="G1559" s="4" t="s">
        <v>115</v>
      </c>
      <c r="H1559" s="4" t="s">
        <v>116</v>
      </c>
      <c r="I1559" s="4"/>
      <c r="J1559" s="4"/>
      <c r="K1559" s="4">
        <v>205</v>
      </c>
      <c r="L1559" s="4">
        <v>14</v>
      </c>
      <c r="M1559" s="4">
        <v>3</v>
      </c>
      <c r="N1559" s="4" t="s">
        <v>3</v>
      </c>
      <c r="O1559" s="4">
        <v>2</v>
      </c>
      <c r="P1559" s="4"/>
      <c r="Q1559" s="4"/>
      <c r="R1559" s="4"/>
      <c r="S1559" s="4"/>
      <c r="T1559" s="4"/>
      <c r="U1559" s="4"/>
      <c r="V1559" s="4"/>
      <c r="W1559" s="4"/>
    </row>
    <row r="1560" spans="1:23" x14ac:dyDescent="0.2">
      <c r="A1560" s="4">
        <v>50</v>
      </c>
      <c r="B1560" s="4">
        <v>0</v>
      </c>
      <c r="C1560" s="4">
        <v>0</v>
      </c>
      <c r="D1560" s="4">
        <v>1</v>
      </c>
      <c r="E1560" s="4">
        <v>232</v>
      </c>
      <c r="F1560" s="4">
        <f>ROUND(Source!BC1544,O1560)</f>
        <v>0</v>
      </c>
      <c r="G1560" s="4" t="s">
        <v>117</v>
      </c>
      <c r="H1560" s="4" t="s">
        <v>118</v>
      </c>
      <c r="I1560" s="4"/>
      <c r="J1560" s="4"/>
      <c r="K1560" s="4">
        <v>232</v>
      </c>
      <c r="L1560" s="4">
        <v>15</v>
      </c>
      <c r="M1560" s="4">
        <v>3</v>
      </c>
      <c r="N1560" s="4" t="s">
        <v>3</v>
      </c>
      <c r="O1560" s="4">
        <v>2</v>
      </c>
      <c r="P1560" s="4"/>
      <c r="Q1560" s="4"/>
      <c r="R1560" s="4"/>
      <c r="S1560" s="4"/>
      <c r="T1560" s="4"/>
      <c r="U1560" s="4"/>
      <c r="V1560" s="4"/>
      <c r="W1560" s="4"/>
    </row>
    <row r="1561" spans="1:23" x14ac:dyDescent="0.2">
      <c r="A1561" s="4">
        <v>50</v>
      </c>
      <c r="B1561" s="4">
        <v>0</v>
      </c>
      <c r="C1561" s="4">
        <v>0</v>
      </c>
      <c r="D1561" s="4">
        <v>1</v>
      </c>
      <c r="E1561" s="4">
        <v>214</v>
      </c>
      <c r="F1561" s="4">
        <f>ROUND(Source!AS1544,O1561)</f>
        <v>56978603.32</v>
      </c>
      <c r="G1561" s="4" t="s">
        <v>119</v>
      </c>
      <c r="H1561" s="4" t="s">
        <v>120</v>
      </c>
      <c r="I1561" s="4"/>
      <c r="J1561" s="4"/>
      <c r="K1561" s="4">
        <v>214</v>
      </c>
      <c r="L1561" s="4">
        <v>16</v>
      </c>
      <c r="M1561" s="4">
        <v>3</v>
      </c>
      <c r="N1561" s="4" t="s">
        <v>3</v>
      </c>
      <c r="O1561" s="4">
        <v>2</v>
      </c>
      <c r="P1561" s="4"/>
      <c r="Q1561" s="4"/>
      <c r="R1561" s="4"/>
      <c r="S1561" s="4"/>
      <c r="T1561" s="4"/>
      <c r="U1561" s="4"/>
      <c r="V1561" s="4"/>
      <c r="W1561" s="4"/>
    </row>
    <row r="1562" spans="1:23" x14ac:dyDescent="0.2">
      <c r="A1562" s="4">
        <v>50</v>
      </c>
      <c r="B1562" s="4">
        <v>0</v>
      </c>
      <c r="C1562" s="4">
        <v>0</v>
      </c>
      <c r="D1562" s="4">
        <v>1</v>
      </c>
      <c r="E1562" s="4">
        <v>215</v>
      </c>
      <c r="F1562" s="4">
        <f>ROUND(Source!AT1544,O1562)</f>
        <v>0</v>
      </c>
      <c r="G1562" s="4" t="s">
        <v>121</v>
      </c>
      <c r="H1562" s="4" t="s">
        <v>122</v>
      </c>
      <c r="I1562" s="4"/>
      <c r="J1562" s="4"/>
      <c r="K1562" s="4">
        <v>215</v>
      </c>
      <c r="L1562" s="4">
        <v>17</v>
      </c>
      <c r="M1562" s="4">
        <v>3</v>
      </c>
      <c r="N1562" s="4" t="s">
        <v>3</v>
      </c>
      <c r="O1562" s="4">
        <v>2</v>
      </c>
      <c r="P1562" s="4"/>
      <c r="Q1562" s="4"/>
      <c r="R1562" s="4"/>
      <c r="S1562" s="4"/>
      <c r="T1562" s="4"/>
      <c r="U1562" s="4"/>
      <c r="V1562" s="4"/>
      <c r="W1562" s="4"/>
    </row>
    <row r="1563" spans="1:23" x14ac:dyDescent="0.2">
      <c r="A1563" s="4">
        <v>50</v>
      </c>
      <c r="B1563" s="4">
        <v>0</v>
      </c>
      <c r="C1563" s="4">
        <v>0</v>
      </c>
      <c r="D1563" s="4">
        <v>1</v>
      </c>
      <c r="E1563" s="4">
        <v>217</v>
      </c>
      <c r="F1563" s="4">
        <f>ROUND(Source!AU1544,O1563)</f>
        <v>0</v>
      </c>
      <c r="G1563" s="4" t="s">
        <v>123</v>
      </c>
      <c r="H1563" s="4" t="s">
        <v>124</v>
      </c>
      <c r="I1563" s="4"/>
      <c r="J1563" s="4"/>
      <c r="K1563" s="4">
        <v>217</v>
      </c>
      <c r="L1563" s="4">
        <v>18</v>
      </c>
      <c r="M1563" s="4">
        <v>3</v>
      </c>
      <c r="N1563" s="4" t="s">
        <v>3</v>
      </c>
      <c r="O1563" s="4">
        <v>2</v>
      </c>
      <c r="P1563" s="4"/>
      <c r="Q1563" s="4"/>
      <c r="R1563" s="4"/>
      <c r="S1563" s="4"/>
      <c r="T1563" s="4"/>
      <c r="U1563" s="4"/>
      <c r="V1563" s="4"/>
      <c r="W1563" s="4"/>
    </row>
    <row r="1564" spans="1:23" x14ac:dyDescent="0.2">
      <c r="A1564" s="4">
        <v>50</v>
      </c>
      <c r="B1564" s="4">
        <v>0</v>
      </c>
      <c r="C1564" s="4">
        <v>0</v>
      </c>
      <c r="D1564" s="4">
        <v>1</v>
      </c>
      <c r="E1564" s="4">
        <v>230</v>
      </c>
      <c r="F1564" s="4">
        <f>ROUND(Source!BA1544,O1564)</f>
        <v>0</v>
      </c>
      <c r="G1564" s="4" t="s">
        <v>125</v>
      </c>
      <c r="H1564" s="4" t="s">
        <v>126</v>
      </c>
      <c r="I1564" s="4"/>
      <c r="J1564" s="4"/>
      <c r="K1564" s="4">
        <v>230</v>
      </c>
      <c r="L1564" s="4">
        <v>19</v>
      </c>
      <c r="M1564" s="4">
        <v>3</v>
      </c>
      <c r="N1564" s="4" t="s">
        <v>3</v>
      </c>
      <c r="O1564" s="4">
        <v>2</v>
      </c>
      <c r="P1564" s="4"/>
      <c r="Q1564" s="4"/>
      <c r="R1564" s="4"/>
      <c r="S1564" s="4"/>
      <c r="T1564" s="4"/>
      <c r="U1564" s="4"/>
      <c r="V1564" s="4"/>
      <c r="W1564" s="4"/>
    </row>
    <row r="1565" spans="1:23" x14ac:dyDescent="0.2">
      <c r="A1565" s="4">
        <v>50</v>
      </c>
      <c r="B1565" s="4">
        <v>0</v>
      </c>
      <c r="C1565" s="4">
        <v>0</v>
      </c>
      <c r="D1565" s="4">
        <v>1</v>
      </c>
      <c r="E1565" s="4">
        <v>206</v>
      </c>
      <c r="F1565" s="4">
        <f>ROUND(Source!T1544,O1565)</f>
        <v>0</v>
      </c>
      <c r="G1565" s="4" t="s">
        <v>127</v>
      </c>
      <c r="H1565" s="4" t="s">
        <v>128</v>
      </c>
      <c r="I1565" s="4"/>
      <c r="J1565" s="4"/>
      <c r="K1565" s="4">
        <v>206</v>
      </c>
      <c r="L1565" s="4">
        <v>20</v>
      </c>
      <c r="M1565" s="4">
        <v>3</v>
      </c>
      <c r="N1565" s="4" t="s">
        <v>3</v>
      </c>
      <c r="O1565" s="4">
        <v>2</v>
      </c>
      <c r="P1565" s="4"/>
      <c r="Q1565" s="4"/>
      <c r="R1565" s="4"/>
      <c r="S1565" s="4"/>
      <c r="T1565" s="4"/>
      <c r="U1565" s="4"/>
      <c r="V1565" s="4"/>
      <c r="W1565" s="4"/>
    </row>
    <row r="1566" spans="1:23" x14ac:dyDescent="0.2">
      <c r="A1566" s="4">
        <v>50</v>
      </c>
      <c r="B1566" s="4">
        <v>0</v>
      </c>
      <c r="C1566" s="4">
        <v>0</v>
      </c>
      <c r="D1566" s="4">
        <v>1</v>
      </c>
      <c r="E1566" s="4">
        <v>207</v>
      </c>
      <c r="F1566" s="4">
        <f>Source!U1544</f>
        <v>35964.222826878162</v>
      </c>
      <c r="G1566" s="4" t="s">
        <v>129</v>
      </c>
      <c r="H1566" s="4" t="s">
        <v>130</v>
      </c>
      <c r="I1566" s="4"/>
      <c r="J1566" s="4"/>
      <c r="K1566" s="4">
        <v>207</v>
      </c>
      <c r="L1566" s="4">
        <v>21</v>
      </c>
      <c r="M1566" s="4">
        <v>3</v>
      </c>
      <c r="N1566" s="4" t="s">
        <v>3</v>
      </c>
      <c r="O1566" s="4">
        <v>-1</v>
      </c>
      <c r="P1566" s="4"/>
      <c r="Q1566" s="4"/>
      <c r="R1566" s="4"/>
      <c r="S1566" s="4"/>
      <c r="T1566" s="4"/>
      <c r="U1566" s="4"/>
      <c r="V1566" s="4"/>
      <c r="W1566" s="4"/>
    </row>
    <row r="1567" spans="1:23" x14ac:dyDescent="0.2">
      <c r="A1567" s="4">
        <v>50</v>
      </c>
      <c r="B1567" s="4">
        <v>0</v>
      </c>
      <c r="C1567" s="4">
        <v>0</v>
      </c>
      <c r="D1567" s="4">
        <v>1</v>
      </c>
      <c r="E1567" s="4">
        <v>208</v>
      </c>
      <c r="F1567" s="4">
        <f>Source!V1544</f>
        <v>0</v>
      </c>
      <c r="G1567" s="4" t="s">
        <v>131</v>
      </c>
      <c r="H1567" s="4" t="s">
        <v>132</v>
      </c>
      <c r="I1567" s="4"/>
      <c r="J1567" s="4"/>
      <c r="K1567" s="4">
        <v>208</v>
      </c>
      <c r="L1567" s="4">
        <v>22</v>
      </c>
      <c r="M1567" s="4">
        <v>3</v>
      </c>
      <c r="N1567" s="4" t="s">
        <v>3</v>
      </c>
      <c r="O1567" s="4">
        <v>-1</v>
      </c>
      <c r="P1567" s="4"/>
      <c r="Q1567" s="4"/>
      <c r="R1567" s="4"/>
      <c r="S1567" s="4"/>
      <c r="T1567" s="4"/>
      <c r="U1567" s="4"/>
      <c r="V1567" s="4"/>
      <c r="W1567" s="4"/>
    </row>
    <row r="1568" spans="1:23" x14ac:dyDescent="0.2">
      <c r="A1568" s="4">
        <v>50</v>
      </c>
      <c r="B1568" s="4">
        <v>0</v>
      </c>
      <c r="C1568" s="4">
        <v>0</v>
      </c>
      <c r="D1568" s="4">
        <v>1</v>
      </c>
      <c r="E1568" s="4">
        <v>209</v>
      </c>
      <c r="F1568" s="4">
        <f>ROUND(Source!W1544,O1568)</f>
        <v>0</v>
      </c>
      <c r="G1568" s="4" t="s">
        <v>133</v>
      </c>
      <c r="H1568" s="4" t="s">
        <v>134</v>
      </c>
      <c r="I1568" s="4"/>
      <c r="J1568" s="4"/>
      <c r="K1568" s="4">
        <v>209</v>
      </c>
      <c r="L1568" s="4">
        <v>23</v>
      </c>
      <c r="M1568" s="4">
        <v>3</v>
      </c>
      <c r="N1568" s="4" t="s">
        <v>3</v>
      </c>
      <c r="O1568" s="4">
        <v>2</v>
      </c>
      <c r="P1568" s="4"/>
      <c r="Q1568" s="4"/>
      <c r="R1568" s="4"/>
      <c r="S1568" s="4"/>
      <c r="T1568" s="4"/>
      <c r="U1568" s="4"/>
      <c r="V1568" s="4"/>
      <c r="W1568" s="4"/>
    </row>
    <row r="1569" spans="1:27" x14ac:dyDescent="0.2">
      <c r="A1569" s="4">
        <v>50</v>
      </c>
      <c r="B1569" s="4">
        <v>0</v>
      </c>
      <c r="C1569" s="4">
        <v>0</v>
      </c>
      <c r="D1569" s="4">
        <v>1</v>
      </c>
      <c r="E1569" s="4">
        <v>233</v>
      </c>
      <c r="F1569" s="4">
        <f>ROUND(Source!BD1544,O1569)</f>
        <v>0</v>
      </c>
      <c r="G1569" s="4" t="s">
        <v>135</v>
      </c>
      <c r="H1569" s="4" t="s">
        <v>136</v>
      </c>
      <c r="I1569" s="4"/>
      <c r="J1569" s="4"/>
      <c r="K1569" s="4">
        <v>233</v>
      </c>
      <c r="L1569" s="4">
        <v>24</v>
      </c>
      <c r="M1569" s="4">
        <v>3</v>
      </c>
      <c r="N1569" s="4" t="s">
        <v>3</v>
      </c>
      <c r="O1569" s="4">
        <v>2</v>
      </c>
      <c r="P1569" s="4"/>
      <c r="Q1569" s="4"/>
      <c r="R1569" s="4"/>
      <c r="S1569" s="4"/>
      <c r="T1569" s="4"/>
      <c r="U1569" s="4"/>
      <c r="V1569" s="4"/>
      <c r="W1569" s="4"/>
    </row>
    <row r="1570" spans="1:27" x14ac:dyDescent="0.2">
      <c r="A1570" s="4">
        <v>50</v>
      </c>
      <c r="B1570" s="4">
        <v>0</v>
      </c>
      <c r="C1570" s="4">
        <v>0</v>
      </c>
      <c r="D1570" s="4">
        <v>1</v>
      </c>
      <c r="E1570" s="4">
        <v>210</v>
      </c>
      <c r="F1570" s="4">
        <f>ROUND(Source!X1544,O1570)</f>
        <v>9693116.6199999992</v>
      </c>
      <c r="G1570" s="4" t="s">
        <v>137</v>
      </c>
      <c r="H1570" s="4" t="s">
        <v>138</v>
      </c>
      <c r="I1570" s="4"/>
      <c r="J1570" s="4"/>
      <c r="K1570" s="4">
        <v>210</v>
      </c>
      <c r="L1570" s="4">
        <v>25</v>
      </c>
      <c r="M1570" s="4">
        <v>3</v>
      </c>
      <c r="N1570" s="4" t="s">
        <v>3</v>
      </c>
      <c r="O1570" s="4">
        <v>2</v>
      </c>
      <c r="P1570" s="4"/>
      <c r="Q1570" s="4"/>
      <c r="R1570" s="4"/>
      <c r="S1570" s="4"/>
      <c r="T1570" s="4"/>
      <c r="U1570" s="4"/>
      <c r="V1570" s="4"/>
      <c r="W1570" s="4"/>
    </row>
    <row r="1571" spans="1:27" x14ac:dyDescent="0.2">
      <c r="A1571" s="4">
        <v>50</v>
      </c>
      <c r="B1571" s="4">
        <v>0</v>
      </c>
      <c r="C1571" s="4">
        <v>0</v>
      </c>
      <c r="D1571" s="4">
        <v>1</v>
      </c>
      <c r="E1571" s="4">
        <v>211</v>
      </c>
      <c r="F1571" s="4">
        <f>ROUND(Source!Y1544,O1571)</f>
        <v>4458728.57</v>
      </c>
      <c r="G1571" s="4" t="s">
        <v>139</v>
      </c>
      <c r="H1571" s="4" t="s">
        <v>140</v>
      </c>
      <c r="I1571" s="4"/>
      <c r="J1571" s="4"/>
      <c r="K1571" s="4">
        <v>211</v>
      </c>
      <c r="L1571" s="4">
        <v>26</v>
      </c>
      <c r="M1571" s="4">
        <v>3</v>
      </c>
      <c r="N1571" s="4" t="s">
        <v>3</v>
      </c>
      <c r="O1571" s="4">
        <v>2</v>
      </c>
      <c r="P1571" s="4"/>
      <c r="Q1571" s="4"/>
      <c r="R1571" s="4"/>
      <c r="S1571" s="4"/>
      <c r="T1571" s="4"/>
      <c r="U1571" s="4"/>
      <c r="V1571" s="4"/>
      <c r="W1571" s="4"/>
    </row>
    <row r="1572" spans="1:27" x14ac:dyDescent="0.2">
      <c r="A1572" s="4">
        <v>50</v>
      </c>
      <c r="B1572" s="4">
        <v>0</v>
      </c>
      <c r="C1572" s="4">
        <v>0</v>
      </c>
      <c r="D1572" s="4">
        <v>1</v>
      </c>
      <c r="E1572" s="4">
        <v>224</v>
      </c>
      <c r="F1572" s="4">
        <f>ROUND(Source!AR1544,O1572)</f>
        <v>56978603.32</v>
      </c>
      <c r="G1572" s="4" t="s">
        <v>141</v>
      </c>
      <c r="H1572" s="4" t="s">
        <v>142</v>
      </c>
      <c r="I1572" s="4"/>
      <c r="J1572" s="4"/>
      <c r="K1572" s="4">
        <v>224</v>
      </c>
      <c r="L1572" s="4">
        <v>27</v>
      </c>
      <c r="M1572" s="4">
        <v>3</v>
      </c>
      <c r="N1572" s="4" t="s">
        <v>3</v>
      </c>
      <c r="O1572" s="4">
        <v>2</v>
      </c>
      <c r="P1572" s="4"/>
      <c r="Q1572" s="4"/>
      <c r="R1572" s="4"/>
      <c r="S1572" s="4"/>
      <c r="T1572" s="4"/>
      <c r="U1572" s="4"/>
      <c r="V1572" s="4"/>
      <c r="W1572" s="4"/>
    </row>
    <row r="1573" spans="1:27" x14ac:dyDescent="0.2">
      <c r="A1573" s="4">
        <v>50</v>
      </c>
      <c r="B1573" s="4">
        <v>1</v>
      </c>
      <c r="C1573" s="4">
        <v>0</v>
      </c>
      <c r="D1573" s="4">
        <v>2</v>
      </c>
      <c r="E1573" s="4">
        <v>0</v>
      </c>
      <c r="F1573" s="4">
        <f>ROUND(F1572*0.2,O1573)</f>
        <v>11395720.66</v>
      </c>
      <c r="G1573" s="4" t="s">
        <v>15</v>
      </c>
      <c r="H1573" s="4" t="s">
        <v>640</v>
      </c>
      <c r="I1573" s="4"/>
      <c r="J1573" s="4"/>
      <c r="K1573" s="4">
        <v>212</v>
      </c>
      <c r="L1573" s="4">
        <v>28</v>
      </c>
      <c r="M1573" s="4">
        <v>0</v>
      </c>
      <c r="N1573" s="4" t="s">
        <v>3</v>
      </c>
      <c r="O1573" s="4">
        <v>2</v>
      </c>
      <c r="P1573" s="4"/>
      <c r="Q1573" s="4"/>
      <c r="R1573" s="4"/>
      <c r="S1573" s="4"/>
      <c r="T1573" s="4"/>
      <c r="U1573" s="4"/>
      <c r="V1573" s="4"/>
      <c r="W1573" s="4"/>
    </row>
    <row r="1574" spans="1:27" x14ac:dyDescent="0.2">
      <c r="A1574" s="4">
        <v>50</v>
      </c>
      <c r="B1574" s="4">
        <v>1</v>
      </c>
      <c r="C1574" s="4">
        <v>0</v>
      </c>
      <c r="D1574" s="4">
        <v>2</v>
      </c>
      <c r="E1574" s="4">
        <v>213</v>
      </c>
      <c r="F1574" s="4">
        <f>ROUND(F1572+F1573,O1574)</f>
        <v>68374323.980000004</v>
      </c>
      <c r="G1574" s="4" t="s">
        <v>23</v>
      </c>
      <c r="H1574" s="4" t="s">
        <v>141</v>
      </c>
      <c r="I1574" s="4"/>
      <c r="J1574" s="4"/>
      <c r="K1574" s="4">
        <v>212</v>
      </c>
      <c r="L1574" s="4">
        <v>29</v>
      </c>
      <c r="M1574" s="4">
        <v>0</v>
      </c>
      <c r="N1574" s="4" t="s">
        <v>3</v>
      </c>
      <c r="O1574" s="4">
        <v>2</v>
      </c>
      <c r="P1574" s="4"/>
      <c r="Q1574" s="4"/>
      <c r="R1574" s="4"/>
      <c r="S1574" s="4"/>
      <c r="T1574" s="4"/>
      <c r="U1574" s="4"/>
      <c r="V1574" s="4"/>
      <c r="W1574" s="4"/>
    </row>
    <row r="1577" spans="1:27" x14ac:dyDescent="0.2">
      <c r="A1577">
        <v>-1</v>
      </c>
    </row>
    <row r="1579" spans="1:27" x14ac:dyDescent="0.2">
      <c r="A1579" s="3">
        <v>75</v>
      </c>
      <c r="B1579" s="3" t="s">
        <v>641</v>
      </c>
      <c r="C1579" s="3">
        <v>2020</v>
      </c>
      <c r="D1579" s="3">
        <v>0</v>
      </c>
      <c r="E1579" s="3">
        <v>10</v>
      </c>
      <c r="F1579" s="3"/>
      <c r="G1579" s="3">
        <v>0</v>
      </c>
      <c r="H1579" s="3">
        <v>2</v>
      </c>
      <c r="I1579" s="3">
        <v>1</v>
      </c>
      <c r="J1579" s="3">
        <v>1</v>
      </c>
      <c r="K1579" s="3">
        <v>93</v>
      </c>
      <c r="L1579" s="3">
        <v>64</v>
      </c>
      <c r="M1579" s="3">
        <v>0</v>
      </c>
      <c r="N1579" s="3">
        <v>33989672</v>
      </c>
      <c r="O1579" s="3">
        <v>1</v>
      </c>
    </row>
    <row r="1580" spans="1:27" x14ac:dyDescent="0.2">
      <c r="A1580" s="5">
        <v>1</v>
      </c>
      <c r="B1580" s="5" t="s">
        <v>642</v>
      </c>
      <c r="C1580" s="5" t="s">
        <v>643</v>
      </c>
      <c r="D1580" s="5">
        <v>2020</v>
      </c>
      <c r="E1580" s="5">
        <v>10</v>
      </c>
      <c r="F1580" s="5">
        <v>1</v>
      </c>
      <c r="G1580" s="5">
        <v>1</v>
      </c>
      <c r="H1580" s="5">
        <v>0</v>
      </c>
      <c r="I1580" s="5">
        <v>2</v>
      </c>
      <c r="J1580" s="5">
        <v>1</v>
      </c>
      <c r="K1580" s="5">
        <v>1</v>
      </c>
      <c r="L1580" s="5">
        <v>1</v>
      </c>
      <c r="M1580" s="5">
        <v>1</v>
      </c>
      <c r="N1580" s="5">
        <v>1</v>
      </c>
      <c r="O1580" s="5">
        <v>1</v>
      </c>
      <c r="P1580" s="5">
        <v>1</v>
      </c>
      <c r="Q1580" s="5">
        <v>1</v>
      </c>
      <c r="R1580" s="5" t="s">
        <v>3</v>
      </c>
      <c r="S1580" s="5" t="s">
        <v>3</v>
      </c>
      <c r="T1580" s="5" t="s">
        <v>3</v>
      </c>
      <c r="U1580" s="5" t="s">
        <v>3</v>
      </c>
      <c r="V1580" s="5" t="s">
        <v>3</v>
      </c>
      <c r="W1580" s="5" t="s">
        <v>3</v>
      </c>
      <c r="X1580" s="5" t="s">
        <v>3</v>
      </c>
      <c r="Y1580" s="5" t="s">
        <v>3</v>
      </c>
      <c r="Z1580" s="5" t="s">
        <v>3</v>
      </c>
      <c r="AA1580" s="5" t="s">
        <v>644</v>
      </c>
    </row>
    <row r="1584" spans="1:27" x14ac:dyDescent="0.2">
      <c r="A1584">
        <v>65</v>
      </c>
      <c r="C1584">
        <v>1</v>
      </c>
      <c r="D1584">
        <v>0</v>
      </c>
      <c r="E1584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645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35366</v>
      </c>
      <c r="M1">
        <v>10</v>
      </c>
      <c r="N1">
        <v>11</v>
      </c>
      <c r="O1">
        <v>0</v>
      </c>
      <c r="P1">
        <v>0</v>
      </c>
      <c r="Q1">
        <v>6</v>
      </c>
    </row>
    <row r="12" spans="1:133" x14ac:dyDescent="0.2">
      <c r="A12" s="1">
        <v>1</v>
      </c>
      <c r="B12" s="1">
        <v>53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157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16785416</v>
      </c>
      <c r="CI12" s="1" t="s">
        <v>3</v>
      </c>
      <c r="CJ12" s="1" t="s">
        <v>3</v>
      </c>
      <c r="CK12" s="1">
        <v>58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33989672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12</v>
      </c>
      <c r="D16" s="6" t="s">
        <v>12</v>
      </c>
      <c r="E16" s="7">
        <f>(Source!F1531)/1000</f>
        <v>56978.603320000002</v>
      </c>
      <c r="F16" s="7">
        <f>(Source!F1532)/1000</f>
        <v>0</v>
      </c>
      <c r="G16" s="7">
        <f>(Source!F1523)/1000</f>
        <v>0</v>
      </c>
      <c r="H16" s="7">
        <f>(Source!F1533)/1000+(Source!F1534)/1000</f>
        <v>0</v>
      </c>
      <c r="I16" s="7">
        <f>E16+F16+G16+H16</f>
        <v>56978.603320000002</v>
      </c>
      <c r="J16" s="7">
        <f>(Source!F1529)/1000</f>
        <v>9703.3946799999994</v>
      </c>
      <c r="AI16" s="6">
        <v>0</v>
      </c>
      <c r="AJ16" s="6">
        <v>0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40803914.5</v>
      </c>
      <c r="AU16" s="7">
        <v>28115563.460000001</v>
      </c>
      <c r="AV16" s="7">
        <v>0</v>
      </c>
      <c r="AW16" s="7">
        <v>0</v>
      </c>
      <c r="AX16" s="7">
        <v>0</v>
      </c>
      <c r="AY16" s="7">
        <v>2984956.36</v>
      </c>
      <c r="AZ16" s="7">
        <v>1288867.77</v>
      </c>
      <c r="BA16" s="7">
        <v>9703394.6799999997</v>
      </c>
      <c r="BB16" s="7">
        <v>56978603.32</v>
      </c>
      <c r="BC16" s="7">
        <v>0</v>
      </c>
      <c r="BD16" s="7">
        <v>678.79</v>
      </c>
      <c r="BE16" s="7">
        <v>0</v>
      </c>
      <c r="BF16" s="7">
        <v>35964.222826878162</v>
      </c>
      <c r="BG16" s="7">
        <v>0</v>
      </c>
      <c r="BH16" s="7">
        <v>0</v>
      </c>
      <c r="BI16" s="7">
        <v>9693116.6199999992</v>
      </c>
      <c r="BJ16" s="7">
        <v>4458728.57</v>
      </c>
      <c r="BK16" s="7">
        <v>56979282.109999999</v>
      </c>
    </row>
    <row r="18" spans="1:19" x14ac:dyDescent="0.2">
      <c r="A18">
        <v>51</v>
      </c>
      <c r="E18" s="8">
        <f>SUMIF(A16:A17,3,E16:E17)</f>
        <v>56978.603320000002</v>
      </c>
      <c r="F18" s="8">
        <f>SUMIF(A16:A17,3,F16:F17)</f>
        <v>0</v>
      </c>
      <c r="G18" s="8">
        <f>SUMIF(A16:A17,3,G16:G17)</f>
        <v>0</v>
      </c>
      <c r="H18" s="8">
        <f>SUMIF(A16:A17,3,H16:H17)</f>
        <v>0</v>
      </c>
      <c r="I18" s="8">
        <f>SUMIF(A16:A17,3,I16:I17)</f>
        <v>56978.603320000002</v>
      </c>
      <c r="J18" s="8">
        <f>SUMIF(A16:A17,3,J16:J17)</f>
        <v>9703.3946799999994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40803914.5</v>
      </c>
      <c r="G20" s="4" t="s">
        <v>89</v>
      </c>
      <c r="H20" s="4" t="s">
        <v>90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28115563.460000001</v>
      </c>
      <c r="G21" s="4" t="s">
        <v>91</v>
      </c>
      <c r="H21" s="4" t="s">
        <v>92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93</v>
      </c>
      <c r="H22" s="4" t="s">
        <v>94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28115563.460000001</v>
      </c>
      <c r="G23" s="4" t="s">
        <v>95</v>
      </c>
      <c r="H23" s="4" t="s">
        <v>96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28115563.460000001</v>
      </c>
      <c r="G24" s="4" t="s">
        <v>97</v>
      </c>
      <c r="H24" s="4" t="s">
        <v>98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99</v>
      </c>
      <c r="H25" s="4" t="s">
        <v>100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28115563.460000001</v>
      </c>
      <c r="G26" s="4" t="s">
        <v>101</v>
      </c>
      <c r="H26" s="4" t="s">
        <v>102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103</v>
      </c>
      <c r="H27" s="4" t="s">
        <v>104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105</v>
      </c>
      <c r="H28" s="4" t="s">
        <v>106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107</v>
      </c>
      <c r="H29" s="4" t="s">
        <v>108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2984956.36</v>
      </c>
      <c r="G30" s="4" t="s">
        <v>109</v>
      </c>
      <c r="H30" s="4" t="s">
        <v>110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111</v>
      </c>
      <c r="H31" s="4" t="s">
        <v>112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1288867.77</v>
      </c>
      <c r="G32" s="4" t="s">
        <v>113</v>
      </c>
      <c r="H32" s="4" t="s">
        <v>114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9703394.6799999997</v>
      </c>
      <c r="G33" s="4" t="s">
        <v>115</v>
      </c>
      <c r="H33" s="4" t="s">
        <v>116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117</v>
      </c>
      <c r="H34" s="4" t="s">
        <v>118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56978603.32</v>
      </c>
      <c r="G35" s="4" t="s">
        <v>119</v>
      </c>
      <c r="H35" s="4" t="s">
        <v>120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0</v>
      </c>
      <c r="G36" s="4" t="s">
        <v>121</v>
      </c>
      <c r="H36" s="4" t="s">
        <v>122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678.79</v>
      </c>
      <c r="G37" s="4" t="s">
        <v>123</v>
      </c>
      <c r="H37" s="4" t="s">
        <v>124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125</v>
      </c>
      <c r="H38" s="4" t="s">
        <v>126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127</v>
      </c>
      <c r="H39" s="4" t="s">
        <v>128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35964.222826878162</v>
      </c>
      <c r="G40" s="4" t="s">
        <v>129</v>
      </c>
      <c r="H40" s="4" t="s">
        <v>130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131</v>
      </c>
      <c r="H41" s="4" t="s">
        <v>132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133</v>
      </c>
      <c r="H42" s="4" t="s">
        <v>134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0</v>
      </c>
      <c r="G43" s="4" t="s">
        <v>135</v>
      </c>
      <c r="H43" s="4" t="s">
        <v>136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210</v>
      </c>
      <c r="F44" s="4">
        <v>9693116.6199999992</v>
      </c>
      <c r="G44" s="4" t="s">
        <v>137</v>
      </c>
      <c r="H44" s="4" t="s">
        <v>138</v>
      </c>
      <c r="I44" s="4"/>
      <c r="J44" s="4"/>
      <c r="K44" s="4">
        <v>210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211</v>
      </c>
      <c r="F45" s="4">
        <v>4458728.57</v>
      </c>
      <c r="G45" s="4" t="s">
        <v>139</v>
      </c>
      <c r="H45" s="4" t="s">
        <v>140</v>
      </c>
      <c r="I45" s="4"/>
      <c r="J45" s="4"/>
      <c r="K45" s="4">
        <v>211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56979282.109999999</v>
      </c>
      <c r="G46" s="4" t="s">
        <v>141</v>
      </c>
      <c r="H46" s="4" t="s">
        <v>142</v>
      </c>
      <c r="I46" s="4"/>
      <c r="J46" s="4"/>
      <c r="K46" s="4">
        <v>224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11395856.42</v>
      </c>
      <c r="G47" s="4" t="s">
        <v>15</v>
      </c>
      <c r="H47" s="4" t="s">
        <v>640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213</v>
      </c>
      <c r="F48" s="4">
        <v>68375138.530000001</v>
      </c>
      <c r="G48" s="4" t="s">
        <v>23</v>
      </c>
      <c r="H48" s="4" t="s">
        <v>141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50" spans="1:27" x14ac:dyDescent="0.2">
      <c r="A50">
        <v>-1</v>
      </c>
    </row>
    <row r="53" spans="1:27" x14ac:dyDescent="0.2">
      <c r="A53" s="3">
        <v>75</v>
      </c>
      <c r="B53" s="3" t="s">
        <v>641</v>
      </c>
      <c r="C53" s="3">
        <v>2020</v>
      </c>
      <c r="D53" s="3">
        <v>0</v>
      </c>
      <c r="E53" s="3">
        <v>10</v>
      </c>
      <c r="F53" s="3"/>
      <c r="G53" s="3">
        <v>0</v>
      </c>
      <c r="H53" s="3">
        <v>2</v>
      </c>
      <c r="I53" s="3">
        <v>1</v>
      </c>
      <c r="J53" s="3">
        <v>1</v>
      </c>
      <c r="K53" s="3">
        <v>93</v>
      </c>
      <c r="L53" s="3">
        <v>64</v>
      </c>
      <c r="M53" s="3">
        <v>0</v>
      </c>
      <c r="N53" s="3">
        <v>33989672</v>
      </c>
      <c r="O53" s="3">
        <v>1</v>
      </c>
    </row>
    <row r="54" spans="1:27" x14ac:dyDescent="0.2">
      <c r="A54" s="5">
        <v>1</v>
      </c>
      <c r="B54" s="5" t="s">
        <v>642</v>
      </c>
      <c r="C54" s="5" t="s">
        <v>643</v>
      </c>
      <c r="D54" s="5">
        <v>2020</v>
      </c>
      <c r="E54" s="5">
        <v>10</v>
      </c>
      <c r="F54" s="5">
        <v>1</v>
      </c>
      <c r="G54" s="5">
        <v>1</v>
      </c>
      <c r="H54" s="5">
        <v>0</v>
      </c>
      <c r="I54" s="5">
        <v>2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>
        <v>1</v>
      </c>
      <c r="P54" s="5">
        <v>1</v>
      </c>
      <c r="Q54" s="5">
        <v>1</v>
      </c>
      <c r="R54" s="5" t="s">
        <v>3</v>
      </c>
      <c r="S54" s="5" t="s">
        <v>3</v>
      </c>
      <c r="T54" s="5" t="s">
        <v>3</v>
      </c>
      <c r="U54" s="5" t="s">
        <v>3</v>
      </c>
      <c r="V54" s="5" t="s">
        <v>3</v>
      </c>
      <c r="W54" s="5" t="s">
        <v>3</v>
      </c>
      <c r="X54" s="5" t="s">
        <v>3</v>
      </c>
      <c r="Y54" s="5" t="s">
        <v>3</v>
      </c>
      <c r="Z54" s="5" t="s">
        <v>3</v>
      </c>
      <c r="AA54" s="5" t="s">
        <v>644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03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ROW(Source!A28)</f>
        <v>28</v>
      </c>
      <c r="B1">
        <v>33989672</v>
      </c>
      <c r="C1">
        <v>33991940</v>
      </c>
      <c r="D1">
        <v>29983441</v>
      </c>
      <c r="E1">
        <v>29983435</v>
      </c>
      <c r="F1">
        <v>1</v>
      </c>
      <c r="G1">
        <v>29983435</v>
      </c>
      <c r="H1">
        <v>1</v>
      </c>
      <c r="I1" t="s">
        <v>646</v>
      </c>
      <c r="J1" t="s">
        <v>3</v>
      </c>
      <c r="K1" t="s">
        <v>647</v>
      </c>
      <c r="L1">
        <v>1191</v>
      </c>
      <c r="N1">
        <v>1013</v>
      </c>
      <c r="O1" t="s">
        <v>648</v>
      </c>
      <c r="P1" t="s">
        <v>648</v>
      </c>
      <c r="Q1">
        <v>1</v>
      </c>
      <c r="W1">
        <v>0</v>
      </c>
      <c r="X1">
        <v>476480486</v>
      </c>
      <c r="Y1">
        <v>0.79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0.79</v>
      </c>
      <c r="AU1" t="s">
        <v>3</v>
      </c>
      <c r="AV1">
        <v>1</v>
      </c>
      <c r="AW1">
        <v>2</v>
      </c>
      <c r="AX1">
        <v>33991949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84.143911200000005</v>
      </c>
      <c r="CY1">
        <f>AD1</f>
        <v>0</v>
      </c>
      <c r="CZ1">
        <f>AH1</f>
        <v>0</v>
      </c>
      <c r="DA1">
        <f>AL1</f>
        <v>1</v>
      </c>
      <c r="DB1">
        <f t="shared" ref="DB1:DB64" si="0">ROUND(ROUND(AT1*CZ1,2),6)</f>
        <v>0</v>
      </c>
      <c r="DC1">
        <f t="shared" ref="DC1:DC64" si="1">ROUND(ROUND(AT1*AG1,2),6)</f>
        <v>0</v>
      </c>
    </row>
    <row r="2" spans="1:107" x14ac:dyDescent="0.2">
      <c r="A2">
        <f>ROW(Source!A28)</f>
        <v>28</v>
      </c>
      <c r="B2">
        <v>33989672</v>
      </c>
      <c r="C2">
        <v>33991940</v>
      </c>
      <c r="D2">
        <v>30063710</v>
      </c>
      <c r="E2">
        <v>1</v>
      </c>
      <c r="F2">
        <v>1</v>
      </c>
      <c r="G2">
        <v>29983435</v>
      </c>
      <c r="H2">
        <v>2</v>
      </c>
      <c r="I2" t="s">
        <v>649</v>
      </c>
      <c r="J2" t="s">
        <v>650</v>
      </c>
      <c r="K2" t="s">
        <v>651</v>
      </c>
      <c r="L2">
        <v>1367</v>
      </c>
      <c r="N2">
        <v>1011</v>
      </c>
      <c r="O2" t="s">
        <v>652</v>
      </c>
      <c r="P2" t="s">
        <v>652</v>
      </c>
      <c r="Q2">
        <v>1</v>
      </c>
      <c r="W2">
        <v>0</v>
      </c>
      <c r="X2">
        <v>295152307</v>
      </c>
      <c r="Y2">
        <v>0.13</v>
      </c>
      <c r="AA2">
        <v>0</v>
      </c>
      <c r="AB2">
        <v>1176.23</v>
      </c>
      <c r="AC2">
        <v>555.36</v>
      </c>
      <c r="AD2">
        <v>0</v>
      </c>
      <c r="AE2">
        <v>0</v>
      </c>
      <c r="AF2">
        <v>115.43</v>
      </c>
      <c r="AG2">
        <v>22.64</v>
      </c>
      <c r="AH2">
        <v>0</v>
      </c>
      <c r="AI2">
        <v>1</v>
      </c>
      <c r="AJ2">
        <v>10.19</v>
      </c>
      <c r="AK2">
        <v>24.53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0.13</v>
      </c>
      <c r="AU2" t="s">
        <v>3</v>
      </c>
      <c r="AV2">
        <v>0</v>
      </c>
      <c r="AW2">
        <v>2</v>
      </c>
      <c r="AX2">
        <v>33991951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13.846466400000001</v>
      </c>
      <c r="CY2">
        <f>AB2</f>
        <v>1176.23</v>
      </c>
      <c r="CZ2">
        <f>AF2</f>
        <v>115.43</v>
      </c>
      <c r="DA2">
        <f>AJ2</f>
        <v>10.19</v>
      </c>
      <c r="DB2">
        <f t="shared" si="0"/>
        <v>15.01</v>
      </c>
      <c r="DC2">
        <f t="shared" si="1"/>
        <v>2.94</v>
      </c>
    </row>
    <row r="3" spans="1:107" x14ac:dyDescent="0.2">
      <c r="A3">
        <f>ROW(Source!A28)</f>
        <v>28</v>
      </c>
      <c r="B3">
        <v>33989672</v>
      </c>
      <c r="C3">
        <v>33991940</v>
      </c>
      <c r="D3">
        <v>30063289</v>
      </c>
      <c r="E3">
        <v>1</v>
      </c>
      <c r="F3">
        <v>1</v>
      </c>
      <c r="G3">
        <v>29983435</v>
      </c>
      <c r="H3">
        <v>2</v>
      </c>
      <c r="I3" t="s">
        <v>653</v>
      </c>
      <c r="J3" t="s">
        <v>654</v>
      </c>
      <c r="K3" t="s">
        <v>655</v>
      </c>
      <c r="L3">
        <v>1367</v>
      </c>
      <c r="N3">
        <v>1011</v>
      </c>
      <c r="O3" t="s">
        <v>652</v>
      </c>
      <c r="P3" t="s">
        <v>652</v>
      </c>
      <c r="Q3">
        <v>1</v>
      </c>
      <c r="W3">
        <v>0</v>
      </c>
      <c r="X3">
        <v>-951779845</v>
      </c>
      <c r="Y3">
        <v>0.13</v>
      </c>
      <c r="AA3">
        <v>0</v>
      </c>
      <c r="AB3">
        <v>983.42</v>
      </c>
      <c r="AC3">
        <v>421.18</v>
      </c>
      <c r="AD3">
        <v>0</v>
      </c>
      <c r="AE3">
        <v>0</v>
      </c>
      <c r="AF3">
        <v>132.18</v>
      </c>
      <c r="AG3">
        <v>17.170000000000002</v>
      </c>
      <c r="AH3">
        <v>0</v>
      </c>
      <c r="AI3">
        <v>1</v>
      </c>
      <c r="AJ3">
        <v>7.44</v>
      </c>
      <c r="AK3">
        <v>24.53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0.13</v>
      </c>
      <c r="AU3" t="s">
        <v>3</v>
      </c>
      <c r="AV3">
        <v>0</v>
      </c>
      <c r="AW3">
        <v>2</v>
      </c>
      <c r="AX3">
        <v>33991950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Y3*Source!I28</f>
        <v>13.846466400000001</v>
      </c>
      <c r="CY3">
        <f>AB3</f>
        <v>983.42</v>
      </c>
      <c r="CZ3">
        <f>AF3</f>
        <v>132.18</v>
      </c>
      <c r="DA3">
        <f>AJ3</f>
        <v>7.44</v>
      </c>
      <c r="DB3">
        <f t="shared" si="0"/>
        <v>17.18</v>
      </c>
      <c r="DC3">
        <f t="shared" si="1"/>
        <v>2.23</v>
      </c>
    </row>
    <row r="4" spans="1:107" x14ac:dyDescent="0.2">
      <c r="A4">
        <f>ROW(Source!A28)</f>
        <v>28</v>
      </c>
      <c r="B4">
        <v>33989672</v>
      </c>
      <c r="C4">
        <v>33991940</v>
      </c>
      <c r="D4">
        <v>30064179</v>
      </c>
      <c r="E4">
        <v>1</v>
      </c>
      <c r="F4">
        <v>1</v>
      </c>
      <c r="G4">
        <v>29983435</v>
      </c>
      <c r="H4">
        <v>2</v>
      </c>
      <c r="I4" t="s">
        <v>656</v>
      </c>
      <c r="J4" t="s">
        <v>657</v>
      </c>
      <c r="K4" t="s">
        <v>658</v>
      </c>
      <c r="L4">
        <v>1367</v>
      </c>
      <c r="N4">
        <v>1011</v>
      </c>
      <c r="O4" t="s">
        <v>652</v>
      </c>
      <c r="P4" t="s">
        <v>652</v>
      </c>
      <c r="Q4">
        <v>1</v>
      </c>
      <c r="W4">
        <v>0</v>
      </c>
      <c r="X4">
        <v>-48163219</v>
      </c>
      <c r="Y4">
        <v>0.26</v>
      </c>
      <c r="AA4">
        <v>0</v>
      </c>
      <c r="AB4">
        <v>6.16</v>
      </c>
      <c r="AC4">
        <v>0.98</v>
      </c>
      <c r="AD4">
        <v>0</v>
      </c>
      <c r="AE4">
        <v>0</v>
      </c>
      <c r="AF4">
        <v>3.16</v>
      </c>
      <c r="AG4">
        <v>0.04</v>
      </c>
      <c r="AH4">
        <v>0</v>
      </c>
      <c r="AI4">
        <v>1</v>
      </c>
      <c r="AJ4">
        <v>1.95</v>
      </c>
      <c r="AK4">
        <v>24.53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0.26</v>
      </c>
      <c r="AU4" t="s">
        <v>3</v>
      </c>
      <c r="AV4">
        <v>0</v>
      </c>
      <c r="AW4">
        <v>2</v>
      </c>
      <c r="AX4">
        <v>33991952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Y4*Source!I28</f>
        <v>27.692932800000001</v>
      </c>
      <c r="CY4">
        <f>AB4</f>
        <v>6.16</v>
      </c>
      <c r="CZ4">
        <f>AF4</f>
        <v>3.16</v>
      </c>
      <c r="DA4">
        <f>AJ4</f>
        <v>1.95</v>
      </c>
      <c r="DB4">
        <f t="shared" si="0"/>
        <v>0.82</v>
      </c>
      <c r="DC4">
        <f t="shared" si="1"/>
        <v>0.01</v>
      </c>
    </row>
    <row r="5" spans="1:107" x14ac:dyDescent="0.2">
      <c r="A5">
        <f>ROW(Source!A28)</f>
        <v>28</v>
      </c>
      <c r="B5">
        <v>33989672</v>
      </c>
      <c r="C5">
        <v>33991940</v>
      </c>
      <c r="D5">
        <v>30063587</v>
      </c>
      <c r="E5">
        <v>1</v>
      </c>
      <c r="F5">
        <v>1</v>
      </c>
      <c r="G5">
        <v>29983435</v>
      </c>
      <c r="H5">
        <v>2</v>
      </c>
      <c r="I5" t="s">
        <v>659</v>
      </c>
      <c r="J5" t="s">
        <v>660</v>
      </c>
      <c r="K5" t="s">
        <v>661</v>
      </c>
      <c r="L5">
        <v>1367</v>
      </c>
      <c r="N5">
        <v>1011</v>
      </c>
      <c r="O5" t="s">
        <v>652</v>
      </c>
      <c r="P5" t="s">
        <v>652</v>
      </c>
      <c r="Q5">
        <v>1</v>
      </c>
      <c r="W5">
        <v>0</v>
      </c>
      <c r="X5">
        <v>-300543005</v>
      </c>
      <c r="Y5">
        <v>0.25</v>
      </c>
      <c r="AA5">
        <v>0</v>
      </c>
      <c r="AB5">
        <v>7831.99</v>
      </c>
      <c r="AC5">
        <v>1001.81</v>
      </c>
      <c r="AD5">
        <v>0</v>
      </c>
      <c r="AE5">
        <v>0</v>
      </c>
      <c r="AF5">
        <v>1455.76</v>
      </c>
      <c r="AG5">
        <v>40.840000000000003</v>
      </c>
      <c r="AH5">
        <v>0</v>
      </c>
      <c r="AI5">
        <v>1</v>
      </c>
      <c r="AJ5">
        <v>5.38</v>
      </c>
      <c r="AK5">
        <v>24.53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0.25</v>
      </c>
      <c r="AU5" t="s">
        <v>3</v>
      </c>
      <c r="AV5">
        <v>0</v>
      </c>
      <c r="AW5">
        <v>2</v>
      </c>
      <c r="AX5">
        <v>33991953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Y5*Source!I28</f>
        <v>26.62782</v>
      </c>
      <c r="CY5">
        <f>AB5</f>
        <v>7831.99</v>
      </c>
      <c r="CZ5">
        <f>AF5</f>
        <v>1455.76</v>
      </c>
      <c r="DA5">
        <f>AJ5</f>
        <v>5.38</v>
      </c>
      <c r="DB5">
        <f t="shared" si="0"/>
        <v>363.94</v>
      </c>
      <c r="DC5">
        <f t="shared" si="1"/>
        <v>10.210000000000001</v>
      </c>
    </row>
    <row r="6" spans="1:107" x14ac:dyDescent="0.2">
      <c r="A6">
        <f>ROW(Source!A28)</f>
        <v>28</v>
      </c>
      <c r="B6">
        <v>33989672</v>
      </c>
      <c r="C6">
        <v>33991940</v>
      </c>
      <c r="D6">
        <v>30063582</v>
      </c>
      <c r="E6">
        <v>1</v>
      </c>
      <c r="F6">
        <v>1</v>
      </c>
      <c r="G6">
        <v>29983435</v>
      </c>
      <c r="H6">
        <v>2</v>
      </c>
      <c r="I6" t="s">
        <v>662</v>
      </c>
      <c r="J6" t="s">
        <v>663</v>
      </c>
      <c r="K6" t="s">
        <v>664</v>
      </c>
      <c r="L6">
        <v>1367</v>
      </c>
      <c r="N6">
        <v>1011</v>
      </c>
      <c r="O6" t="s">
        <v>652</v>
      </c>
      <c r="P6" t="s">
        <v>652</v>
      </c>
      <c r="Q6">
        <v>1</v>
      </c>
      <c r="W6">
        <v>0</v>
      </c>
      <c r="X6">
        <v>-866724918</v>
      </c>
      <c r="Y6">
        <v>0.25</v>
      </c>
      <c r="AA6">
        <v>0</v>
      </c>
      <c r="AB6">
        <v>1426.79</v>
      </c>
      <c r="AC6">
        <v>504.58</v>
      </c>
      <c r="AD6">
        <v>0</v>
      </c>
      <c r="AE6">
        <v>0</v>
      </c>
      <c r="AF6">
        <v>189.23</v>
      </c>
      <c r="AG6">
        <v>20.57</v>
      </c>
      <c r="AH6">
        <v>0</v>
      </c>
      <c r="AI6">
        <v>1</v>
      </c>
      <c r="AJ6">
        <v>7.54</v>
      </c>
      <c r="AK6">
        <v>24.53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0.25</v>
      </c>
      <c r="AU6" t="s">
        <v>3</v>
      </c>
      <c r="AV6">
        <v>0</v>
      </c>
      <c r="AW6">
        <v>2</v>
      </c>
      <c r="AX6">
        <v>33991954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Y6*Source!I28</f>
        <v>26.62782</v>
      </c>
      <c r="CY6">
        <f>AB6</f>
        <v>1426.79</v>
      </c>
      <c r="CZ6">
        <f>AF6</f>
        <v>189.23</v>
      </c>
      <c r="DA6">
        <f>AJ6</f>
        <v>7.54</v>
      </c>
      <c r="DB6">
        <f t="shared" si="0"/>
        <v>47.31</v>
      </c>
      <c r="DC6">
        <f t="shared" si="1"/>
        <v>5.14</v>
      </c>
    </row>
    <row r="7" spans="1:107" x14ac:dyDescent="0.2">
      <c r="A7">
        <f>ROW(Source!A28)</f>
        <v>28</v>
      </c>
      <c r="B7">
        <v>33989672</v>
      </c>
      <c r="C7">
        <v>33991940</v>
      </c>
      <c r="D7">
        <v>30042537</v>
      </c>
      <c r="E7">
        <v>1</v>
      </c>
      <c r="F7">
        <v>1</v>
      </c>
      <c r="G7">
        <v>29983435</v>
      </c>
      <c r="H7">
        <v>3</v>
      </c>
      <c r="I7" t="s">
        <v>467</v>
      </c>
      <c r="J7" t="s">
        <v>469</v>
      </c>
      <c r="K7" t="s">
        <v>468</v>
      </c>
      <c r="L7">
        <v>1339</v>
      </c>
      <c r="N7">
        <v>1007</v>
      </c>
      <c r="O7" t="s">
        <v>66</v>
      </c>
      <c r="P7" t="s">
        <v>66</v>
      </c>
      <c r="Q7">
        <v>1</v>
      </c>
      <c r="W7">
        <v>0</v>
      </c>
      <c r="X7">
        <v>-862991314</v>
      </c>
      <c r="Y7">
        <v>0.26700000000000002</v>
      </c>
      <c r="AA7">
        <v>35.28</v>
      </c>
      <c r="AB7">
        <v>0</v>
      </c>
      <c r="AC7">
        <v>0</v>
      </c>
      <c r="AD7">
        <v>0</v>
      </c>
      <c r="AE7">
        <v>7.07</v>
      </c>
      <c r="AF7">
        <v>0</v>
      </c>
      <c r="AG7">
        <v>0</v>
      </c>
      <c r="AH7">
        <v>0</v>
      </c>
      <c r="AI7">
        <v>4.99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0.26700000000000002</v>
      </c>
      <c r="AU7" t="s">
        <v>3</v>
      </c>
      <c r="AV7">
        <v>0</v>
      </c>
      <c r="AW7">
        <v>2</v>
      </c>
      <c r="AX7">
        <v>33991955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28.438511760000001</v>
      </c>
      <c r="CY7">
        <f>AA7</f>
        <v>35.28</v>
      </c>
      <c r="CZ7">
        <f>AE7</f>
        <v>7.07</v>
      </c>
      <c r="DA7">
        <f>AI7</f>
        <v>4.99</v>
      </c>
      <c r="DB7">
        <f t="shared" si="0"/>
        <v>1.89</v>
      </c>
      <c r="DC7">
        <f t="shared" si="1"/>
        <v>0</v>
      </c>
    </row>
    <row r="8" spans="1:107" x14ac:dyDescent="0.2">
      <c r="A8">
        <f>ROW(Source!A28)</f>
        <v>28</v>
      </c>
      <c r="B8">
        <v>33989672</v>
      </c>
      <c r="C8">
        <v>33991940</v>
      </c>
      <c r="D8">
        <v>30039278</v>
      </c>
      <c r="E8">
        <v>1</v>
      </c>
      <c r="F8">
        <v>1</v>
      </c>
      <c r="G8">
        <v>29983435</v>
      </c>
      <c r="H8">
        <v>3</v>
      </c>
      <c r="I8" t="s">
        <v>665</v>
      </c>
      <c r="J8" t="s">
        <v>666</v>
      </c>
      <c r="K8" t="s">
        <v>667</v>
      </c>
      <c r="L8">
        <v>1354</v>
      </c>
      <c r="N8">
        <v>1010</v>
      </c>
      <c r="O8" t="s">
        <v>328</v>
      </c>
      <c r="P8" t="s">
        <v>328</v>
      </c>
      <c r="Q8">
        <v>1</v>
      </c>
      <c r="W8">
        <v>0</v>
      </c>
      <c r="X8">
        <v>1996532024</v>
      </c>
      <c r="Y8">
        <v>2.5</v>
      </c>
      <c r="AA8">
        <v>207.64</v>
      </c>
      <c r="AB8">
        <v>0</v>
      </c>
      <c r="AC8">
        <v>0</v>
      </c>
      <c r="AD8">
        <v>0</v>
      </c>
      <c r="AE8">
        <v>54.93</v>
      </c>
      <c r="AF8">
        <v>0</v>
      </c>
      <c r="AG8">
        <v>0</v>
      </c>
      <c r="AH8">
        <v>0</v>
      </c>
      <c r="AI8">
        <v>3.78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2.5</v>
      </c>
      <c r="AU8" t="s">
        <v>3</v>
      </c>
      <c r="AV8">
        <v>0</v>
      </c>
      <c r="AW8">
        <v>2</v>
      </c>
      <c r="AX8">
        <v>33991956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266.27819999999997</v>
      </c>
      <c r="CY8">
        <f>AA8</f>
        <v>207.64</v>
      </c>
      <c r="CZ8">
        <f>AE8</f>
        <v>54.93</v>
      </c>
      <c r="DA8">
        <f>AI8</f>
        <v>3.78</v>
      </c>
      <c r="DB8">
        <f t="shared" si="0"/>
        <v>137.33000000000001</v>
      </c>
      <c r="DC8">
        <f t="shared" si="1"/>
        <v>0</v>
      </c>
    </row>
    <row r="9" spans="1:107" x14ac:dyDescent="0.2">
      <c r="A9">
        <f>ROW(Source!A29)</f>
        <v>29</v>
      </c>
      <c r="B9">
        <v>33989672</v>
      </c>
      <c r="C9">
        <v>33991957</v>
      </c>
      <c r="D9">
        <v>29983441</v>
      </c>
      <c r="E9">
        <v>29983435</v>
      </c>
      <c r="F9">
        <v>1</v>
      </c>
      <c r="G9">
        <v>29983435</v>
      </c>
      <c r="H9">
        <v>1</v>
      </c>
      <c r="I9" t="s">
        <v>646</v>
      </c>
      <c r="J9" t="s">
        <v>3</v>
      </c>
      <c r="K9" t="s">
        <v>647</v>
      </c>
      <c r="L9">
        <v>1191</v>
      </c>
      <c r="N9">
        <v>1013</v>
      </c>
      <c r="O9" t="s">
        <v>648</v>
      </c>
      <c r="P9" t="s">
        <v>648</v>
      </c>
      <c r="Q9">
        <v>1</v>
      </c>
      <c r="W9">
        <v>0</v>
      </c>
      <c r="X9">
        <v>476480486</v>
      </c>
      <c r="Y9">
        <v>10.72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10.72</v>
      </c>
      <c r="AU9" t="s">
        <v>3</v>
      </c>
      <c r="AV9">
        <v>1</v>
      </c>
      <c r="AW9">
        <v>2</v>
      </c>
      <c r="AX9">
        <v>33995795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Y9*Source!I29</f>
        <v>734.2779776000001</v>
      </c>
      <c r="CY9">
        <f>AD9</f>
        <v>0</v>
      </c>
      <c r="CZ9">
        <f>AH9</f>
        <v>0</v>
      </c>
      <c r="DA9">
        <f>AL9</f>
        <v>1</v>
      </c>
      <c r="DB9">
        <f t="shared" si="0"/>
        <v>0</v>
      </c>
      <c r="DC9">
        <f t="shared" si="1"/>
        <v>0</v>
      </c>
    </row>
    <row r="10" spans="1:107" x14ac:dyDescent="0.2">
      <c r="A10">
        <f>ROW(Source!A29)</f>
        <v>29</v>
      </c>
      <c r="B10">
        <v>33989672</v>
      </c>
      <c r="C10">
        <v>33991957</v>
      </c>
      <c r="D10">
        <v>30063710</v>
      </c>
      <c r="E10">
        <v>1</v>
      </c>
      <c r="F10">
        <v>1</v>
      </c>
      <c r="G10">
        <v>29983435</v>
      </c>
      <c r="H10">
        <v>2</v>
      </c>
      <c r="I10" t="s">
        <v>649</v>
      </c>
      <c r="J10" t="s">
        <v>650</v>
      </c>
      <c r="K10" t="s">
        <v>651</v>
      </c>
      <c r="L10">
        <v>1367</v>
      </c>
      <c r="N10">
        <v>1011</v>
      </c>
      <c r="O10" t="s">
        <v>652</v>
      </c>
      <c r="P10" t="s">
        <v>652</v>
      </c>
      <c r="Q10">
        <v>1</v>
      </c>
      <c r="W10">
        <v>0</v>
      </c>
      <c r="X10">
        <v>295152307</v>
      </c>
      <c r="Y10">
        <v>2.6</v>
      </c>
      <c r="AA10">
        <v>0</v>
      </c>
      <c r="AB10">
        <v>1176.23</v>
      </c>
      <c r="AC10">
        <v>555.36</v>
      </c>
      <c r="AD10">
        <v>0</v>
      </c>
      <c r="AE10">
        <v>0</v>
      </c>
      <c r="AF10">
        <v>115.43</v>
      </c>
      <c r="AG10">
        <v>22.64</v>
      </c>
      <c r="AH10">
        <v>0</v>
      </c>
      <c r="AI10">
        <v>1</v>
      </c>
      <c r="AJ10">
        <v>10.19</v>
      </c>
      <c r="AK10">
        <v>24.53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2.6</v>
      </c>
      <c r="AU10" t="s">
        <v>3</v>
      </c>
      <c r="AV10">
        <v>0</v>
      </c>
      <c r="AW10">
        <v>2</v>
      </c>
      <c r="AX10">
        <v>33995797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178.08980800000003</v>
      </c>
      <c r="CY10">
        <f>AB10</f>
        <v>1176.23</v>
      </c>
      <c r="CZ10">
        <f>AF10</f>
        <v>115.43</v>
      </c>
      <c r="DA10">
        <f>AJ10</f>
        <v>10.19</v>
      </c>
      <c r="DB10">
        <f t="shared" si="0"/>
        <v>300.12</v>
      </c>
      <c r="DC10">
        <f t="shared" si="1"/>
        <v>58.86</v>
      </c>
    </row>
    <row r="11" spans="1:107" x14ac:dyDescent="0.2">
      <c r="A11">
        <f>ROW(Source!A29)</f>
        <v>29</v>
      </c>
      <c r="B11">
        <v>33989672</v>
      </c>
      <c r="C11">
        <v>33991957</v>
      </c>
      <c r="D11">
        <v>30063289</v>
      </c>
      <c r="E11">
        <v>1</v>
      </c>
      <c r="F11">
        <v>1</v>
      </c>
      <c r="G11">
        <v>29983435</v>
      </c>
      <c r="H11">
        <v>2</v>
      </c>
      <c r="I11" t="s">
        <v>653</v>
      </c>
      <c r="J11" t="s">
        <v>654</v>
      </c>
      <c r="K11" t="s">
        <v>655</v>
      </c>
      <c r="L11">
        <v>1367</v>
      </c>
      <c r="N11">
        <v>1011</v>
      </c>
      <c r="O11" t="s">
        <v>652</v>
      </c>
      <c r="P11" t="s">
        <v>652</v>
      </c>
      <c r="Q11">
        <v>1</v>
      </c>
      <c r="W11">
        <v>0</v>
      </c>
      <c r="X11">
        <v>-951779845</v>
      </c>
      <c r="Y11">
        <v>2.6</v>
      </c>
      <c r="AA11">
        <v>0</v>
      </c>
      <c r="AB11">
        <v>983.42</v>
      </c>
      <c r="AC11">
        <v>421.18</v>
      </c>
      <c r="AD11">
        <v>0</v>
      </c>
      <c r="AE11">
        <v>0</v>
      </c>
      <c r="AF11">
        <v>132.18</v>
      </c>
      <c r="AG11">
        <v>17.170000000000002</v>
      </c>
      <c r="AH11">
        <v>0</v>
      </c>
      <c r="AI11">
        <v>1</v>
      </c>
      <c r="AJ11">
        <v>7.44</v>
      </c>
      <c r="AK11">
        <v>24.53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2.6</v>
      </c>
      <c r="AU11" t="s">
        <v>3</v>
      </c>
      <c r="AV11">
        <v>0</v>
      </c>
      <c r="AW11">
        <v>2</v>
      </c>
      <c r="AX11">
        <v>33995796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178.08980800000003</v>
      </c>
      <c r="CY11">
        <f>AB11</f>
        <v>983.42</v>
      </c>
      <c r="CZ11">
        <f>AF11</f>
        <v>132.18</v>
      </c>
      <c r="DA11">
        <f>AJ11</f>
        <v>7.44</v>
      </c>
      <c r="DB11">
        <f t="shared" si="0"/>
        <v>343.67</v>
      </c>
      <c r="DC11">
        <f t="shared" si="1"/>
        <v>44.64</v>
      </c>
    </row>
    <row r="12" spans="1:107" x14ac:dyDescent="0.2">
      <c r="A12">
        <f>ROW(Source!A29)</f>
        <v>29</v>
      </c>
      <c r="B12">
        <v>33989672</v>
      </c>
      <c r="C12">
        <v>33991957</v>
      </c>
      <c r="D12">
        <v>30064179</v>
      </c>
      <c r="E12">
        <v>1</v>
      </c>
      <c r="F12">
        <v>1</v>
      </c>
      <c r="G12">
        <v>29983435</v>
      </c>
      <c r="H12">
        <v>2</v>
      </c>
      <c r="I12" t="s">
        <v>656</v>
      </c>
      <c r="J12" t="s">
        <v>657</v>
      </c>
      <c r="K12" t="s">
        <v>658</v>
      </c>
      <c r="L12">
        <v>1367</v>
      </c>
      <c r="N12">
        <v>1011</v>
      </c>
      <c r="O12" t="s">
        <v>652</v>
      </c>
      <c r="P12" t="s">
        <v>652</v>
      </c>
      <c r="Q12">
        <v>1</v>
      </c>
      <c r="W12">
        <v>0</v>
      </c>
      <c r="X12">
        <v>-48163219</v>
      </c>
      <c r="Y12">
        <v>5.2</v>
      </c>
      <c r="AA12">
        <v>0</v>
      </c>
      <c r="AB12">
        <v>6.16</v>
      </c>
      <c r="AC12">
        <v>0.98</v>
      </c>
      <c r="AD12">
        <v>0</v>
      </c>
      <c r="AE12">
        <v>0</v>
      </c>
      <c r="AF12">
        <v>3.16</v>
      </c>
      <c r="AG12">
        <v>0.04</v>
      </c>
      <c r="AH12">
        <v>0</v>
      </c>
      <c r="AI12">
        <v>1</v>
      </c>
      <c r="AJ12">
        <v>1.95</v>
      </c>
      <c r="AK12">
        <v>24.53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5.2</v>
      </c>
      <c r="AU12" t="s">
        <v>3</v>
      </c>
      <c r="AV12">
        <v>0</v>
      </c>
      <c r="AW12">
        <v>2</v>
      </c>
      <c r="AX12">
        <v>33995798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356.17961600000007</v>
      </c>
      <c r="CY12">
        <f>AB12</f>
        <v>6.16</v>
      </c>
      <c r="CZ12">
        <f>AF12</f>
        <v>3.16</v>
      </c>
      <c r="DA12">
        <f>AJ12</f>
        <v>1.95</v>
      </c>
      <c r="DB12">
        <f t="shared" si="0"/>
        <v>16.43</v>
      </c>
      <c r="DC12">
        <f t="shared" si="1"/>
        <v>0.21</v>
      </c>
    </row>
    <row r="13" spans="1:107" x14ac:dyDescent="0.2">
      <c r="A13">
        <f>ROW(Source!A30)</f>
        <v>30</v>
      </c>
      <c r="B13">
        <v>33989672</v>
      </c>
      <c r="C13">
        <v>33991977</v>
      </c>
      <c r="D13">
        <v>29983441</v>
      </c>
      <c r="E13">
        <v>29983435</v>
      </c>
      <c r="F13">
        <v>1</v>
      </c>
      <c r="G13">
        <v>29983435</v>
      </c>
      <c r="H13">
        <v>1</v>
      </c>
      <c r="I13" t="s">
        <v>646</v>
      </c>
      <c r="J13" t="s">
        <v>3</v>
      </c>
      <c r="K13" t="s">
        <v>647</v>
      </c>
      <c r="L13">
        <v>1191</v>
      </c>
      <c r="N13">
        <v>1013</v>
      </c>
      <c r="O13" t="s">
        <v>648</v>
      </c>
      <c r="P13" t="s">
        <v>648</v>
      </c>
      <c r="Q13">
        <v>1</v>
      </c>
      <c r="W13">
        <v>0</v>
      </c>
      <c r="X13">
        <v>476480486</v>
      </c>
      <c r="Y13">
        <v>155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155</v>
      </c>
      <c r="AU13" t="s">
        <v>3</v>
      </c>
      <c r="AV13">
        <v>1</v>
      </c>
      <c r="AW13">
        <v>2</v>
      </c>
      <c r="AX13">
        <v>33991983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424.67520000000002</v>
      </c>
      <c r="CY13">
        <f>AD13</f>
        <v>0</v>
      </c>
      <c r="CZ13">
        <f>AH13</f>
        <v>0</v>
      </c>
      <c r="DA13">
        <f>AL13</f>
        <v>1</v>
      </c>
      <c r="DB13">
        <f t="shared" si="0"/>
        <v>0</v>
      </c>
      <c r="DC13">
        <f t="shared" si="1"/>
        <v>0</v>
      </c>
    </row>
    <row r="14" spans="1:107" x14ac:dyDescent="0.2">
      <c r="A14">
        <f>ROW(Source!A30)</f>
        <v>30</v>
      </c>
      <c r="B14">
        <v>33989672</v>
      </c>
      <c r="C14">
        <v>33991977</v>
      </c>
      <c r="D14">
        <v>30063713</v>
      </c>
      <c r="E14">
        <v>1</v>
      </c>
      <c r="F14">
        <v>1</v>
      </c>
      <c r="G14">
        <v>29983435</v>
      </c>
      <c r="H14">
        <v>2</v>
      </c>
      <c r="I14" t="s">
        <v>668</v>
      </c>
      <c r="J14" t="s">
        <v>669</v>
      </c>
      <c r="K14" t="s">
        <v>670</v>
      </c>
      <c r="L14">
        <v>1367</v>
      </c>
      <c r="N14">
        <v>1011</v>
      </c>
      <c r="O14" t="s">
        <v>652</v>
      </c>
      <c r="P14" t="s">
        <v>652</v>
      </c>
      <c r="Q14">
        <v>1</v>
      </c>
      <c r="W14">
        <v>0</v>
      </c>
      <c r="X14">
        <v>-1426791</v>
      </c>
      <c r="Y14">
        <v>37.5</v>
      </c>
      <c r="AA14">
        <v>0</v>
      </c>
      <c r="AB14">
        <v>772.42</v>
      </c>
      <c r="AC14">
        <v>474.62</v>
      </c>
      <c r="AD14">
        <v>0</v>
      </c>
      <c r="AE14">
        <v>0</v>
      </c>
      <c r="AF14">
        <v>60.77</v>
      </c>
      <c r="AG14">
        <v>18.48</v>
      </c>
      <c r="AH14">
        <v>0</v>
      </c>
      <c r="AI14">
        <v>1</v>
      </c>
      <c r="AJ14">
        <v>12.14</v>
      </c>
      <c r="AK14">
        <v>24.53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37.5</v>
      </c>
      <c r="AU14" t="s">
        <v>3</v>
      </c>
      <c r="AV14">
        <v>0</v>
      </c>
      <c r="AW14">
        <v>2</v>
      </c>
      <c r="AX14">
        <v>33991984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102.744</v>
      </c>
      <c r="CY14">
        <f>AB14</f>
        <v>772.42</v>
      </c>
      <c r="CZ14">
        <f>AF14</f>
        <v>60.77</v>
      </c>
      <c r="DA14">
        <f>AJ14</f>
        <v>12.14</v>
      </c>
      <c r="DB14">
        <f t="shared" si="0"/>
        <v>2278.88</v>
      </c>
      <c r="DC14">
        <f t="shared" si="1"/>
        <v>693</v>
      </c>
    </row>
    <row r="15" spans="1:107" x14ac:dyDescent="0.2">
      <c r="A15">
        <f>ROW(Source!A30)</f>
        <v>30</v>
      </c>
      <c r="B15">
        <v>33989672</v>
      </c>
      <c r="C15">
        <v>33991977</v>
      </c>
      <c r="D15">
        <v>30064179</v>
      </c>
      <c r="E15">
        <v>1</v>
      </c>
      <c r="F15">
        <v>1</v>
      </c>
      <c r="G15">
        <v>29983435</v>
      </c>
      <c r="H15">
        <v>2</v>
      </c>
      <c r="I15" t="s">
        <v>656</v>
      </c>
      <c r="J15" t="s">
        <v>657</v>
      </c>
      <c r="K15" t="s">
        <v>658</v>
      </c>
      <c r="L15">
        <v>1367</v>
      </c>
      <c r="N15">
        <v>1011</v>
      </c>
      <c r="O15" t="s">
        <v>652</v>
      </c>
      <c r="P15" t="s">
        <v>652</v>
      </c>
      <c r="Q15">
        <v>1</v>
      </c>
      <c r="W15">
        <v>0</v>
      </c>
      <c r="X15">
        <v>-48163219</v>
      </c>
      <c r="Y15">
        <v>75</v>
      </c>
      <c r="AA15">
        <v>0</v>
      </c>
      <c r="AB15">
        <v>6.45</v>
      </c>
      <c r="AC15">
        <v>1.03</v>
      </c>
      <c r="AD15">
        <v>0</v>
      </c>
      <c r="AE15">
        <v>0</v>
      </c>
      <c r="AF15">
        <v>3.16</v>
      </c>
      <c r="AG15">
        <v>0.04</v>
      </c>
      <c r="AH15">
        <v>0</v>
      </c>
      <c r="AI15">
        <v>1</v>
      </c>
      <c r="AJ15">
        <v>1.95</v>
      </c>
      <c r="AK15">
        <v>24.53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75</v>
      </c>
      <c r="AU15" t="s">
        <v>3</v>
      </c>
      <c r="AV15">
        <v>0</v>
      </c>
      <c r="AW15">
        <v>2</v>
      </c>
      <c r="AX15">
        <v>33991985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205.488</v>
      </c>
      <c r="CY15">
        <f>AB15</f>
        <v>6.45</v>
      </c>
      <c r="CZ15">
        <f>AF15</f>
        <v>3.16</v>
      </c>
      <c r="DA15">
        <f>AJ15</f>
        <v>1.95</v>
      </c>
      <c r="DB15">
        <f t="shared" si="0"/>
        <v>237</v>
      </c>
      <c r="DC15">
        <f t="shared" si="1"/>
        <v>3</v>
      </c>
    </row>
    <row r="16" spans="1:107" x14ac:dyDescent="0.2">
      <c r="A16">
        <f>ROW(Source!A30)</f>
        <v>30</v>
      </c>
      <c r="B16">
        <v>33989672</v>
      </c>
      <c r="C16">
        <v>33991977</v>
      </c>
      <c r="D16">
        <v>30063546</v>
      </c>
      <c r="E16">
        <v>1</v>
      </c>
      <c r="F16">
        <v>1</v>
      </c>
      <c r="G16">
        <v>29983435</v>
      </c>
      <c r="H16">
        <v>2</v>
      </c>
      <c r="I16" t="s">
        <v>671</v>
      </c>
      <c r="J16" t="s">
        <v>672</v>
      </c>
      <c r="K16" t="s">
        <v>673</v>
      </c>
      <c r="L16">
        <v>1367</v>
      </c>
      <c r="N16">
        <v>1011</v>
      </c>
      <c r="O16" t="s">
        <v>652</v>
      </c>
      <c r="P16" t="s">
        <v>652</v>
      </c>
      <c r="Q16">
        <v>1</v>
      </c>
      <c r="W16">
        <v>0</v>
      </c>
      <c r="X16">
        <v>856318566</v>
      </c>
      <c r="Y16">
        <v>1.55</v>
      </c>
      <c r="AA16">
        <v>0</v>
      </c>
      <c r="AB16">
        <v>1539.38</v>
      </c>
      <c r="AC16">
        <v>635.4</v>
      </c>
      <c r="AD16">
        <v>0</v>
      </c>
      <c r="AE16">
        <v>0</v>
      </c>
      <c r="AF16">
        <v>125.13</v>
      </c>
      <c r="AG16">
        <v>24.74</v>
      </c>
      <c r="AH16">
        <v>0</v>
      </c>
      <c r="AI16">
        <v>1</v>
      </c>
      <c r="AJ16">
        <v>11.75</v>
      </c>
      <c r="AK16">
        <v>24.53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1.55</v>
      </c>
      <c r="AU16" t="s">
        <v>3</v>
      </c>
      <c r="AV16">
        <v>0</v>
      </c>
      <c r="AW16">
        <v>2</v>
      </c>
      <c r="AX16">
        <v>33991986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4.2467519999999999</v>
      </c>
      <c r="CY16">
        <f>AB16</f>
        <v>1539.38</v>
      </c>
      <c r="CZ16">
        <f>AF16</f>
        <v>125.13</v>
      </c>
      <c r="DA16">
        <f>AJ16</f>
        <v>11.75</v>
      </c>
      <c r="DB16">
        <f t="shared" si="0"/>
        <v>193.95</v>
      </c>
      <c r="DC16">
        <f t="shared" si="1"/>
        <v>38.35</v>
      </c>
    </row>
    <row r="17" spans="1:107" x14ac:dyDescent="0.2">
      <c r="A17">
        <f>ROW(Source!A30)</f>
        <v>30</v>
      </c>
      <c r="B17">
        <v>33989672</v>
      </c>
      <c r="C17">
        <v>33991977</v>
      </c>
      <c r="D17">
        <v>29983439</v>
      </c>
      <c r="E17">
        <v>29983435</v>
      </c>
      <c r="F17">
        <v>1</v>
      </c>
      <c r="G17">
        <v>29983435</v>
      </c>
      <c r="H17">
        <v>2</v>
      </c>
      <c r="I17" t="s">
        <v>674</v>
      </c>
      <c r="J17" t="s">
        <v>3</v>
      </c>
      <c r="K17" t="s">
        <v>675</v>
      </c>
      <c r="L17">
        <v>1344</v>
      </c>
      <c r="N17">
        <v>1008</v>
      </c>
      <c r="O17" t="s">
        <v>676</v>
      </c>
      <c r="P17" t="s">
        <v>676</v>
      </c>
      <c r="Q17">
        <v>1</v>
      </c>
      <c r="W17">
        <v>0</v>
      </c>
      <c r="X17">
        <v>-1180195794</v>
      </c>
      <c r="Y17">
        <v>3.72</v>
      </c>
      <c r="AA17">
        <v>0</v>
      </c>
      <c r="AB17">
        <v>1.05</v>
      </c>
      <c r="AC17">
        <v>0</v>
      </c>
      <c r="AD17">
        <v>0</v>
      </c>
      <c r="AE17">
        <v>0</v>
      </c>
      <c r="AF17">
        <v>1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3.72</v>
      </c>
      <c r="AU17" t="s">
        <v>3</v>
      </c>
      <c r="AV17">
        <v>0</v>
      </c>
      <c r="AW17">
        <v>2</v>
      </c>
      <c r="AX17">
        <v>33991987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10.192204800000001</v>
      </c>
      <c r="CY17">
        <f>AB17</f>
        <v>1.05</v>
      </c>
      <c r="CZ17">
        <f>AF17</f>
        <v>1</v>
      </c>
      <c r="DA17">
        <f>AJ17</f>
        <v>1</v>
      </c>
      <c r="DB17">
        <f t="shared" si="0"/>
        <v>3.72</v>
      </c>
      <c r="DC17">
        <f t="shared" si="1"/>
        <v>0</v>
      </c>
    </row>
    <row r="18" spans="1:107" x14ac:dyDescent="0.2">
      <c r="A18">
        <f>ROW(Source!A31)</f>
        <v>31</v>
      </c>
      <c r="B18">
        <v>33989672</v>
      </c>
      <c r="C18">
        <v>33991988</v>
      </c>
      <c r="D18">
        <v>29983441</v>
      </c>
      <c r="E18">
        <v>29983435</v>
      </c>
      <c r="F18">
        <v>1</v>
      </c>
      <c r="G18">
        <v>29983435</v>
      </c>
      <c r="H18">
        <v>1</v>
      </c>
      <c r="I18" t="s">
        <v>646</v>
      </c>
      <c r="J18" t="s">
        <v>3</v>
      </c>
      <c r="K18" t="s">
        <v>647</v>
      </c>
      <c r="L18">
        <v>1191</v>
      </c>
      <c r="N18">
        <v>1013</v>
      </c>
      <c r="O18" t="s">
        <v>648</v>
      </c>
      <c r="P18" t="s">
        <v>648</v>
      </c>
      <c r="Q18">
        <v>1</v>
      </c>
      <c r="W18">
        <v>0</v>
      </c>
      <c r="X18">
        <v>476480486</v>
      </c>
      <c r="Y18">
        <v>1.02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1.02</v>
      </c>
      <c r="AU18" t="s">
        <v>3</v>
      </c>
      <c r="AV18">
        <v>1</v>
      </c>
      <c r="AW18">
        <v>2</v>
      </c>
      <c r="AX18">
        <v>33995398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67.071283199999996</v>
      </c>
      <c r="CY18">
        <f>AD18</f>
        <v>0</v>
      </c>
      <c r="CZ18">
        <f>AH18</f>
        <v>0</v>
      </c>
      <c r="DA18">
        <f>AL18</f>
        <v>1</v>
      </c>
      <c r="DB18">
        <f t="shared" si="0"/>
        <v>0</v>
      </c>
      <c r="DC18">
        <f t="shared" si="1"/>
        <v>0</v>
      </c>
    </row>
    <row r="19" spans="1:107" x14ac:dyDescent="0.2">
      <c r="A19">
        <f>ROW(Source!A32)</f>
        <v>32</v>
      </c>
      <c r="B19">
        <v>33989672</v>
      </c>
      <c r="C19">
        <v>33991991</v>
      </c>
      <c r="D19">
        <v>29983439</v>
      </c>
      <c r="E19">
        <v>29983435</v>
      </c>
      <c r="F19">
        <v>1</v>
      </c>
      <c r="G19">
        <v>29983435</v>
      </c>
      <c r="H19">
        <v>2</v>
      </c>
      <c r="I19" t="s">
        <v>674</v>
      </c>
      <c r="J19" t="s">
        <v>3</v>
      </c>
      <c r="K19" t="s">
        <v>675</v>
      </c>
      <c r="L19">
        <v>1344</v>
      </c>
      <c r="N19">
        <v>1008</v>
      </c>
      <c r="O19" t="s">
        <v>676</v>
      </c>
      <c r="P19" t="s">
        <v>676</v>
      </c>
      <c r="Q19">
        <v>1</v>
      </c>
      <c r="W19">
        <v>0</v>
      </c>
      <c r="X19">
        <v>-1180195794</v>
      </c>
      <c r="Y19">
        <v>8.86</v>
      </c>
      <c r="AA19">
        <v>0</v>
      </c>
      <c r="AB19">
        <v>1.05</v>
      </c>
      <c r="AC19">
        <v>0</v>
      </c>
      <c r="AD19">
        <v>0</v>
      </c>
      <c r="AE19">
        <v>0</v>
      </c>
      <c r="AF19">
        <v>1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8.86</v>
      </c>
      <c r="AU19" t="s">
        <v>3</v>
      </c>
      <c r="AV19">
        <v>0</v>
      </c>
      <c r="AW19">
        <v>2</v>
      </c>
      <c r="AX19">
        <v>33991993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0</v>
      </c>
      <c r="CY19">
        <f>AB19</f>
        <v>1.05</v>
      </c>
      <c r="CZ19">
        <f>AF19</f>
        <v>1</v>
      </c>
      <c r="DA19">
        <f>AJ19</f>
        <v>1</v>
      </c>
      <c r="DB19">
        <f t="shared" si="0"/>
        <v>8.86</v>
      </c>
      <c r="DC19">
        <f t="shared" si="1"/>
        <v>0</v>
      </c>
    </row>
    <row r="20" spans="1:107" x14ac:dyDescent="0.2">
      <c r="A20">
        <f>ROW(Source!A33)</f>
        <v>33</v>
      </c>
      <c r="B20">
        <v>33989672</v>
      </c>
      <c r="C20">
        <v>33991994</v>
      </c>
      <c r="D20">
        <v>30064127</v>
      </c>
      <c r="E20">
        <v>1</v>
      </c>
      <c r="F20">
        <v>1</v>
      </c>
      <c r="G20">
        <v>29983435</v>
      </c>
      <c r="H20">
        <v>2</v>
      </c>
      <c r="I20" t="s">
        <v>677</v>
      </c>
      <c r="J20" t="s">
        <v>678</v>
      </c>
      <c r="K20" t="s">
        <v>679</v>
      </c>
      <c r="L20">
        <v>1367</v>
      </c>
      <c r="N20">
        <v>1011</v>
      </c>
      <c r="O20" t="s">
        <v>652</v>
      </c>
      <c r="P20" t="s">
        <v>652</v>
      </c>
      <c r="Q20">
        <v>1</v>
      </c>
      <c r="W20">
        <v>0</v>
      </c>
      <c r="X20">
        <v>-1191656485</v>
      </c>
      <c r="Y20">
        <v>1</v>
      </c>
      <c r="AA20">
        <v>0</v>
      </c>
      <c r="AB20">
        <v>1577.49</v>
      </c>
      <c r="AC20">
        <v>444.24</v>
      </c>
      <c r="AD20">
        <v>0</v>
      </c>
      <c r="AE20">
        <v>0</v>
      </c>
      <c r="AF20">
        <v>193.32</v>
      </c>
      <c r="AG20">
        <v>18.11</v>
      </c>
      <c r="AH20">
        <v>0</v>
      </c>
      <c r="AI20">
        <v>1</v>
      </c>
      <c r="AJ20">
        <v>8.16</v>
      </c>
      <c r="AK20">
        <v>24.53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1</v>
      </c>
      <c r="AU20" t="s">
        <v>3</v>
      </c>
      <c r="AV20">
        <v>0</v>
      </c>
      <c r="AW20">
        <v>2</v>
      </c>
      <c r="AX20">
        <v>33995686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Y20*Source!I33</f>
        <v>0</v>
      </c>
      <c r="CY20">
        <f>AB20</f>
        <v>1577.49</v>
      </c>
      <c r="CZ20">
        <f>AF20</f>
        <v>193.32</v>
      </c>
      <c r="DA20">
        <f>AJ20</f>
        <v>8.16</v>
      </c>
      <c r="DB20">
        <f t="shared" si="0"/>
        <v>193.32</v>
      </c>
      <c r="DC20">
        <f t="shared" si="1"/>
        <v>18.11</v>
      </c>
    </row>
    <row r="21" spans="1:107" x14ac:dyDescent="0.2">
      <c r="A21">
        <f>ROW(Source!A34)</f>
        <v>34</v>
      </c>
      <c r="B21">
        <v>33989672</v>
      </c>
      <c r="C21">
        <v>33995399</v>
      </c>
      <c r="D21">
        <v>29983441</v>
      </c>
      <c r="E21">
        <v>29983435</v>
      </c>
      <c r="F21">
        <v>1</v>
      </c>
      <c r="G21">
        <v>29983435</v>
      </c>
      <c r="H21">
        <v>1</v>
      </c>
      <c r="I21" t="s">
        <v>646</v>
      </c>
      <c r="J21" t="s">
        <v>3</v>
      </c>
      <c r="K21" t="s">
        <v>647</v>
      </c>
      <c r="L21">
        <v>1191</v>
      </c>
      <c r="N21">
        <v>1013</v>
      </c>
      <c r="O21" t="s">
        <v>648</v>
      </c>
      <c r="P21" t="s">
        <v>648</v>
      </c>
      <c r="Q21">
        <v>1</v>
      </c>
      <c r="W21">
        <v>0</v>
      </c>
      <c r="X21">
        <v>476480486</v>
      </c>
      <c r="Y21">
        <v>87.29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87.29</v>
      </c>
      <c r="AU21" t="s">
        <v>3</v>
      </c>
      <c r="AV21">
        <v>1</v>
      </c>
      <c r="AW21">
        <v>2</v>
      </c>
      <c r="AX21">
        <v>33995400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Y21*Source!I34</f>
        <v>297.78488391119998</v>
      </c>
      <c r="CY21">
        <f>AD21</f>
        <v>0</v>
      </c>
      <c r="CZ21">
        <f>AH21</f>
        <v>0</v>
      </c>
      <c r="DA21">
        <f>AL21</f>
        <v>1</v>
      </c>
      <c r="DB21">
        <f t="shared" si="0"/>
        <v>0</v>
      </c>
      <c r="DC21">
        <f t="shared" si="1"/>
        <v>0</v>
      </c>
    </row>
    <row r="22" spans="1:107" x14ac:dyDescent="0.2">
      <c r="A22">
        <f>ROW(Source!A34)</f>
        <v>34</v>
      </c>
      <c r="B22">
        <v>33989672</v>
      </c>
      <c r="C22">
        <v>33995399</v>
      </c>
      <c r="D22">
        <v>30064095</v>
      </c>
      <c r="E22">
        <v>1</v>
      </c>
      <c r="F22">
        <v>1</v>
      </c>
      <c r="G22">
        <v>29983435</v>
      </c>
      <c r="H22">
        <v>2</v>
      </c>
      <c r="I22" t="s">
        <v>680</v>
      </c>
      <c r="J22" t="s">
        <v>681</v>
      </c>
      <c r="K22" t="s">
        <v>682</v>
      </c>
      <c r="L22">
        <v>1367</v>
      </c>
      <c r="N22">
        <v>1011</v>
      </c>
      <c r="O22" t="s">
        <v>652</v>
      </c>
      <c r="P22" t="s">
        <v>652</v>
      </c>
      <c r="Q22">
        <v>1</v>
      </c>
      <c r="W22">
        <v>0</v>
      </c>
      <c r="X22">
        <v>-628430174</v>
      </c>
      <c r="Y22">
        <v>0.89</v>
      </c>
      <c r="AA22">
        <v>0</v>
      </c>
      <c r="AB22">
        <v>755.14</v>
      </c>
      <c r="AC22">
        <v>368.81</v>
      </c>
      <c r="AD22">
        <v>0</v>
      </c>
      <c r="AE22">
        <v>0</v>
      </c>
      <c r="AF22">
        <v>76.81</v>
      </c>
      <c r="AG22">
        <v>14.36</v>
      </c>
      <c r="AH22">
        <v>0</v>
      </c>
      <c r="AI22">
        <v>1</v>
      </c>
      <c r="AJ22">
        <v>9.39</v>
      </c>
      <c r="AK22">
        <v>24.53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0.89</v>
      </c>
      <c r="AU22" t="s">
        <v>3</v>
      </c>
      <c r="AV22">
        <v>0</v>
      </c>
      <c r="AW22">
        <v>2</v>
      </c>
      <c r="AX22">
        <v>33995401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Y22*Source!I34</f>
        <v>3.0361845191999999</v>
      </c>
      <c r="CY22">
        <f t="shared" ref="CY22:CY27" si="2">AB22</f>
        <v>755.14</v>
      </c>
      <c r="CZ22">
        <f t="shared" ref="CZ22:CZ27" si="3">AF22</f>
        <v>76.81</v>
      </c>
      <c r="DA22">
        <f t="shared" ref="DA22:DA27" si="4">AJ22</f>
        <v>9.39</v>
      </c>
      <c r="DB22">
        <f t="shared" si="0"/>
        <v>68.36</v>
      </c>
      <c r="DC22">
        <f t="shared" si="1"/>
        <v>12.78</v>
      </c>
    </row>
    <row r="23" spans="1:107" x14ac:dyDescent="0.2">
      <c r="A23">
        <f>ROW(Source!A34)</f>
        <v>34</v>
      </c>
      <c r="B23">
        <v>33989672</v>
      </c>
      <c r="C23">
        <v>33995399</v>
      </c>
      <c r="D23">
        <v>30063290</v>
      </c>
      <c r="E23">
        <v>1</v>
      </c>
      <c r="F23">
        <v>1</v>
      </c>
      <c r="G23">
        <v>29983435</v>
      </c>
      <c r="H23">
        <v>2</v>
      </c>
      <c r="I23" t="s">
        <v>683</v>
      </c>
      <c r="J23" t="s">
        <v>684</v>
      </c>
      <c r="K23" t="s">
        <v>685</v>
      </c>
      <c r="L23">
        <v>1367</v>
      </c>
      <c r="N23">
        <v>1011</v>
      </c>
      <c r="O23" t="s">
        <v>652</v>
      </c>
      <c r="P23" t="s">
        <v>652</v>
      </c>
      <c r="Q23">
        <v>1</v>
      </c>
      <c r="W23">
        <v>0</v>
      </c>
      <c r="X23">
        <v>1928543733</v>
      </c>
      <c r="Y23">
        <v>1.59</v>
      </c>
      <c r="AA23">
        <v>0</v>
      </c>
      <c r="AB23">
        <v>1261.78</v>
      </c>
      <c r="AC23">
        <v>601.24</v>
      </c>
      <c r="AD23">
        <v>0</v>
      </c>
      <c r="AE23">
        <v>0</v>
      </c>
      <c r="AF23">
        <v>116.89</v>
      </c>
      <c r="AG23">
        <v>23.41</v>
      </c>
      <c r="AH23">
        <v>0</v>
      </c>
      <c r="AI23">
        <v>1</v>
      </c>
      <c r="AJ23">
        <v>10.31</v>
      </c>
      <c r="AK23">
        <v>24.53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1.59</v>
      </c>
      <c r="AU23" t="s">
        <v>3</v>
      </c>
      <c r="AV23">
        <v>0</v>
      </c>
      <c r="AW23">
        <v>2</v>
      </c>
      <c r="AX23">
        <v>33995402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Y23*Source!I34</f>
        <v>5.4241948151999999</v>
      </c>
      <c r="CY23">
        <f t="shared" si="2"/>
        <v>1261.78</v>
      </c>
      <c r="CZ23">
        <f t="shared" si="3"/>
        <v>116.89</v>
      </c>
      <c r="DA23">
        <f t="shared" si="4"/>
        <v>10.31</v>
      </c>
      <c r="DB23">
        <f t="shared" si="0"/>
        <v>185.86</v>
      </c>
      <c r="DC23">
        <f t="shared" si="1"/>
        <v>37.22</v>
      </c>
    </row>
    <row r="24" spans="1:107" x14ac:dyDescent="0.2">
      <c r="A24">
        <f>ROW(Source!A34)</f>
        <v>34</v>
      </c>
      <c r="B24">
        <v>33989672</v>
      </c>
      <c r="C24">
        <v>33995399</v>
      </c>
      <c r="D24">
        <v>30063518</v>
      </c>
      <c r="E24">
        <v>1</v>
      </c>
      <c r="F24">
        <v>1</v>
      </c>
      <c r="G24">
        <v>29983435</v>
      </c>
      <c r="H24">
        <v>2</v>
      </c>
      <c r="I24" t="s">
        <v>686</v>
      </c>
      <c r="J24" t="s">
        <v>687</v>
      </c>
      <c r="K24" t="s">
        <v>688</v>
      </c>
      <c r="L24">
        <v>1367</v>
      </c>
      <c r="N24">
        <v>1011</v>
      </c>
      <c r="O24" t="s">
        <v>652</v>
      </c>
      <c r="P24" t="s">
        <v>652</v>
      </c>
      <c r="Q24">
        <v>1</v>
      </c>
      <c r="W24">
        <v>0</v>
      </c>
      <c r="X24">
        <v>366114799</v>
      </c>
      <c r="Y24">
        <v>5.15</v>
      </c>
      <c r="AA24">
        <v>0</v>
      </c>
      <c r="AB24">
        <v>2040.36</v>
      </c>
      <c r="AC24">
        <v>343.38</v>
      </c>
      <c r="AD24">
        <v>0</v>
      </c>
      <c r="AE24">
        <v>0</v>
      </c>
      <c r="AF24">
        <v>246.68</v>
      </c>
      <c r="AG24">
        <v>13.37</v>
      </c>
      <c r="AH24">
        <v>0</v>
      </c>
      <c r="AI24">
        <v>1</v>
      </c>
      <c r="AJ24">
        <v>7.9</v>
      </c>
      <c r="AK24">
        <v>24.53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5.15</v>
      </c>
      <c r="AU24" t="s">
        <v>3</v>
      </c>
      <c r="AV24">
        <v>0</v>
      </c>
      <c r="AW24">
        <v>2</v>
      </c>
      <c r="AX24">
        <v>33995403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Y24*Source!I34</f>
        <v>17.568932891999999</v>
      </c>
      <c r="CY24">
        <f t="shared" si="2"/>
        <v>2040.36</v>
      </c>
      <c r="CZ24">
        <f t="shared" si="3"/>
        <v>246.68</v>
      </c>
      <c r="DA24">
        <f t="shared" si="4"/>
        <v>7.9</v>
      </c>
      <c r="DB24">
        <f t="shared" si="0"/>
        <v>1270.4000000000001</v>
      </c>
      <c r="DC24">
        <f t="shared" si="1"/>
        <v>68.86</v>
      </c>
    </row>
    <row r="25" spans="1:107" x14ac:dyDescent="0.2">
      <c r="A25">
        <f>ROW(Source!A34)</f>
        <v>34</v>
      </c>
      <c r="B25">
        <v>33989672</v>
      </c>
      <c r="C25">
        <v>33995399</v>
      </c>
      <c r="D25">
        <v>30063503</v>
      </c>
      <c r="E25">
        <v>1</v>
      </c>
      <c r="F25">
        <v>1</v>
      </c>
      <c r="G25">
        <v>29983435</v>
      </c>
      <c r="H25">
        <v>2</v>
      </c>
      <c r="I25" t="s">
        <v>689</v>
      </c>
      <c r="J25" t="s">
        <v>690</v>
      </c>
      <c r="K25" t="s">
        <v>691</v>
      </c>
      <c r="L25">
        <v>1367</v>
      </c>
      <c r="N25">
        <v>1011</v>
      </c>
      <c r="O25" t="s">
        <v>652</v>
      </c>
      <c r="P25" t="s">
        <v>652</v>
      </c>
      <c r="Q25">
        <v>1</v>
      </c>
      <c r="W25">
        <v>0</v>
      </c>
      <c r="X25">
        <v>-1882480599</v>
      </c>
      <c r="Y25">
        <v>11.26</v>
      </c>
      <c r="AA25">
        <v>0</v>
      </c>
      <c r="AB25">
        <v>1458.26</v>
      </c>
      <c r="AC25">
        <v>385.76</v>
      </c>
      <c r="AD25">
        <v>0</v>
      </c>
      <c r="AE25">
        <v>0</v>
      </c>
      <c r="AF25">
        <v>169.44</v>
      </c>
      <c r="AG25">
        <v>15.02</v>
      </c>
      <c r="AH25">
        <v>0</v>
      </c>
      <c r="AI25">
        <v>1</v>
      </c>
      <c r="AJ25">
        <v>8.2200000000000006</v>
      </c>
      <c r="AK25">
        <v>24.53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11.26</v>
      </c>
      <c r="AU25" t="s">
        <v>3</v>
      </c>
      <c r="AV25">
        <v>0</v>
      </c>
      <c r="AW25">
        <v>2</v>
      </c>
      <c r="AX25">
        <v>33995404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Y25*Source!I34</f>
        <v>38.412851332799995</v>
      </c>
      <c r="CY25">
        <f t="shared" si="2"/>
        <v>1458.26</v>
      </c>
      <c r="CZ25">
        <f t="shared" si="3"/>
        <v>169.44</v>
      </c>
      <c r="DA25">
        <f t="shared" si="4"/>
        <v>8.2200000000000006</v>
      </c>
      <c r="DB25">
        <f t="shared" si="0"/>
        <v>1907.89</v>
      </c>
      <c r="DC25">
        <f t="shared" si="1"/>
        <v>169.13</v>
      </c>
    </row>
    <row r="26" spans="1:107" x14ac:dyDescent="0.2">
      <c r="A26">
        <f>ROW(Source!A34)</f>
        <v>34</v>
      </c>
      <c r="B26">
        <v>33989672</v>
      </c>
      <c r="C26">
        <v>33995399</v>
      </c>
      <c r="D26">
        <v>30063504</v>
      </c>
      <c r="E26">
        <v>1</v>
      </c>
      <c r="F26">
        <v>1</v>
      </c>
      <c r="G26">
        <v>29983435</v>
      </c>
      <c r="H26">
        <v>2</v>
      </c>
      <c r="I26" t="s">
        <v>692</v>
      </c>
      <c r="J26" t="s">
        <v>693</v>
      </c>
      <c r="K26" t="s">
        <v>694</v>
      </c>
      <c r="L26">
        <v>1367</v>
      </c>
      <c r="N26">
        <v>1011</v>
      </c>
      <c r="O26" t="s">
        <v>652</v>
      </c>
      <c r="P26" t="s">
        <v>652</v>
      </c>
      <c r="Q26">
        <v>1</v>
      </c>
      <c r="W26">
        <v>0</v>
      </c>
      <c r="X26">
        <v>-1920329426</v>
      </c>
      <c r="Y26">
        <v>32.19</v>
      </c>
      <c r="AA26">
        <v>0</v>
      </c>
      <c r="AB26">
        <v>1900.58</v>
      </c>
      <c r="AC26">
        <v>449.71</v>
      </c>
      <c r="AD26">
        <v>0</v>
      </c>
      <c r="AE26">
        <v>0</v>
      </c>
      <c r="AF26">
        <v>219.5</v>
      </c>
      <c r="AG26">
        <v>17.510000000000002</v>
      </c>
      <c r="AH26">
        <v>0</v>
      </c>
      <c r="AI26">
        <v>1</v>
      </c>
      <c r="AJ26">
        <v>8.27</v>
      </c>
      <c r="AK26">
        <v>24.53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32.19</v>
      </c>
      <c r="AU26" t="s">
        <v>3</v>
      </c>
      <c r="AV26">
        <v>0</v>
      </c>
      <c r="AW26">
        <v>2</v>
      </c>
      <c r="AX26">
        <v>33995405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Y26*Source!I34</f>
        <v>109.81435918319998</v>
      </c>
      <c r="CY26">
        <f t="shared" si="2"/>
        <v>1900.58</v>
      </c>
      <c r="CZ26">
        <f t="shared" si="3"/>
        <v>219.5</v>
      </c>
      <c r="DA26">
        <f t="shared" si="4"/>
        <v>8.27</v>
      </c>
      <c r="DB26">
        <f t="shared" si="0"/>
        <v>7065.71</v>
      </c>
      <c r="DC26">
        <f t="shared" si="1"/>
        <v>563.65</v>
      </c>
    </row>
    <row r="27" spans="1:107" x14ac:dyDescent="0.2">
      <c r="A27">
        <f>ROW(Source!A34)</f>
        <v>34</v>
      </c>
      <c r="B27">
        <v>33989672</v>
      </c>
      <c r="C27">
        <v>33995399</v>
      </c>
      <c r="D27">
        <v>30063545</v>
      </c>
      <c r="E27">
        <v>1</v>
      </c>
      <c r="F27">
        <v>1</v>
      </c>
      <c r="G27">
        <v>29983435</v>
      </c>
      <c r="H27">
        <v>2</v>
      </c>
      <c r="I27" t="s">
        <v>695</v>
      </c>
      <c r="J27" t="s">
        <v>696</v>
      </c>
      <c r="K27" t="s">
        <v>697</v>
      </c>
      <c r="L27">
        <v>1367</v>
      </c>
      <c r="N27">
        <v>1011</v>
      </c>
      <c r="O27" t="s">
        <v>652</v>
      </c>
      <c r="P27" t="s">
        <v>652</v>
      </c>
      <c r="Q27">
        <v>1</v>
      </c>
      <c r="W27">
        <v>0</v>
      </c>
      <c r="X27">
        <v>-975894347</v>
      </c>
      <c r="Y27">
        <v>5.81</v>
      </c>
      <c r="AA27">
        <v>0</v>
      </c>
      <c r="AB27">
        <v>1637.48</v>
      </c>
      <c r="AC27">
        <v>614.59</v>
      </c>
      <c r="AD27">
        <v>0</v>
      </c>
      <c r="AE27">
        <v>0</v>
      </c>
      <c r="AF27">
        <v>120.77</v>
      </c>
      <c r="AG27">
        <v>23.93</v>
      </c>
      <c r="AH27">
        <v>0</v>
      </c>
      <c r="AI27">
        <v>1</v>
      </c>
      <c r="AJ27">
        <v>12.95</v>
      </c>
      <c r="AK27">
        <v>24.53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5.81</v>
      </c>
      <c r="AU27" t="s">
        <v>3</v>
      </c>
      <c r="AV27">
        <v>0</v>
      </c>
      <c r="AW27">
        <v>2</v>
      </c>
      <c r="AX27">
        <v>33995406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Y27*Source!I34</f>
        <v>19.820485456799997</v>
      </c>
      <c r="CY27">
        <f t="shared" si="2"/>
        <v>1637.48</v>
      </c>
      <c r="CZ27">
        <f t="shared" si="3"/>
        <v>120.77</v>
      </c>
      <c r="DA27">
        <f t="shared" si="4"/>
        <v>12.95</v>
      </c>
      <c r="DB27">
        <f t="shared" si="0"/>
        <v>701.67</v>
      </c>
      <c r="DC27">
        <f t="shared" si="1"/>
        <v>139.03</v>
      </c>
    </row>
    <row r="28" spans="1:107" x14ac:dyDescent="0.2">
      <c r="A28">
        <f>ROW(Source!A34)</f>
        <v>34</v>
      </c>
      <c r="B28">
        <v>33989672</v>
      </c>
      <c r="C28">
        <v>33995399</v>
      </c>
      <c r="D28">
        <v>30042537</v>
      </c>
      <c r="E28">
        <v>1</v>
      </c>
      <c r="F28">
        <v>1</v>
      </c>
      <c r="G28">
        <v>29983435</v>
      </c>
      <c r="H28">
        <v>3</v>
      </c>
      <c r="I28" t="s">
        <v>467</v>
      </c>
      <c r="J28" t="s">
        <v>469</v>
      </c>
      <c r="K28" t="s">
        <v>468</v>
      </c>
      <c r="L28">
        <v>1339</v>
      </c>
      <c r="N28">
        <v>1007</v>
      </c>
      <c r="O28" t="s">
        <v>66</v>
      </c>
      <c r="P28" t="s">
        <v>66</v>
      </c>
      <c r="Q28">
        <v>1</v>
      </c>
      <c r="W28">
        <v>0</v>
      </c>
      <c r="X28">
        <v>-862991314</v>
      </c>
      <c r="Y28">
        <v>25</v>
      </c>
      <c r="AA28">
        <v>35.28</v>
      </c>
      <c r="AB28">
        <v>0</v>
      </c>
      <c r="AC28">
        <v>0</v>
      </c>
      <c r="AD28">
        <v>0</v>
      </c>
      <c r="AE28">
        <v>7.07</v>
      </c>
      <c r="AF28">
        <v>0</v>
      </c>
      <c r="AG28">
        <v>0</v>
      </c>
      <c r="AH28">
        <v>0</v>
      </c>
      <c r="AI28">
        <v>4.99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25</v>
      </c>
      <c r="AU28" t="s">
        <v>3</v>
      </c>
      <c r="AV28">
        <v>0</v>
      </c>
      <c r="AW28">
        <v>2</v>
      </c>
      <c r="AX28">
        <v>33995407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Y28*Source!I34</f>
        <v>85.286081999999993</v>
      </c>
      <c r="CY28">
        <f>AA28</f>
        <v>35.28</v>
      </c>
      <c r="CZ28">
        <f>AE28</f>
        <v>7.07</v>
      </c>
      <c r="DA28">
        <f>AI28</f>
        <v>4.99</v>
      </c>
      <c r="DB28">
        <f t="shared" si="0"/>
        <v>176.75</v>
      </c>
      <c r="DC28">
        <f t="shared" si="1"/>
        <v>0</v>
      </c>
    </row>
    <row r="29" spans="1:107" x14ac:dyDescent="0.2">
      <c r="A29">
        <f>ROW(Source!A34)</f>
        <v>34</v>
      </c>
      <c r="B29">
        <v>33989672</v>
      </c>
      <c r="C29">
        <v>33995399</v>
      </c>
      <c r="D29">
        <v>30041241</v>
      </c>
      <c r="E29">
        <v>1</v>
      </c>
      <c r="F29">
        <v>1</v>
      </c>
      <c r="G29">
        <v>29983435</v>
      </c>
      <c r="H29">
        <v>3</v>
      </c>
      <c r="I29" t="s">
        <v>64</v>
      </c>
      <c r="J29" t="s">
        <v>67</v>
      </c>
      <c r="K29" t="s">
        <v>65</v>
      </c>
      <c r="L29">
        <v>1339</v>
      </c>
      <c r="N29">
        <v>1007</v>
      </c>
      <c r="O29" t="s">
        <v>66</v>
      </c>
      <c r="P29" t="s">
        <v>66</v>
      </c>
      <c r="Q29">
        <v>1</v>
      </c>
      <c r="W29">
        <v>0</v>
      </c>
      <c r="X29">
        <v>-820942871</v>
      </c>
      <c r="Y29">
        <v>126</v>
      </c>
      <c r="AA29">
        <v>1868.93</v>
      </c>
      <c r="AB29">
        <v>0</v>
      </c>
      <c r="AC29">
        <v>0</v>
      </c>
      <c r="AD29">
        <v>0</v>
      </c>
      <c r="AE29">
        <v>173.37</v>
      </c>
      <c r="AF29">
        <v>0</v>
      </c>
      <c r="AG29">
        <v>0</v>
      </c>
      <c r="AH29">
        <v>0</v>
      </c>
      <c r="AI29">
        <v>10.78</v>
      </c>
      <c r="AJ29">
        <v>1</v>
      </c>
      <c r="AK29">
        <v>1</v>
      </c>
      <c r="AL29">
        <v>1</v>
      </c>
      <c r="AN29">
        <v>0</v>
      </c>
      <c r="AO29">
        <v>0</v>
      </c>
      <c r="AP29">
        <v>0</v>
      </c>
      <c r="AQ29">
        <v>0</v>
      </c>
      <c r="AR29">
        <v>0</v>
      </c>
      <c r="AS29" t="s">
        <v>3</v>
      </c>
      <c r="AT29">
        <v>126</v>
      </c>
      <c r="AU29" t="s">
        <v>3</v>
      </c>
      <c r="AV29">
        <v>0</v>
      </c>
      <c r="AW29">
        <v>1</v>
      </c>
      <c r="AX29">
        <v>-1</v>
      </c>
      <c r="AY29">
        <v>0</v>
      </c>
      <c r="AZ29">
        <v>0</v>
      </c>
      <c r="BA29" t="s">
        <v>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Y29*Source!I34</f>
        <v>429.84185328000001</v>
      </c>
      <c r="CY29">
        <f>AA29</f>
        <v>1868.93</v>
      </c>
      <c r="CZ29">
        <f>AE29</f>
        <v>173.37</v>
      </c>
      <c r="DA29">
        <f>AI29</f>
        <v>10.78</v>
      </c>
      <c r="DB29">
        <f t="shared" si="0"/>
        <v>21844.62</v>
      </c>
      <c r="DC29">
        <f t="shared" si="1"/>
        <v>0</v>
      </c>
    </row>
    <row r="30" spans="1:107" x14ac:dyDescent="0.2">
      <c r="A30">
        <f>ROW(Source!A34)</f>
        <v>34</v>
      </c>
      <c r="B30">
        <v>33989672</v>
      </c>
      <c r="C30">
        <v>33995399</v>
      </c>
      <c r="D30">
        <v>30041237</v>
      </c>
      <c r="E30">
        <v>1</v>
      </c>
      <c r="F30">
        <v>1</v>
      </c>
      <c r="G30">
        <v>29983435</v>
      </c>
      <c r="H30">
        <v>3</v>
      </c>
      <c r="I30" t="s">
        <v>698</v>
      </c>
      <c r="J30" t="s">
        <v>699</v>
      </c>
      <c r="K30" t="s">
        <v>700</v>
      </c>
      <c r="L30">
        <v>1339</v>
      </c>
      <c r="N30">
        <v>1007</v>
      </c>
      <c r="O30" t="s">
        <v>66</v>
      </c>
      <c r="P30" t="s">
        <v>66</v>
      </c>
      <c r="Q30">
        <v>1</v>
      </c>
      <c r="W30">
        <v>0</v>
      </c>
      <c r="X30">
        <v>489817369</v>
      </c>
      <c r="Y30">
        <v>11.5</v>
      </c>
      <c r="AA30">
        <v>1979.65</v>
      </c>
      <c r="AB30">
        <v>0</v>
      </c>
      <c r="AC30">
        <v>0</v>
      </c>
      <c r="AD30">
        <v>0</v>
      </c>
      <c r="AE30">
        <v>165.8</v>
      </c>
      <c r="AF30">
        <v>0</v>
      </c>
      <c r="AG30">
        <v>0</v>
      </c>
      <c r="AH30">
        <v>0</v>
      </c>
      <c r="AI30">
        <v>11.94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11.5</v>
      </c>
      <c r="AU30" t="s">
        <v>3</v>
      </c>
      <c r="AV30">
        <v>0</v>
      </c>
      <c r="AW30">
        <v>2</v>
      </c>
      <c r="AX30">
        <v>33995408</v>
      </c>
      <c r="AY30">
        <v>1</v>
      </c>
      <c r="AZ30">
        <v>0</v>
      </c>
      <c r="BA30">
        <v>29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Y30*Source!I34</f>
        <v>39.231597719999996</v>
      </c>
      <c r="CY30">
        <f>AA30</f>
        <v>1979.65</v>
      </c>
      <c r="CZ30">
        <f>AE30</f>
        <v>165.8</v>
      </c>
      <c r="DA30">
        <f>AI30</f>
        <v>11.94</v>
      </c>
      <c r="DB30">
        <f t="shared" si="0"/>
        <v>1906.7</v>
      </c>
      <c r="DC30">
        <f t="shared" si="1"/>
        <v>0</v>
      </c>
    </row>
    <row r="31" spans="1:107" x14ac:dyDescent="0.2">
      <c r="A31">
        <f>ROW(Source!A36)</f>
        <v>36</v>
      </c>
      <c r="B31">
        <v>33989672</v>
      </c>
      <c r="C31">
        <v>33992020</v>
      </c>
      <c r="D31">
        <v>29983439</v>
      </c>
      <c r="E31">
        <v>29983435</v>
      </c>
      <c r="F31">
        <v>1</v>
      </c>
      <c r="G31">
        <v>29983435</v>
      </c>
      <c r="H31">
        <v>2</v>
      </c>
      <c r="I31" t="s">
        <v>674</v>
      </c>
      <c r="J31" t="s">
        <v>3</v>
      </c>
      <c r="K31" t="s">
        <v>675</v>
      </c>
      <c r="L31">
        <v>1344</v>
      </c>
      <c r="N31">
        <v>1008</v>
      </c>
      <c r="O31" t="s">
        <v>676</v>
      </c>
      <c r="P31" t="s">
        <v>676</v>
      </c>
      <c r="Q31">
        <v>1</v>
      </c>
      <c r="W31">
        <v>0</v>
      </c>
      <c r="X31">
        <v>-1180195794</v>
      </c>
      <c r="Y31">
        <v>36.590000000000003</v>
      </c>
      <c r="AA31">
        <v>0</v>
      </c>
      <c r="AB31">
        <v>1</v>
      </c>
      <c r="AC31">
        <v>0</v>
      </c>
      <c r="AD31">
        <v>0</v>
      </c>
      <c r="AE31">
        <v>0</v>
      </c>
      <c r="AF31">
        <v>1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36.590000000000003</v>
      </c>
      <c r="AU31" t="s">
        <v>3</v>
      </c>
      <c r="AV31">
        <v>0</v>
      </c>
      <c r="AW31">
        <v>2</v>
      </c>
      <c r="AX31">
        <v>33995413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Y31*Source!I36</f>
        <v>0</v>
      </c>
      <c r="CY31">
        <f>AB31</f>
        <v>1</v>
      </c>
      <c r="CZ31">
        <f>AF31</f>
        <v>1</v>
      </c>
      <c r="DA31">
        <f>AJ31</f>
        <v>1</v>
      </c>
      <c r="DB31">
        <f t="shared" si="0"/>
        <v>36.590000000000003</v>
      </c>
      <c r="DC31">
        <f t="shared" si="1"/>
        <v>0</v>
      </c>
    </row>
    <row r="32" spans="1:107" x14ac:dyDescent="0.2">
      <c r="A32">
        <f>ROW(Source!A37)</f>
        <v>37</v>
      </c>
      <c r="B32">
        <v>33989672</v>
      </c>
      <c r="C32">
        <v>33995414</v>
      </c>
      <c r="D32">
        <v>29983441</v>
      </c>
      <c r="E32">
        <v>29983435</v>
      </c>
      <c r="F32">
        <v>1</v>
      </c>
      <c r="G32">
        <v>29983435</v>
      </c>
      <c r="H32">
        <v>1</v>
      </c>
      <c r="I32" t="s">
        <v>646</v>
      </c>
      <c r="J32" t="s">
        <v>3</v>
      </c>
      <c r="K32" t="s">
        <v>647</v>
      </c>
      <c r="L32">
        <v>1191</v>
      </c>
      <c r="N32">
        <v>1013</v>
      </c>
      <c r="O32" t="s">
        <v>648</v>
      </c>
      <c r="P32" t="s">
        <v>648</v>
      </c>
      <c r="Q32">
        <v>1</v>
      </c>
      <c r="W32">
        <v>0</v>
      </c>
      <c r="X32">
        <v>476480486</v>
      </c>
      <c r="Y32">
        <v>4.29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4.29</v>
      </c>
      <c r="AU32" t="s">
        <v>3</v>
      </c>
      <c r="AV32">
        <v>1</v>
      </c>
      <c r="AW32">
        <v>2</v>
      </c>
      <c r="AX32">
        <v>33995415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Y32*Source!I37</f>
        <v>487.83638904000003</v>
      </c>
      <c r="CY32">
        <f>AD32</f>
        <v>0</v>
      </c>
      <c r="CZ32">
        <f>AH32</f>
        <v>0</v>
      </c>
      <c r="DA32">
        <f>AL32</f>
        <v>1</v>
      </c>
      <c r="DB32">
        <f t="shared" si="0"/>
        <v>0</v>
      </c>
      <c r="DC32">
        <f t="shared" si="1"/>
        <v>0</v>
      </c>
    </row>
    <row r="33" spans="1:107" x14ac:dyDescent="0.2">
      <c r="A33">
        <f>ROW(Source!A37)</f>
        <v>37</v>
      </c>
      <c r="B33">
        <v>33989672</v>
      </c>
      <c r="C33">
        <v>33995414</v>
      </c>
      <c r="D33">
        <v>30063713</v>
      </c>
      <c r="E33">
        <v>1</v>
      </c>
      <c r="F33">
        <v>1</v>
      </c>
      <c r="G33">
        <v>29983435</v>
      </c>
      <c r="H33">
        <v>2</v>
      </c>
      <c r="I33" t="s">
        <v>668</v>
      </c>
      <c r="J33" t="s">
        <v>669</v>
      </c>
      <c r="K33" t="s">
        <v>670</v>
      </c>
      <c r="L33">
        <v>1367</v>
      </c>
      <c r="N33">
        <v>1011</v>
      </c>
      <c r="O33" t="s">
        <v>652</v>
      </c>
      <c r="P33" t="s">
        <v>652</v>
      </c>
      <c r="Q33">
        <v>1</v>
      </c>
      <c r="W33">
        <v>0</v>
      </c>
      <c r="X33">
        <v>-1426791</v>
      </c>
      <c r="Y33">
        <v>0.3</v>
      </c>
      <c r="AA33">
        <v>0</v>
      </c>
      <c r="AB33">
        <v>772.42</v>
      </c>
      <c r="AC33">
        <v>474.62</v>
      </c>
      <c r="AD33">
        <v>0</v>
      </c>
      <c r="AE33">
        <v>0</v>
      </c>
      <c r="AF33">
        <v>60.77</v>
      </c>
      <c r="AG33">
        <v>18.48</v>
      </c>
      <c r="AH33">
        <v>0</v>
      </c>
      <c r="AI33">
        <v>1</v>
      </c>
      <c r="AJ33">
        <v>12.14</v>
      </c>
      <c r="AK33">
        <v>24.53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0.3</v>
      </c>
      <c r="AU33" t="s">
        <v>3</v>
      </c>
      <c r="AV33">
        <v>0</v>
      </c>
      <c r="AW33">
        <v>2</v>
      </c>
      <c r="AX33">
        <v>33995416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Y33*Source!I37</f>
        <v>34.114432799999996</v>
      </c>
      <c r="CY33">
        <f t="shared" ref="CY33:CY40" si="5">AB33</f>
        <v>772.42</v>
      </c>
      <c r="CZ33">
        <f t="shared" ref="CZ33:CZ40" si="6">AF33</f>
        <v>60.77</v>
      </c>
      <c r="DA33">
        <f t="shared" ref="DA33:DA40" si="7">AJ33</f>
        <v>12.14</v>
      </c>
      <c r="DB33">
        <f t="shared" si="0"/>
        <v>18.23</v>
      </c>
      <c r="DC33">
        <f t="shared" si="1"/>
        <v>5.54</v>
      </c>
    </row>
    <row r="34" spans="1:107" x14ac:dyDescent="0.2">
      <c r="A34">
        <f>ROW(Source!A37)</f>
        <v>37</v>
      </c>
      <c r="B34">
        <v>33989672</v>
      </c>
      <c r="C34">
        <v>33995414</v>
      </c>
      <c r="D34">
        <v>30063428</v>
      </c>
      <c r="E34">
        <v>1</v>
      </c>
      <c r="F34">
        <v>1</v>
      </c>
      <c r="G34">
        <v>29983435</v>
      </c>
      <c r="H34">
        <v>2</v>
      </c>
      <c r="I34" t="s">
        <v>701</v>
      </c>
      <c r="J34" t="s">
        <v>702</v>
      </c>
      <c r="K34" t="s">
        <v>703</v>
      </c>
      <c r="L34">
        <v>1367</v>
      </c>
      <c r="N34">
        <v>1011</v>
      </c>
      <c r="O34" t="s">
        <v>652</v>
      </c>
      <c r="P34" t="s">
        <v>652</v>
      </c>
      <c r="Q34">
        <v>1</v>
      </c>
      <c r="W34">
        <v>0</v>
      </c>
      <c r="X34">
        <v>1022351366</v>
      </c>
      <c r="Y34">
        <v>0.3</v>
      </c>
      <c r="AA34">
        <v>0</v>
      </c>
      <c r="AB34">
        <v>1246.0899999999999</v>
      </c>
      <c r="AC34">
        <v>493.11</v>
      </c>
      <c r="AD34">
        <v>0</v>
      </c>
      <c r="AE34">
        <v>0</v>
      </c>
      <c r="AF34">
        <v>106.74</v>
      </c>
      <c r="AG34">
        <v>19.2</v>
      </c>
      <c r="AH34">
        <v>0</v>
      </c>
      <c r="AI34">
        <v>1</v>
      </c>
      <c r="AJ34">
        <v>11.15</v>
      </c>
      <c r="AK34">
        <v>24.53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0.3</v>
      </c>
      <c r="AU34" t="s">
        <v>3</v>
      </c>
      <c r="AV34">
        <v>0</v>
      </c>
      <c r="AW34">
        <v>2</v>
      </c>
      <c r="AX34">
        <v>33995417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Y34*Source!I37</f>
        <v>34.114432799999996</v>
      </c>
      <c r="CY34">
        <f t="shared" si="5"/>
        <v>1246.0899999999999</v>
      </c>
      <c r="CZ34">
        <f t="shared" si="6"/>
        <v>106.74</v>
      </c>
      <c r="DA34">
        <f t="shared" si="7"/>
        <v>11.15</v>
      </c>
      <c r="DB34">
        <f t="shared" si="0"/>
        <v>32.020000000000003</v>
      </c>
      <c r="DC34">
        <f t="shared" si="1"/>
        <v>5.76</v>
      </c>
    </row>
    <row r="35" spans="1:107" x14ac:dyDescent="0.2">
      <c r="A35">
        <f>ROW(Source!A37)</f>
        <v>37</v>
      </c>
      <c r="B35">
        <v>33989672</v>
      </c>
      <c r="C35">
        <v>33995414</v>
      </c>
      <c r="D35">
        <v>30063518</v>
      </c>
      <c r="E35">
        <v>1</v>
      </c>
      <c r="F35">
        <v>1</v>
      </c>
      <c r="G35">
        <v>29983435</v>
      </c>
      <c r="H35">
        <v>2</v>
      </c>
      <c r="I35" t="s">
        <v>686</v>
      </c>
      <c r="J35" t="s">
        <v>687</v>
      </c>
      <c r="K35" t="s">
        <v>688</v>
      </c>
      <c r="L35">
        <v>1367</v>
      </c>
      <c r="N35">
        <v>1011</v>
      </c>
      <c r="O35" t="s">
        <v>652</v>
      </c>
      <c r="P35" t="s">
        <v>652</v>
      </c>
      <c r="Q35">
        <v>1</v>
      </c>
      <c r="W35">
        <v>0</v>
      </c>
      <c r="X35">
        <v>366114799</v>
      </c>
      <c r="Y35">
        <v>0.3</v>
      </c>
      <c r="AA35">
        <v>0</v>
      </c>
      <c r="AB35">
        <v>2040.36</v>
      </c>
      <c r="AC35">
        <v>343.38</v>
      </c>
      <c r="AD35">
        <v>0</v>
      </c>
      <c r="AE35">
        <v>0</v>
      </c>
      <c r="AF35">
        <v>246.68</v>
      </c>
      <c r="AG35">
        <v>13.37</v>
      </c>
      <c r="AH35">
        <v>0</v>
      </c>
      <c r="AI35">
        <v>1</v>
      </c>
      <c r="AJ35">
        <v>7.9</v>
      </c>
      <c r="AK35">
        <v>24.53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0.3</v>
      </c>
      <c r="AU35" t="s">
        <v>3</v>
      </c>
      <c r="AV35">
        <v>0</v>
      </c>
      <c r="AW35">
        <v>2</v>
      </c>
      <c r="AX35">
        <v>33995418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Y35*Source!I37</f>
        <v>34.114432799999996</v>
      </c>
      <c r="CY35">
        <f t="shared" si="5"/>
        <v>2040.36</v>
      </c>
      <c r="CZ35">
        <f t="shared" si="6"/>
        <v>246.68</v>
      </c>
      <c r="DA35">
        <f t="shared" si="7"/>
        <v>7.9</v>
      </c>
      <c r="DB35">
        <f t="shared" si="0"/>
        <v>74</v>
      </c>
      <c r="DC35">
        <f t="shared" si="1"/>
        <v>4.01</v>
      </c>
    </row>
    <row r="36" spans="1:107" x14ac:dyDescent="0.2">
      <c r="A36">
        <f>ROW(Source!A37)</f>
        <v>37</v>
      </c>
      <c r="B36">
        <v>33989672</v>
      </c>
      <c r="C36">
        <v>33995414</v>
      </c>
      <c r="D36">
        <v>30063519</v>
      </c>
      <c r="E36">
        <v>1</v>
      </c>
      <c r="F36">
        <v>1</v>
      </c>
      <c r="G36">
        <v>29983435</v>
      </c>
      <c r="H36">
        <v>2</v>
      </c>
      <c r="I36" t="s">
        <v>704</v>
      </c>
      <c r="J36" t="s">
        <v>705</v>
      </c>
      <c r="K36" t="s">
        <v>706</v>
      </c>
      <c r="L36">
        <v>1367</v>
      </c>
      <c r="N36">
        <v>1011</v>
      </c>
      <c r="O36" t="s">
        <v>652</v>
      </c>
      <c r="P36" t="s">
        <v>652</v>
      </c>
      <c r="Q36">
        <v>1</v>
      </c>
      <c r="W36">
        <v>0</v>
      </c>
      <c r="X36">
        <v>1341797380</v>
      </c>
      <c r="Y36">
        <v>0.3</v>
      </c>
      <c r="AA36">
        <v>0</v>
      </c>
      <c r="AB36">
        <v>3453.79</v>
      </c>
      <c r="AC36">
        <v>1100.51</v>
      </c>
      <c r="AD36">
        <v>0</v>
      </c>
      <c r="AE36">
        <v>0</v>
      </c>
      <c r="AF36">
        <v>249.15</v>
      </c>
      <c r="AG36">
        <v>42.85</v>
      </c>
      <c r="AH36">
        <v>0</v>
      </c>
      <c r="AI36">
        <v>1</v>
      </c>
      <c r="AJ36">
        <v>13.24</v>
      </c>
      <c r="AK36">
        <v>24.53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0.3</v>
      </c>
      <c r="AU36" t="s">
        <v>3</v>
      </c>
      <c r="AV36">
        <v>0</v>
      </c>
      <c r="AW36">
        <v>2</v>
      </c>
      <c r="AX36">
        <v>33995419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Y36*Source!I37</f>
        <v>34.114432799999996</v>
      </c>
      <c r="CY36">
        <f t="shared" si="5"/>
        <v>3453.79</v>
      </c>
      <c r="CZ36">
        <f t="shared" si="6"/>
        <v>249.15</v>
      </c>
      <c r="DA36">
        <f t="shared" si="7"/>
        <v>13.24</v>
      </c>
      <c r="DB36">
        <f t="shared" si="0"/>
        <v>74.75</v>
      </c>
      <c r="DC36">
        <f t="shared" si="1"/>
        <v>12.86</v>
      </c>
    </row>
    <row r="37" spans="1:107" x14ac:dyDescent="0.2">
      <c r="A37">
        <f>ROW(Source!A37)</f>
        <v>37</v>
      </c>
      <c r="B37">
        <v>33989672</v>
      </c>
      <c r="C37">
        <v>33995414</v>
      </c>
      <c r="D37">
        <v>30063503</v>
      </c>
      <c r="E37">
        <v>1</v>
      </c>
      <c r="F37">
        <v>1</v>
      </c>
      <c r="G37">
        <v>29983435</v>
      </c>
      <c r="H37">
        <v>2</v>
      </c>
      <c r="I37" t="s">
        <v>689</v>
      </c>
      <c r="J37" t="s">
        <v>690</v>
      </c>
      <c r="K37" t="s">
        <v>691</v>
      </c>
      <c r="L37">
        <v>1367</v>
      </c>
      <c r="N37">
        <v>1011</v>
      </c>
      <c r="O37" t="s">
        <v>652</v>
      </c>
      <c r="P37" t="s">
        <v>652</v>
      </c>
      <c r="Q37">
        <v>1</v>
      </c>
      <c r="W37">
        <v>0</v>
      </c>
      <c r="X37">
        <v>-1882480599</v>
      </c>
      <c r="Y37">
        <v>0.3</v>
      </c>
      <c r="AA37">
        <v>0</v>
      </c>
      <c r="AB37">
        <v>1458.26</v>
      </c>
      <c r="AC37">
        <v>385.76</v>
      </c>
      <c r="AD37">
        <v>0</v>
      </c>
      <c r="AE37">
        <v>0</v>
      </c>
      <c r="AF37">
        <v>169.44</v>
      </c>
      <c r="AG37">
        <v>15.02</v>
      </c>
      <c r="AH37">
        <v>0</v>
      </c>
      <c r="AI37">
        <v>1</v>
      </c>
      <c r="AJ37">
        <v>8.2200000000000006</v>
      </c>
      <c r="AK37">
        <v>24.53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0.3</v>
      </c>
      <c r="AU37" t="s">
        <v>3</v>
      </c>
      <c r="AV37">
        <v>0</v>
      </c>
      <c r="AW37">
        <v>2</v>
      </c>
      <c r="AX37">
        <v>33995420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Y37*Source!I37</f>
        <v>34.114432799999996</v>
      </c>
      <c r="CY37">
        <f t="shared" si="5"/>
        <v>1458.26</v>
      </c>
      <c r="CZ37">
        <f t="shared" si="6"/>
        <v>169.44</v>
      </c>
      <c r="DA37">
        <f t="shared" si="7"/>
        <v>8.2200000000000006</v>
      </c>
      <c r="DB37">
        <f t="shared" si="0"/>
        <v>50.83</v>
      </c>
      <c r="DC37">
        <f t="shared" si="1"/>
        <v>4.51</v>
      </c>
    </row>
    <row r="38" spans="1:107" x14ac:dyDescent="0.2">
      <c r="A38">
        <f>ROW(Source!A37)</f>
        <v>37</v>
      </c>
      <c r="B38">
        <v>33989672</v>
      </c>
      <c r="C38">
        <v>33995414</v>
      </c>
      <c r="D38">
        <v>30063534</v>
      </c>
      <c r="E38">
        <v>1</v>
      </c>
      <c r="F38">
        <v>1</v>
      </c>
      <c r="G38">
        <v>29983435</v>
      </c>
      <c r="H38">
        <v>2</v>
      </c>
      <c r="I38" t="s">
        <v>707</v>
      </c>
      <c r="J38" t="s">
        <v>708</v>
      </c>
      <c r="K38" t="s">
        <v>709</v>
      </c>
      <c r="L38">
        <v>1367</v>
      </c>
      <c r="N38">
        <v>1011</v>
      </c>
      <c r="O38" t="s">
        <v>652</v>
      </c>
      <c r="P38" t="s">
        <v>652</v>
      </c>
      <c r="Q38">
        <v>1</v>
      </c>
      <c r="W38">
        <v>0</v>
      </c>
      <c r="X38">
        <v>-1272456651</v>
      </c>
      <c r="Y38">
        <v>0.3</v>
      </c>
      <c r="AA38">
        <v>0</v>
      </c>
      <c r="AB38">
        <v>1270.6400000000001</v>
      </c>
      <c r="AC38">
        <v>729.39</v>
      </c>
      <c r="AD38">
        <v>0</v>
      </c>
      <c r="AE38">
        <v>0</v>
      </c>
      <c r="AF38">
        <v>124.6</v>
      </c>
      <c r="AG38">
        <v>28.4</v>
      </c>
      <c r="AH38">
        <v>0</v>
      </c>
      <c r="AI38">
        <v>1</v>
      </c>
      <c r="AJ38">
        <v>9.74</v>
      </c>
      <c r="AK38">
        <v>24.53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0.3</v>
      </c>
      <c r="AU38" t="s">
        <v>3</v>
      </c>
      <c r="AV38">
        <v>0</v>
      </c>
      <c r="AW38">
        <v>2</v>
      </c>
      <c r="AX38">
        <v>33995421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Y38*Source!I37</f>
        <v>34.114432799999996</v>
      </c>
      <c r="CY38">
        <f t="shared" si="5"/>
        <v>1270.6400000000001</v>
      </c>
      <c r="CZ38">
        <f t="shared" si="6"/>
        <v>124.6</v>
      </c>
      <c r="DA38">
        <f t="shared" si="7"/>
        <v>9.74</v>
      </c>
      <c r="DB38">
        <f t="shared" si="0"/>
        <v>37.380000000000003</v>
      </c>
      <c r="DC38">
        <f t="shared" si="1"/>
        <v>8.52</v>
      </c>
    </row>
    <row r="39" spans="1:107" x14ac:dyDescent="0.2">
      <c r="A39">
        <f>ROW(Source!A37)</f>
        <v>37</v>
      </c>
      <c r="B39">
        <v>33989672</v>
      </c>
      <c r="C39">
        <v>33995414</v>
      </c>
      <c r="D39">
        <v>30063507</v>
      </c>
      <c r="E39">
        <v>1</v>
      </c>
      <c r="F39">
        <v>1</v>
      </c>
      <c r="G39">
        <v>29983435</v>
      </c>
      <c r="H39">
        <v>2</v>
      </c>
      <c r="I39" t="s">
        <v>710</v>
      </c>
      <c r="J39" t="s">
        <v>711</v>
      </c>
      <c r="K39" t="s">
        <v>712</v>
      </c>
      <c r="L39">
        <v>1367</v>
      </c>
      <c r="N39">
        <v>1011</v>
      </c>
      <c r="O39" t="s">
        <v>652</v>
      </c>
      <c r="P39" t="s">
        <v>652</v>
      </c>
      <c r="Q39">
        <v>1</v>
      </c>
      <c r="W39">
        <v>0</v>
      </c>
      <c r="X39">
        <v>1344915937</v>
      </c>
      <c r="Y39">
        <v>0.3</v>
      </c>
      <c r="AA39">
        <v>0</v>
      </c>
      <c r="AB39">
        <v>1541.62</v>
      </c>
      <c r="AC39">
        <v>447.65</v>
      </c>
      <c r="AD39">
        <v>0</v>
      </c>
      <c r="AE39">
        <v>0</v>
      </c>
      <c r="AF39">
        <v>171.61</v>
      </c>
      <c r="AG39">
        <v>17.43</v>
      </c>
      <c r="AH39">
        <v>0</v>
      </c>
      <c r="AI39">
        <v>1</v>
      </c>
      <c r="AJ39">
        <v>8.58</v>
      </c>
      <c r="AK39">
        <v>24.53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0.3</v>
      </c>
      <c r="AU39" t="s">
        <v>3</v>
      </c>
      <c r="AV39">
        <v>0</v>
      </c>
      <c r="AW39">
        <v>2</v>
      </c>
      <c r="AX39">
        <v>33995422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Y39*Source!I37</f>
        <v>34.114432799999996</v>
      </c>
      <c r="CY39">
        <f t="shared" si="5"/>
        <v>1541.62</v>
      </c>
      <c r="CZ39">
        <f t="shared" si="6"/>
        <v>171.61</v>
      </c>
      <c r="DA39">
        <f t="shared" si="7"/>
        <v>8.58</v>
      </c>
      <c r="DB39">
        <f t="shared" si="0"/>
        <v>51.48</v>
      </c>
      <c r="DC39">
        <f t="shared" si="1"/>
        <v>5.23</v>
      </c>
    </row>
    <row r="40" spans="1:107" x14ac:dyDescent="0.2">
      <c r="A40">
        <f>ROW(Source!A37)</f>
        <v>37</v>
      </c>
      <c r="B40">
        <v>33989672</v>
      </c>
      <c r="C40">
        <v>33995414</v>
      </c>
      <c r="D40">
        <v>30063508</v>
      </c>
      <c r="E40">
        <v>1</v>
      </c>
      <c r="F40">
        <v>1</v>
      </c>
      <c r="G40">
        <v>29983435</v>
      </c>
      <c r="H40">
        <v>2</v>
      </c>
      <c r="I40" t="s">
        <v>713</v>
      </c>
      <c r="J40" t="s">
        <v>714</v>
      </c>
      <c r="K40" t="s">
        <v>715</v>
      </c>
      <c r="L40">
        <v>1367</v>
      </c>
      <c r="N40">
        <v>1011</v>
      </c>
      <c r="O40" t="s">
        <v>652</v>
      </c>
      <c r="P40" t="s">
        <v>652</v>
      </c>
      <c r="Q40">
        <v>1</v>
      </c>
      <c r="W40">
        <v>0</v>
      </c>
      <c r="X40">
        <v>-646811103</v>
      </c>
      <c r="Y40">
        <v>0.9</v>
      </c>
      <c r="AA40">
        <v>0</v>
      </c>
      <c r="AB40">
        <v>1589.31</v>
      </c>
      <c r="AC40">
        <v>447.4</v>
      </c>
      <c r="AD40">
        <v>0</v>
      </c>
      <c r="AE40">
        <v>0</v>
      </c>
      <c r="AF40">
        <v>177.54</v>
      </c>
      <c r="AG40">
        <v>17.420000000000002</v>
      </c>
      <c r="AH40">
        <v>0</v>
      </c>
      <c r="AI40">
        <v>1</v>
      </c>
      <c r="AJ40">
        <v>8.5500000000000007</v>
      </c>
      <c r="AK40">
        <v>24.53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0.9</v>
      </c>
      <c r="AU40" t="s">
        <v>3</v>
      </c>
      <c r="AV40">
        <v>0</v>
      </c>
      <c r="AW40">
        <v>2</v>
      </c>
      <c r="AX40">
        <v>33995423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Y40*Source!I37</f>
        <v>102.34329840000001</v>
      </c>
      <c r="CY40">
        <f t="shared" si="5"/>
        <v>1589.31</v>
      </c>
      <c r="CZ40">
        <f t="shared" si="6"/>
        <v>177.54</v>
      </c>
      <c r="DA40">
        <f t="shared" si="7"/>
        <v>8.5500000000000007</v>
      </c>
      <c r="DB40">
        <f t="shared" si="0"/>
        <v>159.79</v>
      </c>
      <c r="DC40">
        <f t="shared" si="1"/>
        <v>15.68</v>
      </c>
    </row>
    <row r="41" spans="1:107" x14ac:dyDescent="0.2">
      <c r="A41">
        <f>ROW(Source!A37)</f>
        <v>37</v>
      </c>
      <c r="B41">
        <v>33989672</v>
      </c>
      <c r="C41">
        <v>33995414</v>
      </c>
      <c r="D41">
        <v>30057733</v>
      </c>
      <c r="E41">
        <v>1</v>
      </c>
      <c r="F41">
        <v>1</v>
      </c>
      <c r="G41">
        <v>29983435</v>
      </c>
      <c r="H41">
        <v>3</v>
      </c>
      <c r="I41" t="s">
        <v>716</v>
      </c>
      <c r="J41" t="s">
        <v>717</v>
      </c>
      <c r="K41" t="s">
        <v>718</v>
      </c>
      <c r="L41">
        <v>1348</v>
      </c>
      <c r="N41">
        <v>1009</v>
      </c>
      <c r="O41" t="s">
        <v>51</v>
      </c>
      <c r="P41" t="s">
        <v>51</v>
      </c>
      <c r="Q41">
        <v>1000</v>
      </c>
      <c r="W41">
        <v>0</v>
      </c>
      <c r="X41">
        <v>253159774</v>
      </c>
      <c r="Y41">
        <v>0.04</v>
      </c>
      <c r="AA41">
        <v>13171.88</v>
      </c>
      <c r="AB41">
        <v>0</v>
      </c>
      <c r="AC41">
        <v>0</v>
      </c>
      <c r="AD41">
        <v>0</v>
      </c>
      <c r="AE41">
        <v>1445.87</v>
      </c>
      <c r="AF41">
        <v>0</v>
      </c>
      <c r="AG41">
        <v>0</v>
      </c>
      <c r="AH41">
        <v>0</v>
      </c>
      <c r="AI41">
        <v>9.11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0.04</v>
      </c>
      <c r="AU41" t="s">
        <v>3</v>
      </c>
      <c r="AV41">
        <v>0</v>
      </c>
      <c r="AW41">
        <v>2</v>
      </c>
      <c r="AX41">
        <v>33995424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Y41*Source!I37</f>
        <v>4.5485910399999998</v>
      </c>
      <c r="CY41">
        <f>AA41</f>
        <v>13171.88</v>
      </c>
      <c r="CZ41">
        <f>AE41</f>
        <v>1445.87</v>
      </c>
      <c r="DA41">
        <f>AI41</f>
        <v>9.11</v>
      </c>
      <c r="DB41">
        <f t="shared" si="0"/>
        <v>57.83</v>
      </c>
      <c r="DC41">
        <f t="shared" si="1"/>
        <v>0</v>
      </c>
    </row>
    <row r="42" spans="1:107" x14ac:dyDescent="0.2">
      <c r="A42">
        <f>ROW(Source!A37)</f>
        <v>37</v>
      </c>
      <c r="B42">
        <v>33989672</v>
      </c>
      <c r="C42">
        <v>33995414</v>
      </c>
      <c r="D42">
        <v>30057723</v>
      </c>
      <c r="E42">
        <v>1</v>
      </c>
      <c r="F42">
        <v>1</v>
      </c>
      <c r="G42">
        <v>29983435</v>
      </c>
      <c r="H42">
        <v>3</v>
      </c>
      <c r="I42" t="s">
        <v>81</v>
      </c>
      <c r="J42" t="s">
        <v>83</v>
      </c>
      <c r="K42" t="s">
        <v>82</v>
      </c>
      <c r="L42">
        <v>1348</v>
      </c>
      <c r="N42">
        <v>1009</v>
      </c>
      <c r="O42" t="s">
        <v>51</v>
      </c>
      <c r="P42" t="s">
        <v>51</v>
      </c>
      <c r="Q42">
        <v>1000</v>
      </c>
      <c r="W42">
        <v>0</v>
      </c>
      <c r="X42">
        <v>305310980</v>
      </c>
      <c r="Y42">
        <v>10.199999999999999</v>
      </c>
      <c r="AA42">
        <v>2623.14</v>
      </c>
      <c r="AB42">
        <v>0</v>
      </c>
      <c r="AC42">
        <v>0</v>
      </c>
      <c r="AD42">
        <v>0</v>
      </c>
      <c r="AE42">
        <v>307.88</v>
      </c>
      <c r="AF42">
        <v>0</v>
      </c>
      <c r="AG42">
        <v>0</v>
      </c>
      <c r="AH42">
        <v>0</v>
      </c>
      <c r="AI42">
        <v>8.52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 t="s">
        <v>3</v>
      </c>
      <c r="AT42">
        <v>10.199999999999999</v>
      </c>
      <c r="AU42" t="s">
        <v>3</v>
      </c>
      <c r="AV42">
        <v>0</v>
      </c>
      <c r="AW42">
        <v>1</v>
      </c>
      <c r="AX42">
        <v>-1</v>
      </c>
      <c r="AY42">
        <v>0</v>
      </c>
      <c r="AZ42">
        <v>0</v>
      </c>
      <c r="BA42" t="s">
        <v>3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Y42*Source!I37</f>
        <v>1159.8907151999999</v>
      </c>
      <c r="CY42">
        <f>AA42</f>
        <v>2623.14</v>
      </c>
      <c r="CZ42">
        <f>AE42</f>
        <v>307.88</v>
      </c>
      <c r="DA42">
        <f>AI42</f>
        <v>8.52</v>
      </c>
      <c r="DB42">
        <f t="shared" si="0"/>
        <v>3140.38</v>
      </c>
      <c r="DC42">
        <f t="shared" si="1"/>
        <v>0</v>
      </c>
    </row>
    <row r="43" spans="1:107" x14ac:dyDescent="0.2">
      <c r="A43">
        <f>ROW(Source!A39)</f>
        <v>39</v>
      </c>
      <c r="B43">
        <v>33989672</v>
      </c>
      <c r="C43">
        <v>33995429</v>
      </c>
      <c r="D43">
        <v>29983441</v>
      </c>
      <c r="E43">
        <v>29983435</v>
      </c>
      <c r="F43">
        <v>1</v>
      </c>
      <c r="G43">
        <v>29983435</v>
      </c>
      <c r="H43">
        <v>1</v>
      </c>
      <c r="I43" t="s">
        <v>646</v>
      </c>
      <c r="J43" t="s">
        <v>3</v>
      </c>
      <c r="K43" t="s">
        <v>647</v>
      </c>
      <c r="L43">
        <v>1191</v>
      </c>
      <c r="N43">
        <v>1013</v>
      </c>
      <c r="O43" t="s">
        <v>648</v>
      </c>
      <c r="P43" t="s">
        <v>648</v>
      </c>
      <c r="Q43">
        <v>1</v>
      </c>
      <c r="W43">
        <v>0</v>
      </c>
      <c r="X43">
        <v>476480486</v>
      </c>
      <c r="Y43">
        <v>0.53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0.53</v>
      </c>
      <c r="AU43" t="s">
        <v>3</v>
      </c>
      <c r="AV43">
        <v>1</v>
      </c>
      <c r="AW43">
        <v>2</v>
      </c>
      <c r="AX43">
        <v>33995430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Y43*Source!I39</f>
        <v>60.268831280000001</v>
      </c>
      <c r="CY43">
        <f>AD43</f>
        <v>0</v>
      </c>
      <c r="CZ43">
        <f>AH43</f>
        <v>0</v>
      </c>
      <c r="DA43">
        <f>AL43</f>
        <v>1</v>
      </c>
      <c r="DB43">
        <f t="shared" si="0"/>
        <v>0</v>
      </c>
      <c r="DC43">
        <f t="shared" si="1"/>
        <v>0</v>
      </c>
    </row>
    <row r="44" spans="1:107" x14ac:dyDescent="0.2">
      <c r="A44">
        <f>ROW(Source!A39)</f>
        <v>39</v>
      </c>
      <c r="B44">
        <v>33989672</v>
      </c>
      <c r="C44">
        <v>33995429</v>
      </c>
      <c r="D44">
        <v>30063428</v>
      </c>
      <c r="E44">
        <v>1</v>
      </c>
      <c r="F44">
        <v>1</v>
      </c>
      <c r="G44">
        <v>29983435</v>
      </c>
      <c r="H44">
        <v>2</v>
      </c>
      <c r="I44" t="s">
        <v>701</v>
      </c>
      <c r="J44" t="s">
        <v>702</v>
      </c>
      <c r="K44" t="s">
        <v>703</v>
      </c>
      <c r="L44">
        <v>1367</v>
      </c>
      <c r="N44">
        <v>1011</v>
      </c>
      <c r="O44" t="s">
        <v>652</v>
      </c>
      <c r="P44" t="s">
        <v>652</v>
      </c>
      <c r="Q44">
        <v>1</v>
      </c>
      <c r="W44">
        <v>0</v>
      </c>
      <c r="X44">
        <v>1022351366</v>
      </c>
      <c r="Y44">
        <v>7.4999999999999997E-2</v>
      </c>
      <c r="AA44">
        <v>0</v>
      </c>
      <c r="AB44">
        <v>1246.0899999999999</v>
      </c>
      <c r="AC44">
        <v>493.11</v>
      </c>
      <c r="AD44">
        <v>0</v>
      </c>
      <c r="AE44">
        <v>0</v>
      </c>
      <c r="AF44">
        <v>106.74</v>
      </c>
      <c r="AG44">
        <v>19.2</v>
      </c>
      <c r="AH44">
        <v>0</v>
      </c>
      <c r="AI44">
        <v>1</v>
      </c>
      <c r="AJ44">
        <v>11.15</v>
      </c>
      <c r="AK44">
        <v>24.53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7.4999999999999997E-2</v>
      </c>
      <c r="AU44" t="s">
        <v>3</v>
      </c>
      <c r="AV44">
        <v>0</v>
      </c>
      <c r="AW44">
        <v>2</v>
      </c>
      <c r="AX44">
        <v>33995431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Y44*Source!I39</f>
        <v>8.528608199999999</v>
      </c>
      <c r="CY44">
        <f>AB44</f>
        <v>1246.0899999999999</v>
      </c>
      <c r="CZ44">
        <f>AF44</f>
        <v>106.74</v>
      </c>
      <c r="DA44">
        <f>AJ44</f>
        <v>11.15</v>
      </c>
      <c r="DB44">
        <f t="shared" si="0"/>
        <v>8.01</v>
      </c>
      <c r="DC44">
        <f t="shared" si="1"/>
        <v>1.44</v>
      </c>
    </row>
    <row r="45" spans="1:107" x14ac:dyDescent="0.2">
      <c r="A45">
        <f>ROW(Source!A39)</f>
        <v>39</v>
      </c>
      <c r="B45">
        <v>33989672</v>
      </c>
      <c r="C45">
        <v>33995429</v>
      </c>
      <c r="D45">
        <v>30063534</v>
      </c>
      <c r="E45">
        <v>1</v>
      </c>
      <c r="F45">
        <v>1</v>
      </c>
      <c r="G45">
        <v>29983435</v>
      </c>
      <c r="H45">
        <v>2</v>
      </c>
      <c r="I45" t="s">
        <v>707</v>
      </c>
      <c r="J45" t="s">
        <v>708</v>
      </c>
      <c r="K45" t="s">
        <v>709</v>
      </c>
      <c r="L45">
        <v>1367</v>
      </c>
      <c r="N45">
        <v>1011</v>
      </c>
      <c r="O45" t="s">
        <v>652</v>
      </c>
      <c r="P45" t="s">
        <v>652</v>
      </c>
      <c r="Q45">
        <v>1</v>
      </c>
      <c r="W45">
        <v>0</v>
      </c>
      <c r="X45">
        <v>-1272456651</v>
      </c>
      <c r="Y45">
        <v>7.4999999999999997E-2</v>
      </c>
      <c r="AA45">
        <v>0</v>
      </c>
      <c r="AB45">
        <v>1270.6400000000001</v>
      </c>
      <c r="AC45">
        <v>729.39</v>
      </c>
      <c r="AD45">
        <v>0</v>
      </c>
      <c r="AE45">
        <v>0</v>
      </c>
      <c r="AF45">
        <v>124.6</v>
      </c>
      <c r="AG45">
        <v>28.4</v>
      </c>
      <c r="AH45">
        <v>0</v>
      </c>
      <c r="AI45">
        <v>1</v>
      </c>
      <c r="AJ45">
        <v>9.74</v>
      </c>
      <c r="AK45">
        <v>24.53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7.4999999999999997E-2</v>
      </c>
      <c r="AU45" t="s">
        <v>3</v>
      </c>
      <c r="AV45">
        <v>0</v>
      </c>
      <c r="AW45">
        <v>2</v>
      </c>
      <c r="AX45">
        <v>33995432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Y45*Source!I39</f>
        <v>8.528608199999999</v>
      </c>
      <c r="CY45">
        <f>AB45</f>
        <v>1270.6400000000001</v>
      </c>
      <c r="CZ45">
        <f>AF45</f>
        <v>124.6</v>
      </c>
      <c r="DA45">
        <f>AJ45</f>
        <v>9.74</v>
      </c>
      <c r="DB45">
        <f t="shared" si="0"/>
        <v>9.35</v>
      </c>
      <c r="DC45">
        <f t="shared" si="1"/>
        <v>2.13</v>
      </c>
    </row>
    <row r="46" spans="1:107" x14ac:dyDescent="0.2">
      <c r="A46">
        <f>ROW(Source!A39)</f>
        <v>39</v>
      </c>
      <c r="B46">
        <v>33989672</v>
      </c>
      <c r="C46">
        <v>33995429</v>
      </c>
      <c r="D46">
        <v>30057723</v>
      </c>
      <c r="E46">
        <v>1</v>
      </c>
      <c r="F46">
        <v>1</v>
      </c>
      <c r="G46">
        <v>29983435</v>
      </c>
      <c r="H46">
        <v>3</v>
      </c>
      <c r="I46" t="s">
        <v>81</v>
      </c>
      <c r="J46" t="s">
        <v>83</v>
      </c>
      <c r="K46" t="s">
        <v>82</v>
      </c>
      <c r="L46">
        <v>1348</v>
      </c>
      <c r="N46">
        <v>1009</v>
      </c>
      <c r="O46" t="s">
        <v>51</v>
      </c>
      <c r="P46" t="s">
        <v>51</v>
      </c>
      <c r="Q46">
        <v>1000</v>
      </c>
      <c r="W46">
        <v>0</v>
      </c>
      <c r="X46">
        <v>305310980</v>
      </c>
      <c r="Y46">
        <v>2.56</v>
      </c>
      <c r="AA46">
        <v>2623.14</v>
      </c>
      <c r="AB46">
        <v>0</v>
      </c>
      <c r="AC46">
        <v>0</v>
      </c>
      <c r="AD46">
        <v>0</v>
      </c>
      <c r="AE46">
        <v>307.88</v>
      </c>
      <c r="AF46">
        <v>0</v>
      </c>
      <c r="AG46">
        <v>0</v>
      </c>
      <c r="AH46">
        <v>0</v>
      </c>
      <c r="AI46">
        <v>8.52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 t="s">
        <v>3</v>
      </c>
      <c r="AT46">
        <v>2.56</v>
      </c>
      <c r="AU46" t="s">
        <v>3</v>
      </c>
      <c r="AV46">
        <v>0</v>
      </c>
      <c r="AW46">
        <v>1</v>
      </c>
      <c r="AX46">
        <v>-1</v>
      </c>
      <c r="AY46">
        <v>0</v>
      </c>
      <c r="AZ46">
        <v>0</v>
      </c>
      <c r="BA46" t="s">
        <v>3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Y46*Source!I39</f>
        <v>291.10982655999999</v>
      </c>
      <c r="CY46">
        <f>AA46</f>
        <v>2623.14</v>
      </c>
      <c r="CZ46">
        <f>AE46</f>
        <v>307.88</v>
      </c>
      <c r="DA46">
        <f>AI46</f>
        <v>8.52</v>
      </c>
      <c r="DB46">
        <f t="shared" si="0"/>
        <v>788.17</v>
      </c>
      <c r="DC46">
        <f t="shared" si="1"/>
        <v>0</v>
      </c>
    </row>
    <row r="47" spans="1:107" x14ac:dyDescent="0.2">
      <c r="A47">
        <f>ROW(Source!A77)</f>
        <v>77</v>
      </c>
      <c r="B47">
        <v>33989672</v>
      </c>
      <c r="C47">
        <v>33992055</v>
      </c>
      <c r="D47">
        <v>29983441</v>
      </c>
      <c r="E47">
        <v>29983435</v>
      </c>
      <c r="F47">
        <v>1</v>
      </c>
      <c r="G47">
        <v>29983435</v>
      </c>
      <c r="H47">
        <v>1</v>
      </c>
      <c r="I47" t="s">
        <v>646</v>
      </c>
      <c r="J47" t="s">
        <v>3</v>
      </c>
      <c r="K47" t="s">
        <v>647</v>
      </c>
      <c r="L47">
        <v>1191</v>
      </c>
      <c r="N47">
        <v>1013</v>
      </c>
      <c r="O47" t="s">
        <v>648</v>
      </c>
      <c r="P47" t="s">
        <v>648</v>
      </c>
      <c r="Q47">
        <v>1</v>
      </c>
      <c r="W47">
        <v>0</v>
      </c>
      <c r="X47">
        <v>476480486</v>
      </c>
      <c r="Y47">
        <v>155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155</v>
      </c>
      <c r="AU47" t="s">
        <v>3</v>
      </c>
      <c r="AV47">
        <v>1</v>
      </c>
      <c r="AW47">
        <v>2</v>
      </c>
      <c r="AX47">
        <v>33992061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Y47*Source!I77</f>
        <v>246.62049999999999</v>
      </c>
      <c r="CY47">
        <f>AD47</f>
        <v>0</v>
      </c>
      <c r="CZ47">
        <f>AH47</f>
        <v>0</v>
      </c>
      <c r="DA47">
        <f>AL47</f>
        <v>1</v>
      </c>
      <c r="DB47">
        <f t="shared" si="0"/>
        <v>0</v>
      </c>
      <c r="DC47">
        <f t="shared" si="1"/>
        <v>0</v>
      </c>
    </row>
    <row r="48" spans="1:107" x14ac:dyDescent="0.2">
      <c r="A48">
        <f>ROW(Source!A77)</f>
        <v>77</v>
      </c>
      <c r="B48">
        <v>33989672</v>
      </c>
      <c r="C48">
        <v>33992055</v>
      </c>
      <c r="D48">
        <v>30063713</v>
      </c>
      <c r="E48">
        <v>1</v>
      </c>
      <c r="F48">
        <v>1</v>
      </c>
      <c r="G48">
        <v>29983435</v>
      </c>
      <c r="H48">
        <v>2</v>
      </c>
      <c r="I48" t="s">
        <v>668</v>
      </c>
      <c r="J48" t="s">
        <v>669</v>
      </c>
      <c r="K48" t="s">
        <v>670</v>
      </c>
      <c r="L48">
        <v>1367</v>
      </c>
      <c r="N48">
        <v>1011</v>
      </c>
      <c r="O48" t="s">
        <v>652</v>
      </c>
      <c r="P48" t="s">
        <v>652</v>
      </c>
      <c r="Q48">
        <v>1</v>
      </c>
      <c r="W48">
        <v>0</v>
      </c>
      <c r="X48">
        <v>-1426791</v>
      </c>
      <c r="Y48">
        <v>37.5</v>
      </c>
      <c r="AA48">
        <v>0</v>
      </c>
      <c r="AB48">
        <v>772.42</v>
      </c>
      <c r="AC48">
        <v>474.62</v>
      </c>
      <c r="AD48">
        <v>0</v>
      </c>
      <c r="AE48">
        <v>0</v>
      </c>
      <c r="AF48">
        <v>60.77</v>
      </c>
      <c r="AG48">
        <v>18.48</v>
      </c>
      <c r="AH48">
        <v>0</v>
      </c>
      <c r="AI48">
        <v>1</v>
      </c>
      <c r="AJ48">
        <v>12.14</v>
      </c>
      <c r="AK48">
        <v>24.53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37.5</v>
      </c>
      <c r="AU48" t="s">
        <v>3</v>
      </c>
      <c r="AV48">
        <v>0</v>
      </c>
      <c r="AW48">
        <v>2</v>
      </c>
      <c r="AX48">
        <v>33992062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Y48*Source!I77</f>
        <v>59.666249999999998</v>
      </c>
      <c r="CY48">
        <f>AB48</f>
        <v>772.42</v>
      </c>
      <c r="CZ48">
        <f>AF48</f>
        <v>60.77</v>
      </c>
      <c r="DA48">
        <f>AJ48</f>
        <v>12.14</v>
      </c>
      <c r="DB48">
        <f t="shared" si="0"/>
        <v>2278.88</v>
      </c>
      <c r="DC48">
        <f t="shared" si="1"/>
        <v>693</v>
      </c>
    </row>
    <row r="49" spans="1:107" x14ac:dyDescent="0.2">
      <c r="A49">
        <f>ROW(Source!A77)</f>
        <v>77</v>
      </c>
      <c r="B49">
        <v>33989672</v>
      </c>
      <c r="C49">
        <v>33992055</v>
      </c>
      <c r="D49">
        <v>30064179</v>
      </c>
      <c r="E49">
        <v>1</v>
      </c>
      <c r="F49">
        <v>1</v>
      </c>
      <c r="G49">
        <v>29983435</v>
      </c>
      <c r="H49">
        <v>2</v>
      </c>
      <c r="I49" t="s">
        <v>656</v>
      </c>
      <c r="J49" t="s">
        <v>657</v>
      </c>
      <c r="K49" t="s">
        <v>658</v>
      </c>
      <c r="L49">
        <v>1367</v>
      </c>
      <c r="N49">
        <v>1011</v>
      </c>
      <c r="O49" t="s">
        <v>652</v>
      </c>
      <c r="P49" t="s">
        <v>652</v>
      </c>
      <c r="Q49">
        <v>1</v>
      </c>
      <c r="W49">
        <v>0</v>
      </c>
      <c r="X49">
        <v>-48163219</v>
      </c>
      <c r="Y49">
        <v>75</v>
      </c>
      <c r="AA49">
        <v>0</v>
      </c>
      <c r="AB49">
        <v>6.45</v>
      </c>
      <c r="AC49">
        <v>1.03</v>
      </c>
      <c r="AD49">
        <v>0</v>
      </c>
      <c r="AE49">
        <v>0</v>
      </c>
      <c r="AF49">
        <v>3.16</v>
      </c>
      <c r="AG49">
        <v>0.04</v>
      </c>
      <c r="AH49">
        <v>0</v>
      </c>
      <c r="AI49">
        <v>1</v>
      </c>
      <c r="AJ49">
        <v>1.95</v>
      </c>
      <c r="AK49">
        <v>24.53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75</v>
      </c>
      <c r="AU49" t="s">
        <v>3</v>
      </c>
      <c r="AV49">
        <v>0</v>
      </c>
      <c r="AW49">
        <v>2</v>
      </c>
      <c r="AX49">
        <v>33992063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Y49*Source!I77</f>
        <v>119.3325</v>
      </c>
      <c r="CY49">
        <f>AB49</f>
        <v>6.45</v>
      </c>
      <c r="CZ49">
        <f>AF49</f>
        <v>3.16</v>
      </c>
      <c r="DA49">
        <f>AJ49</f>
        <v>1.95</v>
      </c>
      <c r="DB49">
        <f t="shared" si="0"/>
        <v>237</v>
      </c>
      <c r="DC49">
        <f t="shared" si="1"/>
        <v>3</v>
      </c>
    </row>
    <row r="50" spans="1:107" x14ac:dyDescent="0.2">
      <c r="A50">
        <f>ROW(Source!A77)</f>
        <v>77</v>
      </c>
      <c r="B50">
        <v>33989672</v>
      </c>
      <c r="C50">
        <v>33992055</v>
      </c>
      <c r="D50">
        <v>30063546</v>
      </c>
      <c r="E50">
        <v>1</v>
      </c>
      <c r="F50">
        <v>1</v>
      </c>
      <c r="G50">
        <v>29983435</v>
      </c>
      <c r="H50">
        <v>2</v>
      </c>
      <c r="I50" t="s">
        <v>671</v>
      </c>
      <c r="J50" t="s">
        <v>672</v>
      </c>
      <c r="K50" t="s">
        <v>673</v>
      </c>
      <c r="L50">
        <v>1367</v>
      </c>
      <c r="N50">
        <v>1011</v>
      </c>
      <c r="O50" t="s">
        <v>652</v>
      </c>
      <c r="P50" t="s">
        <v>652</v>
      </c>
      <c r="Q50">
        <v>1</v>
      </c>
      <c r="W50">
        <v>0</v>
      </c>
      <c r="X50">
        <v>856318566</v>
      </c>
      <c r="Y50">
        <v>1.55</v>
      </c>
      <c r="AA50">
        <v>0</v>
      </c>
      <c r="AB50">
        <v>1539.38</v>
      </c>
      <c r="AC50">
        <v>635.4</v>
      </c>
      <c r="AD50">
        <v>0</v>
      </c>
      <c r="AE50">
        <v>0</v>
      </c>
      <c r="AF50">
        <v>125.13</v>
      </c>
      <c r="AG50">
        <v>24.74</v>
      </c>
      <c r="AH50">
        <v>0</v>
      </c>
      <c r="AI50">
        <v>1</v>
      </c>
      <c r="AJ50">
        <v>11.75</v>
      </c>
      <c r="AK50">
        <v>24.53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1.55</v>
      </c>
      <c r="AU50" t="s">
        <v>3</v>
      </c>
      <c r="AV50">
        <v>0</v>
      </c>
      <c r="AW50">
        <v>2</v>
      </c>
      <c r="AX50">
        <v>33992064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Y50*Source!I77</f>
        <v>2.466205</v>
      </c>
      <c r="CY50">
        <f>AB50</f>
        <v>1539.38</v>
      </c>
      <c r="CZ50">
        <f>AF50</f>
        <v>125.13</v>
      </c>
      <c r="DA50">
        <f>AJ50</f>
        <v>11.75</v>
      </c>
      <c r="DB50">
        <f t="shared" si="0"/>
        <v>193.95</v>
      </c>
      <c r="DC50">
        <f t="shared" si="1"/>
        <v>38.35</v>
      </c>
    </row>
    <row r="51" spans="1:107" x14ac:dyDescent="0.2">
      <c r="A51">
        <f>ROW(Source!A77)</f>
        <v>77</v>
      </c>
      <c r="B51">
        <v>33989672</v>
      </c>
      <c r="C51">
        <v>33992055</v>
      </c>
      <c r="D51">
        <v>29983439</v>
      </c>
      <c r="E51">
        <v>29983435</v>
      </c>
      <c r="F51">
        <v>1</v>
      </c>
      <c r="G51">
        <v>29983435</v>
      </c>
      <c r="H51">
        <v>2</v>
      </c>
      <c r="I51" t="s">
        <v>674</v>
      </c>
      <c r="J51" t="s">
        <v>3</v>
      </c>
      <c r="K51" t="s">
        <v>675</v>
      </c>
      <c r="L51">
        <v>1344</v>
      </c>
      <c r="N51">
        <v>1008</v>
      </c>
      <c r="O51" t="s">
        <v>676</v>
      </c>
      <c r="P51" t="s">
        <v>676</v>
      </c>
      <c r="Q51">
        <v>1</v>
      </c>
      <c r="W51">
        <v>0</v>
      </c>
      <c r="X51">
        <v>-1180195794</v>
      </c>
      <c r="Y51">
        <v>3.72</v>
      </c>
      <c r="AA51">
        <v>0</v>
      </c>
      <c r="AB51">
        <v>1.05</v>
      </c>
      <c r="AC51">
        <v>0</v>
      </c>
      <c r="AD51">
        <v>0</v>
      </c>
      <c r="AE51">
        <v>0</v>
      </c>
      <c r="AF51">
        <v>1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3.72</v>
      </c>
      <c r="AU51" t="s">
        <v>3</v>
      </c>
      <c r="AV51">
        <v>0</v>
      </c>
      <c r="AW51">
        <v>2</v>
      </c>
      <c r="AX51">
        <v>33992065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Y51*Source!I77</f>
        <v>5.9188920000000005</v>
      </c>
      <c r="CY51">
        <f>AB51</f>
        <v>1.05</v>
      </c>
      <c r="CZ51">
        <f>AF51</f>
        <v>1</v>
      </c>
      <c r="DA51">
        <f>AJ51</f>
        <v>1</v>
      </c>
      <c r="DB51">
        <f t="shared" si="0"/>
        <v>3.72</v>
      </c>
      <c r="DC51">
        <f t="shared" si="1"/>
        <v>0</v>
      </c>
    </row>
    <row r="52" spans="1:107" x14ac:dyDescent="0.2">
      <c r="A52">
        <f>ROW(Source!A78)</f>
        <v>78</v>
      </c>
      <c r="B52">
        <v>33989672</v>
      </c>
      <c r="C52">
        <v>33992066</v>
      </c>
      <c r="D52">
        <v>29983441</v>
      </c>
      <c r="E52">
        <v>29983435</v>
      </c>
      <c r="F52">
        <v>1</v>
      </c>
      <c r="G52">
        <v>29983435</v>
      </c>
      <c r="H52">
        <v>1</v>
      </c>
      <c r="I52" t="s">
        <v>646</v>
      </c>
      <c r="J52" t="s">
        <v>3</v>
      </c>
      <c r="K52" t="s">
        <v>647</v>
      </c>
      <c r="L52">
        <v>1191</v>
      </c>
      <c r="N52">
        <v>1013</v>
      </c>
      <c r="O52" t="s">
        <v>648</v>
      </c>
      <c r="P52" t="s">
        <v>648</v>
      </c>
      <c r="Q52">
        <v>1</v>
      </c>
      <c r="W52">
        <v>0</v>
      </c>
      <c r="X52">
        <v>476480486</v>
      </c>
      <c r="Y52">
        <v>11.7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11.7</v>
      </c>
      <c r="AU52" t="s">
        <v>3</v>
      </c>
      <c r="AV52">
        <v>1</v>
      </c>
      <c r="AW52">
        <v>2</v>
      </c>
      <c r="AX52">
        <v>33992071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Y52*Source!I78</f>
        <v>13.29705</v>
      </c>
      <c r="CY52">
        <f>AD52</f>
        <v>0</v>
      </c>
      <c r="CZ52">
        <f>AH52</f>
        <v>0</v>
      </c>
      <c r="DA52">
        <f>AL52</f>
        <v>1</v>
      </c>
      <c r="DB52">
        <f t="shared" si="0"/>
        <v>0</v>
      </c>
      <c r="DC52">
        <f t="shared" si="1"/>
        <v>0</v>
      </c>
    </row>
    <row r="53" spans="1:107" x14ac:dyDescent="0.2">
      <c r="A53">
        <f>ROW(Source!A78)</f>
        <v>78</v>
      </c>
      <c r="B53">
        <v>33989672</v>
      </c>
      <c r="C53">
        <v>33992066</v>
      </c>
      <c r="D53">
        <v>30063290</v>
      </c>
      <c r="E53">
        <v>1</v>
      </c>
      <c r="F53">
        <v>1</v>
      </c>
      <c r="G53">
        <v>29983435</v>
      </c>
      <c r="H53">
        <v>2</v>
      </c>
      <c r="I53" t="s">
        <v>683</v>
      </c>
      <c r="J53" t="s">
        <v>684</v>
      </c>
      <c r="K53" t="s">
        <v>685</v>
      </c>
      <c r="L53">
        <v>1367</v>
      </c>
      <c r="N53">
        <v>1011</v>
      </c>
      <c r="O53" t="s">
        <v>652</v>
      </c>
      <c r="P53" t="s">
        <v>652</v>
      </c>
      <c r="Q53">
        <v>1</v>
      </c>
      <c r="W53">
        <v>0</v>
      </c>
      <c r="X53">
        <v>1928543733</v>
      </c>
      <c r="Y53">
        <v>1.26</v>
      </c>
      <c r="AA53">
        <v>0</v>
      </c>
      <c r="AB53">
        <v>1261.78</v>
      </c>
      <c r="AC53">
        <v>601.24</v>
      </c>
      <c r="AD53">
        <v>0</v>
      </c>
      <c r="AE53">
        <v>0</v>
      </c>
      <c r="AF53">
        <v>116.89</v>
      </c>
      <c r="AG53">
        <v>23.41</v>
      </c>
      <c r="AH53">
        <v>0</v>
      </c>
      <c r="AI53">
        <v>1</v>
      </c>
      <c r="AJ53">
        <v>10.31</v>
      </c>
      <c r="AK53">
        <v>24.53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1.26</v>
      </c>
      <c r="AU53" t="s">
        <v>3</v>
      </c>
      <c r="AV53">
        <v>0</v>
      </c>
      <c r="AW53">
        <v>2</v>
      </c>
      <c r="AX53">
        <v>33992072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Y53*Source!I78</f>
        <v>1.4319900000000001</v>
      </c>
      <c r="CY53">
        <f>AB53</f>
        <v>1261.78</v>
      </c>
      <c r="CZ53">
        <f>AF53</f>
        <v>116.89</v>
      </c>
      <c r="DA53">
        <f>AJ53</f>
        <v>10.31</v>
      </c>
      <c r="DB53">
        <f t="shared" si="0"/>
        <v>147.28</v>
      </c>
      <c r="DC53">
        <f t="shared" si="1"/>
        <v>29.5</v>
      </c>
    </row>
    <row r="54" spans="1:107" x14ac:dyDescent="0.2">
      <c r="A54">
        <f>ROW(Source!A78)</f>
        <v>78</v>
      </c>
      <c r="B54">
        <v>33989672</v>
      </c>
      <c r="C54">
        <v>33992066</v>
      </c>
      <c r="D54">
        <v>30063546</v>
      </c>
      <c r="E54">
        <v>1</v>
      </c>
      <c r="F54">
        <v>1</v>
      </c>
      <c r="G54">
        <v>29983435</v>
      </c>
      <c r="H54">
        <v>2</v>
      </c>
      <c r="I54" t="s">
        <v>671</v>
      </c>
      <c r="J54" t="s">
        <v>672</v>
      </c>
      <c r="K54" t="s">
        <v>673</v>
      </c>
      <c r="L54">
        <v>1367</v>
      </c>
      <c r="N54">
        <v>1011</v>
      </c>
      <c r="O54" t="s">
        <v>652</v>
      </c>
      <c r="P54" t="s">
        <v>652</v>
      </c>
      <c r="Q54">
        <v>1</v>
      </c>
      <c r="W54">
        <v>0</v>
      </c>
      <c r="X54">
        <v>856318566</v>
      </c>
      <c r="Y54">
        <v>1.7</v>
      </c>
      <c r="AA54">
        <v>0</v>
      </c>
      <c r="AB54">
        <v>1539.38</v>
      </c>
      <c r="AC54">
        <v>635.4</v>
      </c>
      <c r="AD54">
        <v>0</v>
      </c>
      <c r="AE54">
        <v>0</v>
      </c>
      <c r="AF54">
        <v>125.13</v>
      </c>
      <c r="AG54">
        <v>24.74</v>
      </c>
      <c r="AH54">
        <v>0</v>
      </c>
      <c r="AI54">
        <v>1</v>
      </c>
      <c r="AJ54">
        <v>11.75</v>
      </c>
      <c r="AK54">
        <v>24.53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1.7</v>
      </c>
      <c r="AU54" t="s">
        <v>3</v>
      </c>
      <c r="AV54">
        <v>0</v>
      </c>
      <c r="AW54">
        <v>2</v>
      </c>
      <c r="AX54">
        <v>33992073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Y54*Source!I78</f>
        <v>1.93205</v>
      </c>
      <c r="CY54">
        <f>AB54</f>
        <v>1539.38</v>
      </c>
      <c r="CZ54">
        <f>AF54</f>
        <v>125.13</v>
      </c>
      <c r="DA54">
        <f>AJ54</f>
        <v>11.75</v>
      </c>
      <c r="DB54">
        <f t="shared" si="0"/>
        <v>212.72</v>
      </c>
      <c r="DC54">
        <f t="shared" si="1"/>
        <v>42.06</v>
      </c>
    </row>
    <row r="55" spans="1:107" x14ac:dyDescent="0.2">
      <c r="A55">
        <f>ROW(Source!A78)</f>
        <v>78</v>
      </c>
      <c r="B55">
        <v>33989672</v>
      </c>
      <c r="C55">
        <v>33992066</v>
      </c>
      <c r="D55">
        <v>29983439</v>
      </c>
      <c r="E55">
        <v>29983435</v>
      </c>
      <c r="F55">
        <v>1</v>
      </c>
      <c r="G55">
        <v>29983435</v>
      </c>
      <c r="H55">
        <v>2</v>
      </c>
      <c r="I55" t="s">
        <v>674</v>
      </c>
      <c r="J55" t="s">
        <v>3</v>
      </c>
      <c r="K55" t="s">
        <v>675</v>
      </c>
      <c r="L55">
        <v>1344</v>
      </c>
      <c r="N55">
        <v>1008</v>
      </c>
      <c r="O55" t="s">
        <v>676</v>
      </c>
      <c r="P55" t="s">
        <v>676</v>
      </c>
      <c r="Q55">
        <v>1</v>
      </c>
      <c r="W55">
        <v>0</v>
      </c>
      <c r="X55">
        <v>-1180195794</v>
      </c>
      <c r="Y55">
        <v>42.43</v>
      </c>
      <c r="AA55">
        <v>0</v>
      </c>
      <c r="AB55">
        <v>1.05</v>
      </c>
      <c r="AC55">
        <v>0</v>
      </c>
      <c r="AD55">
        <v>0</v>
      </c>
      <c r="AE55">
        <v>0</v>
      </c>
      <c r="AF55">
        <v>1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42.43</v>
      </c>
      <c r="AU55" t="s">
        <v>3</v>
      </c>
      <c r="AV55">
        <v>0</v>
      </c>
      <c r="AW55">
        <v>2</v>
      </c>
      <c r="AX55">
        <v>33992074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Y55*Source!I78</f>
        <v>48.221695000000004</v>
      </c>
      <c r="CY55">
        <f>AB55</f>
        <v>1.05</v>
      </c>
      <c r="CZ55">
        <f>AF55</f>
        <v>1</v>
      </c>
      <c r="DA55">
        <f>AJ55</f>
        <v>1</v>
      </c>
      <c r="DB55">
        <f t="shared" si="0"/>
        <v>42.43</v>
      </c>
      <c r="DC55">
        <f t="shared" si="1"/>
        <v>0</v>
      </c>
    </row>
    <row r="56" spans="1:107" x14ac:dyDescent="0.2">
      <c r="A56">
        <f>ROW(Source!A79)</f>
        <v>79</v>
      </c>
      <c r="B56">
        <v>33989672</v>
      </c>
      <c r="C56">
        <v>33992075</v>
      </c>
      <c r="D56">
        <v>29983439</v>
      </c>
      <c r="E56">
        <v>29983435</v>
      </c>
      <c r="F56">
        <v>1</v>
      </c>
      <c r="G56">
        <v>29983435</v>
      </c>
      <c r="H56">
        <v>2</v>
      </c>
      <c r="I56" t="s">
        <v>674</v>
      </c>
      <c r="J56" t="s">
        <v>3</v>
      </c>
      <c r="K56" t="s">
        <v>675</v>
      </c>
      <c r="L56">
        <v>1344</v>
      </c>
      <c r="N56">
        <v>1008</v>
      </c>
      <c r="O56" t="s">
        <v>676</v>
      </c>
      <c r="P56" t="s">
        <v>676</v>
      </c>
      <c r="Q56">
        <v>1</v>
      </c>
      <c r="W56">
        <v>0</v>
      </c>
      <c r="X56">
        <v>-1180195794</v>
      </c>
      <c r="Y56">
        <v>8.86</v>
      </c>
      <c r="AA56">
        <v>0</v>
      </c>
      <c r="AB56">
        <v>1.05</v>
      </c>
      <c r="AC56">
        <v>0</v>
      </c>
      <c r="AD56">
        <v>0</v>
      </c>
      <c r="AE56">
        <v>0</v>
      </c>
      <c r="AF56">
        <v>1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8.86</v>
      </c>
      <c r="AU56" t="s">
        <v>3</v>
      </c>
      <c r="AV56">
        <v>0</v>
      </c>
      <c r="AW56">
        <v>2</v>
      </c>
      <c r="AX56">
        <v>33992077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Y56*Source!I79</f>
        <v>0</v>
      </c>
      <c r="CY56">
        <f>AB56</f>
        <v>1.05</v>
      </c>
      <c r="CZ56">
        <f>AF56</f>
        <v>1</v>
      </c>
      <c r="DA56">
        <f>AJ56</f>
        <v>1</v>
      </c>
      <c r="DB56">
        <f t="shared" si="0"/>
        <v>8.86</v>
      </c>
      <c r="DC56">
        <f t="shared" si="1"/>
        <v>0</v>
      </c>
    </row>
    <row r="57" spans="1:107" x14ac:dyDescent="0.2">
      <c r="A57">
        <f>ROW(Source!A80)</f>
        <v>80</v>
      </c>
      <c r="B57">
        <v>33989672</v>
      </c>
      <c r="C57">
        <v>33992078</v>
      </c>
      <c r="D57">
        <v>29983441</v>
      </c>
      <c r="E57">
        <v>29983435</v>
      </c>
      <c r="F57">
        <v>1</v>
      </c>
      <c r="G57">
        <v>29983435</v>
      </c>
      <c r="H57">
        <v>1</v>
      </c>
      <c r="I57" t="s">
        <v>646</v>
      </c>
      <c r="J57" t="s">
        <v>3</v>
      </c>
      <c r="K57" t="s">
        <v>647</v>
      </c>
      <c r="L57">
        <v>1191</v>
      </c>
      <c r="N57">
        <v>1013</v>
      </c>
      <c r="O57" t="s">
        <v>648</v>
      </c>
      <c r="P57" t="s">
        <v>648</v>
      </c>
      <c r="Q57">
        <v>1</v>
      </c>
      <c r="W57">
        <v>0</v>
      </c>
      <c r="X57">
        <v>476480486</v>
      </c>
      <c r="Y57">
        <v>1.02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1.02</v>
      </c>
      <c r="AU57" t="s">
        <v>3</v>
      </c>
      <c r="AV57">
        <v>1</v>
      </c>
      <c r="AW57">
        <v>2</v>
      </c>
      <c r="AX57">
        <v>33995601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Y57*Source!I80</f>
        <v>57.497807999999999</v>
      </c>
      <c r="CY57">
        <f>AD57</f>
        <v>0</v>
      </c>
      <c r="CZ57">
        <f>AH57</f>
        <v>0</v>
      </c>
      <c r="DA57">
        <f>AL57</f>
        <v>1</v>
      </c>
      <c r="DB57">
        <f t="shared" si="0"/>
        <v>0</v>
      </c>
      <c r="DC57">
        <f t="shared" si="1"/>
        <v>0</v>
      </c>
    </row>
    <row r="58" spans="1:107" x14ac:dyDescent="0.2">
      <c r="A58">
        <f>ROW(Source!A81)</f>
        <v>81</v>
      </c>
      <c r="B58">
        <v>33989672</v>
      </c>
      <c r="C58">
        <v>33992081</v>
      </c>
      <c r="D58">
        <v>30064127</v>
      </c>
      <c r="E58">
        <v>1</v>
      </c>
      <c r="F58">
        <v>1</v>
      </c>
      <c r="G58">
        <v>29983435</v>
      </c>
      <c r="H58">
        <v>2</v>
      </c>
      <c r="I58" t="s">
        <v>677</v>
      </c>
      <c r="J58" t="s">
        <v>678</v>
      </c>
      <c r="K58" t="s">
        <v>679</v>
      </c>
      <c r="L58">
        <v>1367</v>
      </c>
      <c r="N58">
        <v>1011</v>
      </c>
      <c r="O58" t="s">
        <v>652</v>
      </c>
      <c r="P58" t="s">
        <v>652</v>
      </c>
      <c r="Q58">
        <v>1</v>
      </c>
      <c r="W58">
        <v>0</v>
      </c>
      <c r="X58">
        <v>-1191656485</v>
      </c>
      <c r="Y58">
        <v>1</v>
      </c>
      <c r="AA58">
        <v>0</v>
      </c>
      <c r="AB58">
        <v>1577.49</v>
      </c>
      <c r="AC58">
        <v>444.24</v>
      </c>
      <c r="AD58">
        <v>0</v>
      </c>
      <c r="AE58">
        <v>0</v>
      </c>
      <c r="AF58">
        <v>193.32</v>
      </c>
      <c r="AG58">
        <v>18.11</v>
      </c>
      <c r="AH58">
        <v>0</v>
      </c>
      <c r="AI58">
        <v>1</v>
      </c>
      <c r="AJ58">
        <v>8.16</v>
      </c>
      <c r="AK58">
        <v>24.53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1</v>
      </c>
      <c r="AU58" t="s">
        <v>3</v>
      </c>
      <c r="AV58">
        <v>0</v>
      </c>
      <c r="AW58">
        <v>2</v>
      </c>
      <c r="AX58">
        <v>33995687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Y58*Source!I81</f>
        <v>0</v>
      </c>
      <c r="CY58">
        <f>AB58</f>
        <v>1577.49</v>
      </c>
      <c r="CZ58">
        <f>AF58</f>
        <v>193.32</v>
      </c>
      <c r="DA58">
        <f>AJ58</f>
        <v>8.16</v>
      </c>
      <c r="DB58">
        <f t="shared" si="0"/>
        <v>193.32</v>
      </c>
      <c r="DC58">
        <f t="shared" si="1"/>
        <v>18.11</v>
      </c>
    </row>
    <row r="59" spans="1:107" x14ac:dyDescent="0.2">
      <c r="A59">
        <f>ROW(Source!A82)</f>
        <v>82</v>
      </c>
      <c r="B59">
        <v>33989672</v>
      </c>
      <c r="C59">
        <v>33992084</v>
      </c>
      <c r="D59">
        <v>29983439</v>
      </c>
      <c r="E59">
        <v>29983435</v>
      </c>
      <c r="F59">
        <v>1</v>
      </c>
      <c r="G59">
        <v>29983435</v>
      </c>
      <c r="H59">
        <v>2</v>
      </c>
      <c r="I59" t="s">
        <v>674</v>
      </c>
      <c r="J59" t="s">
        <v>3</v>
      </c>
      <c r="K59" t="s">
        <v>675</v>
      </c>
      <c r="L59">
        <v>1344</v>
      </c>
      <c r="N59">
        <v>1008</v>
      </c>
      <c r="O59" t="s">
        <v>676</v>
      </c>
      <c r="P59" t="s">
        <v>676</v>
      </c>
      <c r="Q59">
        <v>1</v>
      </c>
      <c r="W59">
        <v>0</v>
      </c>
      <c r="X59">
        <v>-1180195794</v>
      </c>
      <c r="Y59">
        <v>36.590000000000003</v>
      </c>
      <c r="AA59">
        <v>0</v>
      </c>
      <c r="AB59">
        <v>1</v>
      </c>
      <c r="AC59">
        <v>0</v>
      </c>
      <c r="AD59">
        <v>0</v>
      </c>
      <c r="AE59">
        <v>0</v>
      </c>
      <c r="AF59">
        <v>1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36.590000000000003</v>
      </c>
      <c r="AU59" t="s">
        <v>3</v>
      </c>
      <c r="AV59">
        <v>0</v>
      </c>
      <c r="AW59">
        <v>2</v>
      </c>
      <c r="AX59">
        <v>33995688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Y59*Source!I82</f>
        <v>0</v>
      </c>
      <c r="CY59">
        <f>AB59</f>
        <v>1</v>
      </c>
      <c r="CZ59">
        <f>AF59</f>
        <v>1</v>
      </c>
      <c r="DA59">
        <f>AJ59</f>
        <v>1</v>
      </c>
      <c r="DB59">
        <f t="shared" si="0"/>
        <v>36.590000000000003</v>
      </c>
      <c r="DC59">
        <f t="shared" si="1"/>
        <v>0</v>
      </c>
    </row>
    <row r="60" spans="1:107" x14ac:dyDescent="0.2">
      <c r="A60">
        <f>ROW(Source!A83)</f>
        <v>83</v>
      </c>
      <c r="B60">
        <v>33989672</v>
      </c>
      <c r="C60">
        <v>33992087</v>
      </c>
      <c r="D60">
        <v>29983439</v>
      </c>
      <c r="E60">
        <v>29983435</v>
      </c>
      <c r="F60">
        <v>1</v>
      </c>
      <c r="G60">
        <v>29983435</v>
      </c>
      <c r="H60">
        <v>2</v>
      </c>
      <c r="I60" t="s">
        <v>674</v>
      </c>
      <c r="J60" t="s">
        <v>3</v>
      </c>
      <c r="K60" t="s">
        <v>675</v>
      </c>
      <c r="L60">
        <v>1344</v>
      </c>
      <c r="N60">
        <v>1008</v>
      </c>
      <c r="O60" t="s">
        <v>676</v>
      </c>
      <c r="P60" t="s">
        <v>676</v>
      </c>
      <c r="Q60">
        <v>1</v>
      </c>
      <c r="W60">
        <v>0</v>
      </c>
      <c r="X60">
        <v>-1180195794</v>
      </c>
      <c r="Y60">
        <v>17.84</v>
      </c>
      <c r="AA60">
        <v>0</v>
      </c>
      <c r="AB60">
        <v>1</v>
      </c>
      <c r="AC60">
        <v>0</v>
      </c>
      <c r="AD60">
        <v>0</v>
      </c>
      <c r="AE60">
        <v>0</v>
      </c>
      <c r="AF60">
        <v>1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17.84</v>
      </c>
      <c r="AU60" t="s">
        <v>3</v>
      </c>
      <c r="AV60">
        <v>0</v>
      </c>
      <c r="AW60">
        <v>2</v>
      </c>
      <c r="AX60">
        <v>33995721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Y60*Source!I83</f>
        <v>0</v>
      </c>
      <c r="CY60">
        <f>AB60</f>
        <v>1</v>
      </c>
      <c r="CZ60">
        <f>AF60</f>
        <v>1</v>
      </c>
      <c r="DA60">
        <f>AJ60</f>
        <v>1</v>
      </c>
      <c r="DB60">
        <f t="shared" si="0"/>
        <v>17.84</v>
      </c>
      <c r="DC60">
        <f t="shared" si="1"/>
        <v>0</v>
      </c>
    </row>
    <row r="61" spans="1:107" x14ac:dyDescent="0.2">
      <c r="A61">
        <f>ROW(Source!A84)</f>
        <v>84</v>
      </c>
      <c r="B61">
        <v>33989672</v>
      </c>
      <c r="C61">
        <v>33995722</v>
      </c>
      <c r="D61">
        <v>29983441</v>
      </c>
      <c r="E61">
        <v>29983435</v>
      </c>
      <c r="F61">
        <v>1</v>
      </c>
      <c r="G61">
        <v>29983435</v>
      </c>
      <c r="H61">
        <v>1</v>
      </c>
      <c r="I61" t="s">
        <v>646</v>
      </c>
      <c r="J61" t="s">
        <v>3</v>
      </c>
      <c r="K61" t="s">
        <v>647</v>
      </c>
      <c r="L61">
        <v>1191</v>
      </c>
      <c r="N61">
        <v>1013</v>
      </c>
      <c r="O61" t="s">
        <v>648</v>
      </c>
      <c r="P61" t="s">
        <v>648</v>
      </c>
      <c r="Q61">
        <v>1</v>
      </c>
      <c r="W61">
        <v>0</v>
      </c>
      <c r="X61">
        <v>476480486</v>
      </c>
      <c r="Y61">
        <v>87.29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87.29</v>
      </c>
      <c r="AU61" t="s">
        <v>3</v>
      </c>
      <c r="AV61">
        <v>1</v>
      </c>
      <c r="AW61">
        <v>2</v>
      </c>
      <c r="AX61">
        <v>33995733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Y61*Source!I84</f>
        <v>59.523051000000002</v>
      </c>
      <c r="CY61">
        <f>AD61</f>
        <v>0</v>
      </c>
      <c r="CZ61">
        <f>AH61</f>
        <v>0</v>
      </c>
      <c r="DA61">
        <f>AL61</f>
        <v>1</v>
      </c>
      <c r="DB61">
        <f t="shared" si="0"/>
        <v>0</v>
      </c>
      <c r="DC61">
        <f t="shared" si="1"/>
        <v>0</v>
      </c>
    </row>
    <row r="62" spans="1:107" x14ac:dyDescent="0.2">
      <c r="A62">
        <f>ROW(Source!A84)</f>
        <v>84</v>
      </c>
      <c r="B62">
        <v>33989672</v>
      </c>
      <c r="C62">
        <v>33995722</v>
      </c>
      <c r="D62">
        <v>30064095</v>
      </c>
      <c r="E62">
        <v>1</v>
      </c>
      <c r="F62">
        <v>1</v>
      </c>
      <c r="G62">
        <v>29983435</v>
      </c>
      <c r="H62">
        <v>2</v>
      </c>
      <c r="I62" t="s">
        <v>680</v>
      </c>
      <c r="J62" t="s">
        <v>681</v>
      </c>
      <c r="K62" t="s">
        <v>682</v>
      </c>
      <c r="L62">
        <v>1367</v>
      </c>
      <c r="N62">
        <v>1011</v>
      </c>
      <c r="O62" t="s">
        <v>652</v>
      </c>
      <c r="P62" t="s">
        <v>652</v>
      </c>
      <c r="Q62">
        <v>1</v>
      </c>
      <c r="W62">
        <v>0</v>
      </c>
      <c r="X62">
        <v>-628430174</v>
      </c>
      <c r="Y62">
        <v>0.89</v>
      </c>
      <c r="AA62">
        <v>0</v>
      </c>
      <c r="AB62">
        <v>755.14</v>
      </c>
      <c r="AC62">
        <v>368.81</v>
      </c>
      <c r="AD62">
        <v>0</v>
      </c>
      <c r="AE62">
        <v>0</v>
      </c>
      <c r="AF62">
        <v>76.81</v>
      </c>
      <c r="AG62">
        <v>14.36</v>
      </c>
      <c r="AH62">
        <v>0</v>
      </c>
      <c r="AI62">
        <v>1</v>
      </c>
      <c r="AJ62">
        <v>9.39</v>
      </c>
      <c r="AK62">
        <v>24.53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0.89</v>
      </c>
      <c r="AU62" t="s">
        <v>3</v>
      </c>
      <c r="AV62">
        <v>0</v>
      </c>
      <c r="AW62">
        <v>2</v>
      </c>
      <c r="AX62">
        <v>33995734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Y62*Source!I84</f>
        <v>0.60689099999999996</v>
      </c>
      <c r="CY62">
        <f t="shared" ref="CY62:CY67" si="8">AB62</f>
        <v>755.14</v>
      </c>
      <c r="CZ62">
        <f t="shared" ref="CZ62:CZ67" si="9">AF62</f>
        <v>76.81</v>
      </c>
      <c r="DA62">
        <f t="shared" ref="DA62:DA67" si="10">AJ62</f>
        <v>9.39</v>
      </c>
      <c r="DB62">
        <f t="shared" si="0"/>
        <v>68.36</v>
      </c>
      <c r="DC62">
        <f t="shared" si="1"/>
        <v>12.78</v>
      </c>
    </row>
    <row r="63" spans="1:107" x14ac:dyDescent="0.2">
      <c r="A63">
        <f>ROW(Source!A84)</f>
        <v>84</v>
      </c>
      <c r="B63">
        <v>33989672</v>
      </c>
      <c r="C63">
        <v>33995722</v>
      </c>
      <c r="D63">
        <v>30063290</v>
      </c>
      <c r="E63">
        <v>1</v>
      </c>
      <c r="F63">
        <v>1</v>
      </c>
      <c r="G63">
        <v>29983435</v>
      </c>
      <c r="H63">
        <v>2</v>
      </c>
      <c r="I63" t="s">
        <v>683</v>
      </c>
      <c r="J63" t="s">
        <v>684</v>
      </c>
      <c r="K63" t="s">
        <v>685</v>
      </c>
      <c r="L63">
        <v>1367</v>
      </c>
      <c r="N63">
        <v>1011</v>
      </c>
      <c r="O63" t="s">
        <v>652</v>
      </c>
      <c r="P63" t="s">
        <v>652</v>
      </c>
      <c r="Q63">
        <v>1</v>
      </c>
      <c r="W63">
        <v>0</v>
      </c>
      <c r="X63">
        <v>1928543733</v>
      </c>
      <c r="Y63">
        <v>1.59</v>
      </c>
      <c r="AA63">
        <v>0</v>
      </c>
      <c r="AB63">
        <v>1261.78</v>
      </c>
      <c r="AC63">
        <v>601.24</v>
      </c>
      <c r="AD63">
        <v>0</v>
      </c>
      <c r="AE63">
        <v>0</v>
      </c>
      <c r="AF63">
        <v>116.89</v>
      </c>
      <c r="AG63">
        <v>23.41</v>
      </c>
      <c r="AH63">
        <v>0</v>
      </c>
      <c r="AI63">
        <v>1</v>
      </c>
      <c r="AJ63">
        <v>10.31</v>
      </c>
      <c r="AK63">
        <v>24.53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1.59</v>
      </c>
      <c r="AU63" t="s">
        <v>3</v>
      </c>
      <c r="AV63">
        <v>0</v>
      </c>
      <c r="AW63">
        <v>2</v>
      </c>
      <c r="AX63">
        <v>33995735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Y63*Source!I84</f>
        <v>1.0842209999999999</v>
      </c>
      <c r="CY63">
        <f t="shared" si="8"/>
        <v>1261.78</v>
      </c>
      <c r="CZ63">
        <f t="shared" si="9"/>
        <v>116.89</v>
      </c>
      <c r="DA63">
        <f t="shared" si="10"/>
        <v>10.31</v>
      </c>
      <c r="DB63">
        <f t="shared" si="0"/>
        <v>185.86</v>
      </c>
      <c r="DC63">
        <f t="shared" si="1"/>
        <v>37.22</v>
      </c>
    </row>
    <row r="64" spans="1:107" x14ac:dyDescent="0.2">
      <c r="A64">
        <f>ROW(Source!A84)</f>
        <v>84</v>
      </c>
      <c r="B64">
        <v>33989672</v>
      </c>
      <c r="C64">
        <v>33995722</v>
      </c>
      <c r="D64">
        <v>30063518</v>
      </c>
      <c r="E64">
        <v>1</v>
      </c>
      <c r="F64">
        <v>1</v>
      </c>
      <c r="G64">
        <v>29983435</v>
      </c>
      <c r="H64">
        <v>2</v>
      </c>
      <c r="I64" t="s">
        <v>686</v>
      </c>
      <c r="J64" t="s">
        <v>687</v>
      </c>
      <c r="K64" t="s">
        <v>688</v>
      </c>
      <c r="L64">
        <v>1367</v>
      </c>
      <c r="N64">
        <v>1011</v>
      </c>
      <c r="O64" t="s">
        <v>652</v>
      </c>
      <c r="P64" t="s">
        <v>652</v>
      </c>
      <c r="Q64">
        <v>1</v>
      </c>
      <c r="W64">
        <v>0</v>
      </c>
      <c r="X64">
        <v>366114799</v>
      </c>
      <c r="Y64">
        <v>5.15</v>
      </c>
      <c r="AA64">
        <v>0</v>
      </c>
      <c r="AB64">
        <v>2040.36</v>
      </c>
      <c r="AC64">
        <v>343.38</v>
      </c>
      <c r="AD64">
        <v>0</v>
      </c>
      <c r="AE64">
        <v>0</v>
      </c>
      <c r="AF64">
        <v>246.68</v>
      </c>
      <c r="AG64">
        <v>13.37</v>
      </c>
      <c r="AH64">
        <v>0</v>
      </c>
      <c r="AI64">
        <v>1</v>
      </c>
      <c r="AJ64">
        <v>7.9</v>
      </c>
      <c r="AK64">
        <v>24.53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5.15</v>
      </c>
      <c r="AU64" t="s">
        <v>3</v>
      </c>
      <c r="AV64">
        <v>0</v>
      </c>
      <c r="AW64">
        <v>2</v>
      </c>
      <c r="AX64">
        <v>33995736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Y64*Source!I84</f>
        <v>3.5117850000000002</v>
      </c>
      <c r="CY64">
        <f t="shared" si="8"/>
        <v>2040.36</v>
      </c>
      <c r="CZ64">
        <f t="shared" si="9"/>
        <v>246.68</v>
      </c>
      <c r="DA64">
        <f t="shared" si="10"/>
        <v>7.9</v>
      </c>
      <c r="DB64">
        <f t="shared" si="0"/>
        <v>1270.4000000000001</v>
      </c>
      <c r="DC64">
        <f t="shared" si="1"/>
        <v>68.86</v>
      </c>
    </row>
    <row r="65" spans="1:107" x14ac:dyDescent="0.2">
      <c r="A65">
        <f>ROW(Source!A84)</f>
        <v>84</v>
      </c>
      <c r="B65">
        <v>33989672</v>
      </c>
      <c r="C65">
        <v>33995722</v>
      </c>
      <c r="D65">
        <v>30063503</v>
      </c>
      <c r="E65">
        <v>1</v>
      </c>
      <c r="F65">
        <v>1</v>
      </c>
      <c r="G65">
        <v>29983435</v>
      </c>
      <c r="H65">
        <v>2</v>
      </c>
      <c r="I65" t="s">
        <v>689</v>
      </c>
      <c r="J65" t="s">
        <v>690</v>
      </c>
      <c r="K65" t="s">
        <v>691</v>
      </c>
      <c r="L65">
        <v>1367</v>
      </c>
      <c r="N65">
        <v>1011</v>
      </c>
      <c r="O65" t="s">
        <v>652</v>
      </c>
      <c r="P65" t="s">
        <v>652</v>
      </c>
      <c r="Q65">
        <v>1</v>
      </c>
      <c r="W65">
        <v>0</v>
      </c>
      <c r="X65">
        <v>-1882480599</v>
      </c>
      <c r="Y65">
        <v>11.26</v>
      </c>
      <c r="AA65">
        <v>0</v>
      </c>
      <c r="AB65">
        <v>1458.26</v>
      </c>
      <c r="AC65">
        <v>385.76</v>
      </c>
      <c r="AD65">
        <v>0</v>
      </c>
      <c r="AE65">
        <v>0</v>
      </c>
      <c r="AF65">
        <v>169.44</v>
      </c>
      <c r="AG65">
        <v>15.02</v>
      </c>
      <c r="AH65">
        <v>0</v>
      </c>
      <c r="AI65">
        <v>1</v>
      </c>
      <c r="AJ65">
        <v>8.2200000000000006</v>
      </c>
      <c r="AK65">
        <v>24.53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11.26</v>
      </c>
      <c r="AU65" t="s">
        <v>3</v>
      </c>
      <c r="AV65">
        <v>0</v>
      </c>
      <c r="AW65">
        <v>2</v>
      </c>
      <c r="AX65">
        <v>33995737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Y65*Source!I84</f>
        <v>7.6781939999999995</v>
      </c>
      <c r="CY65">
        <f t="shared" si="8"/>
        <v>1458.26</v>
      </c>
      <c r="CZ65">
        <f t="shared" si="9"/>
        <v>169.44</v>
      </c>
      <c r="DA65">
        <f t="shared" si="10"/>
        <v>8.2200000000000006</v>
      </c>
      <c r="DB65">
        <f t="shared" ref="DB65:DB128" si="11">ROUND(ROUND(AT65*CZ65,2),6)</f>
        <v>1907.89</v>
      </c>
      <c r="DC65">
        <f t="shared" ref="DC65:DC128" si="12">ROUND(ROUND(AT65*AG65,2),6)</f>
        <v>169.13</v>
      </c>
    </row>
    <row r="66" spans="1:107" x14ac:dyDescent="0.2">
      <c r="A66">
        <f>ROW(Source!A84)</f>
        <v>84</v>
      </c>
      <c r="B66">
        <v>33989672</v>
      </c>
      <c r="C66">
        <v>33995722</v>
      </c>
      <c r="D66">
        <v>30063504</v>
      </c>
      <c r="E66">
        <v>1</v>
      </c>
      <c r="F66">
        <v>1</v>
      </c>
      <c r="G66">
        <v>29983435</v>
      </c>
      <c r="H66">
        <v>2</v>
      </c>
      <c r="I66" t="s">
        <v>692</v>
      </c>
      <c r="J66" t="s">
        <v>693</v>
      </c>
      <c r="K66" t="s">
        <v>694</v>
      </c>
      <c r="L66">
        <v>1367</v>
      </c>
      <c r="N66">
        <v>1011</v>
      </c>
      <c r="O66" t="s">
        <v>652</v>
      </c>
      <c r="P66" t="s">
        <v>652</v>
      </c>
      <c r="Q66">
        <v>1</v>
      </c>
      <c r="W66">
        <v>0</v>
      </c>
      <c r="X66">
        <v>-1920329426</v>
      </c>
      <c r="Y66">
        <v>32.19</v>
      </c>
      <c r="AA66">
        <v>0</v>
      </c>
      <c r="AB66">
        <v>1900.58</v>
      </c>
      <c r="AC66">
        <v>449.71</v>
      </c>
      <c r="AD66">
        <v>0</v>
      </c>
      <c r="AE66">
        <v>0</v>
      </c>
      <c r="AF66">
        <v>219.5</v>
      </c>
      <c r="AG66">
        <v>17.510000000000002</v>
      </c>
      <c r="AH66">
        <v>0</v>
      </c>
      <c r="AI66">
        <v>1</v>
      </c>
      <c r="AJ66">
        <v>8.27</v>
      </c>
      <c r="AK66">
        <v>24.53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32.19</v>
      </c>
      <c r="AU66" t="s">
        <v>3</v>
      </c>
      <c r="AV66">
        <v>0</v>
      </c>
      <c r="AW66">
        <v>2</v>
      </c>
      <c r="AX66">
        <v>33995738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Y66*Source!I84</f>
        <v>21.950360999999997</v>
      </c>
      <c r="CY66">
        <f t="shared" si="8"/>
        <v>1900.58</v>
      </c>
      <c r="CZ66">
        <f t="shared" si="9"/>
        <v>219.5</v>
      </c>
      <c r="DA66">
        <f t="shared" si="10"/>
        <v>8.27</v>
      </c>
      <c r="DB66">
        <f t="shared" si="11"/>
        <v>7065.71</v>
      </c>
      <c r="DC66">
        <f t="shared" si="12"/>
        <v>563.65</v>
      </c>
    </row>
    <row r="67" spans="1:107" x14ac:dyDescent="0.2">
      <c r="A67">
        <f>ROW(Source!A84)</f>
        <v>84</v>
      </c>
      <c r="B67">
        <v>33989672</v>
      </c>
      <c r="C67">
        <v>33995722</v>
      </c>
      <c r="D67">
        <v>30063545</v>
      </c>
      <c r="E67">
        <v>1</v>
      </c>
      <c r="F67">
        <v>1</v>
      </c>
      <c r="G67">
        <v>29983435</v>
      </c>
      <c r="H67">
        <v>2</v>
      </c>
      <c r="I67" t="s">
        <v>695</v>
      </c>
      <c r="J67" t="s">
        <v>696</v>
      </c>
      <c r="K67" t="s">
        <v>697</v>
      </c>
      <c r="L67">
        <v>1367</v>
      </c>
      <c r="N67">
        <v>1011</v>
      </c>
      <c r="O67" t="s">
        <v>652</v>
      </c>
      <c r="P67" t="s">
        <v>652</v>
      </c>
      <c r="Q67">
        <v>1</v>
      </c>
      <c r="W67">
        <v>0</v>
      </c>
      <c r="X67">
        <v>-975894347</v>
      </c>
      <c r="Y67">
        <v>5.81</v>
      </c>
      <c r="AA67">
        <v>0</v>
      </c>
      <c r="AB67">
        <v>1637.48</v>
      </c>
      <c r="AC67">
        <v>614.59</v>
      </c>
      <c r="AD67">
        <v>0</v>
      </c>
      <c r="AE67">
        <v>0</v>
      </c>
      <c r="AF67">
        <v>120.77</v>
      </c>
      <c r="AG67">
        <v>23.93</v>
      </c>
      <c r="AH67">
        <v>0</v>
      </c>
      <c r="AI67">
        <v>1</v>
      </c>
      <c r="AJ67">
        <v>12.95</v>
      </c>
      <c r="AK67">
        <v>24.53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5.81</v>
      </c>
      <c r="AU67" t="s">
        <v>3</v>
      </c>
      <c r="AV67">
        <v>0</v>
      </c>
      <c r="AW67">
        <v>2</v>
      </c>
      <c r="AX67">
        <v>33995739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Y67*Source!I84</f>
        <v>3.9618389999999994</v>
      </c>
      <c r="CY67">
        <f t="shared" si="8"/>
        <v>1637.48</v>
      </c>
      <c r="CZ67">
        <f t="shared" si="9"/>
        <v>120.77</v>
      </c>
      <c r="DA67">
        <f t="shared" si="10"/>
        <v>12.95</v>
      </c>
      <c r="DB67">
        <f t="shared" si="11"/>
        <v>701.67</v>
      </c>
      <c r="DC67">
        <f t="shared" si="12"/>
        <v>139.03</v>
      </c>
    </row>
    <row r="68" spans="1:107" x14ac:dyDescent="0.2">
      <c r="A68">
        <f>ROW(Source!A84)</f>
        <v>84</v>
      </c>
      <c r="B68">
        <v>33989672</v>
      </c>
      <c r="C68">
        <v>33995722</v>
      </c>
      <c r="D68">
        <v>30042537</v>
      </c>
      <c r="E68">
        <v>1</v>
      </c>
      <c r="F68">
        <v>1</v>
      </c>
      <c r="G68">
        <v>29983435</v>
      </c>
      <c r="H68">
        <v>3</v>
      </c>
      <c r="I68" t="s">
        <v>467</v>
      </c>
      <c r="J68" t="s">
        <v>469</v>
      </c>
      <c r="K68" t="s">
        <v>468</v>
      </c>
      <c r="L68">
        <v>1339</v>
      </c>
      <c r="N68">
        <v>1007</v>
      </c>
      <c r="O68" t="s">
        <v>66</v>
      </c>
      <c r="P68" t="s">
        <v>66</v>
      </c>
      <c r="Q68">
        <v>1</v>
      </c>
      <c r="W68">
        <v>0</v>
      </c>
      <c r="X68">
        <v>-862991314</v>
      </c>
      <c r="Y68">
        <v>25</v>
      </c>
      <c r="AA68">
        <v>35.28</v>
      </c>
      <c r="AB68">
        <v>0</v>
      </c>
      <c r="AC68">
        <v>0</v>
      </c>
      <c r="AD68">
        <v>0</v>
      </c>
      <c r="AE68">
        <v>7.07</v>
      </c>
      <c r="AF68">
        <v>0</v>
      </c>
      <c r="AG68">
        <v>0</v>
      </c>
      <c r="AH68">
        <v>0</v>
      </c>
      <c r="AI68">
        <v>4.99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25</v>
      </c>
      <c r="AU68" t="s">
        <v>3</v>
      </c>
      <c r="AV68">
        <v>0</v>
      </c>
      <c r="AW68">
        <v>2</v>
      </c>
      <c r="AX68">
        <v>33995740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Y68*Source!I84</f>
        <v>17.047499999999999</v>
      </c>
      <c r="CY68">
        <f>AA68</f>
        <v>35.28</v>
      </c>
      <c r="CZ68">
        <f>AE68</f>
        <v>7.07</v>
      </c>
      <c r="DA68">
        <f>AI68</f>
        <v>4.99</v>
      </c>
      <c r="DB68">
        <f t="shared" si="11"/>
        <v>176.75</v>
      </c>
      <c r="DC68">
        <f t="shared" si="12"/>
        <v>0</v>
      </c>
    </row>
    <row r="69" spans="1:107" x14ac:dyDescent="0.2">
      <c r="A69">
        <f>ROW(Source!A84)</f>
        <v>84</v>
      </c>
      <c r="B69">
        <v>33989672</v>
      </c>
      <c r="C69">
        <v>33995722</v>
      </c>
      <c r="D69">
        <v>30041241</v>
      </c>
      <c r="E69">
        <v>1</v>
      </c>
      <c r="F69">
        <v>1</v>
      </c>
      <c r="G69">
        <v>29983435</v>
      </c>
      <c r="H69">
        <v>3</v>
      </c>
      <c r="I69" t="s">
        <v>64</v>
      </c>
      <c r="J69" t="s">
        <v>67</v>
      </c>
      <c r="K69" t="s">
        <v>65</v>
      </c>
      <c r="L69">
        <v>1339</v>
      </c>
      <c r="N69">
        <v>1007</v>
      </c>
      <c r="O69" t="s">
        <v>66</v>
      </c>
      <c r="P69" t="s">
        <v>66</v>
      </c>
      <c r="Q69">
        <v>1</v>
      </c>
      <c r="W69">
        <v>0</v>
      </c>
      <c r="X69">
        <v>-820942871</v>
      </c>
      <c r="Y69">
        <v>126</v>
      </c>
      <c r="AA69">
        <v>1868.93</v>
      </c>
      <c r="AB69">
        <v>0</v>
      </c>
      <c r="AC69">
        <v>0</v>
      </c>
      <c r="AD69">
        <v>0</v>
      </c>
      <c r="AE69">
        <v>173.37</v>
      </c>
      <c r="AF69">
        <v>0</v>
      </c>
      <c r="AG69">
        <v>0</v>
      </c>
      <c r="AH69">
        <v>0</v>
      </c>
      <c r="AI69">
        <v>10.78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 t="s">
        <v>3</v>
      </c>
      <c r="AT69">
        <v>126</v>
      </c>
      <c r="AU69" t="s">
        <v>3</v>
      </c>
      <c r="AV69">
        <v>0</v>
      </c>
      <c r="AW69">
        <v>1</v>
      </c>
      <c r="AX69">
        <v>-1</v>
      </c>
      <c r="AY69">
        <v>0</v>
      </c>
      <c r="AZ69">
        <v>0</v>
      </c>
      <c r="BA69" t="s">
        <v>3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Y69*Source!I84</f>
        <v>85.919399999999996</v>
      </c>
      <c r="CY69">
        <f>AA69</f>
        <v>1868.93</v>
      </c>
      <c r="CZ69">
        <f>AE69</f>
        <v>173.37</v>
      </c>
      <c r="DA69">
        <f>AI69</f>
        <v>10.78</v>
      </c>
      <c r="DB69">
        <f t="shared" si="11"/>
        <v>21844.62</v>
      </c>
      <c r="DC69">
        <f t="shared" si="12"/>
        <v>0</v>
      </c>
    </row>
    <row r="70" spans="1:107" x14ac:dyDescent="0.2">
      <c r="A70">
        <f>ROW(Source!A84)</f>
        <v>84</v>
      </c>
      <c r="B70">
        <v>33989672</v>
      </c>
      <c r="C70">
        <v>33995722</v>
      </c>
      <c r="D70">
        <v>30041237</v>
      </c>
      <c r="E70">
        <v>1</v>
      </c>
      <c r="F70">
        <v>1</v>
      </c>
      <c r="G70">
        <v>29983435</v>
      </c>
      <c r="H70">
        <v>3</v>
      </c>
      <c r="I70" t="s">
        <v>698</v>
      </c>
      <c r="J70" t="s">
        <v>699</v>
      </c>
      <c r="K70" t="s">
        <v>700</v>
      </c>
      <c r="L70">
        <v>1339</v>
      </c>
      <c r="N70">
        <v>1007</v>
      </c>
      <c r="O70" t="s">
        <v>66</v>
      </c>
      <c r="P70" t="s">
        <v>66</v>
      </c>
      <c r="Q70">
        <v>1</v>
      </c>
      <c r="W70">
        <v>0</v>
      </c>
      <c r="X70">
        <v>489817369</v>
      </c>
      <c r="Y70">
        <v>11.5</v>
      </c>
      <c r="AA70">
        <v>1979.65</v>
      </c>
      <c r="AB70">
        <v>0</v>
      </c>
      <c r="AC70">
        <v>0</v>
      </c>
      <c r="AD70">
        <v>0</v>
      </c>
      <c r="AE70">
        <v>165.8</v>
      </c>
      <c r="AF70">
        <v>0</v>
      </c>
      <c r="AG70">
        <v>0</v>
      </c>
      <c r="AH70">
        <v>0</v>
      </c>
      <c r="AI70">
        <v>11.94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11.5</v>
      </c>
      <c r="AU70" t="s">
        <v>3</v>
      </c>
      <c r="AV70">
        <v>0</v>
      </c>
      <c r="AW70">
        <v>2</v>
      </c>
      <c r="AX70">
        <v>33995741</v>
      </c>
      <c r="AY70">
        <v>1</v>
      </c>
      <c r="AZ70">
        <v>0</v>
      </c>
      <c r="BA70">
        <v>69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Y70*Source!I84</f>
        <v>7.8418499999999991</v>
      </c>
      <c r="CY70">
        <f>AA70</f>
        <v>1979.65</v>
      </c>
      <c r="CZ70">
        <f>AE70</f>
        <v>165.8</v>
      </c>
      <c r="DA70">
        <f>AI70</f>
        <v>11.94</v>
      </c>
      <c r="DB70">
        <f t="shared" si="11"/>
        <v>1906.7</v>
      </c>
      <c r="DC70">
        <f t="shared" si="12"/>
        <v>0</v>
      </c>
    </row>
    <row r="71" spans="1:107" x14ac:dyDescent="0.2">
      <c r="A71">
        <f>ROW(Source!A86)</f>
        <v>86</v>
      </c>
      <c r="B71">
        <v>33989672</v>
      </c>
      <c r="C71">
        <v>33992110</v>
      </c>
      <c r="D71">
        <v>29983441</v>
      </c>
      <c r="E71">
        <v>29983435</v>
      </c>
      <c r="F71">
        <v>1</v>
      </c>
      <c r="G71">
        <v>29983435</v>
      </c>
      <c r="H71">
        <v>1</v>
      </c>
      <c r="I71" t="s">
        <v>646</v>
      </c>
      <c r="J71" t="s">
        <v>3</v>
      </c>
      <c r="K71" t="s">
        <v>647</v>
      </c>
      <c r="L71">
        <v>1191</v>
      </c>
      <c r="N71">
        <v>1013</v>
      </c>
      <c r="O71" t="s">
        <v>648</v>
      </c>
      <c r="P71" t="s">
        <v>648</v>
      </c>
      <c r="Q71">
        <v>1</v>
      </c>
      <c r="W71">
        <v>0</v>
      </c>
      <c r="X71">
        <v>476480486</v>
      </c>
      <c r="Y71">
        <v>8.9600000000000009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8.9600000000000009</v>
      </c>
      <c r="AU71" t="s">
        <v>3</v>
      </c>
      <c r="AV71">
        <v>1</v>
      </c>
      <c r="AW71">
        <v>2</v>
      </c>
      <c r="AX71">
        <v>33992115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Y71*Source!I86</f>
        <v>203.66080000000002</v>
      </c>
      <c r="CY71">
        <f>AD71</f>
        <v>0</v>
      </c>
      <c r="CZ71">
        <f>AH71</f>
        <v>0</v>
      </c>
      <c r="DA71">
        <f>AL71</f>
        <v>1</v>
      </c>
      <c r="DB71">
        <f t="shared" si="11"/>
        <v>0</v>
      </c>
      <c r="DC71">
        <f t="shared" si="12"/>
        <v>0</v>
      </c>
    </row>
    <row r="72" spans="1:107" x14ac:dyDescent="0.2">
      <c r="A72">
        <f>ROW(Source!A86)</f>
        <v>86</v>
      </c>
      <c r="B72">
        <v>33989672</v>
      </c>
      <c r="C72">
        <v>33992110</v>
      </c>
      <c r="D72">
        <v>30063503</v>
      </c>
      <c r="E72">
        <v>1</v>
      </c>
      <c r="F72">
        <v>1</v>
      </c>
      <c r="G72">
        <v>29983435</v>
      </c>
      <c r="H72">
        <v>2</v>
      </c>
      <c r="I72" t="s">
        <v>689</v>
      </c>
      <c r="J72" t="s">
        <v>719</v>
      </c>
      <c r="K72" t="s">
        <v>691</v>
      </c>
      <c r="L72">
        <v>1367</v>
      </c>
      <c r="N72">
        <v>1011</v>
      </c>
      <c r="O72" t="s">
        <v>652</v>
      </c>
      <c r="P72" t="s">
        <v>652</v>
      </c>
      <c r="Q72">
        <v>1</v>
      </c>
      <c r="W72">
        <v>0</v>
      </c>
      <c r="X72">
        <v>-251987950</v>
      </c>
      <c r="Y72">
        <v>0.71</v>
      </c>
      <c r="AA72">
        <v>0</v>
      </c>
      <c r="AB72">
        <v>729.99</v>
      </c>
      <c r="AC72">
        <v>586.85</v>
      </c>
      <c r="AD72">
        <v>0</v>
      </c>
      <c r="AE72">
        <v>0</v>
      </c>
      <c r="AF72">
        <v>84.82</v>
      </c>
      <c r="AG72">
        <v>22.85</v>
      </c>
      <c r="AH72">
        <v>0</v>
      </c>
      <c r="AI72">
        <v>1</v>
      </c>
      <c r="AJ72">
        <v>8.2200000000000006</v>
      </c>
      <c r="AK72">
        <v>24.53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0.71</v>
      </c>
      <c r="AU72" t="s">
        <v>3</v>
      </c>
      <c r="AV72">
        <v>0</v>
      </c>
      <c r="AW72">
        <v>2</v>
      </c>
      <c r="AX72">
        <v>33992116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Y72*Source!I86</f>
        <v>16.138300000000001</v>
      </c>
      <c r="CY72">
        <f>AB72</f>
        <v>729.99</v>
      </c>
      <c r="CZ72">
        <f>AF72</f>
        <v>84.82</v>
      </c>
      <c r="DA72">
        <f>AJ72</f>
        <v>8.2200000000000006</v>
      </c>
      <c r="DB72">
        <f t="shared" si="11"/>
        <v>60.22</v>
      </c>
      <c r="DC72">
        <f t="shared" si="12"/>
        <v>16.22</v>
      </c>
    </row>
    <row r="73" spans="1:107" x14ac:dyDescent="0.2">
      <c r="A73">
        <f>ROW(Source!A86)</f>
        <v>86</v>
      </c>
      <c r="B73">
        <v>33989672</v>
      </c>
      <c r="C73">
        <v>33992110</v>
      </c>
      <c r="D73">
        <v>30042602</v>
      </c>
      <c r="E73">
        <v>1</v>
      </c>
      <c r="F73">
        <v>1</v>
      </c>
      <c r="G73">
        <v>29983435</v>
      </c>
      <c r="H73">
        <v>3</v>
      </c>
      <c r="I73" t="s">
        <v>720</v>
      </c>
      <c r="J73" t="s">
        <v>721</v>
      </c>
      <c r="K73" t="s">
        <v>722</v>
      </c>
      <c r="L73">
        <v>1348</v>
      </c>
      <c r="N73">
        <v>1009</v>
      </c>
      <c r="O73" t="s">
        <v>51</v>
      </c>
      <c r="P73" t="s">
        <v>51</v>
      </c>
      <c r="Q73">
        <v>1000</v>
      </c>
      <c r="W73">
        <v>0</v>
      </c>
      <c r="X73">
        <v>435343267</v>
      </c>
      <c r="Y73">
        <v>0.06</v>
      </c>
      <c r="AA73">
        <v>21711.040000000001</v>
      </c>
      <c r="AB73">
        <v>0</v>
      </c>
      <c r="AC73">
        <v>0</v>
      </c>
      <c r="AD73">
        <v>0</v>
      </c>
      <c r="AE73">
        <v>3501.78</v>
      </c>
      <c r="AF73">
        <v>0</v>
      </c>
      <c r="AG73">
        <v>0</v>
      </c>
      <c r="AH73">
        <v>0</v>
      </c>
      <c r="AI73">
        <v>6.2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0.06</v>
      </c>
      <c r="AU73" t="s">
        <v>3</v>
      </c>
      <c r="AV73">
        <v>0</v>
      </c>
      <c r="AW73">
        <v>2</v>
      </c>
      <c r="AX73">
        <v>33992117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Y73*Source!I86</f>
        <v>1.3637999999999999</v>
      </c>
      <c r="CY73">
        <f>AA73</f>
        <v>21711.040000000001</v>
      </c>
      <c r="CZ73">
        <f>AE73</f>
        <v>3501.78</v>
      </c>
      <c r="DA73">
        <f>AI73</f>
        <v>6.2</v>
      </c>
      <c r="DB73">
        <f t="shared" si="11"/>
        <v>210.11</v>
      </c>
      <c r="DC73">
        <f t="shared" si="12"/>
        <v>0</v>
      </c>
    </row>
    <row r="74" spans="1:107" x14ac:dyDescent="0.2">
      <c r="A74">
        <f>ROW(Source!A86)</f>
        <v>86</v>
      </c>
      <c r="B74">
        <v>33989672</v>
      </c>
      <c r="C74">
        <v>33992110</v>
      </c>
      <c r="D74">
        <v>30057765</v>
      </c>
      <c r="E74">
        <v>1</v>
      </c>
      <c r="F74">
        <v>1</v>
      </c>
      <c r="G74">
        <v>29983435</v>
      </c>
      <c r="H74">
        <v>3</v>
      </c>
      <c r="I74" t="s">
        <v>167</v>
      </c>
      <c r="J74" t="s">
        <v>169</v>
      </c>
      <c r="K74" t="s">
        <v>168</v>
      </c>
      <c r="L74">
        <v>1348</v>
      </c>
      <c r="N74">
        <v>1009</v>
      </c>
      <c r="O74" t="s">
        <v>51</v>
      </c>
      <c r="P74" t="s">
        <v>51</v>
      </c>
      <c r="Q74">
        <v>1000</v>
      </c>
      <c r="W74">
        <v>0</v>
      </c>
      <c r="X74">
        <v>-956564323</v>
      </c>
      <c r="Y74">
        <v>15.3</v>
      </c>
      <c r="AA74">
        <v>2619.9899999999998</v>
      </c>
      <c r="AB74">
        <v>0</v>
      </c>
      <c r="AC74">
        <v>0</v>
      </c>
      <c r="AD74">
        <v>0</v>
      </c>
      <c r="AE74">
        <v>317.95999999999998</v>
      </c>
      <c r="AF74">
        <v>0</v>
      </c>
      <c r="AG74">
        <v>0</v>
      </c>
      <c r="AH74">
        <v>0</v>
      </c>
      <c r="AI74">
        <v>8.24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 t="s">
        <v>3</v>
      </c>
      <c r="AT74">
        <v>15.3</v>
      </c>
      <c r="AU74" t="s">
        <v>3</v>
      </c>
      <c r="AV74">
        <v>0</v>
      </c>
      <c r="AW74">
        <v>1</v>
      </c>
      <c r="AX74">
        <v>-1</v>
      </c>
      <c r="AY74">
        <v>0</v>
      </c>
      <c r="AZ74">
        <v>0</v>
      </c>
      <c r="BA74" t="s">
        <v>3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Y74*Source!I86</f>
        <v>347.76900000000001</v>
      </c>
      <c r="CY74">
        <f>AA74</f>
        <v>2619.9899999999998</v>
      </c>
      <c r="CZ74">
        <f>AE74</f>
        <v>317.95999999999998</v>
      </c>
      <c r="DA74">
        <f>AI74</f>
        <v>8.24</v>
      </c>
      <c r="DB74">
        <f t="shared" si="11"/>
        <v>4864.79</v>
      </c>
      <c r="DC74">
        <f t="shared" si="12"/>
        <v>0</v>
      </c>
    </row>
    <row r="75" spans="1:107" x14ac:dyDescent="0.2">
      <c r="A75">
        <f>ROW(Source!A158)</f>
        <v>158</v>
      </c>
      <c r="B75">
        <v>33989672</v>
      </c>
      <c r="C75">
        <v>33992120</v>
      </c>
      <c r="D75">
        <v>29983441</v>
      </c>
      <c r="E75">
        <v>29983435</v>
      </c>
      <c r="F75">
        <v>1</v>
      </c>
      <c r="G75">
        <v>29983435</v>
      </c>
      <c r="H75">
        <v>1</v>
      </c>
      <c r="I75" t="s">
        <v>646</v>
      </c>
      <c r="J75" t="s">
        <v>3</v>
      </c>
      <c r="K75" t="s">
        <v>647</v>
      </c>
      <c r="L75">
        <v>1191</v>
      </c>
      <c r="N75">
        <v>1013</v>
      </c>
      <c r="O75" t="s">
        <v>648</v>
      </c>
      <c r="P75" t="s">
        <v>648</v>
      </c>
      <c r="Q75">
        <v>1</v>
      </c>
      <c r="W75">
        <v>0</v>
      </c>
      <c r="X75">
        <v>476480486</v>
      </c>
      <c r="Y75">
        <v>76.7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76.7</v>
      </c>
      <c r="AU75" t="s">
        <v>3</v>
      </c>
      <c r="AV75">
        <v>1</v>
      </c>
      <c r="AW75">
        <v>2</v>
      </c>
      <c r="AX75">
        <v>33992122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Y75*Source!I158</f>
        <v>2682.1990000000001</v>
      </c>
      <c r="CY75">
        <f>AD75</f>
        <v>0</v>
      </c>
      <c r="CZ75">
        <f>AH75</f>
        <v>0</v>
      </c>
      <c r="DA75">
        <f>AL75</f>
        <v>1</v>
      </c>
      <c r="DB75">
        <f t="shared" si="11"/>
        <v>0</v>
      </c>
      <c r="DC75">
        <f t="shared" si="12"/>
        <v>0</v>
      </c>
    </row>
    <row r="76" spans="1:107" x14ac:dyDescent="0.2">
      <c r="A76">
        <f>ROW(Source!A159)</f>
        <v>159</v>
      </c>
      <c r="B76">
        <v>33989672</v>
      </c>
      <c r="C76">
        <v>33992123</v>
      </c>
      <c r="D76">
        <v>29983441</v>
      </c>
      <c r="E76">
        <v>29983435</v>
      </c>
      <c r="F76">
        <v>1</v>
      </c>
      <c r="G76">
        <v>29983435</v>
      </c>
      <c r="H76">
        <v>1</v>
      </c>
      <c r="I76" t="s">
        <v>646</v>
      </c>
      <c r="J76" t="s">
        <v>3</v>
      </c>
      <c r="K76" t="s">
        <v>647</v>
      </c>
      <c r="L76">
        <v>1191</v>
      </c>
      <c r="N76">
        <v>1013</v>
      </c>
      <c r="O76" t="s">
        <v>648</v>
      </c>
      <c r="P76" t="s">
        <v>648</v>
      </c>
      <c r="Q76">
        <v>1</v>
      </c>
      <c r="W76">
        <v>0</v>
      </c>
      <c r="X76">
        <v>476480486</v>
      </c>
      <c r="Y76">
        <v>1.02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1.02</v>
      </c>
      <c r="AU76" t="s">
        <v>3</v>
      </c>
      <c r="AV76">
        <v>1</v>
      </c>
      <c r="AW76">
        <v>2</v>
      </c>
      <c r="AX76">
        <v>33995744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Y76*Source!I159</f>
        <v>86.462625599999996</v>
      </c>
      <c r="CY76">
        <f>AD76</f>
        <v>0</v>
      </c>
      <c r="CZ76">
        <f>AH76</f>
        <v>0</v>
      </c>
      <c r="DA76">
        <f>AL76</f>
        <v>1</v>
      </c>
      <c r="DB76">
        <f t="shared" si="11"/>
        <v>0</v>
      </c>
      <c r="DC76">
        <f t="shared" si="12"/>
        <v>0</v>
      </c>
    </row>
    <row r="77" spans="1:107" x14ac:dyDescent="0.2">
      <c r="A77">
        <f>ROW(Source!A160)</f>
        <v>160</v>
      </c>
      <c r="B77">
        <v>33989672</v>
      </c>
      <c r="C77">
        <v>33992126</v>
      </c>
      <c r="D77">
        <v>29983439</v>
      </c>
      <c r="E77">
        <v>29983435</v>
      </c>
      <c r="F77">
        <v>1</v>
      </c>
      <c r="G77">
        <v>29983435</v>
      </c>
      <c r="H77">
        <v>2</v>
      </c>
      <c r="I77" t="s">
        <v>674</v>
      </c>
      <c r="J77" t="s">
        <v>3</v>
      </c>
      <c r="K77" t="s">
        <v>675</v>
      </c>
      <c r="L77">
        <v>1344</v>
      </c>
      <c r="N77">
        <v>1008</v>
      </c>
      <c r="O77" t="s">
        <v>676</v>
      </c>
      <c r="P77" t="s">
        <v>676</v>
      </c>
      <c r="Q77">
        <v>1</v>
      </c>
      <c r="W77">
        <v>0</v>
      </c>
      <c r="X77">
        <v>-1180195794</v>
      </c>
      <c r="Y77">
        <v>8.86</v>
      </c>
      <c r="AA77">
        <v>0</v>
      </c>
      <c r="AB77">
        <v>1.05</v>
      </c>
      <c r="AC77">
        <v>0</v>
      </c>
      <c r="AD77">
        <v>0</v>
      </c>
      <c r="AE77">
        <v>0</v>
      </c>
      <c r="AF77">
        <v>1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8.86</v>
      </c>
      <c r="AU77" t="s">
        <v>3</v>
      </c>
      <c r="AV77">
        <v>0</v>
      </c>
      <c r="AW77">
        <v>2</v>
      </c>
      <c r="AX77">
        <v>33992128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Y77*Source!I160</f>
        <v>0</v>
      </c>
      <c r="CY77">
        <f>AB77</f>
        <v>1.05</v>
      </c>
      <c r="CZ77">
        <f>AF77</f>
        <v>1</v>
      </c>
      <c r="DA77">
        <f>AJ77</f>
        <v>1</v>
      </c>
      <c r="DB77">
        <f t="shared" si="11"/>
        <v>8.86</v>
      </c>
      <c r="DC77">
        <f t="shared" si="12"/>
        <v>0</v>
      </c>
    </row>
    <row r="78" spans="1:107" x14ac:dyDescent="0.2">
      <c r="A78">
        <f>ROW(Source!A161)</f>
        <v>161</v>
      </c>
      <c r="B78">
        <v>33989672</v>
      </c>
      <c r="C78">
        <v>33992129</v>
      </c>
      <c r="D78">
        <v>30064127</v>
      </c>
      <c r="E78">
        <v>1</v>
      </c>
      <c r="F78">
        <v>1</v>
      </c>
      <c r="G78">
        <v>29983435</v>
      </c>
      <c r="H78">
        <v>2</v>
      </c>
      <c r="I78" t="s">
        <v>677</v>
      </c>
      <c r="J78" t="s">
        <v>678</v>
      </c>
      <c r="K78" t="s">
        <v>679</v>
      </c>
      <c r="L78">
        <v>1367</v>
      </c>
      <c r="N78">
        <v>1011</v>
      </c>
      <c r="O78" t="s">
        <v>652</v>
      </c>
      <c r="P78" t="s">
        <v>652</v>
      </c>
      <c r="Q78">
        <v>1</v>
      </c>
      <c r="W78">
        <v>0</v>
      </c>
      <c r="X78">
        <v>-1191656485</v>
      </c>
      <c r="Y78">
        <v>1</v>
      </c>
      <c r="AA78">
        <v>0</v>
      </c>
      <c r="AB78">
        <v>1577.49</v>
      </c>
      <c r="AC78">
        <v>444.24</v>
      </c>
      <c r="AD78">
        <v>0</v>
      </c>
      <c r="AE78">
        <v>0</v>
      </c>
      <c r="AF78">
        <v>193.32</v>
      </c>
      <c r="AG78">
        <v>18.11</v>
      </c>
      <c r="AH78">
        <v>0</v>
      </c>
      <c r="AI78">
        <v>1</v>
      </c>
      <c r="AJ78">
        <v>8.16</v>
      </c>
      <c r="AK78">
        <v>24.53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1</v>
      </c>
      <c r="AU78" t="s">
        <v>3</v>
      </c>
      <c r="AV78">
        <v>0</v>
      </c>
      <c r="AW78">
        <v>2</v>
      </c>
      <c r="AX78">
        <v>33995745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Y78*Source!I161</f>
        <v>0</v>
      </c>
      <c r="CY78">
        <f>AB78</f>
        <v>1577.49</v>
      </c>
      <c r="CZ78">
        <f>AF78</f>
        <v>193.32</v>
      </c>
      <c r="DA78">
        <f>AJ78</f>
        <v>8.16</v>
      </c>
      <c r="DB78">
        <f t="shared" si="11"/>
        <v>193.32</v>
      </c>
      <c r="DC78">
        <f t="shared" si="12"/>
        <v>18.11</v>
      </c>
    </row>
    <row r="79" spans="1:107" x14ac:dyDescent="0.2">
      <c r="A79">
        <f>ROW(Source!A162)</f>
        <v>162</v>
      </c>
      <c r="B79">
        <v>33989672</v>
      </c>
      <c r="C79">
        <v>33992132</v>
      </c>
      <c r="D79">
        <v>29983439</v>
      </c>
      <c r="E79">
        <v>29983435</v>
      </c>
      <c r="F79">
        <v>1</v>
      </c>
      <c r="G79">
        <v>29983435</v>
      </c>
      <c r="H79">
        <v>2</v>
      </c>
      <c r="I79" t="s">
        <v>674</v>
      </c>
      <c r="J79" t="s">
        <v>3</v>
      </c>
      <c r="K79" t="s">
        <v>675</v>
      </c>
      <c r="L79">
        <v>1344</v>
      </c>
      <c r="N79">
        <v>1008</v>
      </c>
      <c r="O79" t="s">
        <v>676</v>
      </c>
      <c r="P79" t="s">
        <v>676</v>
      </c>
      <c r="Q79">
        <v>1</v>
      </c>
      <c r="W79">
        <v>0</v>
      </c>
      <c r="X79">
        <v>-1180195794</v>
      </c>
      <c r="Y79">
        <v>36.590000000000003</v>
      </c>
      <c r="AA79">
        <v>0</v>
      </c>
      <c r="AB79">
        <v>1</v>
      </c>
      <c r="AC79">
        <v>0</v>
      </c>
      <c r="AD79">
        <v>0</v>
      </c>
      <c r="AE79">
        <v>0</v>
      </c>
      <c r="AF79">
        <v>1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36.590000000000003</v>
      </c>
      <c r="AU79" t="s">
        <v>3</v>
      </c>
      <c r="AV79">
        <v>0</v>
      </c>
      <c r="AW79">
        <v>2</v>
      </c>
      <c r="AX79">
        <v>33995746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Y79*Source!I162</f>
        <v>0</v>
      </c>
      <c r="CY79">
        <f>AB79</f>
        <v>1</v>
      </c>
      <c r="CZ79">
        <f>AF79</f>
        <v>1</v>
      </c>
      <c r="DA79">
        <f>AJ79</f>
        <v>1</v>
      </c>
      <c r="DB79">
        <f t="shared" si="11"/>
        <v>36.590000000000003</v>
      </c>
      <c r="DC79">
        <f t="shared" si="12"/>
        <v>0</v>
      </c>
    </row>
    <row r="80" spans="1:107" x14ac:dyDescent="0.2">
      <c r="A80">
        <f>ROW(Source!A163)</f>
        <v>163</v>
      </c>
      <c r="B80">
        <v>33989672</v>
      </c>
      <c r="C80">
        <v>33992135</v>
      </c>
      <c r="D80">
        <v>29983441</v>
      </c>
      <c r="E80">
        <v>29983435</v>
      </c>
      <c r="F80">
        <v>1</v>
      </c>
      <c r="G80">
        <v>29983435</v>
      </c>
      <c r="H80">
        <v>1</v>
      </c>
      <c r="I80" t="s">
        <v>646</v>
      </c>
      <c r="J80" t="s">
        <v>3</v>
      </c>
      <c r="K80" t="s">
        <v>647</v>
      </c>
      <c r="L80">
        <v>1191</v>
      </c>
      <c r="N80">
        <v>1013</v>
      </c>
      <c r="O80" t="s">
        <v>648</v>
      </c>
      <c r="P80" t="s">
        <v>648</v>
      </c>
      <c r="Q80">
        <v>1</v>
      </c>
      <c r="W80">
        <v>0</v>
      </c>
      <c r="X80">
        <v>476480486</v>
      </c>
      <c r="Y80">
        <v>14.4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14.4</v>
      </c>
      <c r="AU80" t="s">
        <v>3</v>
      </c>
      <c r="AV80">
        <v>1</v>
      </c>
      <c r="AW80">
        <v>2</v>
      </c>
      <c r="AX80">
        <v>33992144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Y80*Source!I163</f>
        <v>0</v>
      </c>
      <c r="CY80">
        <f>AD80</f>
        <v>0</v>
      </c>
      <c r="CZ80">
        <f>AH80</f>
        <v>0</v>
      </c>
      <c r="DA80">
        <f>AL80</f>
        <v>1</v>
      </c>
      <c r="DB80">
        <f t="shared" si="11"/>
        <v>0</v>
      </c>
      <c r="DC80">
        <f t="shared" si="12"/>
        <v>0</v>
      </c>
    </row>
    <row r="81" spans="1:107" x14ac:dyDescent="0.2">
      <c r="A81">
        <f>ROW(Source!A163)</f>
        <v>163</v>
      </c>
      <c r="B81">
        <v>33989672</v>
      </c>
      <c r="C81">
        <v>33992135</v>
      </c>
      <c r="D81">
        <v>30063290</v>
      </c>
      <c r="E81">
        <v>1</v>
      </c>
      <c r="F81">
        <v>1</v>
      </c>
      <c r="G81">
        <v>29983435</v>
      </c>
      <c r="H81">
        <v>2</v>
      </c>
      <c r="I81" t="s">
        <v>683</v>
      </c>
      <c r="J81" t="s">
        <v>684</v>
      </c>
      <c r="K81" t="s">
        <v>685</v>
      </c>
      <c r="L81">
        <v>1367</v>
      </c>
      <c r="N81">
        <v>1011</v>
      </c>
      <c r="O81" t="s">
        <v>652</v>
      </c>
      <c r="P81" t="s">
        <v>652</v>
      </c>
      <c r="Q81">
        <v>1</v>
      </c>
      <c r="W81">
        <v>0</v>
      </c>
      <c r="X81">
        <v>1928543733</v>
      </c>
      <c r="Y81">
        <v>1.66</v>
      </c>
      <c r="AA81">
        <v>0</v>
      </c>
      <c r="AB81">
        <v>1261.78</v>
      </c>
      <c r="AC81">
        <v>601.24</v>
      </c>
      <c r="AD81">
        <v>0</v>
      </c>
      <c r="AE81">
        <v>0</v>
      </c>
      <c r="AF81">
        <v>116.89</v>
      </c>
      <c r="AG81">
        <v>23.41</v>
      </c>
      <c r="AH81">
        <v>0</v>
      </c>
      <c r="AI81">
        <v>1</v>
      </c>
      <c r="AJ81">
        <v>10.31</v>
      </c>
      <c r="AK81">
        <v>24.53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1.66</v>
      </c>
      <c r="AU81" t="s">
        <v>3</v>
      </c>
      <c r="AV81">
        <v>0</v>
      </c>
      <c r="AW81">
        <v>2</v>
      </c>
      <c r="AX81">
        <v>33992145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Y81*Source!I163</f>
        <v>0</v>
      </c>
      <c r="CY81">
        <f>AB81</f>
        <v>1261.78</v>
      </c>
      <c r="CZ81">
        <f>AF81</f>
        <v>116.89</v>
      </c>
      <c r="DA81">
        <f>AJ81</f>
        <v>10.31</v>
      </c>
      <c r="DB81">
        <f t="shared" si="11"/>
        <v>194.04</v>
      </c>
      <c r="DC81">
        <f t="shared" si="12"/>
        <v>38.86</v>
      </c>
    </row>
    <row r="82" spans="1:107" x14ac:dyDescent="0.2">
      <c r="A82">
        <f>ROW(Source!A163)</f>
        <v>163</v>
      </c>
      <c r="B82">
        <v>33989672</v>
      </c>
      <c r="C82">
        <v>33992135</v>
      </c>
      <c r="D82">
        <v>30063515</v>
      </c>
      <c r="E82">
        <v>1</v>
      </c>
      <c r="F82">
        <v>1</v>
      </c>
      <c r="G82">
        <v>29983435</v>
      </c>
      <c r="H82">
        <v>2</v>
      </c>
      <c r="I82" t="s">
        <v>723</v>
      </c>
      <c r="J82" t="s">
        <v>724</v>
      </c>
      <c r="K82" t="s">
        <v>725</v>
      </c>
      <c r="L82">
        <v>1367</v>
      </c>
      <c r="N82">
        <v>1011</v>
      </c>
      <c r="O82" t="s">
        <v>652</v>
      </c>
      <c r="P82" t="s">
        <v>652</v>
      </c>
      <c r="Q82">
        <v>1</v>
      </c>
      <c r="W82">
        <v>0</v>
      </c>
      <c r="X82">
        <v>142191915</v>
      </c>
      <c r="Y82">
        <v>1.66</v>
      </c>
      <c r="AA82">
        <v>0</v>
      </c>
      <c r="AB82">
        <v>445.02</v>
      </c>
      <c r="AC82">
        <v>170.53</v>
      </c>
      <c r="AD82">
        <v>0</v>
      </c>
      <c r="AE82">
        <v>0</v>
      </c>
      <c r="AF82">
        <v>62.97</v>
      </c>
      <c r="AG82">
        <v>6.64</v>
      </c>
      <c r="AH82">
        <v>0</v>
      </c>
      <c r="AI82">
        <v>1</v>
      </c>
      <c r="AJ82">
        <v>6.75</v>
      </c>
      <c r="AK82">
        <v>24.53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1.66</v>
      </c>
      <c r="AU82" t="s">
        <v>3</v>
      </c>
      <c r="AV82">
        <v>0</v>
      </c>
      <c r="AW82">
        <v>2</v>
      </c>
      <c r="AX82">
        <v>33992146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Y82*Source!I163</f>
        <v>0</v>
      </c>
      <c r="CY82">
        <f>AB82</f>
        <v>445.02</v>
      </c>
      <c r="CZ82">
        <f>AF82</f>
        <v>62.97</v>
      </c>
      <c r="DA82">
        <f>AJ82</f>
        <v>6.75</v>
      </c>
      <c r="DB82">
        <f t="shared" si="11"/>
        <v>104.53</v>
      </c>
      <c r="DC82">
        <f t="shared" si="12"/>
        <v>11.02</v>
      </c>
    </row>
    <row r="83" spans="1:107" x14ac:dyDescent="0.2">
      <c r="A83">
        <f>ROW(Source!A163)</f>
        <v>163</v>
      </c>
      <c r="B83">
        <v>33989672</v>
      </c>
      <c r="C83">
        <v>33992135</v>
      </c>
      <c r="D83">
        <v>30063518</v>
      </c>
      <c r="E83">
        <v>1</v>
      </c>
      <c r="F83">
        <v>1</v>
      </c>
      <c r="G83">
        <v>29983435</v>
      </c>
      <c r="H83">
        <v>2</v>
      </c>
      <c r="I83" t="s">
        <v>686</v>
      </c>
      <c r="J83" t="s">
        <v>726</v>
      </c>
      <c r="K83" t="s">
        <v>727</v>
      </c>
      <c r="L83">
        <v>1367</v>
      </c>
      <c r="N83">
        <v>1011</v>
      </c>
      <c r="O83" t="s">
        <v>652</v>
      </c>
      <c r="P83" t="s">
        <v>652</v>
      </c>
      <c r="Q83">
        <v>1</v>
      </c>
      <c r="W83">
        <v>0</v>
      </c>
      <c r="X83">
        <v>378346098</v>
      </c>
      <c r="Y83">
        <v>0.65</v>
      </c>
      <c r="AA83">
        <v>0</v>
      </c>
      <c r="AB83">
        <v>1162.78</v>
      </c>
      <c r="AC83">
        <v>734.79</v>
      </c>
      <c r="AD83">
        <v>0</v>
      </c>
      <c r="AE83">
        <v>0</v>
      </c>
      <c r="AF83">
        <v>140.58000000000001</v>
      </c>
      <c r="AG83">
        <v>28.61</v>
      </c>
      <c r="AH83">
        <v>0</v>
      </c>
      <c r="AI83">
        <v>1</v>
      </c>
      <c r="AJ83">
        <v>7.9</v>
      </c>
      <c r="AK83">
        <v>24.53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0.65</v>
      </c>
      <c r="AU83" t="s">
        <v>3</v>
      </c>
      <c r="AV83">
        <v>0</v>
      </c>
      <c r="AW83">
        <v>2</v>
      </c>
      <c r="AX83">
        <v>33992147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Y83*Source!I163</f>
        <v>0</v>
      </c>
      <c r="CY83">
        <f>AB83</f>
        <v>1162.78</v>
      </c>
      <c r="CZ83">
        <f>AF83</f>
        <v>140.58000000000001</v>
      </c>
      <c r="DA83">
        <f>AJ83</f>
        <v>7.9</v>
      </c>
      <c r="DB83">
        <f t="shared" si="11"/>
        <v>91.38</v>
      </c>
      <c r="DC83">
        <f t="shared" si="12"/>
        <v>18.600000000000001</v>
      </c>
    </row>
    <row r="84" spans="1:107" x14ac:dyDescent="0.2">
      <c r="A84">
        <f>ROW(Source!A163)</f>
        <v>163</v>
      </c>
      <c r="B84">
        <v>33989672</v>
      </c>
      <c r="C84">
        <v>33992135</v>
      </c>
      <c r="D84">
        <v>30063546</v>
      </c>
      <c r="E84">
        <v>1</v>
      </c>
      <c r="F84">
        <v>1</v>
      </c>
      <c r="G84">
        <v>29983435</v>
      </c>
      <c r="H84">
        <v>2</v>
      </c>
      <c r="I84" t="s">
        <v>671</v>
      </c>
      <c r="J84" t="s">
        <v>672</v>
      </c>
      <c r="K84" t="s">
        <v>673</v>
      </c>
      <c r="L84">
        <v>1367</v>
      </c>
      <c r="N84">
        <v>1011</v>
      </c>
      <c r="O84" t="s">
        <v>652</v>
      </c>
      <c r="P84" t="s">
        <v>652</v>
      </c>
      <c r="Q84">
        <v>1</v>
      </c>
      <c r="W84">
        <v>0</v>
      </c>
      <c r="X84">
        <v>856318566</v>
      </c>
      <c r="Y84">
        <v>1.55</v>
      </c>
      <c r="AA84">
        <v>0</v>
      </c>
      <c r="AB84">
        <v>1539.38</v>
      </c>
      <c r="AC84">
        <v>635.4</v>
      </c>
      <c r="AD84">
        <v>0</v>
      </c>
      <c r="AE84">
        <v>0</v>
      </c>
      <c r="AF84">
        <v>125.13</v>
      </c>
      <c r="AG84">
        <v>24.74</v>
      </c>
      <c r="AH84">
        <v>0</v>
      </c>
      <c r="AI84">
        <v>1</v>
      </c>
      <c r="AJ84">
        <v>11.75</v>
      </c>
      <c r="AK84">
        <v>24.53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1.55</v>
      </c>
      <c r="AU84" t="s">
        <v>3</v>
      </c>
      <c r="AV84">
        <v>0</v>
      </c>
      <c r="AW84">
        <v>2</v>
      </c>
      <c r="AX84">
        <v>33992148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Y84*Source!I163</f>
        <v>0</v>
      </c>
      <c r="CY84">
        <f>AB84</f>
        <v>1539.38</v>
      </c>
      <c r="CZ84">
        <f>AF84</f>
        <v>125.13</v>
      </c>
      <c r="DA84">
        <f>AJ84</f>
        <v>11.75</v>
      </c>
      <c r="DB84">
        <f t="shared" si="11"/>
        <v>193.95</v>
      </c>
      <c r="DC84">
        <f t="shared" si="12"/>
        <v>38.35</v>
      </c>
    </row>
    <row r="85" spans="1:107" x14ac:dyDescent="0.2">
      <c r="A85">
        <f>ROW(Source!A163)</f>
        <v>163</v>
      </c>
      <c r="B85">
        <v>33989672</v>
      </c>
      <c r="C85">
        <v>33992135</v>
      </c>
      <c r="D85">
        <v>30063508</v>
      </c>
      <c r="E85">
        <v>1</v>
      </c>
      <c r="F85">
        <v>1</v>
      </c>
      <c r="G85">
        <v>29983435</v>
      </c>
      <c r="H85">
        <v>2</v>
      </c>
      <c r="I85" t="s">
        <v>713</v>
      </c>
      <c r="J85" t="s">
        <v>728</v>
      </c>
      <c r="K85" t="s">
        <v>715</v>
      </c>
      <c r="L85">
        <v>1367</v>
      </c>
      <c r="N85">
        <v>1011</v>
      </c>
      <c r="O85" t="s">
        <v>652</v>
      </c>
      <c r="P85" t="s">
        <v>652</v>
      </c>
      <c r="Q85">
        <v>1</v>
      </c>
      <c r="W85">
        <v>0</v>
      </c>
      <c r="X85">
        <v>2023875219</v>
      </c>
      <c r="Y85">
        <v>0.52</v>
      </c>
      <c r="AA85">
        <v>0</v>
      </c>
      <c r="AB85">
        <v>1593.61</v>
      </c>
      <c r="AC85">
        <v>603.54999999999995</v>
      </c>
      <c r="AD85">
        <v>0</v>
      </c>
      <c r="AE85">
        <v>0</v>
      </c>
      <c r="AF85">
        <v>178.02</v>
      </c>
      <c r="AG85">
        <v>23.5</v>
      </c>
      <c r="AH85">
        <v>0</v>
      </c>
      <c r="AI85">
        <v>1</v>
      </c>
      <c r="AJ85">
        <v>8.5500000000000007</v>
      </c>
      <c r="AK85">
        <v>24.53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0.52</v>
      </c>
      <c r="AU85" t="s">
        <v>3</v>
      </c>
      <c r="AV85">
        <v>0</v>
      </c>
      <c r="AW85">
        <v>2</v>
      </c>
      <c r="AX85">
        <v>33992149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Y85*Source!I163</f>
        <v>0</v>
      </c>
      <c r="CY85">
        <f>AB85</f>
        <v>1593.61</v>
      </c>
      <c r="CZ85">
        <f>AF85</f>
        <v>178.02</v>
      </c>
      <c r="DA85">
        <f>AJ85</f>
        <v>8.5500000000000007</v>
      </c>
      <c r="DB85">
        <f t="shared" si="11"/>
        <v>92.57</v>
      </c>
      <c r="DC85">
        <f t="shared" si="12"/>
        <v>12.22</v>
      </c>
    </row>
    <row r="86" spans="1:107" x14ac:dyDescent="0.2">
      <c r="A86">
        <f>ROW(Source!A163)</f>
        <v>163</v>
      </c>
      <c r="B86">
        <v>33989672</v>
      </c>
      <c r="C86">
        <v>33992135</v>
      </c>
      <c r="D86">
        <v>30042537</v>
      </c>
      <c r="E86">
        <v>1</v>
      </c>
      <c r="F86">
        <v>1</v>
      </c>
      <c r="G86">
        <v>29983435</v>
      </c>
      <c r="H86">
        <v>3</v>
      </c>
      <c r="I86" t="s">
        <v>467</v>
      </c>
      <c r="J86" t="s">
        <v>469</v>
      </c>
      <c r="K86" t="s">
        <v>468</v>
      </c>
      <c r="L86">
        <v>1339</v>
      </c>
      <c r="N86">
        <v>1007</v>
      </c>
      <c r="O86" t="s">
        <v>66</v>
      </c>
      <c r="P86" t="s">
        <v>66</v>
      </c>
      <c r="Q86">
        <v>1</v>
      </c>
      <c r="W86">
        <v>0</v>
      </c>
      <c r="X86">
        <v>-862991314</v>
      </c>
      <c r="Y86">
        <v>5</v>
      </c>
      <c r="AA86">
        <v>35.35</v>
      </c>
      <c r="AB86">
        <v>0</v>
      </c>
      <c r="AC86">
        <v>0</v>
      </c>
      <c r="AD86">
        <v>0</v>
      </c>
      <c r="AE86">
        <v>7.07</v>
      </c>
      <c r="AF86">
        <v>0</v>
      </c>
      <c r="AG86">
        <v>0</v>
      </c>
      <c r="AH86">
        <v>0</v>
      </c>
      <c r="AI86">
        <v>4.99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5</v>
      </c>
      <c r="AU86" t="s">
        <v>3</v>
      </c>
      <c r="AV86">
        <v>0</v>
      </c>
      <c r="AW86">
        <v>2</v>
      </c>
      <c r="AX86">
        <v>33992150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Y86*Source!I163</f>
        <v>0</v>
      </c>
      <c r="CY86">
        <f>AA86</f>
        <v>35.35</v>
      </c>
      <c r="CZ86">
        <f>AE86</f>
        <v>7.07</v>
      </c>
      <c r="DA86">
        <f>AI86</f>
        <v>4.99</v>
      </c>
      <c r="DB86">
        <f t="shared" si="11"/>
        <v>35.35</v>
      </c>
      <c r="DC86">
        <f t="shared" si="12"/>
        <v>0</v>
      </c>
    </row>
    <row r="87" spans="1:107" x14ac:dyDescent="0.2">
      <c r="A87">
        <f>ROW(Source!A163)</f>
        <v>163</v>
      </c>
      <c r="B87">
        <v>33989672</v>
      </c>
      <c r="C87">
        <v>33992135</v>
      </c>
      <c r="D87">
        <v>30041978</v>
      </c>
      <c r="E87">
        <v>1</v>
      </c>
      <c r="F87">
        <v>1</v>
      </c>
      <c r="G87">
        <v>29983435</v>
      </c>
      <c r="H87">
        <v>3</v>
      </c>
      <c r="I87" t="s">
        <v>190</v>
      </c>
      <c r="J87" t="s">
        <v>192</v>
      </c>
      <c r="K87" t="s">
        <v>191</v>
      </c>
      <c r="L87">
        <v>1339</v>
      </c>
      <c r="N87">
        <v>1007</v>
      </c>
      <c r="O87" t="s">
        <v>66</v>
      </c>
      <c r="P87" t="s">
        <v>66</v>
      </c>
      <c r="Q87">
        <v>1</v>
      </c>
      <c r="W87">
        <v>0</v>
      </c>
      <c r="X87">
        <v>2069056849</v>
      </c>
      <c r="Y87">
        <v>110</v>
      </c>
      <c r="AA87">
        <v>553.35</v>
      </c>
      <c r="AB87">
        <v>0</v>
      </c>
      <c r="AC87">
        <v>0</v>
      </c>
      <c r="AD87">
        <v>0</v>
      </c>
      <c r="AE87">
        <v>104.99</v>
      </c>
      <c r="AF87">
        <v>0</v>
      </c>
      <c r="AG87">
        <v>0</v>
      </c>
      <c r="AH87">
        <v>0</v>
      </c>
      <c r="AI87">
        <v>5.26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3</v>
      </c>
      <c r="AT87">
        <v>110</v>
      </c>
      <c r="AU87" t="s">
        <v>3</v>
      </c>
      <c r="AV87">
        <v>0</v>
      </c>
      <c r="AW87">
        <v>1</v>
      </c>
      <c r="AX87">
        <v>-1</v>
      </c>
      <c r="AY87">
        <v>0</v>
      </c>
      <c r="AZ87">
        <v>0</v>
      </c>
      <c r="BA87" t="s">
        <v>3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Y87*Source!I163</f>
        <v>0</v>
      </c>
      <c r="CY87">
        <f>AA87</f>
        <v>553.35</v>
      </c>
      <c r="CZ87">
        <f>AE87</f>
        <v>104.99</v>
      </c>
      <c r="DA87">
        <f>AI87</f>
        <v>5.26</v>
      </c>
      <c r="DB87">
        <f t="shared" si="11"/>
        <v>11548.9</v>
      </c>
      <c r="DC87">
        <f t="shared" si="12"/>
        <v>0</v>
      </c>
    </row>
    <row r="88" spans="1:107" x14ac:dyDescent="0.2">
      <c r="A88">
        <f>ROW(Source!A165)</f>
        <v>165</v>
      </c>
      <c r="B88">
        <v>33989672</v>
      </c>
      <c r="C88">
        <v>33992153</v>
      </c>
      <c r="D88">
        <v>29983441</v>
      </c>
      <c r="E88">
        <v>29983435</v>
      </c>
      <c r="F88">
        <v>1</v>
      </c>
      <c r="G88">
        <v>29983435</v>
      </c>
      <c r="H88">
        <v>1</v>
      </c>
      <c r="I88" t="s">
        <v>646</v>
      </c>
      <c r="J88" t="s">
        <v>3</v>
      </c>
      <c r="K88" t="s">
        <v>647</v>
      </c>
      <c r="L88">
        <v>1191</v>
      </c>
      <c r="N88">
        <v>1013</v>
      </c>
      <c r="O88" t="s">
        <v>648</v>
      </c>
      <c r="P88" t="s">
        <v>648</v>
      </c>
      <c r="Q88">
        <v>1</v>
      </c>
      <c r="W88">
        <v>0</v>
      </c>
      <c r="X88">
        <v>476480486</v>
      </c>
      <c r="Y88">
        <v>69.8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69.8</v>
      </c>
      <c r="AU88" t="s">
        <v>3</v>
      </c>
      <c r="AV88">
        <v>1</v>
      </c>
      <c r="AW88">
        <v>2</v>
      </c>
      <c r="AX88">
        <v>33992159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Y88*Source!I165</f>
        <v>2440.9059999999999</v>
      </c>
      <c r="CY88">
        <f>AD88</f>
        <v>0</v>
      </c>
      <c r="CZ88">
        <f>AH88</f>
        <v>0</v>
      </c>
      <c r="DA88">
        <f>AL88</f>
        <v>1</v>
      </c>
      <c r="DB88">
        <f t="shared" si="11"/>
        <v>0</v>
      </c>
      <c r="DC88">
        <f t="shared" si="12"/>
        <v>0</v>
      </c>
    </row>
    <row r="89" spans="1:107" x14ac:dyDescent="0.2">
      <c r="A89">
        <f>ROW(Source!A165)</f>
        <v>165</v>
      </c>
      <c r="B89">
        <v>33989672</v>
      </c>
      <c r="C89">
        <v>33992153</v>
      </c>
      <c r="D89">
        <v>30063337</v>
      </c>
      <c r="E89">
        <v>1</v>
      </c>
      <c r="F89">
        <v>1</v>
      </c>
      <c r="G89">
        <v>29983435</v>
      </c>
      <c r="H89">
        <v>2</v>
      </c>
      <c r="I89" t="s">
        <v>729</v>
      </c>
      <c r="J89" t="s">
        <v>730</v>
      </c>
      <c r="K89" t="s">
        <v>731</v>
      </c>
      <c r="L89">
        <v>1367</v>
      </c>
      <c r="N89">
        <v>1011</v>
      </c>
      <c r="O89" t="s">
        <v>652</v>
      </c>
      <c r="P89" t="s">
        <v>652</v>
      </c>
      <c r="Q89">
        <v>1</v>
      </c>
      <c r="W89">
        <v>0</v>
      </c>
      <c r="X89">
        <v>-266174272</v>
      </c>
      <c r="Y89">
        <v>0.61</v>
      </c>
      <c r="AA89">
        <v>0</v>
      </c>
      <c r="AB89">
        <v>1655.2</v>
      </c>
      <c r="AC89">
        <v>466.14</v>
      </c>
      <c r="AD89">
        <v>0</v>
      </c>
      <c r="AE89">
        <v>0</v>
      </c>
      <c r="AF89">
        <v>190.93</v>
      </c>
      <c r="AG89">
        <v>18.149999999999999</v>
      </c>
      <c r="AH89">
        <v>0</v>
      </c>
      <c r="AI89">
        <v>1</v>
      </c>
      <c r="AJ89">
        <v>8.2799999999999994</v>
      </c>
      <c r="AK89">
        <v>24.53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0.61</v>
      </c>
      <c r="AU89" t="s">
        <v>3</v>
      </c>
      <c r="AV89">
        <v>0</v>
      </c>
      <c r="AW89">
        <v>2</v>
      </c>
      <c r="AX89">
        <v>33992160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Y89*Source!I165</f>
        <v>21.331699999999998</v>
      </c>
      <c r="CY89">
        <f>AB89</f>
        <v>1655.2</v>
      </c>
      <c r="CZ89">
        <f>AF89</f>
        <v>190.93</v>
      </c>
      <c r="DA89">
        <f>AJ89</f>
        <v>8.2799999999999994</v>
      </c>
      <c r="DB89">
        <f t="shared" si="11"/>
        <v>116.47</v>
      </c>
      <c r="DC89">
        <f t="shared" si="12"/>
        <v>11.07</v>
      </c>
    </row>
    <row r="90" spans="1:107" x14ac:dyDescent="0.2">
      <c r="A90">
        <f>ROW(Source!A165)</f>
        <v>165</v>
      </c>
      <c r="B90">
        <v>33989672</v>
      </c>
      <c r="C90">
        <v>33992153</v>
      </c>
      <c r="D90">
        <v>30057410</v>
      </c>
      <c r="E90">
        <v>1</v>
      </c>
      <c r="F90">
        <v>1</v>
      </c>
      <c r="G90">
        <v>29983435</v>
      </c>
      <c r="H90">
        <v>3</v>
      </c>
      <c r="I90" t="s">
        <v>732</v>
      </c>
      <c r="J90" t="s">
        <v>733</v>
      </c>
      <c r="K90" t="s">
        <v>734</v>
      </c>
      <c r="L90">
        <v>1339</v>
      </c>
      <c r="N90">
        <v>1007</v>
      </c>
      <c r="O90" t="s">
        <v>66</v>
      </c>
      <c r="P90" t="s">
        <v>66</v>
      </c>
      <c r="Q90">
        <v>1</v>
      </c>
      <c r="W90">
        <v>0</v>
      </c>
      <c r="X90">
        <v>-758282629</v>
      </c>
      <c r="Y90">
        <v>5.9</v>
      </c>
      <c r="AA90">
        <v>4233.4399999999996</v>
      </c>
      <c r="AB90">
        <v>0</v>
      </c>
      <c r="AC90">
        <v>0</v>
      </c>
      <c r="AD90">
        <v>0</v>
      </c>
      <c r="AE90">
        <v>704.89</v>
      </c>
      <c r="AF90">
        <v>0</v>
      </c>
      <c r="AG90">
        <v>0</v>
      </c>
      <c r="AH90">
        <v>0</v>
      </c>
      <c r="AI90">
        <v>5.97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5.9</v>
      </c>
      <c r="AU90" t="s">
        <v>3</v>
      </c>
      <c r="AV90">
        <v>0</v>
      </c>
      <c r="AW90">
        <v>2</v>
      </c>
      <c r="AX90">
        <v>33992161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Y90*Source!I165</f>
        <v>206.32300000000001</v>
      </c>
      <c r="CY90">
        <f>AA90</f>
        <v>4233.4399999999996</v>
      </c>
      <c r="CZ90">
        <f>AE90</f>
        <v>704.89</v>
      </c>
      <c r="DA90">
        <f>AI90</f>
        <v>5.97</v>
      </c>
      <c r="DB90">
        <f t="shared" si="11"/>
        <v>4158.8500000000004</v>
      </c>
      <c r="DC90">
        <f t="shared" si="12"/>
        <v>0</v>
      </c>
    </row>
    <row r="91" spans="1:107" x14ac:dyDescent="0.2">
      <c r="A91">
        <f>ROW(Source!A165)</f>
        <v>165</v>
      </c>
      <c r="B91">
        <v>33989672</v>
      </c>
      <c r="C91">
        <v>33992153</v>
      </c>
      <c r="D91">
        <v>30057544</v>
      </c>
      <c r="E91">
        <v>1</v>
      </c>
      <c r="F91">
        <v>1</v>
      </c>
      <c r="G91">
        <v>29983435</v>
      </c>
      <c r="H91">
        <v>3</v>
      </c>
      <c r="I91" t="s">
        <v>735</v>
      </c>
      <c r="J91" t="s">
        <v>736</v>
      </c>
      <c r="K91" t="s">
        <v>737</v>
      </c>
      <c r="L91">
        <v>1339</v>
      </c>
      <c r="N91">
        <v>1007</v>
      </c>
      <c r="O91" t="s">
        <v>66</v>
      </c>
      <c r="P91" t="s">
        <v>66</v>
      </c>
      <c r="Q91">
        <v>1</v>
      </c>
      <c r="W91">
        <v>0</v>
      </c>
      <c r="X91">
        <v>-718781615</v>
      </c>
      <c r="Y91">
        <v>0.06</v>
      </c>
      <c r="AA91">
        <v>3326.7</v>
      </c>
      <c r="AB91">
        <v>0</v>
      </c>
      <c r="AC91">
        <v>0</v>
      </c>
      <c r="AD91">
        <v>0</v>
      </c>
      <c r="AE91">
        <v>451.14</v>
      </c>
      <c r="AF91">
        <v>0</v>
      </c>
      <c r="AG91">
        <v>0</v>
      </c>
      <c r="AH91">
        <v>0</v>
      </c>
      <c r="AI91">
        <v>7.33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0.06</v>
      </c>
      <c r="AU91" t="s">
        <v>3</v>
      </c>
      <c r="AV91">
        <v>0</v>
      </c>
      <c r="AW91">
        <v>2</v>
      </c>
      <c r="AX91">
        <v>33992162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Y91*Source!I165</f>
        <v>2.0981999999999998</v>
      </c>
      <c r="CY91">
        <f>AA91</f>
        <v>3326.7</v>
      </c>
      <c r="CZ91">
        <f>AE91</f>
        <v>451.14</v>
      </c>
      <c r="DA91">
        <f>AI91</f>
        <v>7.33</v>
      </c>
      <c r="DB91">
        <f t="shared" si="11"/>
        <v>27.07</v>
      </c>
      <c r="DC91">
        <f t="shared" si="12"/>
        <v>0</v>
      </c>
    </row>
    <row r="92" spans="1:107" x14ac:dyDescent="0.2">
      <c r="A92">
        <f>ROW(Source!A165)</f>
        <v>165</v>
      </c>
      <c r="B92">
        <v>33989672</v>
      </c>
      <c r="C92">
        <v>33992153</v>
      </c>
      <c r="D92">
        <v>29983437</v>
      </c>
      <c r="E92">
        <v>29983435</v>
      </c>
      <c r="F92">
        <v>1</v>
      </c>
      <c r="G92">
        <v>29983435</v>
      </c>
      <c r="H92">
        <v>3</v>
      </c>
      <c r="I92" t="s">
        <v>738</v>
      </c>
      <c r="J92" t="s">
        <v>3</v>
      </c>
      <c r="K92" t="s">
        <v>739</v>
      </c>
      <c r="L92">
        <v>1344</v>
      </c>
      <c r="N92">
        <v>1008</v>
      </c>
      <c r="O92" t="s">
        <v>676</v>
      </c>
      <c r="P92" t="s">
        <v>676</v>
      </c>
      <c r="Q92">
        <v>1</v>
      </c>
      <c r="W92">
        <v>0</v>
      </c>
      <c r="X92">
        <v>-94250534</v>
      </c>
      <c r="Y92">
        <v>116.34</v>
      </c>
      <c r="AA92">
        <v>1.01</v>
      </c>
      <c r="AB92">
        <v>0</v>
      </c>
      <c r="AC92">
        <v>0</v>
      </c>
      <c r="AD92">
        <v>0</v>
      </c>
      <c r="AE92">
        <v>1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116.34</v>
      </c>
      <c r="AU92" t="s">
        <v>3</v>
      </c>
      <c r="AV92">
        <v>0</v>
      </c>
      <c r="AW92">
        <v>2</v>
      </c>
      <c r="AX92">
        <v>33992164</v>
      </c>
      <c r="AY92">
        <v>1</v>
      </c>
      <c r="AZ92">
        <v>0</v>
      </c>
      <c r="BA92">
        <v>93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Y92*Source!I165</f>
        <v>4068.4097999999999</v>
      </c>
      <c r="CY92">
        <f>AA92</f>
        <v>1.01</v>
      </c>
      <c r="CZ92">
        <f>AE92</f>
        <v>1</v>
      </c>
      <c r="DA92">
        <f>AI92</f>
        <v>1</v>
      </c>
      <c r="DB92">
        <f t="shared" si="11"/>
        <v>116.34</v>
      </c>
      <c r="DC92">
        <f t="shared" si="12"/>
        <v>0</v>
      </c>
    </row>
    <row r="93" spans="1:107" x14ac:dyDescent="0.2">
      <c r="A93">
        <f>ROW(Source!A202)</f>
        <v>202</v>
      </c>
      <c r="B93">
        <v>33989672</v>
      </c>
      <c r="C93">
        <v>33992165</v>
      </c>
      <c r="D93">
        <v>29983441</v>
      </c>
      <c r="E93">
        <v>29983435</v>
      </c>
      <c r="F93">
        <v>1</v>
      </c>
      <c r="G93">
        <v>29983435</v>
      </c>
      <c r="H93">
        <v>1</v>
      </c>
      <c r="I93" t="s">
        <v>646</v>
      </c>
      <c r="J93" t="s">
        <v>3</v>
      </c>
      <c r="K93" t="s">
        <v>647</v>
      </c>
      <c r="L93">
        <v>1191</v>
      </c>
      <c r="N93">
        <v>1013</v>
      </c>
      <c r="O93" t="s">
        <v>648</v>
      </c>
      <c r="P93" t="s">
        <v>648</v>
      </c>
      <c r="Q93">
        <v>1</v>
      </c>
      <c r="W93">
        <v>0</v>
      </c>
      <c r="X93">
        <v>476480486</v>
      </c>
      <c r="Y93">
        <v>1.38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1.38</v>
      </c>
      <c r="AU93" t="s">
        <v>3</v>
      </c>
      <c r="AV93">
        <v>1</v>
      </c>
      <c r="AW93">
        <v>2</v>
      </c>
      <c r="AX93">
        <v>33992169</v>
      </c>
      <c r="AY93">
        <v>1</v>
      </c>
      <c r="AZ93">
        <v>0</v>
      </c>
      <c r="BA93">
        <v>94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Y93*Source!I202</f>
        <v>16.9167852</v>
      </c>
      <c r="CY93">
        <f>AD93</f>
        <v>0</v>
      </c>
      <c r="CZ93">
        <f>AH93</f>
        <v>0</v>
      </c>
      <c r="DA93">
        <f>AL93</f>
        <v>1</v>
      </c>
      <c r="DB93">
        <f t="shared" si="11"/>
        <v>0</v>
      </c>
      <c r="DC93">
        <f t="shared" si="12"/>
        <v>0</v>
      </c>
    </row>
    <row r="94" spans="1:107" x14ac:dyDescent="0.2">
      <c r="A94">
        <f>ROW(Source!A202)</f>
        <v>202</v>
      </c>
      <c r="B94">
        <v>33989672</v>
      </c>
      <c r="C94">
        <v>33992165</v>
      </c>
      <c r="D94">
        <v>30063245</v>
      </c>
      <c r="E94">
        <v>1</v>
      </c>
      <c r="F94">
        <v>1</v>
      </c>
      <c r="G94">
        <v>29983435</v>
      </c>
      <c r="H94">
        <v>2</v>
      </c>
      <c r="I94" t="s">
        <v>740</v>
      </c>
      <c r="J94" t="s">
        <v>741</v>
      </c>
      <c r="K94" t="s">
        <v>742</v>
      </c>
      <c r="L94">
        <v>1367</v>
      </c>
      <c r="N94">
        <v>1011</v>
      </c>
      <c r="O94" t="s">
        <v>652</v>
      </c>
      <c r="P94" t="s">
        <v>652</v>
      </c>
      <c r="Q94">
        <v>1</v>
      </c>
      <c r="W94">
        <v>0</v>
      </c>
      <c r="X94">
        <v>781556702</v>
      </c>
      <c r="Y94">
        <v>3.9874999999999998</v>
      </c>
      <c r="AA94">
        <v>0</v>
      </c>
      <c r="AB94">
        <v>1916.45</v>
      </c>
      <c r="AC94">
        <v>836.26</v>
      </c>
      <c r="AD94">
        <v>0</v>
      </c>
      <c r="AE94">
        <v>0</v>
      </c>
      <c r="AF94">
        <v>162.4</v>
      </c>
      <c r="AG94">
        <v>28.6</v>
      </c>
      <c r="AH94">
        <v>0</v>
      </c>
      <c r="AI94">
        <v>1</v>
      </c>
      <c r="AJ94">
        <v>9.9</v>
      </c>
      <c r="AK94">
        <v>24.53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3.9874999999999998</v>
      </c>
      <c r="AU94" t="s">
        <v>3</v>
      </c>
      <c r="AV94">
        <v>0</v>
      </c>
      <c r="AW94">
        <v>2</v>
      </c>
      <c r="AX94">
        <v>33992170</v>
      </c>
      <c r="AY94">
        <v>1</v>
      </c>
      <c r="AZ94">
        <v>0</v>
      </c>
      <c r="BA94">
        <v>95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Y94*Source!I202</f>
        <v>48.880928249999997</v>
      </c>
      <c r="CY94">
        <f>AB94</f>
        <v>1916.45</v>
      </c>
      <c r="CZ94">
        <f>AF94</f>
        <v>162.4</v>
      </c>
      <c r="DA94">
        <f>AJ94</f>
        <v>9.9</v>
      </c>
      <c r="DB94">
        <f t="shared" si="11"/>
        <v>647.57000000000005</v>
      </c>
      <c r="DC94">
        <f t="shared" si="12"/>
        <v>114.04</v>
      </c>
    </row>
    <row r="95" spans="1:107" x14ac:dyDescent="0.2">
      <c r="A95">
        <f>ROW(Source!A202)</f>
        <v>202</v>
      </c>
      <c r="B95">
        <v>33989672</v>
      </c>
      <c r="C95">
        <v>33992165</v>
      </c>
      <c r="D95">
        <v>30063270</v>
      </c>
      <c r="E95">
        <v>1</v>
      </c>
      <c r="F95">
        <v>1</v>
      </c>
      <c r="G95">
        <v>29983435</v>
      </c>
      <c r="H95">
        <v>2</v>
      </c>
      <c r="I95" t="s">
        <v>743</v>
      </c>
      <c r="J95" t="s">
        <v>744</v>
      </c>
      <c r="K95" t="s">
        <v>745</v>
      </c>
      <c r="L95">
        <v>1367</v>
      </c>
      <c r="N95">
        <v>1011</v>
      </c>
      <c r="O95" t="s">
        <v>652</v>
      </c>
      <c r="P95" t="s">
        <v>652</v>
      </c>
      <c r="Q95">
        <v>1</v>
      </c>
      <c r="W95">
        <v>0</v>
      </c>
      <c r="X95">
        <v>695902881</v>
      </c>
      <c r="Y95">
        <v>0.997</v>
      </c>
      <c r="AA95">
        <v>0</v>
      </c>
      <c r="AB95">
        <v>1232.06</v>
      </c>
      <c r="AC95">
        <v>775.44</v>
      </c>
      <c r="AD95">
        <v>0</v>
      </c>
      <c r="AE95">
        <v>0</v>
      </c>
      <c r="AF95">
        <v>110.31</v>
      </c>
      <c r="AG95">
        <v>26.52</v>
      </c>
      <c r="AH95">
        <v>0</v>
      </c>
      <c r="AI95">
        <v>1</v>
      </c>
      <c r="AJ95">
        <v>9.3699999999999992</v>
      </c>
      <c r="AK95">
        <v>24.53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0.997</v>
      </c>
      <c r="AU95" t="s">
        <v>3</v>
      </c>
      <c r="AV95">
        <v>0</v>
      </c>
      <c r="AW95">
        <v>2</v>
      </c>
      <c r="AX95">
        <v>33992171</v>
      </c>
      <c r="AY95">
        <v>1</v>
      </c>
      <c r="AZ95">
        <v>0</v>
      </c>
      <c r="BA95">
        <v>96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Y95*Source!I202</f>
        <v>12.22176438</v>
      </c>
      <c r="CY95">
        <f>AB95</f>
        <v>1232.06</v>
      </c>
      <c r="CZ95">
        <f>AF95</f>
        <v>110.31</v>
      </c>
      <c r="DA95">
        <f>AJ95</f>
        <v>9.3699999999999992</v>
      </c>
      <c r="DB95">
        <f t="shared" si="11"/>
        <v>109.98</v>
      </c>
      <c r="DC95">
        <f t="shared" si="12"/>
        <v>26.44</v>
      </c>
    </row>
    <row r="96" spans="1:107" x14ac:dyDescent="0.2">
      <c r="A96">
        <f>ROW(Source!A203)</f>
        <v>203</v>
      </c>
      <c r="B96">
        <v>33989672</v>
      </c>
      <c r="C96">
        <v>33992172</v>
      </c>
      <c r="D96">
        <v>29983441</v>
      </c>
      <c r="E96">
        <v>29983435</v>
      </c>
      <c r="F96">
        <v>1</v>
      </c>
      <c r="G96">
        <v>29983435</v>
      </c>
      <c r="H96">
        <v>1</v>
      </c>
      <c r="I96" t="s">
        <v>646</v>
      </c>
      <c r="J96" t="s">
        <v>3</v>
      </c>
      <c r="K96" t="s">
        <v>647</v>
      </c>
      <c r="L96">
        <v>1191</v>
      </c>
      <c r="N96">
        <v>1013</v>
      </c>
      <c r="O96" t="s">
        <v>648</v>
      </c>
      <c r="P96" t="s">
        <v>648</v>
      </c>
      <c r="Q96">
        <v>1</v>
      </c>
      <c r="W96">
        <v>0</v>
      </c>
      <c r="X96">
        <v>476480486</v>
      </c>
      <c r="Y96">
        <v>192.7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192.7</v>
      </c>
      <c r="AU96" t="s">
        <v>3</v>
      </c>
      <c r="AV96">
        <v>1</v>
      </c>
      <c r="AW96">
        <v>2</v>
      </c>
      <c r="AX96">
        <v>33992174</v>
      </c>
      <c r="AY96">
        <v>1</v>
      </c>
      <c r="AZ96">
        <v>0</v>
      </c>
      <c r="BA96">
        <v>97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Y96*Source!I203</f>
        <v>262.46896199999998</v>
      </c>
      <c r="CY96">
        <f>AD96</f>
        <v>0</v>
      </c>
      <c r="CZ96">
        <f>AH96</f>
        <v>0</v>
      </c>
      <c r="DA96">
        <f>AL96</f>
        <v>1</v>
      </c>
      <c r="DB96">
        <f t="shared" si="11"/>
        <v>0</v>
      </c>
      <c r="DC96">
        <f t="shared" si="12"/>
        <v>0</v>
      </c>
    </row>
    <row r="97" spans="1:107" x14ac:dyDescent="0.2">
      <c r="A97">
        <f>ROW(Source!A204)</f>
        <v>204</v>
      </c>
      <c r="B97">
        <v>33989672</v>
      </c>
      <c r="C97">
        <v>33992175</v>
      </c>
      <c r="D97">
        <v>29983441</v>
      </c>
      <c r="E97">
        <v>29983435</v>
      </c>
      <c r="F97">
        <v>1</v>
      </c>
      <c r="G97">
        <v>29983435</v>
      </c>
      <c r="H97">
        <v>1</v>
      </c>
      <c r="I97" t="s">
        <v>646</v>
      </c>
      <c r="J97" t="s">
        <v>3</v>
      </c>
      <c r="K97" t="s">
        <v>647</v>
      </c>
      <c r="L97">
        <v>1191</v>
      </c>
      <c r="N97">
        <v>1013</v>
      </c>
      <c r="O97" t="s">
        <v>648</v>
      </c>
      <c r="P97" t="s">
        <v>648</v>
      </c>
      <c r="Q97">
        <v>1</v>
      </c>
      <c r="W97">
        <v>0</v>
      </c>
      <c r="X97">
        <v>476480486</v>
      </c>
      <c r="Y97">
        <v>83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83</v>
      </c>
      <c r="AU97" t="s">
        <v>3</v>
      </c>
      <c r="AV97">
        <v>1</v>
      </c>
      <c r="AW97">
        <v>2</v>
      </c>
      <c r="AX97">
        <v>33992177</v>
      </c>
      <c r="AY97">
        <v>1</v>
      </c>
      <c r="AZ97">
        <v>0</v>
      </c>
      <c r="BA97">
        <v>98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Y97*Source!I204</f>
        <v>113.05098000000001</v>
      </c>
      <c r="CY97">
        <f>AD97</f>
        <v>0</v>
      </c>
      <c r="CZ97">
        <f>AH97</f>
        <v>0</v>
      </c>
      <c r="DA97">
        <f>AL97</f>
        <v>1</v>
      </c>
      <c r="DB97">
        <f t="shared" si="11"/>
        <v>0</v>
      </c>
      <c r="DC97">
        <f t="shared" si="12"/>
        <v>0</v>
      </c>
    </row>
    <row r="98" spans="1:107" x14ac:dyDescent="0.2">
      <c r="A98">
        <f>ROW(Source!A205)</f>
        <v>205</v>
      </c>
      <c r="B98">
        <v>33989672</v>
      </c>
      <c r="C98">
        <v>33992178</v>
      </c>
      <c r="D98">
        <v>30064124</v>
      </c>
      <c r="E98">
        <v>1</v>
      </c>
      <c r="F98">
        <v>1</v>
      </c>
      <c r="G98">
        <v>29983435</v>
      </c>
      <c r="H98">
        <v>2</v>
      </c>
      <c r="I98" t="s">
        <v>746</v>
      </c>
      <c r="J98" t="s">
        <v>747</v>
      </c>
      <c r="K98" t="s">
        <v>748</v>
      </c>
      <c r="L98">
        <v>1367</v>
      </c>
      <c r="N98">
        <v>1011</v>
      </c>
      <c r="O98" t="s">
        <v>652</v>
      </c>
      <c r="P98" t="s">
        <v>652</v>
      </c>
      <c r="Q98">
        <v>1</v>
      </c>
      <c r="W98">
        <v>0</v>
      </c>
      <c r="X98">
        <v>-1897129346</v>
      </c>
      <c r="Y98">
        <v>1</v>
      </c>
      <c r="AA98">
        <v>0</v>
      </c>
      <c r="AB98">
        <v>1382.12</v>
      </c>
      <c r="AC98">
        <v>415.05</v>
      </c>
      <c r="AD98">
        <v>0</v>
      </c>
      <c r="AE98">
        <v>0</v>
      </c>
      <c r="AF98">
        <v>162.03</v>
      </c>
      <c r="AG98">
        <v>16.920000000000002</v>
      </c>
      <c r="AH98">
        <v>0</v>
      </c>
      <c r="AI98">
        <v>1</v>
      </c>
      <c r="AJ98">
        <v>8.5299999999999994</v>
      </c>
      <c r="AK98">
        <v>24.53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1</v>
      </c>
      <c r="AU98" t="s">
        <v>3</v>
      </c>
      <c r="AV98">
        <v>0</v>
      </c>
      <c r="AW98">
        <v>2</v>
      </c>
      <c r="AX98">
        <v>33995749</v>
      </c>
      <c r="AY98">
        <v>1</v>
      </c>
      <c r="AZ98">
        <v>0</v>
      </c>
      <c r="BA98">
        <v>99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Y98*Source!I205</f>
        <v>0</v>
      </c>
      <c r="CY98">
        <f>AB98</f>
        <v>1382.12</v>
      </c>
      <c r="CZ98">
        <f>AF98</f>
        <v>162.03</v>
      </c>
      <c r="DA98">
        <f>AJ98</f>
        <v>8.5299999999999994</v>
      </c>
      <c r="DB98">
        <f t="shared" si="11"/>
        <v>162.03</v>
      </c>
      <c r="DC98">
        <f t="shared" si="12"/>
        <v>16.920000000000002</v>
      </c>
    </row>
    <row r="99" spans="1:107" x14ac:dyDescent="0.2">
      <c r="A99">
        <f>ROW(Source!A206)</f>
        <v>206</v>
      </c>
      <c r="B99">
        <v>33989672</v>
      </c>
      <c r="C99">
        <v>33992181</v>
      </c>
      <c r="D99">
        <v>29983439</v>
      </c>
      <c r="E99">
        <v>29983435</v>
      </c>
      <c r="F99">
        <v>1</v>
      </c>
      <c r="G99">
        <v>29983435</v>
      </c>
      <c r="H99">
        <v>2</v>
      </c>
      <c r="I99" t="s">
        <v>674</v>
      </c>
      <c r="J99" t="s">
        <v>3</v>
      </c>
      <c r="K99" t="s">
        <v>675</v>
      </c>
      <c r="L99">
        <v>1344</v>
      </c>
      <c r="N99">
        <v>1008</v>
      </c>
      <c r="O99" t="s">
        <v>676</v>
      </c>
      <c r="P99" t="s">
        <v>676</v>
      </c>
      <c r="Q99">
        <v>1</v>
      </c>
      <c r="W99">
        <v>0</v>
      </c>
      <c r="X99">
        <v>-1180195794</v>
      </c>
      <c r="Y99">
        <v>12.61</v>
      </c>
      <c r="AA99">
        <v>0</v>
      </c>
      <c r="AB99">
        <v>1</v>
      </c>
      <c r="AC99">
        <v>0</v>
      </c>
      <c r="AD99">
        <v>0</v>
      </c>
      <c r="AE99">
        <v>0</v>
      </c>
      <c r="AF99">
        <v>1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12.61</v>
      </c>
      <c r="AU99" t="s">
        <v>3</v>
      </c>
      <c r="AV99">
        <v>0</v>
      </c>
      <c r="AW99">
        <v>2</v>
      </c>
      <c r="AX99">
        <v>34039090</v>
      </c>
      <c r="AY99">
        <v>1</v>
      </c>
      <c r="AZ99">
        <v>0</v>
      </c>
      <c r="BA99">
        <v>100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Y99*Source!I206</f>
        <v>0</v>
      </c>
      <c r="CY99">
        <f>AB99</f>
        <v>1</v>
      </c>
      <c r="CZ99">
        <f>AF99</f>
        <v>1</v>
      </c>
      <c r="DA99">
        <f>AJ99</f>
        <v>1</v>
      </c>
      <c r="DB99">
        <f t="shared" si="11"/>
        <v>12.61</v>
      </c>
      <c r="DC99">
        <f t="shared" si="12"/>
        <v>0</v>
      </c>
    </row>
    <row r="100" spans="1:107" x14ac:dyDescent="0.2">
      <c r="A100">
        <f>ROW(Source!A207)</f>
        <v>207</v>
      </c>
      <c r="B100">
        <v>33989672</v>
      </c>
      <c r="C100">
        <v>33992184</v>
      </c>
      <c r="D100">
        <v>29983441</v>
      </c>
      <c r="E100">
        <v>29983435</v>
      </c>
      <c r="F100">
        <v>1</v>
      </c>
      <c r="G100">
        <v>29983435</v>
      </c>
      <c r="H100">
        <v>1</v>
      </c>
      <c r="I100" t="s">
        <v>646</v>
      </c>
      <c r="J100" t="s">
        <v>3</v>
      </c>
      <c r="K100" t="s">
        <v>647</v>
      </c>
      <c r="L100">
        <v>1191</v>
      </c>
      <c r="N100">
        <v>1013</v>
      </c>
      <c r="O100" t="s">
        <v>648</v>
      </c>
      <c r="P100" t="s">
        <v>648</v>
      </c>
      <c r="Q100">
        <v>1</v>
      </c>
      <c r="W100">
        <v>0</v>
      </c>
      <c r="X100">
        <v>476480486</v>
      </c>
      <c r="Y100">
        <v>14.4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14.4</v>
      </c>
      <c r="AU100" t="s">
        <v>3</v>
      </c>
      <c r="AV100">
        <v>1</v>
      </c>
      <c r="AW100">
        <v>2</v>
      </c>
      <c r="AX100">
        <v>33992193</v>
      </c>
      <c r="AY100">
        <v>1</v>
      </c>
      <c r="AZ100">
        <v>0</v>
      </c>
      <c r="BA100">
        <v>101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Y100*Source!I207</f>
        <v>93.398399999999995</v>
      </c>
      <c r="CY100">
        <f>AD100</f>
        <v>0</v>
      </c>
      <c r="CZ100">
        <f>AH100</f>
        <v>0</v>
      </c>
      <c r="DA100">
        <f>AL100</f>
        <v>1</v>
      </c>
      <c r="DB100">
        <f t="shared" si="11"/>
        <v>0</v>
      </c>
      <c r="DC100">
        <f t="shared" si="12"/>
        <v>0</v>
      </c>
    </row>
    <row r="101" spans="1:107" x14ac:dyDescent="0.2">
      <c r="A101">
        <f>ROW(Source!A207)</f>
        <v>207</v>
      </c>
      <c r="B101">
        <v>33989672</v>
      </c>
      <c r="C101">
        <v>33992184</v>
      </c>
      <c r="D101">
        <v>30063290</v>
      </c>
      <c r="E101">
        <v>1</v>
      </c>
      <c r="F101">
        <v>1</v>
      </c>
      <c r="G101">
        <v>29983435</v>
      </c>
      <c r="H101">
        <v>2</v>
      </c>
      <c r="I101" t="s">
        <v>683</v>
      </c>
      <c r="J101" t="s">
        <v>684</v>
      </c>
      <c r="K101" t="s">
        <v>685</v>
      </c>
      <c r="L101">
        <v>1367</v>
      </c>
      <c r="N101">
        <v>1011</v>
      </c>
      <c r="O101" t="s">
        <v>652</v>
      </c>
      <c r="P101" t="s">
        <v>652</v>
      </c>
      <c r="Q101">
        <v>1</v>
      </c>
      <c r="W101">
        <v>0</v>
      </c>
      <c r="X101">
        <v>1928543733</v>
      </c>
      <c r="Y101">
        <v>1.66</v>
      </c>
      <c r="AA101">
        <v>0</v>
      </c>
      <c r="AB101">
        <v>1261.78</v>
      </c>
      <c r="AC101">
        <v>601.24</v>
      </c>
      <c r="AD101">
        <v>0</v>
      </c>
      <c r="AE101">
        <v>0</v>
      </c>
      <c r="AF101">
        <v>116.89</v>
      </c>
      <c r="AG101">
        <v>23.41</v>
      </c>
      <c r="AH101">
        <v>0</v>
      </c>
      <c r="AI101">
        <v>1</v>
      </c>
      <c r="AJ101">
        <v>10.31</v>
      </c>
      <c r="AK101">
        <v>24.53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1.66</v>
      </c>
      <c r="AU101" t="s">
        <v>3</v>
      </c>
      <c r="AV101">
        <v>0</v>
      </c>
      <c r="AW101">
        <v>2</v>
      </c>
      <c r="AX101">
        <v>33992194</v>
      </c>
      <c r="AY101">
        <v>1</v>
      </c>
      <c r="AZ101">
        <v>0</v>
      </c>
      <c r="BA101">
        <v>102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Y101*Source!I207</f>
        <v>10.76676</v>
      </c>
      <c r="CY101">
        <f>AB101</f>
        <v>1261.78</v>
      </c>
      <c r="CZ101">
        <f>AF101</f>
        <v>116.89</v>
      </c>
      <c r="DA101">
        <f>AJ101</f>
        <v>10.31</v>
      </c>
      <c r="DB101">
        <f t="shared" si="11"/>
        <v>194.04</v>
      </c>
      <c r="DC101">
        <f t="shared" si="12"/>
        <v>38.86</v>
      </c>
    </row>
    <row r="102" spans="1:107" x14ac:dyDescent="0.2">
      <c r="A102">
        <f>ROW(Source!A207)</f>
        <v>207</v>
      </c>
      <c r="B102">
        <v>33989672</v>
      </c>
      <c r="C102">
        <v>33992184</v>
      </c>
      <c r="D102">
        <v>30063515</v>
      </c>
      <c r="E102">
        <v>1</v>
      </c>
      <c r="F102">
        <v>1</v>
      </c>
      <c r="G102">
        <v>29983435</v>
      </c>
      <c r="H102">
        <v>2</v>
      </c>
      <c r="I102" t="s">
        <v>723</v>
      </c>
      <c r="J102" t="s">
        <v>724</v>
      </c>
      <c r="K102" t="s">
        <v>725</v>
      </c>
      <c r="L102">
        <v>1367</v>
      </c>
      <c r="N102">
        <v>1011</v>
      </c>
      <c r="O102" t="s">
        <v>652</v>
      </c>
      <c r="P102" t="s">
        <v>652</v>
      </c>
      <c r="Q102">
        <v>1</v>
      </c>
      <c r="W102">
        <v>0</v>
      </c>
      <c r="X102">
        <v>142191915</v>
      </c>
      <c r="Y102">
        <v>1.66</v>
      </c>
      <c r="AA102">
        <v>0</v>
      </c>
      <c r="AB102">
        <v>445.02</v>
      </c>
      <c r="AC102">
        <v>170.53</v>
      </c>
      <c r="AD102">
        <v>0</v>
      </c>
      <c r="AE102">
        <v>0</v>
      </c>
      <c r="AF102">
        <v>62.97</v>
      </c>
      <c r="AG102">
        <v>6.64</v>
      </c>
      <c r="AH102">
        <v>0</v>
      </c>
      <c r="AI102">
        <v>1</v>
      </c>
      <c r="AJ102">
        <v>6.75</v>
      </c>
      <c r="AK102">
        <v>24.53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1.66</v>
      </c>
      <c r="AU102" t="s">
        <v>3</v>
      </c>
      <c r="AV102">
        <v>0</v>
      </c>
      <c r="AW102">
        <v>2</v>
      </c>
      <c r="AX102">
        <v>33992195</v>
      </c>
      <c r="AY102">
        <v>1</v>
      </c>
      <c r="AZ102">
        <v>0</v>
      </c>
      <c r="BA102">
        <v>103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Y102*Source!I207</f>
        <v>10.76676</v>
      </c>
      <c r="CY102">
        <f>AB102</f>
        <v>445.02</v>
      </c>
      <c r="CZ102">
        <f>AF102</f>
        <v>62.97</v>
      </c>
      <c r="DA102">
        <f>AJ102</f>
        <v>6.75</v>
      </c>
      <c r="DB102">
        <f t="shared" si="11"/>
        <v>104.53</v>
      </c>
      <c r="DC102">
        <f t="shared" si="12"/>
        <v>11.02</v>
      </c>
    </row>
    <row r="103" spans="1:107" x14ac:dyDescent="0.2">
      <c r="A103">
        <f>ROW(Source!A207)</f>
        <v>207</v>
      </c>
      <c r="B103">
        <v>33989672</v>
      </c>
      <c r="C103">
        <v>33992184</v>
      </c>
      <c r="D103">
        <v>30063518</v>
      </c>
      <c r="E103">
        <v>1</v>
      </c>
      <c r="F103">
        <v>1</v>
      </c>
      <c r="G103">
        <v>29983435</v>
      </c>
      <c r="H103">
        <v>2</v>
      </c>
      <c r="I103" t="s">
        <v>686</v>
      </c>
      <c r="J103" t="s">
        <v>726</v>
      </c>
      <c r="K103" t="s">
        <v>727</v>
      </c>
      <c r="L103">
        <v>1367</v>
      </c>
      <c r="N103">
        <v>1011</v>
      </c>
      <c r="O103" t="s">
        <v>652</v>
      </c>
      <c r="P103" t="s">
        <v>652</v>
      </c>
      <c r="Q103">
        <v>1</v>
      </c>
      <c r="W103">
        <v>0</v>
      </c>
      <c r="X103">
        <v>378346098</v>
      </c>
      <c r="Y103">
        <v>0.65</v>
      </c>
      <c r="AA103">
        <v>0</v>
      </c>
      <c r="AB103">
        <v>1162.78</v>
      </c>
      <c r="AC103">
        <v>734.79</v>
      </c>
      <c r="AD103">
        <v>0</v>
      </c>
      <c r="AE103">
        <v>0</v>
      </c>
      <c r="AF103">
        <v>140.58000000000001</v>
      </c>
      <c r="AG103">
        <v>28.61</v>
      </c>
      <c r="AH103">
        <v>0</v>
      </c>
      <c r="AI103">
        <v>1</v>
      </c>
      <c r="AJ103">
        <v>7.9</v>
      </c>
      <c r="AK103">
        <v>24.53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0.65</v>
      </c>
      <c r="AU103" t="s">
        <v>3</v>
      </c>
      <c r="AV103">
        <v>0</v>
      </c>
      <c r="AW103">
        <v>2</v>
      </c>
      <c r="AX103">
        <v>33992196</v>
      </c>
      <c r="AY103">
        <v>1</v>
      </c>
      <c r="AZ103">
        <v>0</v>
      </c>
      <c r="BA103">
        <v>104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Y103*Source!I207</f>
        <v>4.2159000000000004</v>
      </c>
      <c r="CY103">
        <f>AB103</f>
        <v>1162.78</v>
      </c>
      <c r="CZ103">
        <f>AF103</f>
        <v>140.58000000000001</v>
      </c>
      <c r="DA103">
        <f>AJ103</f>
        <v>7.9</v>
      </c>
      <c r="DB103">
        <f t="shared" si="11"/>
        <v>91.38</v>
      </c>
      <c r="DC103">
        <f t="shared" si="12"/>
        <v>18.600000000000001</v>
      </c>
    </row>
    <row r="104" spans="1:107" x14ac:dyDescent="0.2">
      <c r="A104">
        <f>ROW(Source!A207)</f>
        <v>207</v>
      </c>
      <c r="B104">
        <v>33989672</v>
      </c>
      <c r="C104">
        <v>33992184</v>
      </c>
      <c r="D104">
        <v>30063546</v>
      </c>
      <c r="E104">
        <v>1</v>
      </c>
      <c r="F104">
        <v>1</v>
      </c>
      <c r="G104">
        <v>29983435</v>
      </c>
      <c r="H104">
        <v>2</v>
      </c>
      <c r="I104" t="s">
        <v>671</v>
      </c>
      <c r="J104" t="s">
        <v>672</v>
      </c>
      <c r="K104" t="s">
        <v>673</v>
      </c>
      <c r="L104">
        <v>1367</v>
      </c>
      <c r="N104">
        <v>1011</v>
      </c>
      <c r="O104" t="s">
        <v>652</v>
      </c>
      <c r="P104" t="s">
        <v>652</v>
      </c>
      <c r="Q104">
        <v>1</v>
      </c>
      <c r="W104">
        <v>0</v>
      </c>
      <c r="X104">
        <v>856318566</v>
      </c>
      <c r="Y104">
        <v>1.55</v>
      </c>
      <c r="AA104">
        <v>0</v>
      </c>
      <c r="AB104">
        <v>1539.38</v>
      </c>
      <c r="AC104">
        <v>635.4</v>
      </c>
      <c r="AD104">
        <v>0</v>
      </c>
      <c r="AE104">
        <v>0</v>
      </c>
      <c r="AF104">
        <v>125.13</v>
      </c>
      <c r="AG104">
        <v>24.74</v>
      </c>
      <c r="AH104">
        <v>0</v>
      </c>
      <c r="AI104">
        <v>1</v>
      </c>
      <c r="AJ104">
        <v>11.75</v>
      </c>
      <c r="AK104">
        <v>24.53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1.55</v>
      </c>
      <c r="AU104" t="s">
        <v>3</v>
      </c>
      <c r="AV104">
        <v>0</v>
      </c>
      <c r="AW104">
        <v>2</v>
      </c>
      <c r="AX104">
        <v>33992197</v>
      </c>
      <c r="AY104">
        <v>1</v>
      </c>
      <c r="AZ104">
        <v>0</v>
      </c>
      <c r="BA104">
        <v>105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Y104*Source!I207</f>
        <v>10.0533</v>
      </c>
      <c r="CY104">
        <f>AB104</f>
        <v>1539.38</v>
      </c>
      <c r="CZ104">
        <f>AF104</f>
        <v>125.13</v>
      </c>
      <c r="DA104">
        <f>AJ104</f>
        <v>11.75</v>
      </c>
      <c r="DB104">
        <f t="shared" si="11"/>
        <v>193.95</v>
      </c>
      <c r="DC104">
        <f t="shared" si="12"/>
        <v>38.35</v>
      </c>
    </row>
    <row r="105" spans="1:107" x14ac:dyDescent="0.2">
      <c r="A105">
        <f>ROW(Source!A207)</f>
        <v>207</v>
      </c>
      <c r="B105">
        <v>33989672</v>
      </c>
      <c r="C105">
        <v>33992184</v>
      </c>
      <c r="D105">
        <v>30063508</v>
      </c>
      <c r="E105">
        <v>1</v>
      </c>
      <c r="F105">
        <v>1</v>
      </c>
      <c r="G105">
        <v>29983435</v>
      </c>
      <c r="H105">
        <v>2</v>
      </c>
      <c r="I105" t="s">
        <v>713</v>
      </c>
      <c r="J105" t="s">
        <v>728</v>
      </c>
      <c r="K105" t="s">
        <v>715</v>
      </c>
      <c r="L105">
        <v>1367</v>
      </c>
      <c r="N105">
        <v>1011</v>
      </c>
      <c r="O105" t="s">
        <v>652</v>
      </c>
      <c r="P105" t="s">
        <v>652</v>
      </c>
      <c r="Q105">
        <v>1</v>
      </c>
      <c r="W105">
        <v>0</v>
      </c>
      <c r="X105">
        <v>2023875219</v>
      </c>
      <c r="Y105">
        <v>0.52</v>
      </c>
      <c r="AA105">
        <v>0</v>
      </c>
      <c r="AB105">
        <v>1593.61</v>
      </c>
      <c r="AC105">
        <v>603.54999999999995</v>
      </c>
      <c r="AD105">
        <v>0</v>
      </c>
      <c r="AE105">
        <v>0</v>
      </c>
      <c r="AF105">
        <v>178.02</v>
      </c>
      <c r="AG105">
        <v>23.5</v>
      </c>
      <c r="AH105">
        <v>0</v>
      </c>
      <c r="AI105">
        <v>1</v>
      </c>
      <c r="AJ105">
        <v>8.5500000000000007</v>
      </c>
      <c r="AK105">
        <v>24.53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0.52</v>
      </c>
      <c r="AU105" t="s">
        <v>3</v>
      </c>
      <c r="AV105">
        <v>0</v>
      </c>
      <c r="AW105">
        <v>2</v>
      </c>
      <c r="AX105">
        <v>33992198</v>
      </c>
      <c r="AY105">
        <v>1</v>
      </c>
      <c r="AZ105">
        <v>0</v>
      </c>
      <c r="BA105">
        <v>106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Y105*Source!I207</f>
        <v>3.3727200000000002</v>
      </c>
      <c r="CY105">
        <f>AB105</f>
        <v>1593.61</v>
      </c>
      <c r="CZ105">
        <f>AF105</f>
        <v>178.02</v>
      </c>
      <c r="DA105">
        <f>AJ105</f>
        <v>8.5500000000000007</v>
      </c>
      <c r="DB105">
        <f t="shared" si="11"/>
        <v>92.57</v>
      </c>
      <c r="DC105">
        <f t="shared" si="12"/>
        <v>12.22</v>
      </c>
    </row>
    <row r="106" spans="1:107" x14ac:dyDescent="0.2">
      <c r="A106">
        <f>ROW(Source!A207)</f>
        <v>207</v>
      </c>
      <c r="B106">
        <v>33989672</v>
      </c>
      <c r="C106">
        <v>33992184</v>
      </c>
      <c r="D106">
        <v>30042537</v>
      </c>
      <c r="E106">
        <v>1</v>
      </c>
      <c r="F106">
        <v>1</v>
      </c>
      <c r="G106">
        <v>29983435</v>
      </c>
      <c r="H106">
        <v>3</v>
      </c>
      <c r="I106" t="s">
        <v>467</v>
      </c>
      <c r="J106" t="s">
        <v>469</v>
      </c>
      <c r="K106" t="s">
        <v>468</v>
      </c>
      <c r="L106">
        <v>1339</v>
      </c>
      <c r="N106">
        <v>1007</v>
      </c>
      <c r="O106" t="s">
        <v>66</v>
      </c>
      <c r="P106" t="s">
        <v>66</v>
      </c>
      <c r="Q106">
        <v>1</v>
      </c>
      <c r="W106">
        <v>0</v>
      </c>
      <c r="X106">
        <v>-862991314</v>
      </c>
      <c r="Y106">
        <v>5</v>
      </c>
      <c r="AA106">
        <v>35.35</v>
      </c>
      <c r="AB106">
        <v>0</v>
      </c>
      <c r="AC106">
        <v>0</v>
      </c>
      <c r="AD106">
        <v>0</v>
      </c>
      <c r="AE106">
        <v>7.07</v>
      </c>
      <c r="AF106">
        <v>0</v>
      </c>
      <c r="AG106">
        <v>0</v>
      </c>
      <c r="AH106">
        <v>0</v>
      </c>
      <c r="AI106">
        <v>4.99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5</v>
      </c>
      <c r="AU106" t="s">
        <v>3</v>
      </c>
      <c r="AV106">
        <v>0</v>
      </c>
      <c r="AW106">
        <v>2</v>
      </c>
      <c r="AX106">
        <v>33992199</v>
      </c>
      <c r="AY106">
        <v>1</v>
      </c>
      <c r="AZ106">
        <v>0</v>
      </c>
      <c r="BA106">
        <v>107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Y106*Source!I207</f>
        <v>32.43</v>
      </c>
      <c r="CY106">
        <f>AA106</f>
        <v>35.35</v>
      </c>
      <c r="CZ106">
        <f>AE106</f>
        <v>7.07</v>
      </c>
      <c r="DA106">
        <f>AI106</f>
        <v>4.99</v>
      </c>
      <c r="DB106">
        <f t="shared" si="11"/>
        <v>35.35</v>
      </c>
      <c r="DC106">
        <f t="shared" si="12"/>
        <v>0</v>
      </c>
    </row>
    <row r="107" spans="1:107" x14ac:dyDescent="0.2">
      <c r="A107">
        <f>ROW(Source!A207)</f>
        <v>207</v>
      </c>
      <c r="B107">
        <v>33989672</v>
      </c>
      <c r="C107">
        <v>33992184</v>
      </c>
      <c r="D107">
        <v>30041978</v>
      </c>
      <c r="E107">
        <v>1</v>
      </c>
      <c r="F107">
        <v>1</v>
      </c>
      <c r="G107">
        <v>29983435</v>
      </c>
      <c r="H107">
        <v>3</v>
      </c>
      <c r="I107" t="s">
        <v>190</v>
      </c>
      <c r="J107" t="s">
        <v>192</v>
      </c>
      <c r="K107" t="s">
        <v>191</v>
      </c>
      <c r="L107">
        <v>1339</v>
      </c>
      <c r="N107">
        <v>1007</v>
      </c>
      <c r="O107" t="s">
        <v>66</v>
      </c>
      <c r="P107" t="s">
        <v>66</v>
      </c>
      <c r="Q107">
        <v>1</v>
      </c>
      <c r="W107">
        <v>0</v>
      </c>
      <c r="X107">
        <v>2069056849</v>
      </c>
      <c r="Y107">
        <v>110</v>
      </c>
      <c r="AA107">
        <v>553.35</v>
      </c>
      <c r="AB107">
        <v>0</v>
      </c>
      <c r="AC107">
        <v>0</v>
      </c>
      <c r="AD107">
        <v>0</v>
      </c>
      <c r="AE107">
        <v>104.99</v>
      </c>
      <c r="AF107">
        <v>0</v>
      </c>
      <c r="AG107">
        <v>0</v>
      </c>
      <c r="AH107">
        <v>0</v>
      </c>
      <c r="AI107">
        <v>5.26</v>
      </c>
      <c r="AJ107">
        <v>1</v>
      </c>
      <c r="AK107">
        <v>1</v>
      </c>
      <c r="AL107">
        <v>1</v>
      </c>
      <c r="AN107">
        <v>0</v>
      </c>
      <c r="AO107">
        <v>0</v>
      </c>
      <c r="AP107">
        <v>0</v>
      </c>
      <c r="AQ107">
        <v>0</v>
      </c>
      <c r="AR107">
        <v>0</v>
      </c>
      <c r="AS107" t="s">
        <v>3</v>
      </c>
      <c r="AT107">
        <v>110</v>
      </c>
      <c r="AU107" t="s">
        <v>3</v>
      </c>
      <c r="AV107">
        <v>0</v>
      </c>
      <c r="AW107">
        <v>1</v>
      </c>
      <c r="AX107">
        <v>-1</v>
      </c>
      <c r="AY107">
        <v>0</v>
      </c>
      <c r="AZ107">
        <v>0</v>
      </c>
      <c r="BA107" t="s">
        <v>3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Y107*Source!I207</f>
        <v>713.45999999999992</v>
      </c>
      <c r="CY107">
        <f>AA107</f>
        <v>553.35</v>
      </c>
      <c r="CZ107">
        <f>AE107</f>
        <v>104.99</v>
      </c>
      <c r="DA107">
        <f>AI107</f>
        <v>5.26</v>
      </c>
      <c r="DB107">
        <f t="shared" si="11"/>
        <v>11548.9</v>
      </c>
      <c r="DC107">
        <f t="shared" si="12"/>
        <v>0</v>
      </c>
    </row>
    <row r="108" spans="1:107" x14ac:dyDescent="0.2">
      <c r="A108">
        <f>ROW(Source!A209)</f>
        <v>209</v>
      </c>
      <c r="B108">
        <v>33989672</v>
      </c>
      <c r="C108">
        <v>33992202</v>
      </c>
      <c r="D108">
        <v>29983441</v>
      </c>
      <c r="E108">
        <v>29983435</v>
      </c>
      <c r="F108">
        <v>1</v>
      </c>
      <c r="G108">
        <v>29983435</v>
      </c>
      <c r="H108">
        <v>1</v>
      </c>
      <c r="I108" t="s">
        <v>646</v>
      </c>
      <c r="J108" t="s">
        <v>3</v>
      </c>
      <c r="K108" t="s">
        <v>647</v>
      </c>
      <c r="L108">
        <v>1191</v>
      </c>
      <c r="N108">
        <v>1013</v>
      </c>
      <c r="O108" t="s">
        <v>648</v>
      </c>
      <c r="P108" t="s">
        <v>648</v>
      </c>
      <c r="Q108">
        <v>1</v>
      </c>
      <c r="W108">
        <v>0</v>
      </c>
      <c r="X108">
        <v>476480486</v>
      </c>
      <c r="Y108">
        <v>21.6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21.6</v>
      </c>
      <c r="AU108" t="s">
        <v>3</v>
      </c>
      <c r="AV108">
        <v>1</v>
      </c>
      <c r="AW108">
        <v>2</v>
      </c>
      <c r="AX108">
        <v>33992212</v>
      </c>
      <c r="AY108">
        <v>1</v>
      </c>
      <c r="AZ108">
        <v>0</v>
      </c>
      <c r="BA108">
        <v>109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Y108*Source!I209</f>
        <v>105.0732</v>
      </c>
      <c r="CY108">
        <f>AD108</f>
        <v>0</v>
      </c>
      <c r="CZ108">
        <f>AH108</f>
        <v>0</v>
      </c>
      <c r="DA108">
        <f>AL108</f>
        <v>1</v>
      </c>
      <c r="DB108">
        <f t="shared" si="11"/>
        <v>0</v>
      </c>
      <c r="DC108">
        <f t="shared" si="12"/>
        <v>0</v>
      </c>
    </row>
    <row r="109" spans="1:107" x14ac:dyDescent="0.2">
      <c r="A109">
        <f>ROW(Source!A209)</f>
        <v>209</v>
      </c>
      <c r="B109">
        <v>33989672</v>
      </c>
      <c r="C109">
        <v>33992202</v>
      </c>
      <c r="D109">
        <v>30063269</v>
      </c>
      <c r="E109">
        <v>1</v>
      </c>
      <c r="F109">
        <v>1</v>
      </c>
      <c r="G109">
        <v>29983435</v>
      </c>
      <c r="H109">
        <v>2</v>
      </c>
      <c r="I109" t="s">
        <v>749</v>
      </c>
      <c r="J109" t="s">
        <v>750</v>
      </c>
      <c r="K109" t="s">
        <v>751</v>
      </c>
      <c r="L109">
        <v>1367</v>
      </c>
      <c r="N109">
        <v>1011</v>
      </c>
      <c r="O109" t="s">
        <v>652</v>
      </c>
      <c r="P109" t="s">
        <v>652</v>
      </c>
      <c r="Q109">
        <v>1</v>
      </c>
      <c r="W109">
        <v>0</v>
      </c>
      <c r="X109">
        <v>1109083233</v>
      </c>
      <c r="Y109">
        <v>2.35</v>
      </c>
      <c r="AA109">
        <v>0</v>
      </c>
      <c r="AB109">
        <v>989.31</v>
      </c>
      <c r="AC109">
        <v>570.66999999999996</v>
      </c>
      <c r="AD109">
        <v>0</v>
      </c>
      <c r="AE109">
        <v>0</v>
      </c>
      <c r="AF109">
        <v>95.06</v>
      </c>
      <c r="AG109">
        <v>22.22</v>
      </c>
      <c r="AH109">
        <v>0</v>
      </c>
      <c r="AI109">
        <v>1</v>
      </c>
      <c r="AJ109">
        <v>9.94</v>
      </c>
      <c r="AK109">
        <v>24.53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2.35</v>
      </c>
      <c r="AU109" t="s">
        <v>3</v>
      </c>
      <c r="AV109">
        <v>0</v>
      </c>
      <c r="AW109">
        <v>2</v>
      </c>
      <c r="AX109">
        <v>33992213</v>
      </c>
      <c r="AY109">
        <v>1</v>
      </c>
      <c r="AZ109">
        <v>0</v>
      </c>
      <c r="BA109">
        <v>110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Y109*Source!I209</f>
        <v>11.431574999999999</v>
      </c>
      <c r="CY109">
        <f t="shared" ref="CY109:CY114" si="13">AB109</f>
        <v>989.31</v>
      </c>
      <c r="CZ109">
        <f t="shared" ref="CZ109:CZ114" si="14">AF109</f>
        <v>95.06</v>
      </c>
      <c r="DA109">
        <f t="shared" ref="DA109:DA114" si="15">AJ109</f>
        <v>9.94</v>
      </c>
      <c r="DB109">
        <f t="shared" si="11"/>
        <v>223.39</v>
      </c>
      <c r="DC109">
        <f t="shared" si="12"/>
        <v>52.22</v>
      </c>
    </row>
    <row r="110" spans="1:107" x14ac:dyDescent="0.2">
      <c r="A110">
        <f>ROW(Source!A209)</f>
        <v>209</v>
      </c>
      <c r="B110">
        <v>33989672</v>
      </c>
      <c r="C110">
        <v>33992202</v>
      </c>
      <c r="D110">
        <v>30063518</v>
      </c>
      <c r="E110">
        <v>1</v>
      </c>
      <c r="F110">
        <v>1</v>
      </c>
      <c r="G110">
        <v>29983435</v>
      </c>
      <c r="H110">
        <v>2</v>
      </c>
      <c r="I110" t="s">
        <v>686</v>
      </c>
      <c r="J110" t="s">
        <v>726</v>
      </c>
      <c r="K110" t="s">
        <v>727</v>
      </c>
      <c r="L110">
        <v>1367</v>
      </c>
      <c r="N110">
        <v>1011</v>
      </c>
      <c r="O110" t="s">
        <v>652</v>
      </c>
      <c r="P110" t="s">
        <v>652</v>
      </c>
      <c r="Q110">
        <v>1</v>
      </c>
      <c r="W110">
        <v>0</v>
      </c>
      <c r="X110">
        <v>378346098</v>
      </c>
      <c r="Y110">
        <v>0.91</v>
      </c>
      <c r="AA110">
        <v>0</v>
      </c>
      <c r="AB110">
        <v>1162.78</v>
      </c>
      <c r="AC110">
        <v>734.79</v>
      </c>
      <c r="AD110">
        <v>0</v>
      </c>
      <c r="AE110">
        <v>0</v>
      </c>
      <c r="AF110">
        <v>140.58000000000001</v>
      </c>
      <c r="AG110">
        <v>28.61</v>
      </c>
      <c r="AH110">
        <v>0</v>
      </c>
      <c r="AI110">
        <v>1</v>
      </c>
      <c r="AJ110">
        <v>7.9</v>
      </c>
      <c r="AK110">
        <v>24.53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0.91</v>
      </c>
      <c r="AU110" t="s">
        <v>3</v>
      </c>
      <c r="AV110">
        <v>0</v>
      </c>
      <c r="AW110">
        <v>2</v>
      </c>
      <c r="AX110">
        <v>33992214</v>
      </c>
      <c r="AY110">
        <v>1</v>
      </c>
      <c r="AZ110">
        <v>0</v>
      </c>
      <c r="BA110">
        <v>111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Y110*Source!I209</f>
        <v>4.4266949999999996</v>
      </c>
      <c r="CY110">
        <f t="shared" si="13"/>
        <v>1162.78</v>
      </c>
      <c r="CZ110">
        <f t="shared" si="14"/>
        <v>140.58000000000001</v>
      </c>
      <c r="DA110">
        <f t="shared" si="15"/>
        <v>7.9</v>
      </c>
      <c r="DB110">
        <f t="shared" si="11"/>
        <v>127.93</v>
      </c>
      <c r="DC110">
        <f t="shared" si="12"/>
        <v>26.04</v>
      </c>
    </row>
    <row r="111" spans="1:107" x14ac:dyDescent="0.2">
      <c r="A111">
        <f>ROW(Source!A209)</f>
        <v>209</v>
      </c>
      <c r="B111">
        <v>33989672</v>
      </c>
      <c r="C111">
        <v>33992202</v>
      </c>
      <c r="D111">
        <v>30063503</v>
      </c>
      <c r="E111">
        <v>1</v>
      </c>
      <c r="F111">
        <v>1</v>
      </c>
      <c r="G111">
        <v>29983435</v>
      </c>
      <c r="H111">
        <v>2</v>
      </c>
      <c r="I111" t="s">
        <v>689</v>
      </c>
      <c r="J111" t="s">
        <v>719</v>
      </c>
      <c r="K111" t="s">
        <v>691</v>
      </c>
      <c r="L111">
        <v>1367</v>
      </c>
      <c r="N111">
        <v>1011</v>
      </c>
      <c r="O111" t="s">
        <v>652</v>
      </c>
      <c r="P111" t="s">
        <v>652</v>
      </c>
      <c r="Q111">
        <v>1</v>
      </c>
      <c r="W111">
        <v>0</v>
      </c>
      <c r="X111">
        <v>-251987950</v>
      </c>
      <c r="Y111">
        <v>7.17</v>
      </c>
      <c r="AA111">
        <v>0</v>
      </c>
      <c r="AB111">
        <v>729.99</v>
      </c>
      <c r="AC111">
        <v>586.85</v>
      </c>
      <c r="AD111">
        <v>0</v>
      </c>
      <c r="AE111">
        <v>0</v>
      </c>
      <c r="AF111">
        <v>84.82</v>
      </c>
      <c r="AG111">
        <v>22.85</v>
      </c>
      <c r="AH111">
        <v>0</v>
      </c>
      <c r="AI111">
        <v>1</v>
      </c>
      <c r="AJ111">
        <v>8.2200000000000006</v>
      </c>
      <c r="AK111">
        <v>24.53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7.17</v>
      </c>
      <c r="AU111" t="s">
        <v>3</v>
      </c>
      <c r="AV111">
        <v>0</v>
      </c>
      <c r="AW111">
        <v>2</v>
      </c>
      <c r="AX111">
        <v>33992215</v>
      </c>
      <c r="AY111">
        <v>1</v>
      </c>
      <c r="AZ111">
        <v>0</v>
      </c>
      <c r="BA111">
        <v>112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Y111*Source!I209</f>
        <v>34.878464999999998</v>
      </c>
      <c r="CY111">
        <f t="shared" si="13"/>
        <v>729.99</v>
      </c>
      <c r="CZ111">
        <f t="shared" si="14"/>
        <v>84.82</v>
      </c>
      <c r="DA111">
        <f t="shared" si="15"/>
        <v>8.2200000000000006</v>
      </c>
      <c r="DB111">
        <f t="shared" si="11"/>
        <v>608.16</v>
      </c>
      <c r="DC111">
        <f t="shared" si="12"/>
        <v>163.83000000000001</v>
      </c>
    </row>
    <row r="112" spans="1:107" x14ac:dyDescent="0.2">
      <c r="A112">
        <f>ROW(Source!A209)</f>
        <v>209</v>
      </c>
      <c r="B112">
        <v>33989672</v>
      </c>
      <c r="C112">
        <v>33992202</v>
      </c>
      <c r="D112">
        <v>30063504</v>
      </c>
      <c r="E112">
        <v>1</v>
      </c>
      <c r="F112">
        <v>1</v>
      </c>
      <c r="G112">
        <v>29983435</v>
      </c>
      <c r="H112">
        <v>2</v>
      </c>
      <c r="I112" t="s">
        <v>692</v>
      </c>
      <c r="J112" t="s">
        <v>752</v>
      </c>
      <c r="K112" t="s">
        <v>753</v>
      </c>
      <c r="L112">
        <v>1367</v>
      </c>
      <c r="N112">
        <v>1011</v>
      </c>
      <c r="O112" t="s">
        <v>652</v>
      </c>
      <c r="P112" t="s">
        <v>652</v>
      </c>
      <c r="Q112">
        <v>1</v>
      </c>
      <c r="W112">
        <v>0</v>
      </c>
      <c r="X112">
        <v>205895447</v>
      </c>
      <c r="Y112">
        <v>14.6</v>
      </c>
      <c r="AA112">
        <v>0</v>
      </c>
      <c r="AB112">
        <v>1037.05</v>
      </c>
      <c r="AC112">
        <v>586.85</v>
      </c>
      <c r="AD112">
        <v>0</v>
      </c>
      <c r="AE112">
        <v>0</v>
      </c>
      <c r="AF112">
        <v>119.77</v>
      </c>
      <c r="AG112">
        <v>22.85</v>
      </c>
      <c r="AH112">
        <v>0</v>
      </c>
      <c r="AI112">
        <v>1</v>
      </c>
      <c r="AJ112">
        <v>8.27</v>
      </c>
      <c r="AK112">
        <v>24.53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14.6</v>
      </c>
      <c r="AU112" t="s">
        <v>3</v>
      </c>
      <c r="AV112">
        <v>0</v>
      </c>
      <c r="AW112">
        <v>2</v>
      </c>
      <c r="AX112">
        <v>33992216</v>
      </c>
      <c r="AY112">
        <v>1</v>
      </c>
      <c r="AZ112">
        <v>0</v>
      </c>
      <c r="BA112">
        <v>113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Y112*Source!I209</f>
        <v>71.021699999999996</v>
      </c>
      <c r="CY112">
        <f t="shared" si="13"/>
        <v>1037.05</v>
      </c>
      <c r="CZ112">
        <f t="shared" si="14"/>
        <v>119.77</v>
      </c>
      <c r="DA112">
        <f t="shared" si="15"/>
        <v>8.27</v>
      </c>
      <c r="DB112">
        <f t="shared" si="11"/>
        <v>1748.64</v>
      </c>
      <c r="DC112">
        <f t="shared" si="12"/>
        <v>333.61</v>
      </c>
    </row>
    <row r="113" spans="1:107" x14ac:dyDescent="0.2">
      <c r="A113">
        <f>ROW(Source!A209)</f>
        <v>209</v>
      </c>
      <c r="B113">
        <v>33989672</v>
      </c>
      <c r="C113">
        <v>33992202</v>
      </c>
      <c r="D113">
        <v>30063546</v>
      </c>
      <c r="E113">
        <v>1</v>
      </c>
      <c r="F113">
        <v>1</v>
      </c>
      <c r="G113">
        <v>29983435</v>
      </c>
      <c r="H113">
        <v>2</v>
      </c>
      <c r="I113" t="s">
        <v>671</v>
      </c>
      <c r="J113" t="s">
        <v>672</v>
      </c>
      <c r="K113" t="s">
        <v>673</v>
      </c>
      <c r="L113">
        <v>1367</v>
      </c>
      <c r="N113">
        <v>1011</v>
      </c>
      <c r="O113" t="s">
        <v>652</v>
      </c>
      <c r="P113" t="s">
        <v>652</v>
      </c>
      <c r="Q113">
        <v>1</v>
      </c>
      <c r="W113">
        <v>0</v>
      </c>
      <c r="X113">
        <v>856318566</v>
      </c>
      <c r="Y113">
        <v>1.79</v>
      </c>
      <c r="AA113">
        <v>0</v>
      </c>
      <c r="AB113">
        <v>1539.38</v>
      </c>
      <c r="AC113">
        <v>635.4</v>
      </c>
      <c r="AD113">
        <v>0</v>
      </c>
      <c r="AE113">
        <v>0</v>
      </c>
      <c r="AF113">
        <v>125.13</v>
      </c>
      <c r="AG113">
        <v>24.74</v>
      </c>
      <c r="AH113">
        <v>0</v>
      </c>
      <c r="AI113">
        <v>1</v>
      </c>
      <c r="AJ113">
        <v>11.75</v>
      </c>
      <c r="AK113">
        <v>24.53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1.79</v>
      </c>
      <c r="AU113" t="s">
        <v>3</v>
      </c>
      <c r="AV113">
        <v>0</v>
      </c>
      <c r="AW113">
        <v>2</v>
      </c>
      <c r="AX113">
        <v>33992217</v>
      </c>
      <c r="AY113">
        <v>1</v>
      </c>
      <c r="AZ113">
        <v>0</v>
      </c>
      <c r="BA113">
        <v>114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Y113*Source!I209</f>
        <v>8.7074549999999995</v>
      </c>
      <c r="CY113">
        <f t="shared" si="13"/>
        <v>1539.38</v>
      </c>
      <c r="CZ113">
        <f t="shared" si="14"/>
        <v>125.13</v>
      </c>
      <c r="DA113">
        <f t="shared" si="15"/>
        <v>11.75</v>
      </c>
      <c r="DB113">
        <f t="shared" si="11"/>
        <v>223.98</v>
      </c>
      <c r="DC113">
        <f t="shared" si="12"/>
        <v>44.28</v>
      </c>
    </row>
    <row r="114" spans="1:107" x14ac:dyDescent="0.2">
      <c r="A114">
        <f>ROW(Source!A209)</f>
        <v>209</v>
      </c>
      <c r="B114">
        <v>33989672</v>
      </c>
      <c r="C114">
        <v>33992202</v>
      </c>
      <c r="D114">
        <v>30063508</v>
      </c>
      <c r="E114">
        <v>1</v>
      </c>
      <c r="F114">
        <v>1</v>
      </c>
      <c r="G114">
        <v>29983435</v>
      </c>
      <c r="H114">
        <v>2</v>
      </c>
      <c r="I114" t="s">
        <v>713</v>
      </c>
      <c r="J114" t="s">
        <v>728</v>
      </c>
      <c r="K114" t="s">
        <v>715</v>
      </c>
      <c r="L114">
        <v>1367</v>
      </c>
      <c r="N114">
        <v>1011</v>
      </c>
      <c r="O114" t="s">
        <v>652</v>
      </c>
      <c r="P114" t="s">
        <v>652</v>
      </c>
      <c r="Q114">
        <v>1</v>
      </c>
      <c r="W114">
        <v>0</v>
      </c>
      <c r="X114">
        <v>2023875219</v>
      </c>
      <c r="Y114">
        <v>0.52</v>
      </c>
      <c r="AA114">
        <v>0</v>
      </c>
      <c r="AB114">
        <v>1593.61</v>
      </c>
      <c r="AC114">
        <v>603.54999999999995</v>
      </c>
      <c r="AD114">
        <v>0</v>
      </c>
      <c r="AE114">
        <v>0</v>
      </c>
      <c r="AF114">
        <v>178.02</v>
      </c>
      <c r="AG114">
        <v>23.5</v>
      </c>
      <c r="AH114">
        <v>0</v>
      </c>
      <c r="AI114">
        <v>1</v>
      </c>
      <c r="AJ114">
        <v>8.5500000000000007</v>
      </c>
      <c r="AK114">
        <v>24.53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0.52</v>
      </c>
      <c r="AU114" t="s">
        <v>3</v>
      </c>
      <c r="AV114">
        <v>0</v>
      </c>
      <c r="AW114">
        <v>2</v>
      </c>
      <c r="AX114">
        <v>33992218</v>
      </c>
      <c r="AY114">
        <v>1</v>
      </c>
      <c r="AZ114">
        <v>0</v>
      </c>
      <c r="BA114">
        <v>115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Y114*Source!I209</f>
        <v>2.5295399999999999</v>
      </c>
      <c r="CY114">
        <f t="shared" si="13"/>
        <v>1593.61</v>
      </c>
      <c r="CZ114">
        <f t="shared" si="14"/>
        <v>178.02</v>
      </c>
      <c r="DA114">
        <f t="shared" si="15"/>
        <v>8.5500000000000007</v>
      </c>
      <c r="DB114">
        <f t="shared" si="11"/>
        <v>92.57</v>
      </c>
      <c r="DC114">
        <f t="shared" si="12"/>
        <v>12.22</v>
      </c>
    </row>
    <row r="115" spans="1:107" x14ac:dyDescent="0.2">
      <c r="A115">
        <f>ROW(Source!A209)</f>
        <v>209</v>
      </c>
      <c r="B115">
        <v>33989672</v>
      </c>
      <c r="C115">
        <v>33992202</v>
      </c>
      <c r="D115">
        <v>30042537</v>
      </c>
      <c r="E115">
        <v>1</v>
      </c>
      <c r="F115">
        <v>1</v>
      </c>
      <c r="G115">
        <v>29983435</v>
      </c>
      <c r="H115">
        <v>3</v>
      </c>
      <c r="I115" t="s">
        <v>467</v>
      </c>
      <c r="J115" t="s">
        <v>469</v>
      </c>
      <c r="K115" t="s">
        <v>468</v>
      </c>
      <c r="L115">
        <v>1339</v>
      </c>
      <c r="N115">
        <v>1007</v>
      </c>
      <c r="O115" t="s">
        <v>66</v>
      </c>
      <c r="P115" t="s">
        <v>66</v>
      </c>
      <c r="Q115">
        <v>1</v>
      </c>
      <c r="W115">
        <v>0</v>
      </c>
      <c r="X115">
        <v>-862991314</v>
      </c>
      <c r="Y115">
        <v>7</v>
      </c>
      <c r="AA115">
        <v>35.35</v>
      </c>
      <c r="AB115">
        <v>0</v>
      </c>
      <c r="AC115">
        <v>0</v>
      </c>
      <c r="AD115">
        <v>0</v>
      </c>
      <c r="AE115">
        <v>7.07</v>
      </c>
      <c r="AF115">
        <v>0</v>
      </c>
      <c r="AG115">
        <v>0</v>
      </c>
      <c r="AH115">
        <v>0</v>
      </c>
      <c r="AI115">
        <v>4.99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7</v>
      </c>
      <c r="AU115" t="s">
        <v>3</v>
      </c>
      <c r="AV115">
        <v>0</v>
      </c>
      <c r="AW115">
        <v>2</v>
      </c>
      <c r="AX115">
        <v>33992219</v>
      </c>
      <c r="AY115">
        <v>1</v>
      </c>
      <c r="AZ115">
        <v>0</v>
      </c>
      <c r="BA115">
        <v>116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Y115*Source!I209</f>
        <v>34.051499999999997</v>
      </c>
      <c r="CY115">
        <f>AA115</f>
        <v>35.35</v>
      </c>
      <c r="CZ115">
        <f>AE115</f>
        <v>7.07</v>
      </c>
      <c r="DA115">
        <f>AI115</f>
        <v>4.99</v>
      </c>
      <c r="DB115">
        <f t="shared" si="11"/>
        <v>49.49</v>
      </c>
      <c r="DC115">
        <f t="shared" si="12"/>
        <v>0</v>
      </c>
    </row>
    <row r="116" spans="1:107" x14ac:dyDescent="0.2">
      <c r="A116">
        <f>ROW(Source!A209)</f>
        <v>209</v>
      </c>
      <c r="B116">
        <v>33989672</v>
      </c>
      <c r="C116">
        <v>33992202</v>
      </c>
      <c r="D116">
        <v>30041241</v>
      </c>
      <c r="E116">
        <v>1</v>
      </c>
      <c r="F116">
        <v>1</v>
      </c>
      <c r="G116">
        <v>29983435</v>
      </c>
      <c r="H116">
        <v>3</v>
      </c>
      <c r="I116" t="s">
        <v>64</v>
      </c>
      <c r="J116" t="s">
        <v>67</v>
      </c>
      <c r="K116" t="s">
        <v>65</v>
      </c>
      <c r="L116">
        <v>1339</v>
      </c>
      <c r="N116">
        <v>1007</v>
      </c>
      <c r="O116" t="s">
        <v>66</v>
      </c>
      <c r="P116" t="s">
        <v>66</v>
      </c>
      <c r="Q116">
        <v>1</v>
      </c>
      <c r="W116">
        <v>0</v>
      </c>
      <c r="X116">
        <v>-820942871</v>
      </c>
      <c r="Y116">
        <v>126</v>
      </c>
      <c r="AA116">
        <v>1872.67</v>
      </c>
      <c r="AB116">
        <v>0</v>
      </c>
      <c r="AC116">
        <v>0</v>
      </c>
      <c r="AD116">
        <v>0</v>
      </c>
      <c r="AE116">
        <v>173.37</v>
      </c>
      <c r="AF116">
        <v>0</v>
      </c>
      <c r="AG116">
        <v>0</v>
      </c>
      <c r="AH116">
        <v>0</v>
      </c>
      <c r="AI116">
        <v>10.78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 t="s">
        <v>3</v>
      </c>
      <c r="AT116">
        <v>126</v>
      </c>
      <c r="AU116" t="s">
        <v>3</v>
      </c>
      <c r="AV116">
        <v>0</v>
      </c>
      <c r="AW116">
        <v>1</v>
      </c>
      <c r="AX116">
        <v>-1</v>
      </c>
      <c r="AY116">
        <v>0</v>
      </c>
      <c r="AZ116">
        <v>0</v>
      </c>
      <c r="BA116" t="s">
        <v>3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Y116*Source!I209</f>
        <v>612.92699999999991</v>
      </c>
      <c r="CY116">
        <f>AA116</f>
        <v>1872.67</v>
      </c>
      <c r="CZ116">
        <f>AE116</f>
        <v>173.37</v>
      </c>
      <c r="DA116">
        <f>AI116</f>
        <v>10.78</v>
      </c>
      <c r="DB116">
        <f t="shared" si="11"/>
        <v>21844.62</v>
      </c>
      <c r="DC116">
        <f t="shared" si="12"/>
        <v>0</v>
      </c>
    </row>
    <row r="117" spans="1:107" x14ac:dyDescent="0.2">
      <c r="A117">
        <f>ROW(Source!A211)</f>
        <v>211</v>
      </c>
      <c r="B117">
        <v>33989672</v>
      </c>
      <c r="C117">
        <v>33992222</v>
      </c>
      <c r="D117">
        <v>29983441</v>
      </c>
      <c r="E117">
        <v>29983435</v>
      </c>
      <c r="F117">
        <v>1</v>
      </c>
      <c r="G117">
        <v>29983435</v>
      </c>
      <c r="H117">
        <v>1</v>
      </c>
      <c r="I117" t="s">
        <v>646</v>
      </c>
      <c r="J117" t="s">
        <v>3</v>
      </c>
      <c r="K117" t="s">
        <v>647</v>
      </c>
      <c r="L117">
        <v>1191</v>
      </c>
      <c r="N117">
        <v>1013</v>
      </c>
      <c r="O117" t="s">
        <v>648</v>
      </c>
      <c r="P117" t="s">
        <v>648</v>
      </c>
      <c r="Q117">
        <v>1</v>
      </c>
      <c r="W117">
        <v>0</v>
      </c>
      <c r="X117">
        <v>476480486</v>
      </c>
      <c r="Y117">
        <v>8.9600000000000009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8.9600000000000009</v>
      </c>
      <c r="AU117" t="s">
        <v>3</v>
      </c>
      <c r="AV117">
        <v>1</v>
      </c>
      <c r="AW117">
        <v>2</v>
      </c>
      <c r="AX117">
        <v>33992227</v>
      </c>
      <c r="AY117">
        <v>1</v>
      </c>
      <c r="AZ117">
        <v>0</v>
      </c>
      <c r="BA117">
        <v>118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Y117*Source!I211</f>
        <v>290.57280000000003</v>
      </c>
      <c r="CY117">
        <f>AD117</f>
        <v>0</v>
      </c>
      <c r="CZ117">
        <f>AH117</f>
        <v>0</v>
      </c>
      <c r="DA117">
        <f>AL117</f>
        <v>1</v>
      </c>
      <c r="DB117">
        <f t="shared" si="11"/>
        <v>0</v>
      </c>
      <c r="DC117">
        <f t="shared" si="12"/>
        <v>0</v>
      </c>
    </row>
    <row r="118" spans="1:107" x14ac:dyDescent="0.2">
      <c r="A118">
        <f>ROW(Source!A211)</f>
        <v>211</v>
      </c>
      <c r="B118">
        <v>33989672</v>
      </c>
      <c r="C118">
        <v>33992222</v>
      </c>
      <c r="D118">
        <v>30063503</v>
      </c>
      <c r="E118">
        <v>1</v>
      </c>
      <c r="F118">
        <v>1</v>
      </c>
      <c r="G118">
        <v>29983435</v>
      </c>
      <c r="H118">
        <v>2</v>
      </c>
      <c r="I118" t="s">
        <v>689</v>
      </c>
      <c r="J118" t="s">
        <v>719</v>
      </c>
      <c r="K118" t="s">
        <v>691</v>
      </c>
      <c r="L118">
        <v>1367</v>
      </c>
      <c r="N118">
        <v>1011</v>
      </c>
      <c r="O118" t="s">
        <v>652</v>
      </c>
      <c r="P118" t="s">
        <v>652</v>
      </c>
      <c r="Q118">
        <v>1</v>
      </c>
      <c r="W118">
        <v>0</v>
      </c>
      <c r="X118">
        <v>-251987950</v>
      </c>
      <c r="Y118">
        <v>0.71</v>
      </c>
      <c r="AA118">
        <v>0</v>
      </c>
      <c r="AB118">
        <v>729.99</v>
      </c>
      <c r="AC118">
        <v>586.85</v>
      </c>
      <c r="AD118">
        <v>0</v>
      </c>
      <c r="AE118">
        <v>0</v>
      </c>
      <c r="AF118">
        <v>84.82</v>
      </c>
      <c r="AG118">
        <v>22.85</v>
      </c>
      <c r="AH118">
        <v>0</v>
      </c>
      <c r="AI118">
        <v>1</v>
      </c>
      <c r="AJ118">
        <v>8.2200000000000006</v>
      </c>
      <c r="AK118">
        <v>24.53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0.71</v>
      </c>
      <c r="AU118" t="s">
        <v>3</v>
      </c>
      <c r="AV118">
        <v>0</v>
      </c>
      <c r="AW118">
        <v>2</v>
      </c>
      <c r="AX118">
        <v>33992228</v>
      </c>
      <c r="AY118">
        <v>1</v>
      </c>
      <c r="AZ118">
        <v>0</v>
      </c>
      <c r="BA118">
        <v>119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Y118*Source!I211</f>
        <v>23.025299999999998</v>
      </c>
      <c r="CY118">
        <f>AB118</f>
        <v>729.99</v>
      </c>
      <c r="CZ118">
        <f>AF118</f>
        <v>84.82</v>
      </c>
      <c r="DA118">
        <f>AJ118</f>
        <v>8.2200000000000006</v>
      </c>
      <c r="DB118">
        <f t="shared" si="11"/>
        <v>60.22</v>
      </c>
      <c r="DC118">
        <f t="shared" si="12"/>
        <v>16.22</v>
      </c>
    </row>
    <row r="119" spans="1:107" x14ac:dyDescent="0.2">
      <c r="A119">
        <f>ROW(Source!A211)</f>
        <v>211</v>
      </c>
      <c r="B119">
        <v>33989672</v>
      </c>
      <c r="C119">
        <v>33992222</v>
      </c>
      <c r="D119">
        <v>30042602</v>
      </c>
      <c r="E119">
        <v>1</v>
      </c>
      <c r="F119">
        <v>1</v>
      </c>
      <c r="G119">
        <v>29983435</v>
      </c>
      <c r="H119">
        <v>3</v>
      </c>
      <c r="I119" t="s">
        <v>720</v>
      </c>
      <c r="J119" t="s">
        <v>721</v>
      </c>
      <c r="K119" t="s">
        <v>722</v>
      </c>
      <c r="L119">
        <v>1348</v>
      </c>
      <c r="N119">
        <v>1009</v>
      </c>
      <c r="O119" t="s">
        <v>51</v>
      </c>
      <c r="P119" t="s">
        <v>51</v>
      </c>
      <c r="Q119">
        <v>1000</v>
      </c>
      <c r="W119">
        <v>0</v>
      </c>
      <c r="X119">
        <v>435343267</v>
      </c>
      <c r="Y119">
        <v>0.06</v>
      </c>
      <c r="AA119">
        <v>21711.040000000001</v>
      </c>
      <c r="AB119">
        <v>0</v>
      </c>
      <c r="AC119">
        <v>0</v>
      </c>
      <c r="AD119">
        <v>0</v>
      </c>
      <c r="AE119">
        <v>3501.78</v>
      </c>
      <c r="AF119">
        <v>0</v>
      </c>
      <c r="AG119">
        <v>0</v>
      </c>
      <c r="AH119">
        <v>0</v>
      </c>
      <c r="AI119">
        <v>6.2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0.06</v>
      </c>
      <c r="AU119" t="s">
        <v>3</v>
      </c>
      <c r="AV119">
        <v>0</v>
      </c>
      <c r="AW119">
        <v>2</v>
      </c>
      <c r="AX119">
        <v>33992229</v>
      </c>
      <c r="AY119">
        <v>1</v>
      </c>
      <c r="AZ119">
        <v>0</v>
      </c>
      <c r="BA119">
        <v>120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Y119*Source!I211</f>
        <v>1.9458</v>
      </c>
      <c r="CY119">
        <f>AA119</f>
        <v>21711.040000000001</v>
      </c>
      <c r="CZ119">
        <f>AE119</f>
        <v>3501.78</v>
      </c>
      <c r="DA119">
        <f>AI119</f>
        <v>6.2</v>
      </c>
      <c r="DB119">
        <f t="shared" si="11"/>
        <v>210.11</v>
      </c>
      <c r="DC119">
        <f t="shared" si="12"/>
        <v>0</v>
      </c>
    </row>
    <row r="120" spans="1:107" x14ac:dyDescent="0.2">
      <c r="A120">
        <f>ROW(Source!A211)</f>
        <v>211</v>
      </c>
      <c r="B120">
        <v>33989672</v>
      </c>
      <c r="C120">
        <v>33992222</v>
      </c>
      <c r="D120">
        <v>30057765</v>
      </c>
      <c r="E120">
        <v>1</v>
      </c>
      <c r="F120">
        <v>1</v>
      </c>
      <c r="G120">
        <v>29983435</v>
      </c>
      <c r="H120">
        <v>3</v>
      </c>
      <c r="I120" t="s">
        <v>167</v>
      </c>
      <c r="J120" t="s">
        <v>169</v>
      </c>
      <c r="K120" t="s">
        <v>168</v>
      </c>
      <c r="L120">
        <v>1348</v>
      </c>
      <c r="N120">
        <v>1009</v>
      </c>
      <c r="O120" t="s">
        <v>51</v>
      </c>
      <c r="P120" t="s">
        <v>51</v>
      </c>
      <c r="Q120">
        <v>1000</v>
      </c>
      <c r="W120">
        <v>0</v>
      </c>
      <c r="X120">
        <v>-956564323</v>
      </c>
      <c r="Y120">
        <v>12.895</v>
      </c>
      <c r="AA120">
        <v>2619.9899999999998</v>
      </c>
      <c r="AB120">
        <v>0</v>
      </c>
      <c r="AC120">
        <v>0</v>
      </c>
      <c r="AD120">
        <v>0</v>
      </c>
      <c r="AE120">
        <v>317.95999999999998</v>
      </c>
      <c r="AF120">
        <v>0</v>
      </c>
      <c r="AG120">
        <v>0</v>
      </c>
      <c r="AH120">
        <v>0</v>
      </c>
      <c r="AI120">
        <v>8.24</v>
      </c>
      <c r="AJ120">
        <v>1</v>
      </c>
      <c r="AK120">
        <v>1</v>
      </c>
      <c r="AL120">
        <v>1</v>
      </c>
      <c r="AN120">
        <v>0</v>
      </c>
      <c r="AO120">
        <v>0</v>
      </c>
      <c r="AP120">
        <v>0</v>
      </c>
      <c r="AQ120">
        <v>0</v>
      </c>
      <c r="AR120">
        <v>0</v>
      </c>
      <c r="AS120" t="s">
        <v>3</v>
      </c>
      <c r="AT120">
        <v>12.895</v>
      </c>
      <c r="AU120" t="s">
        <v>3</v>
      </c>
      <c r="AV120">
        <v>0</v>
      </c>
      <c r="AW120">
        <v>1</v>
      </c>
      <c r="AX120">
        <v>-1</v>
      </c>
      <c r="AY120">
        <v>0</v>
      </c>
      <c r="AZ120">
        <v>0</v>
      </c>
      <c r="BA120" t="s">
        <v>3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Y120*Source!I211</f>
        <v>418.18484999999998</v>
      </c>
      <c r="CY120">
        <f>AA120</f>
        <v>2619.9899999999998</v>
      </c>
      <c r="CZ120">
        <f>AE120</f>
        <v>317.95999999999998</v>
      </c>
      <c r="DA120">
        <f>AI120</f>
        <v>8.24</v>
      </c>
      <c r="DB120">
        <f t="shared" si="11"/>
        <v>4100.09</v>
      </c>
      <c r="DC120">
        <f t="shared" si="12"/>
        <v>0</v>
      </c>
    </row>
    <row r="121" spans="1:107" x14ac:dyDescent="0.2">
      <c r="A121">
        <f>ROW(Source!A249)</f>
        <v>249</v>
      </c>
      <c r="B121">
        <v>33989672</v>
      </c>
      <c r="C121">
        <v>33992232</v>
      </c>
      <c r="D121">
        <v>29983441</v>
      </c>
      <c r="E121">
        <v>29983435</v>
      </c>
      <c r="F121">
        <v>1</v>
      </c>
      <c r="G121">
        <v>29983435</v>
      </c>
      <c r="H121">
        <v>1</v>
      </c>
      <c r="I121" t="s">
        <v>646</v>
      </c>
      <c r="J121" t="s">
        <v>3</v>
      </c>
      <c r="K121" t="s">
        <v>647</v>
      </c>
      <c r="L121">
        <v>1191</v>
      </c>
      <c r="N121">
        <v>1013</v>
      </c>
      <c r="O121" t="s">
        <v>648</v>
      </c>
      <c r="P121" t="s">
        <v>648</v>
      </c>
      <c r="Q121">
        <v>1</v>
      </c>
      <c r="W121">
        <v>0</v>
      </c>
      <c r="X121">
        <v>476480486</v>
      </c>
      <c r="Y121">
        <v>76.7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76.7</v>
      </c>
      <c r="AU121" t="s">
        <v>3</v>
      </c>
      <c r="AV121">
        <v>1</v>
      </c>
      <c r="AW121">
        <v>2</v>
      </c>
      <c r="AX121">
        <v>33992234</v>
      </c>
      <c r="AY121">
        <v>1</v>
      </c>
      <c r="AZ121">
        <v>0</v>
      </c>
      <c r="BA121">
        <v>122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Y121*Source!I249</f>
        <v>1605.3310000000001</v>
      </c>
      <c r="CY121">
        <f>AD121</f>
        <v>0</v>
      </c>
      <c r="CZ121">
        <f>AH121</f>
        <v>0</v>
      </c>
      <c r="DA121">
        <f>AL121</f>
        <v>1</v>
      </c>
      <c r="DB121">
        <f t="shared" si="11"/>
        <v>0</v>
      </c>
      <c r="DC121">
        <f t="shared" si="12"/>
        <v>0</v>
      </c>
    </row>
    <row r="122" spans="1:107" x14ac:dyDescent="0.2">
      <c r="A122">
        <f>ROW(Source!A250)</f>
        <v>250</v>
      </c>
      <c r="B122">
        <v>33989672</v>
      </c>
      <c r="C122">
        <v>33992235</v>
      </c>
      <c r="D122">
        <v>29983441</v>
      </c>
      <c r="E122">
        <v>29983435</v>
      </c>
      <c r="F122">
        <v>1</v>
      </c>
      <c r="G122">
        <v>29983435</v>
      </c>
      <c r="H122">
        <v>1</v>
      </c>
      <c r="I122" t="s">
        <v>646</v>
      </c>
      <c r="J122" t="s">
        <v>3</v>
      </c>
      <c r="K122" t="s">
        <v>647</v>
      </c>
      <c r="L122">
        <v>1191</v>
      </c>
      <c r="N122">
        <v>1013</v>
      </c>
      <c r="O122" t="s">
        <v>648</v>
      </c>
      <c r="P122" t="s">
        <v>648</v>
      </c>
      <c r="Q122">
        <v>1</v>
      </c>
      <c r="W122">
        <v>0</v>
      </c>
      <c r="X122">
        <v>476480486</v>
      </c>
      <c r="Y122">
        <v>1.02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1.02</v>
      </c>
      <c r="AU122" t="s">
        <v>3</v>
      </c>
      <c r="AV122">
        <v>1</v>
      </c>
      <c r="AW122">
        <v>2</v>
      </c>
      <c r="AX122">
        <v>33995750</v>
      </c>
      <c r="AY122">
        <v>1</v>
      </c>
      <c r="AZ122">
        <v>0</v>
      </c>
      <c r="BA122">
        <v>123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Y122*Source!I250</f>
        <v>31.971663359999997</v>
      </c>
      <c r="CY122">
        <f>AD122</f>
        <v>0</v>
      </c>
      <c r="CZ122">
        <f>AH122</f>
        <v>0</v>
      </c>
      <c r="DA122">
        <f>AL122</f>
        <v>1</v>
      </c>
      <c r="DB122">
        <f t="shared" si="11"/>
        <v>0</v>
      </c>
      <c r="DC122">
        <f t="shared" si="12"/>
        <v>0</v>
      </c>
    </row>
    <row r="123" spans="1:107" x14ac:dyDescent="0.2">
      <c r="A123">
        <f>ROW(Source!A251)</f>
        <v>251</v>
      </c>
      <c r="B123">
        <v>33989672</v>
      </c>
      <c r="C123">
        <v>33992238</v>
      </c>
      <c r="D123">
        <v>29983439</v>
      </c>
      <c r="E123">
        <v>29983435</v>
      </c>
      <c r="F123">
        <v>1</v>
      </c>
      <c r="G123">
        <v>29983435</v>
      </c>
      <c r="H123">
        <v>2</v>
      </c>
      <c r="I123" t="s">
        <v>674</v>
      </c>
      <c r="J123" t="s">
        <v>3</v>
      </c>
      <c r="K123" t="s">
        <v>675</v>
      </c>
      <c r="L123">
        <v>1344</v>
      </c>
      <c r="N123">
        <v>1008</v>
      </c>
      <c r="O123" t="s">
        <v>676</v>
      </c>
      <c r="P123" t="s">
        <v>676</v>
      </c>
      <c r="Q123">
        <v>1</v>
      </c>
      <c r="W123">
        <v>0</v>
      </c>
      <c r="X123">
        <v>-1180195794</v>
      </c>
      <c r="Y123">
        <v>8.86</v>
      </c>
      <c r="AA123">
        <v>0</v>
      </c>
      <c r="AB123">
        <v>1.05</v>
      </c>
      <c r="AC123">
        <v>0</v>
      </c>
      <c r="AD123">
        <v>0</v>
      </c>
      <c r="AE123">
        <v>0</v>
      </c>
      <c r="AF123">
        <v>1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8.86</v>
      </c>
      <c r="AU123" t="s">
        <v>3</v>
      </c>
      <c r="AV123">
        <v>0</v>
      </c>
      <c r="AW123">
        <v>2</v>
      </c>
      <c r="AX123">
        <v>33992240</v>
      </c>
      <c r="AY123">
        <v>1</v>
      </c>
      <c r="AZ123">
        <v>0</v>
      </c>
      <c r="BA123">
        <v>124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Y123*Source!I251</f>
        <v>0</v>
      </c>
      <c r="CY123">
        <f>AB123</f>
        <v>1.05</v>
      </c>
      <c r="CZ123">
        <f>AF123</f>
        <v>1</v>
      </c>
      <c r="DA123">
        <f>AJ123</f>
        <v>1</v>
      </c>
      <c r="DB123">
        <f t="shared" si="11"/>
        <v>8.86</v>
      </c>
      <c r="DC123">
        <f t="shared" si="12"/>
        <v>0</v>
      </c>
    </row>
    <row r="124" spans="1:107" x14ac:dyDescent="0.2">
      <c r="A124">
        <f>ROW(Source!A252)</f>
        <v>252</v>
      </c>
      <c r="B124">
        <v>33989672</v>
      </c>
      <c r="C124">
        <v>33992241</v>
      </c>
      <c r="D124">
        <v>30064127</v>
      </c>
      <c r="E124">
        <v>1</v>
      </c>
      <c r="F124">
        <v>1</v>
      </c>
      <c r="G124">
        <v>29983435</v>
      </c>
      <c r="H124">
        <v>2</v>
      </c>
      <c r="I124" t="s">
        <v>677</v>
      </c>
      <c r="J124" t="s">
        <v>678</v>
      </c>
      <c r="K124" t="s">
        <v>679</v>
      </c>
      <c r="L124">
        <v>1367</v>
      </c>
      <c r="N124">
        <v>1011</v>
      </c>
      <c r="O124" t="s">
        <v>652</v>
      </c>
      <c r="P124" t="s">
        <v>652</v>
      </c>
      <c r="Q124">
        <v>1</v>
      </c>
      <c r="W124">
        <v>0</v>
      </c>
      <c r="X124">
        <v>-1191656485</v>
      </c>
      <c r="Y124">
        <v>1</v>
      </c>
      <c r="AA124">
        <v>0</v>
      </c>
      <c r="AB124">
        <v>1577.49</v>
      </c>
      <c r="AC124">
        <v>444.24</v>
      </c>
      <c r="AD124">
        <v>0</v>
      </c>
      <c r="AE124">
        <v>0</v>
      </c>
      <c r="AF124">
        <v>193.32</v>
      </c>
      <c r="AG124">
        <v>18.11</v>
      </c>
      <c r="AH124">
        <v>0</v>
      </c>
      <c r="AI124">
        <v>1</v>
      </c>
      <c r="AJ124">
        <v>8.16</v>
      </c>
      <c r="AK124">
        <v>24.53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1</v>
      </c>
      <c r="AU124" t="s">
        <v>3</v>
      </c>
      <c r="AV124">
        <v>0</v>
      </c>
      <c r="AW124">
        <v>2</v>
      </c>
      <c r="AX124">
        <v>33995751</v>
      </c>
      <c r="AY124">
        <v>1</v>
      </c>
      <c r="AZ124">
        <v>0</v>
      </c>
      <c r="BA124">
        <v>125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Y124*Source!I252</f>
        <v>0</v>
      </c>
      <c r="CY124">
        <f>AB124</f>
        <v>1577.49</v>
      </c>
      <c r="CZ124">
        <f>AF124</f>
        <v>193.32</v>
      </c>
      <c r="DA124">
        <f>AJ124</f>
        <v>8.16</v>
      </c>
      <c r="DB124">
        <f t="shared" si="11"/>
        <v>193.32</v>
      </c>
      <c r="DC124">
        <f t="shared" si="12"/>
        <v>18.11</v>
      </c>
    </row>
    <row r="125" spans="1:107" x14ac:dyDescent="0.2">
      <c r="A125">
        <f>ROW(Source!A253)</f>
        <v>253</v>
      </c>
      <c r="B125">
        <v>33989672</v>
      </c>
      <c r="C125">
        <v>33992244</v>
      </c>
      <c r="D125">
        <v>29983439</v>
      </c>
      <c r="E125">
        <v>29983435</v>
      </c>
      <c r="F125">
        <v>1</v>
      </c>
      <c r="G125">
        <v>29983435</v>
      </c>
      <c r="H125">
        <v>2</v>
      </c>
      <c r="I125" t="s">
        <v>674</v>
      </c>
      <c r="J125" t="s">
        <v>3</v>
      </c>
      <c r="K125" t="s">
        <v>675</v>
      </c>
      <c r="L125">
        <v>1344</v>
      </c>
      <c r="N125">
        <v>1008</v>
      </c>
      <c r="O125" t="s">
        <v>676</v>
      </c>
      <c r="P125" t="s">
        <v>676</v>
      </c>
      <c r="Q125">
        <v>1</v>
      </c>
      <c r="W125">
        <v>0</v>
      </c>
      <c r="X125">
        <v>-1180195794</v>
      </c>
      <c r="Y125">
        <v>36.590000000000003</v>
      </c>
      <c r="AA125">
        <v>0</v>
      </c>
      <c r="AB125">
        <v>1</v>
      </c>
      <c r="AC125">
        <v>0</v>
      </c>
      <c r="AD125">
        <v>0</v>
      </c>
      <c r="AE125">
        <v>0</v>
      </c>
      <c r="AF125">
        <v>1</v>
      </c>
      <c r="AG125">
        <v>0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36.590000000000003</v>
      </c>
      <c r="AU125" t="s">
        <v>3</v>
      </c>
      <c r="AV125">
        <v>0</v>
      </c>
      <c r="AW125">
        <v>2</v>
      </c>
      <c r="AX125">
        <v>33995752</v>
      </c>
      <c r="AY125">
        <v>1</v>
      </c>
      <c r="AZ125">
        <v>0</v>
      </c>
      <c r="BA125">
        <v>126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Y125*Source!I253</f>
        <v>0</v>
      </c>
      <c r="CY125">
        <f>AB125</f>
        <v>1</v>
      </c>
      <c r="CZ125">
        <f>AF125</f>
        <v>1</v>
      </c>
      <c r="DA125">
        <f>AJ125</f>
        <v>1</v>
      </c>
      <c r="DB125">
        <f t="shared" si="11"/>
        <v>36.590000000000003</v>
      </c>
      <c r="DC125">
        <f t="shared" si="12"/>
        <v>0</v>
      </c>
    </row>
    <row r="126" spans="1:107" x14ac:dyDescent="0.2">
      <c r="A126">
        <f>ROW(Source!A254)</f>
        <v>254</v>
      </c>
      <c r="B126">
        <v>33989672</v>
      </c>
      <c r="C126">
        <v>33992247</v>
      </c>
      <c r="D126">
        <v>29983441</v>
      </c>
      <c r="E126">
        <v>29983435</v>
      </c>
      <c r="F126">
        <v>1</v>
      </c>
      <c r="G126">
        <v>29983435</v>
      </c>
      <c r="H126">
        <v>1</v>
      </c>
      <c r="I126" t="s">
        <v>646</v>
      </c>
      <c r="J126" t="s">
        <v>3</v>
      </c>
      <c r="K126" t="s">
        <v>647</v>
      </c>
      <c r="L126">
        <v>1191</v>
      </c>
      <c r="N126">
        <v>1013</v>
      </c>
      <c r="O126" t="s">
        <v>648</v>
      </c>
      <c r="P126" t="s">
        <v>648</v>
      </c>
      <c r="Q126">
        <v>1</v>
      </c>
      <c r="W126">
        <v>0</v>
      </c>
      <c r="X126">
        <v>476480486</v>
      </c>
      <c r="Y126">
        <v>14.4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14.4</v>
      </c>
      <c r="AU126" t="s">
        <v>3</v>
      </c>
      <c r="AV126">
        <v>1</v>
      </c>
      <c r="AW126">
        <v>2</v>
      </c>
      <c r="AX126">
        <v>33992256</v>
      </c>
      <c r="AY126">
        <v>1</v>
      </c>
      <c r="AZ126">
        <v>0</v>
      </c>
      <c r="BA126">
        <v>127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Y126*Source!I254</f>
        <v>6.0278400000000003</v>
      </c>
      <c r="CY126">
        <f>AD126</f>
        <v>0</v>
      </c>
      <c r="CZ126">
        <f>AH126</f>
        <v>0</v>
      </c>
      <c r="DA126">
        <f>AL126</f>
        <v>1</v>
      </c>
      <c r="DB126">
        <f t="shared" si="11"/>
        <v>0</v>
      </c>
      <c r="DC126">
        <f t="shared" si="12"/>
        <v>0</v>
      </c>
    </row>
    <row r="127" spans="1:107" x14ac:dyDescent="0.2">
      <c r="A127">
        <f>ROW(Source!A254)</f>
        <v>254</v>
      </c>
      <c r="B127">
        <v>33989672</v>
      </c>
      <c r="C127">
        <v>33992247</v>
      </c>
      <c r="D127">
        <v>30063290</v>
      </c>
      <c r="E127">
        <v>1</v>
      </c>
      <c r="F127">
        <v>1</v>
      </c>
      <c r="G127">
        <v>29983435</v>
      </c>
      <c r="H127">
        <v>2</v>
      </c>
      <c r="I127" t="s">
        <v>683</v>
      </c>
      <c r="J127" t="s">
        <v>684</v>
      </c>
      <c r="K127" t="s">
        <v>685</v>
      </c>
      <c r="L127">
        <v>1367</v>
      </c>
      <c r="N127">
        <v>1011</v>
      </c>
      <c r="O127" t="s">
        <v>652</v>
      </c>
      <c r="P127" t="s">
        <v>652</v>
      </c>
      <c r="Q127">
        <v>1</v>
      </c>
      <c r="W127">
        <v>0</v>
      </c>
      <c r="X127">
        <v>1928543733</v>
      </c>
      <c r="Y127">
        <v>1.66</v>
      </c>
      <c r="AA127">
        <v>0</v>
      </c>
      <c r="AB127">
        <v>1261.78</v>
      </c>
      <c r="AC127">
        <v>601.24</v>
      </c>
      <c r="AD127">
        <v>0</v>
      </c>
      <c r="AE127">
        <v>0</v>
      </c>
      <c r="AF127">
        <v>116.89</v>
      </c>
      <c r="AG127">
        <v>23.41</v>
      </c>
      <c r="AH127">
        <v>0</v>
      </c>
      <c r="AI127">
        <v>1</v>
      </c>
      <c r="AJ127">
        <v>10.31</v>
      </c>
      <c r="AK127">
        <v>24.53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1.66</v>
      </c>
      <c r="AU127" t="s">
        <v>3</v>
      </c>
      <c r="AV127">
        <v>0</v>
      </c>
      <c r="AW127">
        <v>2</v>
      </c>
      <c r="AX127">
        <v>33992257</v>
      </c>
      <c r="AY127">
        <v>1</v>
      </c>
      <c r="AZ127">
        <v>0</v>
      </c>
      <c r="BA127">
        <v>128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Y127*Source!I254</f>
        <v>0.69487600000000005</v>
      </c>
      <c r="CY127">
        <f>AB127</f>
        <v>1261.78</v>
      </c>
      <c r="CZ127">
        <f>AF127</f>
        <v>116.89</v>
      </c>
      <c r="DA127">
        <f>AJ127</f>
        <v>10.31</v>
      </c>
      <c r="DB127">
        <f t="shared" si="11"/>
        <v>194.04</v>
      </c>
      <c r="DC127">
        <f t="shared" si="12"/>
        <v>38.86</v>
      </c>
    </row>
    <row r="128" spans="1:107" x14ac:dyDescent="0.2">
      <c r="A128">
        <f>ROW(Source!A254)</f>
        <v>254</v>
      </c>
      <c r="B128">
        <v>33989672</v>
      </c>
      <c r="C128">
        <v>33992247</v>
      </c>
      <c r="D128">
        <v>30063515</v>
      </c>
      <c r="E128">
        <v>1</v>
      </c>
      <c r="F128">
        <v>1</v>
      </c>
      <c r="G128">
        <v>29983435</v>
      </c>
      <c r="H128">
        <v>2</v>
      </c>
      <c r="I128" t="s">
        <v>723</v>
      </c>
      <c r="J128" t="s">
        <v>724</v>
      </c>
      <c r="K128" t="s">
        <v>725</v>
      </c>
      <c r="L128">
        <v>1367</v>
      </c>
      <c r="N128">
        <v>1011</v>
      </c>
      <c r="O128" t="s">
        <v>652</v>
      </c>
      <c r="P128" t="s">
        <v>652</v>
      </c>
      <c r="Q128">
        <v>1</v>
      </c>
      <c r="W128">
        <v>0</v>
      </c>
      <c r="X128">
        <v>142191915</v>
      </c>
      <c r="Y128">
        <v>1.66</v>
      </c>
      <c r="AA128">
        <v>0</v>
      </c>
      <c r="AB128">
        <v>445.02</v>
      </c>
      <c r="AC128">
        <v>170.53</v>
      </c>
      <c r="AD128">
        <v>0</v>
      </c>
      <c r="AE128">
        <v>0</v>
      </c>
      <c r="AF128">
        <v>62.97</v>
      </c>
      <c r="AG128">
        <v>6.64</v>
      </c>
      <c r="AH128">
        <v>0</v>
      </c>
      <c r="AI128">
        <v>1</v>
      </c>
      <c r="AJ128">
        <v>6.75</v>
      </c>
      <c r="AK128">
        <v>24.53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1.66</v>
      </c>
      <c r="AU128" t="s">
        <v>3</v>
      </c>
      <c r="AV128">
        <v>0</v>
      </c>
      <c r="AW128">
        <v>2</v>
      </c>
      <c r="AX128">
        <v>33992258</v>
      </c>
      <c r="AY128">
        <v>1</v>
      </c>
      <c r="AZ128">
        <v>0</v>
      </c>
      <c r="BA128">
        <v>129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Y128*Source!I254</f>
        <v>0.69487600000000005</v>
      </c>
      <c r="CY128">
        <f>AB128</f>
        <v>445.02</v>
      </c>
      <c r="CZ128">
        <f>AF128</f>
        <v>62.97</v>
      </c>
      <c r="DA128">
        <f>AJ128</f>
        <v>6.75</v>
      </c>
      <c r="DB128">
        <f t="shared" si="11"/>
        <v>104.53</v>
      </c>
      <c r="DC128">
        <f t="shared" si="12"/>
        <v>11.02</v>
      </c>
    </row>
    <row r="129" spans="1:107" x14ac:dyDescent="0.2">
      <c r="A129">
        <f>ROW(Source!A254)</f>
        <v>254</v>
      </c>
      <c r="B129">
        <v>33989672</v>
      </c>
      <c r="C129">
        <v>33992247</v>
      </c>
      <c r="D129">
        <v>30063518</v>
      </c>
      <c r="E129">
        <v>1</v>
      </c>
      <c r="F129">
        <v>1</v>
      </c>
      <c r="G129">
        <v>29983435</v>
      </c>
      <c r="H129">
        <v>2</v>
      </c>
      <c r="I129" t="s">
        <v>686</v>
      </c>
      <c r="J129" t="s">
        <v>726</v>
      </c>
      <c r="K129" t="s">
        <v>727</v>
      </c>
      <c r="L129">
        <v>1367</v>
      </c>
      <c r="N129">
        <v>1011</v>
      </c>
      <c r="O129" t="s">
        <v>652</v>
      </c>
      <c r="P129" t="s">
        <v>652</v>
      </c>
      <c r="Q129">
        <v>1</v>
      </c>
      <c r="W129">
        <v>0</v>
      </c>
      <c r="X129">
        <v>378346098</v>
      </c>
      <c r="Y129">
        <v>0.65</v>
      </c>
      <c r="AA129">
        <v>0</v>
      </c>
      <c r="AB129">
        <v>1162.78</v>
      </c>
      <c r="AC129">
        <v>734.79</v>
      </c>
      <c r="AD129">
        <v>0</v>
      </c>
      <c r="AE129">
        <v>0</v>
      </c>
      <c r="AF129">
        <v>140.58000000000001</v>
      </c>
      <c r="AG129">
        <v>28.61</v>
      </c>
      <c r="AH129">
        <v>0</v>
      </c>
      <c r="AI129">
        <v>1</v>
      </c>
      <c r="AJ129">
        <v>7.9</v>
      </c>
      <c r="AK129">
        <v>24.53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0.65</v>
      </c>
      <c r="AU129" t="s">
        <v>3</v>
      </c>
      <c r="AV129">
        <v>0</v>
      </c>
      <c r="AW129">
        <v>2</v>
      </c>
      <c r="AX129">
        <v>33992259</v>
      </c>
      <c r="AY129">
        <v>1</v>
      </c>
      <c r="AZ129">
        <v>0</v>
      </c>
      <c r="BA129">
        <v>130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Y129*Source!I254</f>
        <v>0.27209000000000005</v>
      </c>
      <c r="CY129">
        <f>AB129</f>
        <v>1162.78</v>
      </c>
      <c r="CZ129">
        <f>AF129</f>
        <v>140.58000000000001</v>
      </c>
      <c r="DA129">
        <f>AJ129</f>
        <v>7.9</v>
      </c>
      <c r="DB129">
        <f t="shared" ref="DB129:DB192" si="16">ROUND(ROUND(AT129*CZ129,2),6)</f>
        <v>91.38</v>
      </c>
      <c r="DC129">
        <f t="shared" ref="DC129:DC192" si="17">ROUND(ROUND(AT129*AG129,2),6)</f>
        <v>18.600000000000001</v>
      </c>
    </row>
    <row r="130" spans="1:107" x14ac:dyDescent="0.2">
      <c r="A130">
        <f>ROW(Source!A254)</f>
        <v>254</v>
      </c>
      <c r="B130">
        <v>33989672</v>
      </c>
      <c r="C130">
        <v>33992247</v>
      </c>
      <c r="D130">
        <v>30063546</v>
      </c>
      <c r="E130">
        <v>1</v>
      </c>
      <c r="F130">
        <v>1</v>
      </c>
      <c r="G130">
        <v>29983435</v>
      </c>
      <c r="H130">
        <v>2</v>
      </c>
      <c r="I130" t="s">
        <v>671</v>
      </c>
      <c r="J130" t="s">
        <v>672</v>
      </c>
      <c r="K130" t="s">
        <v>673</v>
      </c>
      <c r="L130">
        <v>1367</v>
      </c>
      <c r="N130">
        <v>1011</v>
      </c>
      <c r="O130" t="s">
        <v>652</v>
      </c>
      <c r="P130" t="s">
        <v>652</v>
      </c>
      <c r="Q130">
        <v>1</v>
      </c>
      <c r="W130">
        <v>0</v>
      </c>
      <c r="X130">
        <v>856318566</v>
      </c>
      <c r="Y130">
        <v>1.55</v>
      </c>
      <c r="AA130">
        <v>0</v>
      </c>
      <c r="AB130">
        <v>1539.38</v>
      </c>
      <c r="AC130">
        <v>635.4</v>
      </c>
      <c r="AD130">
        <v>0</v>
      </c>
      <c r="AE130">
        <v>0</v>
      </c>
      <c r="AF130">
        <v>125.13</v>
      </c>
      <c r="AG130">
        <v>24.74</v>
      </c>
      <c r="AH130">
        <v>0</v>
      </c>
      <c r="AI130">
        <v>1</v>
      </c>
      <c r="AJ130">
        <v>11.75</v>
      </c>
      <c r="AK130">
        <v>24.53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1.55</v>
      </c>
      <c r="AU130" t="s">
        <v>3</v>
      </c>
      <c r="AV130">
        <v>0</v>
      </c>
      <c r="AW130">
        <v>2</v>
      </c>
      <c r="AX130">
        <v>33992260</v>
      </c>
      <c r="AY130">
        <v>1</v>
      </c>
      <c r="AZ130">
        <v>0</v>
      </c>
      <c r="BA130">
        <v>131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Y130*Source!I254</f>
        <v>0.64883000000000002</v>
      </c>
      <c r="CY130">
        <f>AB130</f>
        <v>1539.38</v>
      </c>
      <c r="CZ130">
        <f>AF130</f>
        <v>125.13</v>
      </c>
      <c r="DA130">
        <f>AJ130</f>
        <v>11.75</v>
      </c>
      <c r="DB130">
        <f t="shared" si="16"/>
        <v>193.95</v>
      </c>
      <c r="DC130">
        <f t="shared" si="17"/>
        <v>38.35</v>
      </c>
    </row>
    <row r="131" spans="1:107" x14ac:dyDescent="0.2">
      <c r="A131">
        <f>ROW(Source!A254)</f>
        <v>254</v>
      </c>
      <c r="B131">
        <v>33989672</v>
      </c>
      <c r="C131">
        <v>33992247</v>
      </c>
      <c r="D131">
        <v>30063508</v>
      </c>
      <c r="E131">
        <v>1</v>
      </c>
      <c r="F131">
        <v>1</v>
      </c>
      <c r="G131">
        <v>29983435</v>
      </c>
      <c r="H131">
        <v>2</v>
      </c>
      <c r="I131" t="s">
        <v>713</v>
      </c>
      <c r="J131" t="s">
        <v>728</v>
      </c>
      <c r="K131" t="s">
        <v>715</v>
      </c>
      <c r="L131">
        <v>1367</v>
      </c>
      <c r="N131">
        <v>1011</v>
      </c>
      <c r="O131" t="s">
        <v>652</v>
      </c>
      <c r="P131" t="s">
        <v>652</v>
      </c>
      <c r="Q131">
        <v>1</v>
      </c>
      <c r="W131">
        <v>0</v>
      </c>
      <c r="X131">
        <v>2023875219</v>
      </c>
      <c r="Y131">
        <v>0.52</v>
      </c>
      <c r="AA131">
        <v>0</v>
      </c>
      <c r="AB131">
        <v>1593.61</v>
      </c>
      <c r="AC131">
        <v>603.54999999999995</v>
      </c>
      <c r="AD131">
        <v>0</v>
      </c>
      <c r="AE131">
        <v>0</v>
      </c>
      <c r="AF131">
        <v>178.02</v>
      </c>
      <c r="AG131">
        <v>23.5</v>
      </c>
      <c r="AH131">
        <v>0</v>
      </c>
      <c r="AI131">
        <v>1</v>
      </c>
      <c r="AJ131">
        <v>8.5500000000000007</v>
      </c>
      <c r="AK131">
        <v>24.53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0.52</v>
      </c>
      <c r="AU131" t="s">
        <v>3</v>
      </c>
      <c r="AV131">
        <v>0</v>
      </c>
      <c r="AW131">
        <v>2</v>
      </c>
      <c r="AX131">
        <v>33992261</v>
      </c>
      <c r="AY131">
        <v>1</v>
      </c>
      <c r="AZ131">
        <v>0</v>
      </c>
      <c r="BA131">
        <v>132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Y131*Source!I254</f>
        <v>0.21767200000000003</v>
      </c>
      <c r="CY131">
        <f>AB131</f>
        <v>1593.61</v>
      </c>
      <c r="CZ131">
        <f>AF131</f>
        <v>178.02</v>
      </c>
      <c r="DA131">
        <f>AJ131</f>
        <v>8.5500000000000007</v>
      </c>
      <c r="DB131">
        <f t="shared" si="16"/>
        <v>92.57</v>
      </c>
      <c r="DC131">
        <f t="shared" si="17"/>
        <v>12.22</v>
      </c>
    </row>
    <row r="132" spans="1:107" x14ac:dyDescent="0.2">
      <c r="A132">
        <f>ROW(Source!A254)</f>
        <v>254</v>
      </c>
      <c r="B132">
        <v>33989672</v>
      </c>
      <c r="C132">
        <v>33992247</v>
      </c>
      <c r="D132">
        <v>30042537</v>
      </c>
      <c r="E132">
        <v>1</v>
      </c>
      <c r="F132">
        <v>1</v>
      </c>
      <c r="G132">
        <v>29983435</v>
      </c>
      <c r="H132">
        <v>3</v>
      </c>
      <c r="I132" t="s">
        <v>467</v>
      </c>
      <c r="J132" t="s">
        <v>469</v>
      </c>
      <c r="K132" t="s">
        <v>468</v>
      </c>
      <c r="L132">
        <v>1339</v>
      </c>
      <c r="N132">
        <v>1007</v>
      </c>
      <c r="O132" t="s">
        <v>66</v>
      </c>
      <c r="P132" t="s">
        <v>66</v>
      </c>
      <c r="Q132">
        <v>1</v>
      </c>
      <c r="W132">
        <v>0</v>
      </c>
      <c r="X132">
        <v>-862991314</v>
      </c>
      <c r="Y132">
        <v>5</v>
      </c>
      <c r="AA132">
        <v>35.35</v>
      </c>
      <c r="AB132">
        <v>0</v>
      </c>
      <c r="AC132">
        <v>0</v>
      </c>
      <c r="AD132">
        <v>0</v>
      </c>
      <c r="AE132">
        <v>7.07</v>
      </c>
      <c r="AF132">
        <v>0</v>
      </c>
      <c r="AG132">
        <v>0</v>
      </c>
      <c r="AH132">
        <v>0</v>
      </c>
      <c r="AI132">
        <v>4.99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5</v>
      </c>
      <c r="AU132" t="s">
        <v>3</v>
      </c>
      <c r="AV132">
        <v>0</v>
      </c>
      <c r="AW132">
        <v>2</v>
      </c>
      <c r="AX132">
        <v>33992262</v>
      </c>
      <c r="AY132">
        <v>1</v>
      </c>
      <c r="AZ132">
        <v>0</v>
      </c>
      <c r="BA132">
        <v>133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Y132*Source!I254</f>
        <v>2.093</v>
      </c>
      <c r="CY132">
        <f>AA132</f>
        <v>35.35</v>
      </c>
      <c r="CZ132">
        <f>AE132</f>
        <v>7.07</v>
      </c>
      <c r="DA132">
        <f>AI132</f>
        <v>4.99</v>
      </c>
      <c r="DB132">
        <f t="shared" si="16"/>
        <v>35.35</v>
      </c>
      <c r="DC132">
        <f t="shared" si="17"/>
        <v>0</v>
      </c>
    </row>
    <row r="133" spans="1:107" x14ac:dyDescent="0.2">
      <c r="A133">
        <f>ROW(Source!A254)</f>
        <v>254</v>
      </c>
      <c r="B133">
        <v>33989672</v>
      </c>
      <c r="C133">
        <v>33992247</v>
      </c>
      <c r="D133">
        <v>30041978</v>
      </c>
      <c r="E133">
        <v>1</v>
      </c>
      <c r="F133">
        <v>1</v>
      </c>
      <c r="G133">
        <v>29983435</v>
      </c>
      <c r="H133">
        <v>3</v>
      </c>
      <c r="I133" t="s">
        <v>190</v>
      </c>
      <c r="J133" t="s">
        <v>192</v>
      </c>
      <c r="K133" t="s">
        <v>191</v>
      </c>
      <c r="L133">
        <v>1339</v>
      </c>
      <c r="N133">
        <v>1007</v>
      </c>
      <c r="O133" t="s">
        <v>66</v>
      </c>
      <c r="P133" t="s">
        <v>66</v>
      </c>
      <c r="Q133">
        <v>1</v>
      </c>
      <c r="W133">
        <v>0</v>
      </c>
      <c r="X133">
        <v>2069056849</v>
      </c>
      <c r="Y133">
        <v>110</v>
      </c>
      <c r="AA133">
        <v>553.35</v>
      </c>
      <c r="AB133">
        <v>0</v>
      </c>
      <c r="AC133">
        <v>0</v>
      </c>
      <c r="AD133">
        <v>0</v>
      </c>
      <c r="AE133">
        <v>104.99</v>
      </c>
      <c r="AF133">
        <v>0</v>
      </c>
      <c r="AG133">
        <v>0</v>
      </c>
      <c r="AH133">
        <v>0</v>
      </c>
      <c r="AI133">
        <v>5.26</v>
      </c>
      <c r="AJ133">
        <v>1</v>
      </c>
      <c r="AK133">
        <v>1</v>
      </c>
      <c r="AL133">
        <v>1</v>
      </c>
      <c r="AN133">
        <v>0</v>
      </c>
      <c r="AO133">
        <v>0</v>
      </c>
      <c r="AP133">
        <v>0</v>
      </c>
      <c r="AQ133">
        <v>0</v>
      </c>
      <c r="AR133">
        <v>0</v>
      </c>
      <c r="AS133" t="s">
        <v>3</v>
      </c>
      <c r="AT133">
        <v>110</v>
      </c>
      <c r="AU133" t="s">
        <v>3</v>
      </c>
      <c r="AV133">
        <v>0</v>
      </c>
      <c r="AW133">
        <v>1</v>
      </c>
      <c r="AX133">
        <v>-1</v>
      </c>
      <c r="AY133">
        <v>0</v>
      </c>
      <c r="AZ133">
        <v>0</v>
      </c>
      <c r="BA133" t="s">
        <v>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Y133*Source!I254</f>
        <v>46.046000000000006</v>
      </c>
      <c r="CY133">
        <f>AA133</f>
        <v>553.35</v>
      </c>
      <c r="CZ133">
        <f>AE133</f>
        <v>104.99</v>
      </c>
      <c r="DA133">
        <f>AI133</f>
        <v>5.26</v>
      </c>
      <c r="DB133">
        <f t="shared" si="16"/>
        <v>11548.9</v>
      </c>
      <c r="DC133">
        <f t="shared" si="17"/>
        <v>0</v>
      </c>
    </row>
    <row r="134" spans="1:107" x14ac:dyDescent="0.2">
      <c r="A134">
        <f>ROW(Source!A256)</f>
        <v>256</v>
      </c>
      <c r="B134">
        <v>33989672</v>
      </c>
      <c r="C134">
        <v>33992265</v>
      </c>
      <c r="D134">
        <v>29983441</v>
      </c>
      <c r="E134">
        <v>29983435</v>
      </c>
      <c r="F134">
        <v>1</v>
      </c>
      <c r="G134">
        <v>29983435</v>
      </c>
      <c r="H134">
        <v>1</v>
      </c>
      <c r="I134" t="s">
        <v>646</v>
      </c>
      <c r="J134" t="s">
        <v>3</v>
      </c>
      <c r="K134" t="s">
        <v>647</v>
      </c>
      <c r="L134">
        <v>1191</v>
      </c>
      <c r="N134">
        <v>1013</v>
      </c>
      <c r="O134" t="s">
        <v>648</v>
      </c>
      <c r="P134" t="s">
        <v>648</v>
      </c>
      <c r="Q134">
        <v>1</v>
      </c>
      <c r="W134">
        <v>0</v>
      </c>
      <c r="X134">
        <v>476480486</v>
      </c>
      <c r="Y134">
        <v>63.44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63.44</v>
      </c>
      <c r="AU134" t="s">
        <v>3</v>
      </c>
      <c r="AV134">
        <v>1</v>
      </c>
      <c r="AW134">
        <v>2</v>
      </c>
      <c r="AX134">
        <v>33992275</v>
      </c>
      <c r="AY134">
        <v>1</v>
      </c>
      <c r="AZ134">
        <v>0</v>
      </c>
      <c r="BA134">
        <v>135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Y134*Source!I256</f>
        <v>1327.7991999999999</v>
      </c>
      <c r="CY134">
        <f>AD134</f>
        <v>0</v>
      </c>
      <c r="CZ134">
        <f>AH134</f>
        <v>0</v>
      </c>
      <c r="DA134">
        <f>AL134</f>
        <v>1</v>
      </c>
      <c r="DB134">
        <f t="shared" si="16"/>
        <v>0</v>
      </c>
      <c r="DC134">
        <f t="shared" si="17"/>
        <v>0</v>
      </c>
    </row>
    <row r="135" spans="1:107" x14ac:dyDescent="0.2">
      <c r="A135">
        <f>ROW(Source!A256)</f>
        <v>256</v>
      </c>
      <c r="B135">
        <v>33989672</v>
      </c>
      <c r="C135">
        <v>33992265</v>
      </c>
      <c r="D135">
        <v>30064095</v>
      </c>
      <c r="E135">
        <v>1</v>
      </c>
      <c r="F135">
        <v>1</v>
      </c>
      <c r="G135">
        <v>29983435</v>
      </c>
      <c r="H135">
        <v>2</v>
      </c>
      <c r="I135" t="s">
        <v>680</v>
      </c>
      <c r="J135" t="s">
        <v>681</v>
      </c>
      <c r="K135" t="s">
        <v>682</v>
      </c>
      <c r="L135">
        <v>1367</v>
      </c>
      <c r="N135">
        <v>1011</v>
      </c>
      <c r="O135" t="s">
        <v>652</v>
      </c>
      <c r="P135" t="s">
        <v>652</v>
      </c>
      <c r="Q135">
        <v>1</v>
      </c>
      <c r="W135">
        <v>0</v>
      </c>
      <c r="X135">
        <v>-628430174</v>
      </c>
      <c r="Y135">
        <v>0.14000000000000001</v>
      </c>
      <c r="AA135">
        <v>0</v>
      </c>
      <c r="AB135">
        <v>755.14</v>
      </c>
      <c r="AC135">
        <v>368.81</v>
      </c>
      <c r="AD135">
        <v>0</v>
      </c>
      <c r="AE135">
        <v>0</v>
      </c>
      <c r="AF135">
        <v>76.81</v>
      </c>
      <c r="AG135">
        <v>14.36</v>
      </c>
      <c r="AH135">
        <v>0</v>
      </c>
      <c r="AI135">
        <v>1</v>
      </c>
      <c r="AJ135">
        <v>9.39</v>
      </c>
      <c r="AK135">
        <v>24.53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0.14000000000000001</v>
      </c>
      <c r="AU135" t="s">
        <v>3</v>
      </c>
      <c r="AV135">
        <v>0</v>
      </c>
      <c r="AW135">
        <v>2</v>
      </c>
      <c r="AX135">
        <v>33992276</v>
      </c>
      <c r="AY135">
        <v>1</v>
      </c>
      <c r="AZ135">
        <v>0</v>
      </c>
      <c r="BA135">
        <v>136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Y135*Source!I256</f>
        <v>2.9302000000000001</v>
      </c>
      <c r="CY135">
        <f>AB135</f>
        <v>755.14</v>
      </c>
      <c r="CZ135">
        <f>AF135</f>
        <v>76.81</v>
      </c>
      <c r="DA135">
        <f>AJ135</f>
        <v>9.39</v>
      </c>
      <c r="DB135">
        <f t="shared" si="16"/>
        <v>10.75</v>
      </c>
      <c r="DC135">
        <f t="shared" si="17"/>
        <v>2.0099999999999998</v>
      </c>
    </row>
    <row r="136" spans="1:107" x14ac:dyDescent="0.2">
      <c r="A136">
        <f>ROW(Source!A256)</f>
        <v>256</v>
      </c>
      <c r="B136">
        <v>33989672</v>
      </c>
      <c r="C136">
        <v>33992265</v>
      </c>
      <c r="D136">
        <v>30063337</v>
      </c>
      <c r="E136">
        <v>1</v>
      </c>
      <c r="F136">
        <v>1</v>
      </c>
      <c r="G136">
        <v>29983435</v>
      </c>
      <c r="H136">
        <v>2</v>
      </c>
      <c r="I136" t="s">
        <v>729</v>
      </c>
      <c r="J136" t="s">
        <v>730</v>
      </c>
      <c r="K136" t="s">
        <v>731</v>
      </c>
      <c r="L136">
        <v>1367</v>
      </c>
      <c r="N136">
        <v>1011</v>
      </c>
      <c r="O136" t="s">
        <v>652</v>
      </c>
      <c r="P136" t="s">
        <v>652</v>
      </c>
      <c r="Q136">
        <v>1</v>
      </c>
      <c r="W136">
        <v>0</v>
      </c>
      <c r="X136">
        <v>-266174272</v>
      </c>
      <c r="Y136">
        <v>0.14000000000000001</v>
      </c>
      <c r="AA136">
        <v>0</v>
      </c>
      <c r="AB136">
        <v>1655.2</v>
      </c>
      <c r="AC136">
        <v>466.14</v>
      </c>
      <c r="AD136">
        <v>0</v>
      </c>
      <c r="AE136">
        <v>0</v>
      </c>
      <c r="AF136">
        <v>190.93</v>
      </c>
      <c r="AG136">
        <v>18.149999999999999</v>
      </c>
      <c r="AH136">
        <v>0</v>
      </c>
      <c r="AI136">
        <v>1</v>
      </c>
      <c r="AJ136">
        <v>8.2799999999999994</v>
      </c>
      <c r="AK136">
        <v>24.53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0.14000000000000001</v>
      </c>
      <c r="AU136" t="s">
        <v>3</v>
      </c>
      <c r="AV136">
        <v>0</v>
      </c>
      <c r="AW136">
        <v>2</v>
      </c>
      <c r="AX136">
        <v>33992277</v>
      </c>
      <c r="AY136">
        <v>1</v>
      </c>
      <c r="AZ136">
        <v>0</v>
      </c>
      <c r="BA136">
        <v>137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Y136*Source!I256</f>
        <v>2.9302000000000001</v>
      </c>
      <c r="CY136">
        <f>AB136</f>
        <v>1655.2</v>
      </c>
      <c r="CZ136">
        <f>AF136</f>
        <v>190.93</v>
      </c>
      <c r="DA136">
        <f>AJ136</f>
        <v>8.2799999999999994</v>
      </c>
      <c r="DB136">
        <f t="shared" si="16"/>
        <v>26.73</v>
      </c>
      <c r="DC136">
        <f t="shared" si="17"/>
        <v>2.54</v>
      </c>
    </row>
    <row r="137" spans="1:107" x14ac:dyDescent="0.2">
      <c r="A137">
        <f>ROW(Source!A256)</f>
        <v>256</v>
      </c>
      <c r="B137">
        <v>33989672</v>
      </c>
      <c r="C137">
        <v>33992265</v>
      </c>
      <c r="D137">
        <v>30063432</v>
      </c>
      <c r="E137">
        <v>1</v>
      </c>
      <c r="F137">
        <v>1</v>
      </c>
      <c r="G137">
        <v>29983435</v>
      </c>
      <c r="H137">
        <v>2</v>
      </c>
      <c r="I137" t="s">
        <v>754</v>
      </c>
      <c r="J137" t="s">
        <v>755</v>
      </c>
      <c r="K137" t="s">
        <v>756</v>
      </c>
      <c r="L137">
        <v>1367</v>
      </c>
      <c r="N137">
        <v>1011</v>
      </c>
      <c r="O137" t="s">
        <v>652</v>
      </c>
      <c r="P137" t="s">
        <v>652</v>
      </c>
      <c r="Q137">
        <v>1</v>
      </c>
      <c r="W137">
        <v>0</v>
      </c>
      <c r="X137">
        <v>482200787</v>
      </c>
      <c r="Y137">
        <v>0.22</v>
      </c>
      <c r="AA137">
        <v>0</v>
      </c>
      <c r="AB137">
        <v>742.91</v>
      </c>
      <c r="AC137">
        <v>434.04</v>
      </c>
      <c r="AD137">
        <v>0</v>
      </c>
      <c r="AE137">
        <v>0</v>
      </c>
      <c r="AF137">
        <v>73</v>
      </c>
      <c r="AG137">
        <v>16.899999999999999</v>
      </c>
      <c r="AH137">
        <v>0</v>
      </c>
      <c r="AI137">
        <v>1</v>
      </c>
      <c r="AJ137">
        <v>9.7200000000000006</v>
      </c>
      <c r="AK137">
        <v>24.53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0.22</v>
      </c>
      <c r="AU137" t="s">
        <v>3</v>
      </c>
      <c r="AV137">
        <v>0</v>
      </c>
      <c r="AW137">
        <v>2</v>
      </c>
      <c r="AX137">
        <v>33992278</v>
      </c>
      <c r="AY137">
        <v>1</v>
      </c>
      <c r="AZ137">
        <v>0</v>
      </c>
      <c r="BA137">
        <v>138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Y137*Source!I256</f>
        <v>4.6045999999999996</v>
      </c>
      <c r="CY137">
        <f>AB137</f>
        <v>742.91</v>
      </c>
      <c r="CZ137">
        <f>AF137</f>
        <v>73</v>
      </c>
      <c r="DA137">
        <f>AJ137</f>
        <v>9.7200000000000006</v>
      </c>
      <c r="DB137">
        <f t="shared" si="16"/>
        <v>16.059999999999999</v>
      </c>
      <c r="DC137">
        <f t="shared" si="17"/>
        <v>3.72</v>
      </c>
    </row>
    <row r="138" spans="1:107" x14ac:dyDescent="0.2">
      <c r="A138">
        <f>ROW(Source!A256)</f>
        <v>256</v>
      </c>
      <c r="B138">
        <v>33989672</v>
      </c>
      <c r="C138">
        <v>33992265</v>
      </c>
      <c r="D138">
        <v>30042524</v>
      </c>
      <c r="E138">
        <v>1</v>
      </c>
      <c r="F138">
        <v>1</v>
      </c>
      <c r="G138">
        <v>29983435</v>
      </c>
      <c r="H138">
        <v>3</v>
      </c>
      <c r="I138" t="s">
        <v>757</v>
      </c>
      <c r="J138" t="s">
        <v>758</v>
      </c>
      <c r="K138" t="s">
        <v>759</v>
      </c>
      <c r="L138">
        <v>1348</v>
      </c>
      <c r="N138">
        <v>1009</v>
      </c>
      <c r="O138" t="s">
        <v>51</v>
      </c>
      <c r="P138" t="s">
        <v>51</v>
      </c>
      <c r="Q138">
        <v>1000</v>
      </c>
      <c r="W138">
        <v>0</v>
      </c>
      <c r="X138">
        <v>563176784</v>
      </c>
      <c r="Y138">
        <v>1E-3</v>
      </c>
      <c r="AA138">
        <v>52258.75</v>
      </c>
      <c r="AB138">
        <v>0</v>
      </c>
      <c r="AC138">
        <v>0</v>
      </c>
      <c r="AD138">
        <v>0</v>
      </c>
      <c r="AE138">
        <v>6521.42</v>
      </c>
      <c r="AF138">
        <v>0</v>
      </c>
      <c r="AG138">
        <v>0</v>
      </c>
      <c r="AH138">
        <v>0</v>
      </c>
      <c r="AI138">
        <v>7.78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3</v>
      </c>
      <c r="AT138">
        <v>1E-3</v>
      </c>
      <c r="AU138" t="s">
        <v>3</v>
      </c>
      <c r="AV138">
        <v>0</v>
      </c>
      <c r="AW138">
        <v>2</v>
      </c>
      <c r="AX138">
        <v>33992279</v>
      </c>
      <c r="AY138">
        <v>1</v>
      </c>
      <c r="AZ138">
        <v>0</v>
      </c>
      <c r="BA138">
        <v>139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Y138*Source!I256</f>
        <v>2.0930000000000001E-2</v>
      </c>
      <c r="CY138">
        <f>AA138</f>
        <v>52258.75</v>
      </c>
      <c r="CZ138">
        <f>AE138</f>
        <v>6521.42</v>
      </c>
      <c r="DA138">
        <f>AI138</f>
        <v>7.78</v>
      </c>
      <c r="DB138">
        <f t="shared" si="16"/>
        <v>6.52</v>
      </c>
      <c r="DC138">
        <f t="shared" si="17"/>
        <v>0</v>
      </c>
    </row>
    <row r="139" spans="1:107" x14ac:dyDescent="0.2">
      <c r="A139">
        <f>ROW(Source!A256)</f>
        <v>256</v>
      </c>
      <c r="B139">
        <v>33989672</v>
      </c>
      <c r="C139">
        <v>33992265</v>
      </c>
      <c r="D139">
        <v>30042430</v>
      </c>
      <c r="E139">
        <v>1</v>
      </c>
      <c r="F139">
        <v>1</v>
      </c>
      <c r="G139">
        <v>29983435</v>
      </c>
      <c r="H139">
        <v>3</v>
      </c>
      <c r="I139" t="s">
        <v>760</v>
      </c>
      <c r="J139" t="s">
        <v>761</v>
      </c>
      <c r="K139" t="s">
        <v>762</v>
      </c>
      <c r="L139">
        <v>1339</v>
      </c>
      <c r="N139">
        <v>1007</v>
      </c>
      <c r="O139" t="s">
        <v>66</v>
      </c>
      <c r="P139" t="s">
        <v>66</v>
      </c>
      <c r="Q139">
        <v>1</v>
      </c>
      <c r="W139">
        <v>0</v>
      </c>
      <c r="X139">
        <v>-164923881</v>
      </c>
      <c r="Y139">
        <v>0.17</v>
      </c>
      <c r="AA139">
        <v>3126.47</v>
      </c>
      <c r="AB139">
        <v>0</v>
      </c>
      <c r="AC139">
        <v>0</v>
      </c>
      <c r="AD139">
        <v>0</v>
      </c>
      <c r="AE139">
        <v>1828.56</v>
      </c>
      <c r="AF139">
        <v>0</v>
      </c>
      <c r="AG139">
        <v>0</v>
      </c>
      <c r="AH139">
        <v>0</v>
      </c>
      <c r="AI139">
        <v>1.66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0.17</v>
      </c>
      <c r="AU139" t="s">
        <v>3</v>
      </c>
      <c r="AV139">
        <v>0</v>
      </c>
      <c r="AW139">
        <v>2</v>
      </c>
      <c r="AX139">
        <v>33992280</v>
      </c>
      <c r="AY139">
        <v>1</v>
      </c>
      <c r="AZ139">
        <v>0</v>
      </c>
      <c r="BA139">
        <v>140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Y139*Source!I256</f>
        <v>3.5581</v>
      </c>
      <c r="CY139">
        <f>AA139</f>
        <v>3126.47</v>
      </c>
      <c r="CZ139">
        <f>AE139</f>
        <v>1828.56</v>
      </c>
      <c r="DA139">
        <f>AI139</f>
        <v>1.66</v>
      </c>
      <c r="DB139">
        <f t="shared" si="16"/>
        <v>310.86</v>
      </c>
      <c r="DC139">
        <f t="shared" si="17"/>
        <v>0</v>
      </c>
    </row>
    <row r="140" spans="1:107" x14ac:dyDescent="0.2">
      <c r="A140">
        <f>ROW(Source!A256)</f>
        <v>256</v>
      </c>
      <c r="B140">
        <v>33989672</v>
      </c>
      <c r="C140">
        <v>33992265</v>
      </c>
      <c r="D140">
        <v>30057410</v>
      </c>
      <c r="E140">
        <v>1</v>
      </c>
      <c r="F140">
        <v>1</v>
      </c>
      <c r="G140">
        <v>29983435</v>
      </c>
      <c r="H140">
        <v>3</v>
      </c>
      <c r="I140" t="s">
        <v>732</v>
      </c>
      <c r="J140" t="s">
        <v>733</v>
      </c>
      <c r="K140" t="s">
        <v>734</v>
      </c>
      <c r="L140">
        <v>1339</v>
      </c>
      <c r="N140">
        <v>1007</v>
      </c>
      <c r="O140" t="s">
        <v>66</v>
      </c>
      <c r="P140" t="s">
        <v>66</v>
      </c>
      <c r="Q140">
        <v>1</v>
      </c>
      <c r="W140">
        <v>0</v>
      </c>
      <c r="X140">
        <v>-758282629</v>
      </c>
      <c r="Y140">
        <v>4.8</v>
      </c>
      <c r="AA140">
        <v>4334.4399999999996</v>
      </c>
      <c r="AB140">
        <v>0</v>
      </c>
      <c r="AC140">
        <v>0</v>
      </c>
      <c r="AD140">
        <v>0</v>
      </c>
      <c r="AE140">
        <v>704.89</v>
      </c>
      <c r="AF140">
        <v>0</v>
      </c>
      <c r="AG140">
        <v>0</v>
      </c>
      <c r="AH140">
        <v>0</v>
      </c>
      <c r="AI140">
        <v>5.97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4.8</v>
      </c>
      <c r="AU140" t="s">
        <v>3</v>
      </c>
      <c r="AV140">
        <v>0</v>
      </c>
      <c r="AW140">
        <v>2</v>
      </c>
      <c r="AX140">
        <v>33992281</v>
      </c>
      <c r="AY140">
        <v>1</v>
      </c>
      <c r="AZ140">
        <v>0</v>
      </c>
      <c r="BA140">
        <v>141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Y140*Source!I256</f>
        <v>100.464</v>
      </c>
      <c r="CY140">
        <f>AA140</f>
        <v>4334.4399999999996</v>
      </c>
      <c r="CZ140">
        <f>AE140</f>
        <v>704.89</v>
      </c>
      <c r="DA140">
        <f>AI140</f>
        <v>5.97</v>
      </c>
      <c r="DB140">
        <f t="shared" si="16"/>
        <v>3383.47</v>
      </c>
      <c r="DC140">
        <f t="shared" si="17"/>
        <v>0</v>
      </c>
    </row>
    <row r="141" spans="1:107" x14ac:dyDescent="0.2">
      <c r="A141">
        <f>ROW(Source!A256)</f>
        <v>256</v>
      </c>
      <c r="B141">
        <v>33989672</v>
      </c>
      <c r="C141">
        <v>33992265</v>
      </c>
      <c r="D141">
        <v>30057544</v>
      </c>
      <c r="E141">
        <v>1</v>
      </c>
      <c r="F141">
        <v>1</v>
      </c>
      <c r="G141">
        <v>29983435</v>
      </c>
      <c r="H141">
        <v>3</v>
      </c>
      <c r="I141" t="s">
        <v>735</v>
      </c>
      <c r="J141" t="s">
        <v>736</v>
      </c>
      <c r="K141" t="s">
        <v>737</v>
      </c>
      <c r="L141">
        <v>1339</v>
      </c>
      <c r="N141">
        <v>1007</v>
      </c>
      <c r="O141" t="s">
        <v>66</v>
      </c>
      <c r="P141" t="s">
        <v>66</v>
      </c>
      <c r="Q141">
        <v>1</v>
      </c>
      <c r="W141">
        <v>0</v>
      </c>
      <c r="X141">
        <v>-718781615</v>
      </c>
      <c r="Y141">
        <v>0.02</v>
      </c>
      <c r="AA141">
        <v>3406.06</v>
      </c>
      <c r="AB141">
        <v>0</v>
      </c>
      <c r="AC141">
        <v>0</v>
      </c>
      <c r="AD141">
        <v>0</v>
      </c>
      <c r="AE141">
        <v>451.14</v>
      </c>
      <c r="AF141">
        <v>0</v>
      </c>
      <c r="AG141">
        <v>0</v>
      </c>
      <c r="AH141">
        <v>0</v>
      </c>
      <c r="AI141">
        <v>7.33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0.02</v>
      </c>
      <c r="AU141" t="s">
        <v>3</v>
      </c>
      <c r="AV141">
        <v>0</v>
      </c>
      <c r="AW141">
        <v>2</v>
      </c>
      <c r="AX141">
        <v>33992282</v>
      </c>
      <c r="AY141">
        <v>1</v>
      </c>
      <c r="AZ141">
        <v>0</v>
      </c>
      <c r="BA141">
        <v>142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Y141*Source!I256</f>
        <v>0.41860000000000003</v>
      </c>
      <c r="CY141">
        <f>AA141</f>
        <v>3406.06</v>
      </c>
      <c r="CZ141">
        <f>AE141</f>
        <v>451.14</v>
      </c>
      <c r="DA141">
        <f>AI141</f>
        <v>7.33</v>
      </c>
      <c r="DB141">
        <f t="shared" si="16"/>
        <v>9.02</v>
      </c>
      <c r="DC141">
        <f t="shared" si="17"/>
        <v>0</v>
      </c>
    </row>
    <row r="142" spans="1:107" x14ac:dyDescent="0.2">
      <c r="A142">
        <f>ROW(Source!A256)</f>
        <v>256</v>
      </c>
      <c r="B142">
        <v>33989672</v>
      </c>
      <c r="C142">
        <v>33992265</v>
      </c>
      <c r="D142">
        <v>30059518</v>
      </c>
      <c r="E142">
        <v>1</v>
      </c>
      <c r="F142">
        <v>1</v>
      </c>
      <c r="G142">
        <v>29983435</v>
      </c>
      <c r="H142">
        <v>3</v>
      </c>
      <c r="I142" t="s">
        <v>255</v>
      </c>
      <c r="J142" t="s">
        <v>257</v>
      </c>
      <c r="K142" t="s">
        <v>256</v>
      </c>
      <c r="L142">
        <v>1339</v>
      </c>
      <c r="N142">
        <v>1007</v>
      </c>
      <c r="O142" t="s">
        <v>66</v>
      </c>
      <c r="P142" t="s">
        <v>66</v>
      </c>
      <c r="Q142">
        <v>1</v>
      </c>
      <c r="W142">
        <v>0</v>
      </c>
      <c r="X142">
        <v>889553512</v>
      </c>
      <c r="Y142">
        <v>1.4112</v>
      </c>
      <c r="AA142">
        <v>8772.49</v>
      </c>
      <c r="AB142">
        <v>0</v>
      </c>
      <c r="AC142">
        <v>0</v>
      </c>
      <c r="AD142">
        <v>0</v>
      </c>
      <c r="AE142">
        <v>2385.71</v>
      </c>
      <c r="AF142">
        <v>0</v>
      </c>
      <c r="AG142">
        <v>0</v>
      </c>
      <c r="AH142">
        <v>0</v>
      </c>
      <c r="AI142">
        <v>3.57</v>
      </c>
      <c r="AJ142">
        <v>1</v>
      </c>
      <c r="AK142">
        <v>1</v>
      </c>
      <c r="AL142">
        <v>1</v>
      </c>
      <c r="AN142">
        <v>0</v>
      </c>
      <c r="AO142">
        <v>0</v>
      </c>
      <c r="AP142">
        <v>0</v>
      </c>
      <c r="AQ142">
        <v>0</v>
      </c>
      <c r="AR142">
        <v>0</v>
      </c>
      <c r="AS142" t="s">
        <v>3</v>
      </c>
      <c r="AT142">
        <v>1.4112</v>
      </c>
      <c r="AU142" t="s">
        <v>3</v>
      </c>
      <c r="AV142">
        <v>0</v>
      </c>
      <c r="AW142">
        <v>1</v>
      </c>
      <c r="AX142">
        <v>-1</v>
      </c>
      <c r="AY142">
        <v>0</v>
      </c>
      <c r="AZ142">
        <v>0</v>
      </c>
      <c r="BA142" t="s">
        <v>3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Y142*Source!I256</f>
        <v>29.536415999999999</v>
      </c>
      <c r="CY142">
        <f>AA142</f>
        <v>8772.49</v>
      </c>
      <c r="CZ142">
        <f>AE142</f>
        <v>2385.71</v>
      </c>
      <c r="DA142">
        <f>AI142</f>
        <v>3.57</v>
      </c>
      <c r="DB142">
        <f t="shared" si="16"/>
        <v>3366.71</v>
      </c>
      <c r="DC142">
        <f t="shared" si="17"/>
        <v>0</v>
      </c>
    </row>
    <row r="143" spans="1:107" x14ac:dyDescent="0.2">
      <c r="A143">
        <f>ROW(Source!A328)</f>
        <v>328</v>
      </c>
      <c r="B143">
        <v>33989672</v>
      </c>
      <c r="C143">
        <v>33992285</v>
      </c>
      <c r="D143">
        <v>29983441</v>
      </c>
      <c r="E143">
        <v>29983435</v>
      </c>
      <c r="F143">
        <v>1</v>
      </c>
      <c r="G143">
        <v>29983435</v>
      </c>
      <c r="H143">
        <v>1</v>
      </c>
      <c r="I143" t="s">
        <v>646</v>
      </c>
      <c r="J143" t="s">
        <v>3</v>
      </c>
      <c r="K143" t="s">
        <v>647</v>
      </c>
      <c r="L143">
        <v>1191</v>
      </c>
      <c r="N143">
        <v>1013</v>
      </c>
      <c r="O143" t="s">
        <v>648</v>
      </c>
      <c r="P143" t="s">
        <v>648</v>
      </c>
      <c r="Q143">
        <v>1</v>
      </c>
      <c r="W143">
        <v>0</v>
      </c>
      <c r="X143">
        <v>476480486</v>
      </c>
      <c r="Y143">
        <v>1.38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1.38</v>
      </c>
      <c r="AU143" t="s">
        <v>3</v>
      </c>
      <c r="AV143">
        <v>1</v>
      </c>
      <c r="AW143">
        <v>2</v>
      </c>
      <c r="AX143">
        <v>33992289</v>
      </c>
      <c r="AY143">
        <v>1</v>
      </c>
      <c r="AZ143">
        <v>0</v>
      </c>
      <c r="BA143">
        <v>144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Y143*Source!I328</f>
        <v>27.032129999999999</v>
      </c>
      <c r="CY143">
        <f>AD143</f>
        <v>0</v>
      </c>
      <c r="CZ143">
        <f>AH143</f>
        <v>0</v>
      </c>
      <c r="DA143">
        <f>AL143</f>
        <v>1</v>
      </c>
      <c r="DB143">
        <f t="shared" si="16"/>
        <v>0</v>
      </c>
      <c r="DC143">
        <f t="shared" si="17"/>
        <v>0</v>
      </c>
    </row>
    <row r="144" spans="1:107" x14ac:dyDescent="0.2">
      <c r="A144">
        <f>ROW(Source!A328)</f>
        <v>328</v>
      </c>
      <c r="B144">
        <v>33989672</v>
      </c>
      <c r="C144">
        <v>33992285</v>
      </c>
      <c r="D144">
        <v>30063245</v>
      </c>
      <c r="E144">
        <v>1</v>
      </c>
      <c r="F144">
        <v>1</v>
      </c>
      <c r="G144">
        <v>29983435</v>
      </c>
      <c r="H144">
        <v>2</v>
      </c>
      <c r="I144" t="s">
        <v>740</v>
      </c>
      <c r="J144" t="s">
        <v>741</v>
      </c>
      <c r="K144" t="s">
        <v>742</v>
      </c>
      <c r="L144">
        <v>1367</v>
      </c>
      <c r="N144">
        <v>1011</v>
      </c>
      <c r="O144" t="s">
        <v>652</v>
      </c>
      <c r="P144" t="s">
        <v>652</v>
      </c>
      <c r="Q144">
        <v>1</v>
      </c>
      <c r="W144">
        <v>0</v>
      </c>
      <c r="X144">
        <v>781556702</v>
      </c>
      <c r="Y144">
        <v>3.9874999999999998</v>
      </c>
      <c r="AA144">
        <v>0</v>
      </c>
      <c r="AB144">
        <v>1916.45</v>
      </c>
      <c r="AC144">
        <v>836.26</v>
      </c>
      <c r="AD144">
        <v>0</v>
      </c>
      <c r="AE144">
        <v>0</v>
      </c>
      <c r="AF144">
        <v>162.4</v>
      </c>
      <c r="AG144">
        <v>28.6</v>
      </c>
      <c r="AH144">
        <v>0</v>
      </c>
      <c r="AI144">
        <v>1</v>
      </c>
      <c r="AJ144">
        <v>9.9</v>
      </c>
      <c r="AK144">
        <v>24.53</v>
      </c>
      <c r="AL144">
        <v>1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3.9874999999999998</v>
      </c>
      <c r="AU144" t="s">
        <v>3</v>
      </c>
      <c r="AV144">
        <v>0</v>
      </c>
      <c r="AW144">
        <v>2</v>
      </c>
      <c r="AX144">
        <v>33992290</v>
      </c>
      <c r="AY144">
        <v>1</v>
      </c>
      <c r="AZ144">
        <v>0</v>
      </c>
      <c r="BA144">
        <v>145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Y144*Source!I328</f>
        <v>78.109143750000001</v>
      </c>
      <c r="CY144">
        <f>AB144</f>
        <v>1916.45</v>
      </c>
      <c r="CZ144">
        <f>AF144</f>
        <v>162.4</v>
      </c>
      <c r="DA144">
        <f>AJ144</f>
        <v>9.9</v>
      </c>
      <c r="DB144">
        <f t="shared" si="16"/>
        <v>647.57000000000005</v>
      </c>
      <c r="DC144">
        <f t="shared" si="17"/>
        <v>114.04</v>
      </c>
    </row>
    <row r="145" spans="1:107" x14ac:dyDescent="0.2">
      <c r="A145">
        <f>ROW(Source!A328)</f>
        <v>328</v>
      </c>
      <c r="B145">
        <v>33989672</v>
      </c>
      <c r="C145">
        <v>33992285</v>
      </c>
      <c r="D145">
        <v>30063270</v>
      </c>
      <c r="E145">
        <v>1</v>
      </c>
      <c r="F145">
        <v>1</v>
      </c>
      <c r="G145">
        <v>29983435</v>
      </c>
      <c r="H145">
        <v>2</v>
      </c>
      <c r="I145" t="s">
        <v>743</v>
      </c>
      <c r="J145" t="s">
        <v>744</v>
      </c>
      <c r="K145" t="s">
        <v>745</v>
      </c>
      <c r="L145">
        <v>1367</v>
      </c>
      <c r="N145">
        <v>1011</v>
      </c>
      <c r="O145" t="s">
        <v>652</v>
      </c>
      <c r="P145" t="s">
        <v>652</v>
      </c>
      <c r="Q145">
        <v>1</v>
      </c>
      <c r="W145">
        <v>0</v>
      </c>
      <c r="X145">
        <v>695902881</v>
      </c>
      <c r="Y145">
        <v>0.997</v>
      </c>
      <c r="AA145">
        <v>0</v>
      </c>
      <c r="AB145">
        <v>1232.06</v>
      </c>
      <c r="AC145">
        <v>775.44</v>
      </c>
      <c r="AD145">
        <v>0</v>
      </c>
      <c r="AE145">
        <v>0</v>
      </c>
      <c r="AF145">
        <v>110.31</v>
      </c>
      <c r="AG145">
        <v>26.52</v>
      </c>
      <c r="AH145">
        <v>0</v>
      </c>
      <c r="AI145">
        <v>1</v>
      </c>
      <c r="AJ145">
        <v>9.3699999999999992</v>
      </c>
      <c r="AK145">
        <v>24.53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3</v>
      </c>
      <c r="AT145">
        <v>0.997</v>
      </c>
      <c r="AU145" t="s">
        <v>3</v>
      </c>
      <c r="AV145">
        <v>0</v>
      </c>
      <c r="AW145">
        <v>2</v>
      </c>
      <c r="AX145">
        <v>33992291</v>
      </c>
      <c r="AY145">
        <v>1</v>
      </c>
      <c r="AZ145">
        <v>0</v>
      </c>
      <c r="BA145">
        <v>146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Y145*Source!I328</f>
        <v>19.5297345</v>
      </c>
      <c r="CY145">
        <f>AB145</f>
        <v>1232.06</v>
      </c>
      <c r="CZ145">
        <f>AF145</f>
        <v>110.31</v>
      </c>
      <c r="DA145">
        <f>AJ145</f>
        <v>9.3699999999999992</v>
      </c>
      <c r="DB145">
        <f t="shared" si="16"/>
        <v>109.98</v>
      </c>
      <c r="DC145">
        <f t="shared" si="17"/>
        <v>26.44</v>
      </c>
    </row>
    <row r="146" spans="1:107" x14ac:dyDescent="0.2">
      <c r="A146">
        <f>ROW(Source!A329)</f>
        <v>329</v>
      </c>
      <c r="B146">
        <v>33989672</v>
      </c>
      <c r="C146">
        <v>33992292</v>
      </c>
      <c r="D146">
        <v>29983441</v>
      </c>
      <c r="E146">
        <v>29983435</v>
      </c>
      <c r="F146">
        <v>1</v>
      </c>
      <c r="G146">
        <v>29983435</v>
      </c>
      <c r="H146">
        <v>1</v>
      </c>
      <c r="I146" t="s">
        <v>646</v>
      </c>
      <c r="J146" t="s">
        <v>3</v>
      </c>
      <c r="K146" t="s">
        <v>647</v>
      </c>
      <c r="L146">
        <v>1191</v>
      </c>
      <c r="N146">
        <v>1013</v>
      </c>
      <c r="O146" t="s">
        <v>648</v>
      </c>
      <c r="P146" t="s">
        <v>648</v>
      </c>
      <c r="Q146">
        <v>1</v>
      </c>
      <c r="W146">
        <v>0</v>
      </c>
      <c r="X146">
        <v>476480486</v>
      </c>
      <c r="Y146">
        <v>2.31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</v>
      </c>
      <c r="AT146">
        <v>2.31</v>
      </c>
      <c r="AU146" t="s">
        <v>3</v>
      </c>
      <c r="AV146">
        <v>1</v>
      </c>
      <c r="AW146">
        <v>2</v>
      </c>
      <c r="AX146">
        <v>33992294</v>
      </c>
      <c r="AY146">
        <v>1</v>
      </c>
      <c r="AZ146">
        <v>0</v>
      </c>
      <c r="BA146">
        <v>147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Y146*Source!I329</f>
        <v>1508.3145000000002</v>
      </c>
      <c r="CY146">
        <f>AD146</f>
        <v>0</v>
      </c>
      <c r="CZ146">
        <f>AH146</f>
        <v>0</v>
      </c>
      <c r="DA146">
        <f>AL146</f>
        <v>1</v>
      </c>
      <c r="DB146">
        <f t="shared" si="16"/>
        <v>0</v>
      </c>
      <c r="DC146">
        <f t="shared" si="17"/>
        <v>0</v>
      </c>
    </row>
    <row r="147" spans="1:107" x14ac:dyDescent="0.2">
      <c r="A147">
        <f>ROW(Source!A330)</f>
        <v>330</v>
      </c>
      <c r="B147">
        <v>33989672</v>
      </c>
      <c r="C147">
        <v>33992295</v>
      </c>
      <c r="D147">
        <v>29983441</v>
      </c>
      <c r="E147">
        <v>29983435</v>
      </c>
      <c r="F147">
        <v>1</v>
      </c>
      <c r="G147">
        <v>29983435</v>
      </c>
      <c r="H147">
        <v>1</v>
      </c>
      <c r="I147" t="s">
        <v>646</v>
      </c>
      <c r="J147" t="s">
        <v>3</v>
      </c>
      <c r="K147" t="s">
        <v>647</v>
      </c>
      <c r="L147">
        <v>1191</v>
      </c>
      <c r="N147">
        <v>1013</v>
      </c>
      <c r="O147" t="s">
        <v>648</v>
      </c>
      <c r="P147" t="s">
        <v>648</v>
      </c>
      <c r="Q147">
        <v>1</v>
      </c>
      <c r="W147">
        <v>0</v>
      </c>
      <c r="X147">
        <v>476480486</v>
      </c>
      <c r="Y147">
        <v>1.38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1.38</v>
      </c>
      <c r="AU147" t="s">
        <v>3</v>
      </c>
      <c r="AV147">
        <v>1</v>
      </c>
      <c r="AW147">
        <v>2</v>
      </c>
      <c r="AX147">
        <v>33992299</v>
      </c>
      <c r="AY147">
        <v>1</v>
      </c>
      <c r="AZ147">
        <v>0</v>
      </c>
      <c r="BA147">
        <v>148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Y147*Source!I330</f>
        <v>8.1096389999999996</v>
      </c>
      <c r="CY147">
        <f>AD147</f>
        <v>0</v>
      </c>
      <c r="CZ147">
        <f>AH147</f>
        <v>0</v>
      </c>
      <c r="DA147">
        <f>AL147</f>
        <v>1</v>
      </c>
      <c r="DB147">
        <f t="shared" si="16"/>
        <v>0</v>
      </c>
      <c r="DC147">
        <f t="shared" si="17"/>
        <v>0</v>
      </c>
    </row>
    <row r="148" spans="1:107" x14ac:dyDescent="0.2">
      <c r="A148">
        <f>ROW(Source!A330)</f>
        <v>330</v>
      </c>
      <c r="B148">
        <v>33989672</v>
      </c>
      <c r="C148">
        <v>33992295</v>
      </c>
      <c r="D148">
        <v>30063245</v>
      </c>
      <c r="E148">
        <v>1</v>
      </c>
      <c r="F148">
        <v>1</v>
      </c>
      <c r="G148">
        <v>29983435</v>
      </c>
      <c r="H148">
        <v>2</v>
      </c>
      <c r="I148" t="s">
        <v>740</v>
      </c>
      <c r="J148" t="s">
        <v>741</v>
      </c>
      <c r="K148" t="s">
        <v>742</v>
      </c>
      <c r="L148">
        <v>1367</v>
      </c>
      <c r="N148">
        <v>1011</v>
      </c>
      <c r="O148" t="s">
        <v>652</v>
      </c>
      <c r="P148" t="s">
        <v>652</v>
      </c>
      <c r="Q148">
        <v>1</v>
      </c>
      <c r="W148">
        <v>0</v>
      </c>
      <c r="X148">
        <v>781556702</v>
      </c>
      <c r="Y148">
        <v>3.9874999999999998</v>
      </c>
      <c r="AA148">
        <v>0</v>
      </c>
      <c r="AB148">
        <v>1916.45</v>
      </c>
      <c r="AC148">
        <v>836.26</v>
      </c>
      <c r="AD148">
        <v>0</v>
      </c>
      <c r="AE148">
        <v>0</v>
      </c>
      <c r="AF148">
        <v>162.4</v>
      </c>
      <c r="AG148">
        <v>28.6</v>
      </c>
      <c r="AH148">
        <v>0</v>
      </c>
      <c r="AI148">
        <v>1</v>
      </c>
      <c r="AJ148">
        <v>9.9</v>
      </c>
      <c r="AK148">
        <v>24.53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</v>
      </c>
      <c r="AT148">
        <v>3.9874999999999998</v>
      </c>
      <c r="AU148" t="s">
        <v>3</v>
      </c>
      <c r="AV148">
        <v>0</v>
      </c>
      <c r="AW148">
        <v>2</v>
      </c>
      <c r="AX148">
        <v>33992300</v>
      </c>
      <c r="AY148">
        <v>1</v>
      </c>
      <c r="AZ148">
        <v>0</v>
      </c>
      <c r="BA148">
        <v>149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Y148*Source!I330</f>
        <v>23.432743124999998</v>
      </c>
      <c r="CY148">
        <f>AB148</f>
        <v>1916.45</v>
      </c>
      <c r="CZ148">
        <f>AF148</f>
        <v>162.4</v>
      </c>
      <c r="DA148">
        <f>AJ148</f>
        <v>9.9</v>
      </c>
      <c r="DB148">
        <f t="shared" si="16"/>
        <v>647.57000000000005</v>
      </c>
      <c r="DC148">
        <f t="shared" si="17"/>
        <v>114.04</v>
      </c>
    </row>
    <row r="149" spans="1:107" x14ac:dyDescent="0.2">
      <c r="A149">
        <f>ROW(Source!A330)</f>
        <v>330</v>
      </c>
      <c r="B149">
        <v>33989672</v>
      </c>
      <c r="C149">
        <v>33992295</v>
      </c>
      <c r="D149">
        <v>30063270</v>
      </c>
      <c r="E149">
        <v>1</v>
      </c>
      <c r="F149">
        <v>1</v>
      </c>
      <c r="G149">
        <v>29983435</v>
      </c>
      <c r="H149">
        <v>2</v>
      </c>
      <c r="I149" t="s">
        <v>743</v>
      </c>
      <c r="J149" t="s">
        <v>744</v>
      </c>
      <c r="K149" t="s">
        <v>745</v>
      </c>
      <c r="L149">
        <v>1367</v>
      </c>
      <c r="N149">
        <v>1011</v>
      </c>
      <c r="O149" t="s">
        <v>652</v>
      </c>
      <c r="P149" t="s">
        <v>652</v>
      </c>
      <c r="Q149">
        <v>1</v>
      </c>
      <c r="W149">
        <v>0</v>
      </c>
      <c r="X149">
        <v>695902881</v>
      </c>
      <c r="Y149">
        <v>0.997</v>
      </c>
      <c r="AA149">
        <v>0</v>
      </c>
      <c r="AB149">
        <v>1232.06</v>
      </c>
      <c r="AC149">
        <v>775.44</v>
      </c>
      <c r="AD149">
        <v>0</v>
      </c>
      <c r="AE149">
        <v>0</v>
      </c>
      <c r="AF149">
        <v>110.31</v>
      </c>
      <c r="AG149">
        <v>26.52</v>
      </c>
      <c r="AH149">
        <v>0</v>
      </c>
      <c r="AI149">
        <v>1</v>
      </c>
      <c r="AJ149">
        <v>9.3699999999999992</v>
      </c>
      <c r="AK149">
        <v>24.53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S149" t="s">
        <v>3</v>
      </c>
      <c r="AT149">
        <v>0.997</v>
      </c>
      <c r="AU149" t="s">
        <v>3</v>
      </c>
      <c r="AV149">
        <v>0</v>
      </c>
      <c r="AW149">
        <v>2</v>
      </c>
      <c r="AX149">
        <v>33992301</v>
      </c>
      <c r="AY149">
        <v>1</v>
      </c>
      <c r="AZ149">
        <v>0</v>
      </c>
      <c r="BA149">
        <v>150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Y149*Source!I330</f>
        <v>5.85892035</v>
      </c>
      <c r="CY149">
        <f>AB149</f>
        <v>1232.06</v>
      </c>
      <c r="CZ149">
        <f>AF149</f>
        <v>110.31</v>
      </c>
      <c r="DA149">
        <f>AJ149</f>
        <v>9.3699999999999992</v>
      </c>
      <c r="DB149">
        <f t="shared" si="16"/>
        <v>109.98</v>
      </c>
      <c r="DC149">
        <f t="shared" si="17"/>
        <v>26.44</v>
      </c>
    </row>
    <row r="150" spans="1:107" x14ac:dyDescent="0.2">
      <c r="A150">
        <f>ROW(Source!A331)</f>
        <v>331</v>
      </c>
      <c r="B150">
        <v>33989672</v>
      </c>
      <c r="C150">
        <v>33992302</v>
      </c>
      <c r="D150">
        <v>29983441</v>
      </c>
      <c r="E150">
        <v>29983435</v>
      </c>
      <c r="F150">
        <v>1</v>
      </c>
      <c r="G150">
        <v>29983435</v>
      </c>
      <c r="H150">
        <v>1</v>
      </c>
      <c r="I150" t="s">
        <v>646</v>
      </c>
      <c r="J150" t="s">
        <v>3</v>
      </c>
      <c r="K150" t="s">
        <v>647</v>
      </c>
      <c r="L150">
        <v>1191</v>
      </c>
      <c r="N150">
        <v>1013</v>
      </c>
      <c r="O150" t="s">
        <v>648</v>
      </c>
      <c r="P150" t="s">
        <v>648</v>
      </c>
      <c r="Q150">
        <v>1</v>
      </c>
      <c r="W150">
        <v>0</v>
      </c>
      <c r="X150">
        <v>476480486</v>
      </c>
      <c r="Y150">
        <v>83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1</v>
      </c>
      <c r="AP150">
        <v>0</v>
      </c>
      <c r="AQ150">
        <v>0</v>
      </c>
      <c r="AR150">
        <v>0</v>
      </c>
      <c r="AS150" t="s">
        <v>3</v>
      </c>
      <c r="AT150">
        <v>83</v>
      </c>
      <c r="AU150" t="s">
        <v>3</v>
      </c>
      <c r="AV150">
        <v>1</v>
      </c>
      <c r="AW150">
        <v>2</v>
      </c>
      <c r="AX150">
        <v>33992304</v>
      </c>
      <c r="AY150">
        <v>1</v>
      </c>
      <c r="AZ150">
        <v>0</v>
      </c>
      <c r="BA150">
        <v>151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Y150*Source!I331</f>
        <v>54.194850000000002</v>
      </c>
      <c r="CY150">
        <f>AD150</f>
        <v>0</v>
      </c>
      <c r="CZ150">
        <f>AH150</f>
        <v>0</v>
      </c>
      <c r="DA150">
        <f>AL150</f>
        <v>1</v>
      </c>
      <c r="DB150">
        <f t="shared" si="16"/>
        <v>0</v>
      </c>
      <c r="DC150">
        <f t="shared" si="17"/>
        <v>0</v>
      </c>
    </row>
    <row r="151" spans="1:107" x14ac:dyDescent="0.2">
      <c r="A151">
        <f>ROW(Source!A332)</f>
        <v>332</v>
      </c>
      <c r="B151">
        <v>33989672</v>
      </c>
      <c r="C151">
        <v>33992305</v>
      </c>
      <c r="D151">
        <v>30064124</v>
      </c>
      <c r="E151">
        <v>1</v>
      </c>
      <c r="F151">
        <v>1</v>
      </c>
      <c r="G151">
        <v>29983435</v>
      </c>
      <c r="H151">
        <v>2</v>
      </c>
      <c r="I151" t="s">
        <v>746</v>
      </c>
      <c r="J151" t="s">
        <v>747</v>
      </c>
      <c r="K151" t="s">
        <v>748</v>
      </c>
      <c r="L151">
        <v>1367</v>
      </c>
      <c r="N151">
        <v>1011</v>
      </c>
      <c r="O151" t="s">
        <v>652</v>
      </c>
      <c r="P151" t="s">
        <v>652</v>
      </c>
      <c r="Q151">
        <v>1</v>
      </c>
      <c r="W151">
        <v>0</v>
      </c>
      <c r="X151">
        <v>-1897129346</v>
      </c>
      <c r="Y151">
        <v>1</v>
      </c>
      <c r="AA151">
        <v>0</v>
      </c>
      <c r="AB151">
        <v>1382.12</v>
      </c>
      <c r="AC151">
        <v>415.05</v>
      </c>
      <c r="AD151">
        <v>0</v>
      </c>
      <c r="AE151">
        <v>0</v>
      </c>
      <c r="AF151">
        <v>162.03</v>
      </c>
      <c r="AG151">
        <v>16.920000000000002</v>
      </c>
      <c r="AH151">
        <v>0</v>
      </c>
      <c r="AI151">
        <v>1</v>
      </c>
      <c r="AJ151">
        <v>8.5299999999999994</v>
      </c>
      <c r="AK151">
        <v>24.53</v>
      </c>
      <c r="AL151">
        <v>1</v>
      </c>
      <c r="AN151">
        <v>0</v>
      </c>
      <c r="AO151">
        <v>1</v>
      </c>
      <c r="AP151">
        <v>0</v>
      </c>
      <c r="AQ151">
        <v>0</v>
      </c>
      <c r="AR151">
        <v>0</v>
      </c>
      <c r="AS151" t="s">
        <v>3</v>
      </c>
      <c r="AT151">
        <v>1</v>
      </c>
      <c r="AU151" t="s">
        <v>3</v>
      </c>
      <c r="AV151">
        <v>0</v>
      </c>
      <c r="AW151">
        <v>2</v>
      </c>
      <c r="AX151">
        <v>34039093</v>
      </c>
      <c r="AY151">
        <v>1</v>
      </c>
      <c r="AZ151">
        <v>0</v>
      </c>
      <c r="BA151">
        <v>152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Y151*Source!I332</f>
        <v>0</v>
      </c>
      <c r="CY151">
        <f>AB151</f>
        <v>1382.12</v>
      </c>
      <c r="CZ151">
        <f>AF151</f>
        <v>162.03</v>
      </c>
      <c r="DA151">
        <f>AJ151</f>
        <v>8.5299999999999994</v>
      </c>
      <c r="DB151">
        <f t="shared" si="16"/>
        <v>162.03</v>
      </c>
      <c r="DC151">
        <f t="shared" si="17"/>
        <v>16.920000000000002</v>
      </c>
    </row>
    <row r="152" spans="1:107" x14ac:dyDescent="0.2">
      <c r="A152">
        <f>ROW(Source!A333)</f>
        <v>333</v>
      </c>
      <c r="B152">
        <v>33989672</v>
      </c>
      <c r="C152">
        <v>33992308</v>
      </c>
      <c r="D152">
        <v>29983439</v>
      </c>
      <c r="E152">
        <v>29983435</v>
      </c>
      <c r="F152">
        <v>1</v>
      </c>
      <c r="G152">
        <v>29983435</v>
      </c>
      <c r="H152">
        <v>2</v>
      </c>
      <c r="I152" t="s">
        <v>674</v>
      </c>
      <c r="J152" t="s">
        <v>3</v>
      </c>
      <c r="K152" t="s">
        <v>675</v>
      </c>
      <c r="L152">
        <v>1344</v>
      </c>
      <c r="N152">
        <v>1008</v>
      </c>
      <c r="O152" t="s">
        <v>676</v>
      </c>
      <c r="P152" t="s">
        <v>676</v>
      </c>
      <c r="Q152">
        <v>1</v>
      </c>
      <c r="W152">
        <v>0</v>
      </c>
      <c r="X152">
        <v>-1180195794</v>
      </c>
      <c r="Y152">
        <v>12.61</v>
      </c>
      <c r="AA152">
        <v>0</v>
      </c>
      <c r="AB152">
        <v>1</v>
      </c>
      <c r="AC152">
        <v>0</v>
      </c>
      <c r="AD152">
        <v>0</v>
      </c>
      <c r="AE152">
        <v>0</v>
      </c>
      <c r="AF152">
        <v>1</v>
      </c>
      <c r="AG152">
        <v>0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S152" t="s">
        <v>3</v>
      </c>
      <c r="AT152">
        <v>12.61</v>
      </c>
      <c r="AU152" t="s">
        <v>3</v>
      </c>
      <c r="AV152">
        <v>0</v>
      </c>
      <c r="AW152">
        <v>2</v>
      </c>
      <c r="AX152">
        <v>33995754</v>
      </c>
      <c r="AY152">
        <v>1</v>
      </c>
      <c r="AZ152">
        <v>0</v>
      </c>
      <c r="BA152">
        <v>153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Y152*Source!I333</f>
        <v>0</v>
      </c>
      <c r="CY152">
        <f>AB152</f>
        <v>1</v>
      </c>
      <c r="CZ152">
        <f>AF152</f>
        <v>1</v>
      </c>
      <c r="DA152">
        <f>AJ152</f>
        <v>1</v>
      </c>
      <c r="DB152">
        <f t="shared" si="16"/>
        <v>12.61</v>
      </c>
      <c r="DC152">
        <f t="shared" si="17"/>
        <v>0</v>
      </c>
    </row>
    <row r="153" spans="1:107" x14ac:dyDescent="0.2">
      <c r="A153">
        <f>ROW(Source!A334)</f>
        <v>334</v>
      </c>
      <c r="B153">
        <v>33989672</v>
      </c>
      <c r="C153">
        <v>33992311</v>
      </c>
      <c r="D153">
        <v>29983441</v>
      </c>
      <c r="E153">
        <v>29983435</v>
      </c>
      <c r="F153">
        <v>1</v>
      </c>
      <c r="G153">
        <v>29983435</v>
      </c>
      <c r="H153">
        <v>1</v>
      </c>
      <c r="I153" t="s">
        <v>646</v>
      </c>
      <c r="J153" t="s">
        <v>3</v>
      </c>
      <c r="K153" t="s">
        <v>647</v>
      </c>
      <c r="L153">
        <v>1191</v>
      </c>
      <c r="N153">
        <v>1013</v>
      </c>
      <c r="O153" t="s">
        <v>648</v>
      </c>
      <c r="P153" t="s">
        <v>648</v>
      </c>
      <c r="Q153">
        <v>1</v>
      </c>
      <c r="W153">
        <v>0</v>
      </c>
      <c r="X153">
        <v>476480486</v>
      </c>
      <c r="Y153">
        <v>26.78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S153" t="s">
        <v>3</v>
      </c>
      <c r="AT153">
        <v>26.78</v>
      </c>
      <c r="AU153" t="s">
        <v>3</v>
      </c>
      <c r="AV153">
        <v>1</v>
      </c>
      <c r="AW153">
        <v>2</v>
      </c>
      <c r="AX153">
        <v>33992316</v>
      </c>
      <c r="AY153">
        <v>1</v>
      </c>
      <c r="AZ153">
        <v>0</v>
      </c>
      <c r="BA153">
        <v>154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Y153*Source!I334</f>
        <v>5245.8002999999999</v>
      </c>
      <c r="CY153">
        <f>AD153</f>
        <v>0</v>
      </c>
      <c r="CZ153">
        <f>AH153</f>
        <v>0</v>
      </c>
      <c r="DA153">
        <f>AL153</f>
        <v>1</v>
      </c>
      <c r="DB153">
        <f t="shared" si="16"/>
        <v>0</v>
      </c>
      <c r="DC153">
        <f t="shared" si="17"/>
        <v>0</v>
      </c>
    </row>
    <row r="154" spans="1:107" x14ac:dyDescent="0.2">
      <c r="A154">
        <f>ROW(Source!A334)</f>
        <v>334</v>
      </c>
      <c r="B154">
        <v>33989672</v>
      </c>
      <c r="C154">
        <v>33992311</v>
      </c>
      <c r="D154">
        <v>30063296</v>
      </c>
      <c r="E154">
        <v>1</v>
      </c>
      <c r="F154">
        <v>1</v>
      </c>
      <c r="G154">
        <v>29983435</v>
      </c>
      <c r="H154">
        <v>2</v>
      </c>
      <c r="I154" t="s">
        <v>763</v>
      </c>
      <c r="J154" t="s">
        <v>764</v>
      </c>
      <c r="K154" t="s">
        <v>765</v>
      </c>
      <c r="L154">
        <v>1367</v>
      </c>
      <c r="N154">
        <v>1011</v>
      </c>
      <c r="O154" t="s">
        <v>652</v>
      </c>
      <c r="P154" t="s">
        <v>652</v>
      </c>
      <c r="Q154">
        <v>1</v>
      </c>
      <c r="W154">
        <v>0</v>
      </c>
      <c r="X154">
        <v>-1758701186</v>
      </c>
      <c r="Y154">
        <v>0.05</v>
      </c>
      <c r="AA154">
        <v>0</v>
      </c>
      <c r="AB154">
        <v>922.73</v>
      </c>
      <c r="AC154">
        <v>510.71</v>
      </c>
      <c r="AD154">
        <v>0</v>
      </c>
      <c r="AE154">
        <v>0</v>
      </c>
      <c r="AF154">
        <v>97.54</v>
      </c>
      <c r="AG154">
        <v>20.82</v>
      </c>
      <c r="AH154">
        <v>0</v>
      </c>
      <c r="AI154">
        <v>1</v>
      </c>
      <c r="AJ154">
        <v>9.4600000000000009</v>
      </c>
      <c r="AK154">
        <v>24.53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S154" t="s">
        <v>3</v>
      </c>
      <c r="AT154">
        <v>0.05</v>
      </c>
      <c r="AU154" t="s">
        <v>3</v>
      </c>
      <c r="AV154">
        <v>0</v>
      </c>
      <c r="AW154">
        <v>2</v>
      </c>
      <c r="AX154">
        <v>33992317</v>
      </c>
      <c r="AY154">
        <v>1</v>
      </c>
      <c r="AZ154">
        <v>0</v>
      </c>
      <c r="BA154">
        <v>155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Y154*Source!I334</f>
        <v>9.7942499999999999</v>
      </c>
      <c r="CY154">
        <f>AB154</f>
        <v>922.73</v>
      </c>
      <c r="CZ154">
        <f>AF154</f>
        <v>97.54</v>
      </c>
      <c r="DA154">
        <f>AJ154</f>
        <v>9.4600000000000009</v>
      </c>
      <c r="DB154">
        <f t="shared" si="16"/>
        <v>4.88</v>
      </c>
      <c r="DC154">
        <f t="shared" si="17"/>
        <v>1.04</v>
      </c>
    </row>
    <row r="155" spans="1:107" x14ac:dyDescent="0.2">
      <c r="A155">
        <f>ROW(Source!A334)</f>
        <v>334</v>
      </c>
      <c r="B155">
        <v>33989672</v>
      </c>
      <c r="C155">
        <v>33992311</v>
      </c>
      <c r="D155">
        <v>29983439</v>
      </c>
      <c r="E155">
        <v>29983435</v>
      </c>
      <c r="F155">
        <v>1</v>
      </c>
      <c r="G155">
        <v>29983435</v>
      </c>
      <c r="H155">
        <v>2</v>
      </c>
      <c r="I155" t="s">
        <v>674</v>
      </c>
      <c r="J155" t="s">
        <v>3</v>
      </c>
      <c r="K155" t="s">
        <v>675</v>
      </c>
      <c r="L155">
        <v>1344</v>
      </c>
      <c r="N155">
        <v>1008</v>
      </c>
      <c r="O155" t="s">
        <v>676</v>
      </c>
      <c r="P155" t="s">
        <v>676</v>
      </c>
      <c r="Q155">
        <v>1</v>
      </c>
      <c r="W155">
        <v>0</v>
      </c>
      <c r="X155">
        <v>-1180195794</v>
      </c>
      <c r="Y155">
        <v>0.12</v>
      </c>
      <c r="AA155">
        <v>0</v>
      </c>
      <c r="AB155">
        <v>1</v>
      </c>
      <c r="AC155">
        <v>0</v>
      </c>
      <c r="AD155">
        <v>0</v>
      </c>
      <c r="AE155">
        <v>0</v>
      </c>
      <c r="AF155">
        <v>1</v>
      </c>
      <c r="AG155">
        <v>0</v>
      </c>
      <c r="AH155">
        <v>0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S155" t="s">
        <v>3</v>
      </c>
      <c r="AT155">
        <v>0.12</v>
      </c>
      <c r="AU155" t="s">
        <v>3</v>
      </c>
      <c r="AV155">
        <v>0</v>
      </c>
      <c r="AW155">
        <v>2</v>
      </c>
      <c r="AX155">
        <v>33992318</v>
      </c>
      <c r="AY155">
        <v>1</v>
      </c>
      <c r="AZ155">
        <v>0</v>
      </c>
      <c r="BA155">
        <v>156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Y155*Source!I334</f>
        <v>23.5062</v>
      </c>
      <c r="CY155">
        <f>AB155</f>
        <v>1</v>
      </c>
      <c r="CZ155">
        <f>AF155</f>
        <v>1</v>
      </c>
      <c r="DA155">
        <f>AJ155</f>
        <v>1</v>
      </c>
      <c r="DB155">
        <f t="shared" si="16"/>
        <v>0.12</v>
      </c>
      <c r="DC155">
        <f t="shared" si="17"/>
        <v>0</v>
      </c>
    </row>
    <row r="156" spans="1:107" x14ac:dyDescent="0.2">
      <c r="A156">
        <f>ROW(Source!A334)</f>
        <v>334</v>
      </c>
      <c r="B156">
        <v>33989672</v>
      </c>
      <c r="C156">
        <v>33992311</v>
      </c>
      <c r="D156">
        <v>30057929</v>
      </c>
      <c r="E156">
        <v>1</v>
      </c>
      <c r="F156">
        <v>1</v>
      </c>
      <c r="G156">
        <v>29983435</v>
      </c>
      <c r="H156">
        <v>3</v>
      </c>
      <c r="I156" t="s">
        <v>280</v>
      </c>
      <c r="J156" t="s">
        <v>282</v>
      </c>
      <c r="K156" t="s">
        <v>281</v>
      </c>
      <c r="L156">
        <v>1339</v>
      </c>
      <c r="N156">
        <v>1007</v>
      </c>
      <c r="O156" t="s">
        <v>66</v>
      </c>
      <c r="P156" t="s">
        <v>66</v>
      </c>
      <c r="Q156">
        <v>1</v>
      </c>
      <c r="W156">
        <v>0</v>
      </c>
      <c r="X156">
        <v>92320855</v>
      </c>
      <c r="Y156">
        <v>15</v>
      </c>
      <c r="AA156">
        <v>977.95</v>
      </c>
      <c r="AB156">
        <v>0</v>
      </c>
      <c r="AC156">
        <v>0</v>
      </c>
      <c r="AD156">
        <v>0</v>
      </c>
      <c r="AE156">
        <v>146.84</v>
      </c>
      <c r="AF156">
        <v>0</v>
      </c>
      <c r="AG156">
        <v>0</v>
      </c>
      <c r="AH156">
        <v>0</v>
      </c>
      <c r="AI156">
        <v>6.66</v>
      </c>
      <c r="AJ156">
        <v>1</v>
      </c>
      <c r="AK156">
        <v>1</v>
      </c>
      <c r="AL156">
        <v>1</v>
      </c>
      <c r="AN156">
        <v>0</v>
      </c>
      <c r="AO156">
        <v>0</v>
      </c>
      <c r="AP156">
        <v>0</v>
      </c>
      <c r="AQ156">
        <v>0</v>
      </c>
      <c r="AR156">
        <v>0</v>
      </c>
      <c r="AS156" t="s">
        <v>3</v>
      </c>
      <c r="AT156">
        <v>15</v>
      </c>
      <c r="AU156" t="s">
        <v>3</v>
      </c>
      <c r="AV156">
        <v>0</v>
      </c>
      <c r="AW156">
        <v>1</v>
      </c>
      <c r="AX156">
        <v>-1</v>
      </c>
      <c r="AY156">
        <v>0</v>
      </c>
      <c r="AZ156">
        <v>0</v>
      </c>
      <c r="BA156" t="s">
        <v>3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Y156*Source!I334</f>
        <v>2938.2749999999996</v>
      </c>
      <c r="CY156">
        <f>AA156</f>
        <v>977.95</v>
      </c>
      <c r="CZ156">
        <f>AE156</f>
        <v>146.84</v>
      </c>
      <c r="DA156">
        <f>AI156</f>
        <v>6.66</v>
      </c>
      <c r="DB156">
        <f t="shared" si="16"/>
        <v>2202.6</v>
      </c>
      <c r="DC156">
        <f t="shared" si="17"/>
        <v>0</v>
      </c>
    </row>
    <row r="157" spans="1:107" x14ac:dyDescent="0.2">
      <c r="A157">
        <f>ROW(Source!A336)</f>
        <v>336</v>
      </c>
      <c r="B157">
        <v>33989672</v>
      </c>
      <c r="C157">
        <v>33992321</v>
      </c>
      <c r="D157">
        <v>29983441</v>
      </c>
      <c r="E157">
        <v>29983435</v>
      </c>
      <c r="F157">
        <v>1</v>
      </c>
      <c r="G157">
        <v>29983435</v>
      </c>
      <c r="H157">
        <v>1</v>
      </c>
      <c r="I157" t="s">
        <v>646</v>
      </c>
      <c r="J157" t="s">
        <v>3</v>
      </c>
      <c r="K157" t="s">
        <v>647</v>
      </c>
      <c r="L157">
        <v>1191</v>
      </c>
      <c r="N157">
        <v>1013</v>
      </c>
      <c r="O157" t="s">
        <v>648</v>
      </c>
      <c r="P157" t="s">
        <v>648</v>
      </c>
      <c r="Q157">
        <v>1</v>
      </c>
      <c r="W157">
        <v>0</v>
      </c>
      <c r="X157">
        <v>476480486</v>
      </c>
      <c r="Y157">
        <v>40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S157" t="s">
        <v>3</v>
      </c>
      <c r="AT157">
        <v>40</v>
      </c>
      <c r="AU157" t="s">
        <v>3</v>
      </c>
      <c r="AV157">
        <v>1</v>
      </c>
      <c r="AW157">
        <v>2</v>
      </c>
      <c r="AX157">
        <v>33992324</v>
      </c>
      <c r="AY157">
        <v>1</v>
      </c>
      <c r="AZ157">
        <v>0</v>
      </c>
      <c r="BA157">
        <v>158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Y157*Source!I336</f>
        <v>2611.8000000000002</v>
      </c>
      <c r="CY157">
        <f>AD157</f>
        <v>0</v>
      </c>
      <c r="CZ157">
        <f>AH157</f>
        <v>0</v>
      </c>
      <c r="DA157">
        <f>AL157</f>
        <v>1</v>
      </c>
      <c r="DB157">
        <f t="shared" si="16"/>
        <v>0</v>
      </c>
      <c r="DC157">
        <f t="shared" si="17"/>
        <v>0</v>
      </c>
    </row>
    <row r="158" spans="1:107" x14ac:dyDescent="0.2">
      <c r="A158">
        <f>ROW(Source!A336)</f>
        <v>336</v>
      </c>
      <c r="B158">
        <v>33989672</v>
      </c>
      <c r="C158">
        <v>33992321</v>
      </c>
      <c r="D158">
        <v>30057929</v>
      </c>
      <c r="E158">
        <v>1</v>
      </c>
      <c r="F158">
        <v>1</v>
      </c>
      <c r="G158">
        <v>29983435</v>
      </c>
      <c r="H158">
        <v>3</v>
      </c>
      <c r="I158" t="s">
        <v>280</v>
      </c>
      <c r="J158" t="s">
        <v>282</v>
      </c>
      <c r="K158" t="s">
        <v>281</v>
      </c>
      <c r="L158">
        <v>1339</v>
      </c>
      <c r="N158">
        <v>1007</v>
      </c>
      <c r="O158" t="s">
        <v>66</v>
      </c>
      <c r="P158" t="s">
        <v>66</v>
      </c>
      <c r="Q158">
        <v>1</v>
      </c>
      <c r="W158">
        <v>0</v>
      </c>
      <c r="X158">
        <v>92320855</v>
      </c>
      <c r="Y158">
        <v>15</v>
      </c>
      <c r="AA158">
        <v>977.95</v>
      </c>
      <c r="AB158">
        <v>0</v>
      </c>
      <c r="AC158">
        <v>0</v>
      </c>
      <c r="AD158">
        <v>0</v>
      </c>
      <c r="AE158">
        <v>146.84</v>
      </c>
      <c r="AF158">
        <v>0</v>
      </c>
      <c r="AG158">
        <v>0</v>
      </c>
      <c r="AH158">
        <v>0</v>
      </c>
      <c r="AI158">
        <v>6.66</v>
      </c>
      <c r="AJ158">
        <v>1</v>
      </c>
      <c r="AK158">
        <v>1</v>
      </c>
      <c r="AL158">
        <v>1</v>
      </c>
      <c r="AN158">
        <v>0</v>
      </c>
      <c r="AO158">
        <v>0</v>
      </c>
      <c r="AP158">
        <v>0</v>
      </c>
      <c r="AQ158">
        <v>0</v>
      </c>
      <c r="AR158">
        <v>0</v>
      </c>
      <c r="AS158" t="s">
        <v>3</v>
      </c>
      <c r="AT158">
        <v>15</v>
      </c>
      <c r="AU158" t="s">
        <v>3</v>
      </c>
      <c r="AV158">
        <v>0</v>
      </c>
      <c r="AW158">
        <v>1</v>
      </c>
      <c r="AX158">
        <v>-1</v>
      </c>
      <c r="AY158">
        <v>0</v>
      </c>
      <c r="AZ158">
        <v>0</v>
      </c>
      <c r="BA158" t="s">
        <v>3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Y158*Source!I336</f>
        <v>979.42500000000007</v>
      </c>
      <c r="CY158">
        <f>AA158</f>
        <v>977.95</v>
      </c>
      <c r="CZ158">
        <f>AE158</f>
        <v>146.84</v>
      </c>
      <c r="DA158">
        <f>AI158</f>
        <v>6.66</v>
      </c>
      <c r="DB158">
        <f t="shared" si="16"/>
        <v>2202.6</v>
      </c>
      <c r="DC158">
        <f t="shared" si="17"/>
        <v>0</v>
      </c>
    </row>
    <row r="159" spans="1:107" x14ac:dyDescent="0.2">
      <c r="A159">
        <f>ROW(Source!A338)</f>
        <v>338</v>
      </c>
      <c r="B159">
        <v>33989672</v>
      </c>
      <c r="C159">
        <v>33992327</v>
      </c>
      <c r="D159">
        <v>29983441</v>
      </c>
      <c r="E159">
        <v>29983435</v>
      </c>
      <c r="F159">
        <v>1</v>
      </c>
      <c r="G159">
        <v>29983435</v>
      </c>
      <c r="H159">
        <v>1</v>
      </c>
      <c r="I159" t="s">
        <v>646</v>
      </c>
      <c r="J159" t="s">
        <v>3</v>
      </c>
      <c r="K159" t="s">
        <v>647</v>
      </c>
      <c r="L159">
        <v>1191</v>
      </c>
      <c r="N159">
        <v>1013</v>
      </c>
      <c r="O159" t="s">
        <v>648</v>
      </c>
      <c r="P159" t="s">
        <v>648</v>
      </c>
      <c r="Q159">
        <v>1</v>
      </c>
      <c r="W159">
        <v>0</v>
      </c>
      <c r="X159">
        <v>476480486</v>
      </c>
      <c r="Y159">
        <v>5.47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1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0</v>
      </c>
      <c r="AQ159">
        <v>0</v>
      </c>
      <c r="AR159">
        <v>0</v>
      </c>
      <c r="AS159" t="s">
        <v>3</v>
      </c>
      <c r="AT159">
        <v>5.47</v>
      </c>
      <c r="AU159" t="s">
        <v>3</v>
      </c>
      <c r="AV159">
        <v>1</v>
      </c>
      <c r="AW159">
        <v>2</v>
      </c>
      <c r="AX159">
        <v>33992330</v>
      </c>
      <c r="AY159">
        <v>1</v>
      </c>
      <c r="AZ159">
        <v>0</v>
      </c>
      <c r="BA159">
        <v>160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Y159*Source!I338</f>
        <v>-1428.6546000000001</v>
      </c>
      <c r="CY159">
        <f>AD159</f>
        <v>0</v>
      </c>
      <c r="CZ159">
        <f>AH159</f>
        <v>0</v>
      </c>
      <c r="DA159">
        <f>AL159</f>
        <v>1</v>
      </c>
      <c r="DB159">
        <f t="shared" si="16"/>
        <v>0</v>
      </c>
      <c r="DC159">
        <f t="shared" si="17"/>
        <v>0</v>
      </c>
    </row>
    <row r="160" spans="1:107" x14ac:dyDescent="0.2">
      <c r="A160">
        <f>ROW(Source!A338)</f>
        <v>338</v>
      </c>
      <c r="B160">
        <v>33989672</v>
      </c>
      <c r="C160">
        <v>33992327</v>
      </c>
      <c r="D160">
        <v>30057929</v>
      </c>
      <c r="E160">
        <v>1</v>
      </c>
      <c r="F160">
        <v>1</v>
      </c>
      <c r="G160">
        <v>29983435</v>
      </c>
      <c r="H160">
        <v>3</v>
      </c>
      <c r="I160" t="s">
        <v>280</v>
      </c>
      <c r="J160" t="s">
        <v>282</v>
      </c>
      <c r="K160" t="s">
        <v>281</v>
      </c>
      <c r="L160">
        <v>1339</v>
      </c>
      <c r="N160">
        <v>1007</v>
      </c>
      <c r="O160" t="s">
        <v>66</v>
      </c>
      <c r="P160" t="s">
        <v>66</v>
      </c>
      <c r="Q160">
        <v>1</v>
      </c>
      <c r="W160">
        <v>0</v>
      </c>
      <c r="X160">
        <v>92320855</v>
      </c>
      <c r="Y160">
        <v>5</v>
      </c>
      <c r="AA160">
        <v>977.95</v>
      </c>
      <c r="AB160">
        <v>0</v>
      </c>
      <c r="AC160">
        <v>0</v>
      </c>
      <c r="AD160">
        <v>0</v>
      </c>
      <c r="AE160">
        <v>146.84</v>
      </c>
      <c r="AF160">
        <v>0</v>
      </c>
      <c r="AG160">
        <v>0</v>
      </c>
      <c r="AH160">
        <v>0</v>
      </c>
      <c r="AI160">
        <v>6.66</v>
      </c>
      <c r="AJ160">
        <v>1</v>
      </c>
      <c r="AK160">
        <v>1</v>
      </c>
      <c r="AL160">
        <v>1</v>
      </c>
      <c r="AN160">
        <v>0</v>
      </c>
      <c r="AO160">
        <v>0</v>
      </c>
      <c r="AP160">
        <v>0</v>
      </c>
      <c r="AQ160">
        <v>0</v>
      </c>
      <c r="AR160">
        <v>0</v>
      </c>
      <c r="AS160" t="s">
        <v>3</v>
      </c>
      <c r="AT160">
        <v>5</v>
      </c>
      <c r="AU160" t="s">
        <v>3</v>
      </c>
      <c r="AV160">
        <v>0</v>
      </c>
      <c r="AW160">
        <v>1</v>
      </c>
      <c r="AX160">
        <v>-1</v>
      </c>
      <c r="AY160">
        <v>0</v>
      </c>
      <c r="AZ160">
        <v>0</v>
      </c>
      <c r="BA160" t="s">
        <v>3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Y160*Source!I338</f>
        <v>-1305.9000000000001</v>
      </c>
      <c r="CY160">
        <f>AA160</f>
        <v>977.95</v>
      </c>
      <c r="CZ160">
        <f>AE160</f>
        <v>146.84</v>
      </c>
      <c r="DA160">
        <f>AI160</f>
        <v>6.66</v>
      </c>
      <c r="DB160">
        <f t="shared" si="16"/>
        <v>734.2</v>
      </c>
      <c r="DC160">
        <f t="shared" si="17"/>
        <v>0</v>
      </c>
    </row>
    <row r="161" spans="1:107" x14ac:dyDescent="0.2">
      <c r="A161">
        <f>ROW(Source!A340)</f>
        <v>340</v>
      </c>
      <c r="B161">
        <v>33989672</v>
      </c>
      <c r="C161">
        <v>33992333</v>
      </c>
      <c r="D161">
        <v>29983441</v>
      </c>
      <c r="E161">
        <v>29983435</v>
      </c>
      <c r="F161">
        <v>1</v>
      </c>
      <c r="G161">
        <v>29983435</v>
      </c>
      <c r="H161">
        <v>1</v>
      </c>
      <c r="I161" t="s">
        <v>646</v>
      </c>
      <c r="J161" t="s">
        <v>3</v>
      </c>
      <c r="K161" t="s">
        <v>647</v>
      </c>
      <c r="L161">
        <v>1191</v>
      </c>
      <c r="N161">
        <v>1013</v>
      </c>
      <c r="O161" t="s">
        <v>648</v>
      </c>
      <c r="P161" t="s">
        <v>648</v>
      </c>
      <c r="Q161">
        <v>1</v>
      </c>
      <c r="W161">
        <v>0</v>
      </c>
      <c r="X161">
        <v>476480486</v>
      </c>
      <c r="Y161">
        <v>5.25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1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0</v>
      </c>
      <c r="AQ161">
        <v>0</v>
      </c>
      <c r="AR161">
        <v>0</v>
      </c>
      <c r="AS161" t="s">
        <v>3</v>
      </c>
      <c r="AT161">
        <v>5.25</v>
      </c>
      <c r="AU161" t="s">
        <v>3</v>
      </c>
      <c r="AV161">
        <v>1</v>
      </c>
      <c r="AW161">
        <v>2</v>
      </c>
      <c r="AX161">
        <v>33992337</v>
      </c>
      <c r="AY161">
        <v>1</v>
      </c>
      <c r="AZ161">
        <v>0</v>
      </c>
      <c r="BA161">
        <v>162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Y161*Source!I340</f>
        <v>1371.1949999999999</v>
      </c>
      <c r="CY161">
        <f>AD161</f>
        <v>0</v>
      </c>
      <c r="CZ161">
        <f>AH161</f>
        <v>0</v>
      </c>
      <c r="DA161">
        <f>AL161</f>
        <v>1</v>
      </c>
      <c r="DB161">
        <f t="shared" si="16"/>
        <v>0</v>
      </c>
      <c r="DC161">
        <f t="shared" si="17"/>
        <v>0</v>
      </c>
    </row>
    <row r="162" spans="1:107" x14ac:dyDescent="0.2">
      <c r="A162">
        <f>ROW(Source!A340)</f>
        <v>340</v>
      </c>
      <c r="B162">
        <v>33989672</v>
      </c>
      <c r="C162">
        <v>33992333</v>
      </c>
      <c r="D162">
        <v>30042537</v>
      </c>
      <c r="E162">
        <v>1</v>
      </c>
      <c r="F162">
        <v>1</v>
      </c>
      <c r="G162">
        <v>29983435</v>
      </c>
      <c r="H162">
        <v>3</v>
      </c>
      <c r="I162" t="s">
        <v>467</v>
      </c>
      <c r="J162" t="s">
        <v>469</v>
      </c>
      <c r="K162" t="s">
        <v>468</v>
      </c>
      <c r="L162">
        <v>1339</v>
      </c>
      <c r="N162">
        <v>1007</v>
      </c>
      <c r="O162" t="s">
        <v>66</v>
      </c>
      <c r="P162" t="s">
        <v>66</v>
      </c>
      <c r="Q162">
        <v>1</v>
      </c>
      <c r="W162">
        <v>0</v>
      </c>
      <c r="X162">
        <v>-862991314</v>
      </c>
      <c r="Y162">
        <v>10</v>
      </c>
      <c r="AA162">
        <v>35.28</v>
      </c>
      <c r="AB162">
        <v>0</v>
      </c>
      <c r="AC162">
        <v>0</v>
      </c>
      <c r="AD162">
        <v>0</v>
      </c>
      <c r="AE162">
        <v>7.07</v>
      </c>
      <c r="AF162">
        <v>0</v>
      </c>
      <c r="AG162">
        <v>0</v>
      </c>
      <c r="AH162">
        <v>0</v>
      </c>
      <c r="AI162">
        <v>4.99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S162" t="s">
        <v>3</v>
      </c>
      <c r="AT162">
        <v>10</v>
      </c>
      <c r="AU162" t="s">
        <v>3</v>
      </c>
      <c r="AV162">
        <v>0</v>
      </c>
      <c r="AW162">
        <v>2</v>
      </c>
      <c r="AX162">
        <v>33992338</v>
      </c>
      <c r="AY162">
        <v>1</v>
      </c>
      <c r="AZ162">
        <v>0</v>
      </c>
      <c r="BA162">
        <v>163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Y162*Source!I340</f>
        <v>2611.8000000000002</v>
      </c>
      <c r="CY162">
        <f>AA162</f>
        <v>35.28</v>
      </c>
      <c r="CZ162">
        <f>AE162</f>
        <v>7.07</v>
      </c>
      <c r="DA162">
        <f>AI162</f>
        <v>4.99</v>
      </c>
      <c r="DB162">
        <f t="shared" si="16"/>
        <v>70.7</v>
      </c>
      <c r="DC162">
        <f t="shared" si="17"/>
        <v>0</v>
      </c>
    </row>
    <row r="163" spans="1:107" x14ac:dyDescent="0.2">
      <c r="A163">
        <f>ROW(Source!A340)</f>
        <v>340</v>
      </c>
      <c r="B163">
        <v>33989672</v>
      </c>
      <c r="C163">
        <v>33992333</v>
      </c>
      <c r="D163">
        <v>30057925</v>
      </c>
      <c r="E163">
        <v>1</v>
      </c>
      <c r="F163">
        <v>1</v>
      </c>
      <c r="G163">
        <v>29983435</v>
      </c>
      <c r="H163">
        <v>3</v>
      </c>
      <c r="I163" t="s">
        <v>298</v>
      </c>
      <c r="J163" t="s">
        <v>301</v>
      </c>
      <c r="K163" t="s">
        <v>299</v>
      </c>
      <c r="L163">
        <v>1346</v>
      </c>
      <c r="N163">
        <v>1009</v>
      </c>
      <c r="O163" t="s">
        <v>300</v>
      </c>
      <c r="P163" t="s">
        <v>300</v>
      </c>
      <c r="Q163">
        <v>1</v>
      </c>
      <c r="W163">
        <v>0</v>
      </c>
      <c r="X163">
        <v>735025367</v>
      </c>
      <c r="Y163">
        <v>4</v>
      </c>
      <c r="AA163">
        <v>106.59</v>
      </c>
      <c r="AB163">
        <v>0</v>
      </c>
      <c r="AC163">
        <v>0</v>
      </c>
      <c r="AD163">
        <v>0</v>
      </c>
      <c r="AE163">
        <v>57.93</v>
      </c>
      <c r="AF163">
        <v>0</v>
      </c>
      <c r="AG163">
        <v>0</v>
      </c>
      <c r="AH163">
        <v>0</v>
      </c>
      <c r="AI163">
        <v>1.84</v>
      </c>
      <c r="AJ163">
        <v>1</v>
      </c>
      <c r="AK163">
        <v>1</v>
      </c>
      <c r="AL163">
        <v>1</v>
      </c>
      <c r="AN163">
        <v>0</v>
      </c>
      <c r="AO163">
        <v>0</v>
      </c>
      <c r="AP163">
        <v>0</v>
      </c>
      <c r="AQ163">
        <v>0</v>
      </c>
      <c r="AR163">
        <v>0</v>
      </c>
      <c r="AS163" t="s">
        <v>3</v>
      </c>
      <c r="AT163">
        <v>4</v>
      </c>
      <c r="AU163" t="s">
        <v>3</v>
      </c>
      <c r="AV163">
        <v>0</v>
      </c>
      <c r="AW163">
        <v>1</v>
      </c>
      <c r="AX163">
        <v>-1</v>
      </c>
      <c r="AY163">
        <v>0</v>
      </c>
      <c r="AZ163">
        <v>0</v>
      </c>
      <c r="BA163" t="s">
        <v>3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Y163*Source!I340</f>
        <v>1044.72</v>
      </c>
      <c r="CY163">
        <f>AA163</f>
        <v>106.59</v>
      </c>
      <c r="CZ163">
        <f>AE163</f>
        <v>57.93</v>
      </c>
      <c r="DA163">
        <f>AI163</f>
        <v>1.84</v>
      </c>
      <c r="DB163">
        <f t="shared" si="16"/>
        <v>231.72</v>
      </c>
      <c r="DC163">
        <f t="shared" si="17"/>
        <v>0</v>
      </c>
    </row>
    <row r="164" spans="1:107" x14ac:dyDescent="0.2">
      <c r="A164">
        <f>ROW(Source!A378)</f>
        <v>378</v>
      </c>
      <c r="B164">
        <v>33989672</v>
      </c>
      <c r="C164">
        <v>33992341</v>
      </c>
      <c r="D164">
        <v>29983441</v>
      </c>
      <c r="E164">
        <v>29983435</v>
      </c>
      <c r="F164">
        <v>1</v>
      </c>
      <c r="G164">
        <v>29983435</v>
      </c>
      <c r="H164">
        <v>1</v>
      </c>
      <c r="I164" t="s">
        <v>646</v>
      </c>
      <c r="J164" t="s">
        <v>3</v>
      </c>
      <c r="K164" t="s">
        <v>647</v>
      </c>
      <c r="L164">
        <v>1191</v>
      </c>
      <c r="N164">
        <v>1013</v>
      </c>
      <c r="O164" t="s">
        <v>648</v>
      </c>
      <c r="P164" t="s">
        <v>648</v>
      </c>
      <c r="Q164">
        <v>1</v>
      </c>
      <c r="W164">
        <v>0</v>
      </c>
      <c r="X164">
        <v>476480486</v>
      </c>
      <c r="Y164">
        <v>1.38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S164" t="s">
        <v>3</v>
      </c>
      <c r="AT164">
        <v>1.38</v>
      </c>
      <c r="AU164" t="s">
        <v>3</v>
      </c>
      <c r="AV164">
        <v>1</v>
      </c>
      <c r="AW164">
        <v>2</v>
      </c>
      <c r="AX164">
        <v>33992345</v>
      </c>
      <c r="AY164">
        <v>1</v>
      </c>
      <c r="AZ164">
        <v>0</v>
      </c>
      <c r="BA164">
        <v>165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Y164*Source!I378</f>
        <v>9.6155639999999991</v>
      </c>
      <c r="CY164">
        <f>AD164</f>
        <v>0</v>
      </c>
      <c r="CZ164">
        <f>AH164</f>
        <v>0</v>
      </c>
      <c r="DA164">
        <f>AL164</f>
        <v>1</v>
      </c>
      <c r="DB164">
        <f t="shared" si="16"/>
        <v>0</v>
      </c>
      <c r="DC164">
        <f t="shared" si="17"/>
        <v>0</v>
      </c>
    </row>
    <row r="165" spans="1:107" x14ac:dyDescent="0.2">
      <c r="A165">
        <f>ROW(Source!A378)</f>
        <v>378</v>
      </c>
      <c r="B165">
        <v>33989672</v>
      </c>
      <c r="C165">
        <v>33992341</v>
      </c>
      <c r="D165">
        <v>30063245</v>
      </c>
      <c r="E165">
        <v>1</v>
      </c>
      <c r="F165">
        <v>1</v>
      </c>
      <c r="G165">
        <v>29983435</v>
      </c>
      <c r="H165">
        <v>2</v>
      </c>
      <c r="I165" t="s">
        <v>740</v>
      </c>
      <c r="J165" t="s">
        <v>741</v>
      </c>
      <c r="K165" t="s">
        <v>742</v>
      </c>
      <c r="L165">
        <v>1367</v>
      </c>
      <c r="N165">
        <v>1011</v>
      </c>
      <c r="O165" t="s">
        <v>652</v>
      </c>
      <c r="P165" t="s">
        <v>652</v>
      </c>
      <c r="Q165">
        <v>1</v>
      </c>
      <c r="W165">
        <v>0</v>
      </c>
      <c r="X165">
        <v>781556702</v>
      </c>
      <c r="Y165">
        <v>3.9874999999999998</v>
      </c>
      <c r="AA165">
        <v>0</v>
      </c>
      <c r="AB165">
        <v>1916.45</v>
      </c>
      <c r="AC165">
        <v>836.26</v>
      </c>
      <c r="AD165">
        <v>0</v>
      </c>
      <c r="AE165">
        <v>0</v>
      </c>
      <c r="AF165">
        <v>162.4</v>
      </c>
      <c r="AG165">
        <v>28.6</v>
      </c>
      <c r="AH165">
        <v>0</v>
      </c>
      <c r="AI165">
        <v>1</v>
      </c>
      <c r="AJ165">
        <v>9.9</v>
      </c>
      <c r="AK165">
        <v>24.53</v>
      </c>
      <c r="AL165">
        <v>1</v>
      </c>
      <c r="AN165">
        <v>0</v>
      </c>
      <c r="AO165">
        <v>1</v>
      </c>
      <c r="AP165">
        <v>0</v>
      </c>
      <c r="AQ165">
        <v>0</v>
      </c>
      <c r="AR165">
        <v>0</v>
      </c>
      <c r="AS165" t="s">
        <v>3</v>
      </c>
      <c r="AT165">
        <v>3.9874999999999998</v>
      </c>
      <c r="AU165" t="s">
        <v>3</v>
      </c>
      <c r="AV165">
        <v>0</v>
      </c>
      <c r="AW165">
        <v>2</v>
      </c>
      <c r="AX165">
        <v>33992346</v>
      </c>
      <c r="AY165">
        <v>1</v>
      </c>
      <c r="AZ165">
        <v>0</v>
      </c>
      <c r="BA165">
        <v>166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Y165*Source!I378</f>
        <v>27.784102499999999</v>
      </c>
      <c r="CY165">
        <f>AB165</f>
        <v>1916.45</v>
      </c>
      <c r="CZ165">
        <f>AF165</f>
        <v>162.4</v>
      </c>
      <c r="DA165">
        <f>AJ165</f>
        <v>9.9</v>
      </c>
      <c r="DB165">
        <f t="shared" si="16"/>
        <v>647.57000000000005</v>
      </c>
      <c r="DC165">
        <f t="shared" si="17"/>
        <v>114.04</v>
      </c>
    </row>
    <row r="166" spans="1:107" x14ac:dyDescent="0.2">
      <c r="A166">
        <f>ROW(Source!A378)</f>
        <v>378</v>
      </c>
      <c r="B166">
        <v>33989672</v>
      </c>
      <c r="C166">
        <v>33992341</v>
      </c>
      <c r="D166">
        <v>30063270</v>
      </c>
      <c r="E166">
        <v>1</v>
      </c>
      <c r="F166">
        <v>1</v>
      </c>
      <c r="G166">
        <v>29983435</v>
      </c>
      <c r="H166">
        <v>2</v>
      </c>
      <c r="I166" t="s">
        <v>743</v>
      </c>
      <c r="J166" t="s">
        <v>744</v>
      </c>
      <c r="K166" t="s">
        <v>745</v>
      </c>
      <c r="L166">
        <v>1367</v>
      </c>
      <c r="N166">
        <v>1011</v>
      </c>
      <c r="O166" t="s">
        <v>652</v>
      </c>
      <c r="P166" t="s">
        <v>652</v>
      </c>
      <c r="Q166">
        <v>1</v>
      </c>
      <c r="W166">
        <v>0</v>
      </c>
      <c r="X166">
        <v>695902881</v>
      </c>
      <c r="Y166">
        <v>0.997</v>
      </c>
      <c r="AA166">
        <v>0</v>
      </c>
      <c r="AB166">
        <v>1232.06</v>
      </c>
      <c r="AC166">
        <v>775.44</v>
      </c>
      <c r="AD166">
        <v>0</v>
      </c>
      <c r="AE166">
        <v>0</v>
      </c>
      <c r="AF166">
        <v>110.31</v>
      </c>
      <c r="AG166">
        <v>26.52</v>
      </c>
      <c r="AH166">
        <v>0</v>
      </c>
      <c r="AI166">
        <v>1</v>
      </c>
      <c r="AJ166">
        <v>9.3699999999999992</v>
      </c>
      <c r="AK166">
        <v>24.53</v>
      </c>
      <c r="AL166">
        <v>1</v>
      </c>
      <c r="AN166">
        <v>0</v>
      </c>
      <c r="AO166">
        <v>1</v>
      </c>
      <c r="AP166">
        <v>0</v>
      </c>
      <c r="AQ166">
        <v>0</v>
      </c>
      <c r="AR166">
        <v>0</v>
      </c>
      <c r="AS166" t="s">
        <v>3</v>
      </c>
      <c r="AT166">
        <v>0.997</v>
      </c>
      <c r="AU166" t="s">
        <v>3</v>
      </c>
      <c r="AV166">
        <v>0</v>
      </c>
      <c r="AW166">
        <v>2</v>
      </c>
      <c r="AX166">
        <v>33992347</v>
      </c>
      <c r="AY166">
        <v>1</v>
      </c>
      <c r="AZ166">
        <v>0</v>
      </c>
      <c r="BA166">
        <v>167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Y166*Source!I378</f>
        <v>6.9468966000000005</v>
      </c>
      <c r="CY166">
        <f>AB166</f>
        <v>1232.06</v>
      </c>
      <c r="CZ166">
        <f>AF166</f>
        <v>110.31</v>
      </c>
      <c r="DA166">
        <f>AJ166</f>
        <v>9.3699999999999992</v>
      </c>
      <c r="DB166">
        <f t="shared" si="16"/>
        <v>109.98</v>
      </c>
      <c r="DC166">
        <f t="shared" si="17"/>
        <v>26.44</v>
      </c>
    </row>
    <row r="167" spans="1:107" x14ac:dyDescent="0.2">
      <c r="A167">
        <f>ROW(Source!A379)</f>
        <v>379</v>
      </c>
      <c r="B167">
        <v>33989672</v>
      </c>
      <c r="C167">
        <v>33992348</v>
      </c>
      <c r="D167">
        <v>29983441</v>
      </c>
      <c r="E167">
        <v>29983435</v>
      </c>
      <c r="F167">
        <v>1</v>
      </c>
      <c r="G167">
        <v>29983435</v>
      </c>
      <c r="H167">
        <v>1</v>
      </c>
      <c r="I167" t="s">
        <v>646</v>
      </c>
      <c r="J167" t="s">
        <v>3</v>
      </c>
      <c r="K167" t="s">
        <v>647</v>
      </c>
      <c r="L167">
        <v>1191</v>
      </c>
      <c r="N167">
        <v>1013</v>
      </c>
      <c r="O167" t="s">
        <v>648</v>
      </c>
      <c r="P167" t="s">
        <v>648</v>
      </c>
      <c r="Q167">
        <v>1</v>
      </c>
      <c r="W167">
        <v>0</v>
      </c>
      <c r="X167">
        <v>476480486</v>
      </c>
      <c r="Y167">
        <v>83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0</v>
      </c>
      <c r="AQ167">
        <v>0</v>
      </c>
      <c r="AR167">
        <v>0</v>
      </c>
      <c r="AS167" t="s">
        <v>3</v>
      </c>
      <c r="AT167">
        <v>83</v>
      </c>
      <c r="AU167" t="s">
        <v>3</v>
      </c>
      <c r="AV167">
        <v>1</v>
      </c>
      <c r="AW167">
        <v>2</v>
      </c>
      <c r="AX167">
        <v>33992350</v>
      </c>
      <c r="AY167">
        <v>1</v>
      </c>
      <c r="AZ167">
        <v>0</v>
      </c>
      <c r="BA167">
        <v>168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Y167*Source!I379</f>
        <v>64.258600000000001</v>
      </c>
      <c r="CY167">
        <f>AD167</f>
        <v>0</v>
      </c>
      <c r="CZ167">
        <f>AH167</f>
        <v>0</v>
      </c>
      <c r="DA167">
        <f>AL167</f>
        <v>1</v>
      </c>
      <c r="DB167">
        <f t="shared" si="16"/>
        <v>0</v>
      </c>
      <c r="DC167">
        <f t="shared" si="17"/>
        <v>0</v>
      </c>
    </row>
    <row r="168" spans="1:107" x14ac:dyDescent="0.2">
      <c r="A168">
        <f>ROW(Source!A380)</f>
        <v>380</v>
      </c>
      <c r="B168">
        <v>33989672</v>
      </c>
      <c r="C168">
        <v>33992351</v>
      </c>
      <c r="D168">
        <v>30064124</v>
      </c>
      <c r="E168">
        <v>1</v>
      </c>
      <c r="F168">
        <v>1</v>
      </c>
      <c r="G168">
        <v>29983435</v>
      </c>
      <c r="H168">
        <v>2</v>
      </c>
      <c r="I168" t="s">
        <v>746</v>
      </c>
      <c r="J168" t="s">
        <v>747</v>
      </c>
      <c r="K168" t="s">
        <v>748</v>
      </c>
      <c r="L168">
        <v>1367</v>
      </c>
      <c r="N168">
        <v>1011</v>
      </c>
      <c r="O168" t="s">
        <v>652</v>
      </c>
      <c r="P168" t="s">
        <v>652</v>
      </c>
      <c r="Q168">
        <v>1</v>
      </c>
      <c r="W168">
        <v>0</v>
      </c>
      <c r="X168">
        <v>-1897129346</v>
      </c>
      <c r="Y168">
        <v>1</v>
      </c>
      <c r="AA168">
        <v>0</v>
      </c>
      <c r="AB168">
        <v>1382.12</v>
      </c>
      <c r="AC168">
        <v>415.05</v>
      </c>
      <c r="AD168">
        <v>0</v>
      </c>
      <c r="AE168">
        <v>0</v>
      </c>
      <c r="AF168">
        <v>162.03</v>
      </c>
      <c r="AG168">
        <v>16.920000000000002</v>
      </c>
      <c r="AH168">
        <v>0</v>
      </c>
      <c r="AI168">
        <v>1</v>
      </c>
      <c r="AJ168">
        <v>8.5299999999999994</v>
      </c>
      <c r="AK168">
        <v>24.53</v>
      </c>
      <c r="AL168">
        <v>1</v>
      </c>
      <c r="AN168">
        <v>0</v>
      </c>
      <c r="AO168">
        <v>1</v>
      </c>
      <c r="AP168">
        <v>0</v>
      </c>
      <c r="AQ168">
        <v>0</v>
      </c>
      <c r="AR168">
        <v>0</v>
      </c>
      <c r="AS168" t="s">
        <v>3</v>
      </c>
      <c r="AT168">
        <v>1</v>
      </c>
      <c r="AU168" t="s">
        <v>3</v>
      </c>
      <c r="AV168">
        <v>0</v>
      </c>
      <c r="AW168">
        <v>2</v>
      </c>
      <c r="AX168">
        <v>34039096</v>
      </c>
      <c r="AY168">
        <v>1</v>
      </c>
      <c r="AZ168">
        <v>0</v>
      </c>
      <c r="BA168">
        <v>169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Y168*Source!I380</f>
        <v>0</v>
      </c>
      <c r="CY168">
        <f>AB168</f>
        <v>1382.12</v>
      </c>
      <c r="CZ168">
        <f>AF168</f>
        <v>162.03</v>
      </c>
      <c r="DA168">
        <f>AJ168</f>
        <v>8.5299999999999994</v>
      </c>
      <c r="DB168">
        <f t="shared" si="16"/>
        <v>162.03</v>
      </c>
      <c r="DC168">
        <f t="shared" si="17"/>
        <v>16.920000000000002</v>
      </c>
    </row>
    <row r="169" spans="1:107" x14ac:dyDescent="0.2">
      <c r="A169">
        <f>ROW(Source!A381)</f>
        <v>381</v>
      </c>
      <c r="B169">
        <v>33989672</v>
      </c>
      <c r="C169">
        <v>33992354</v>
      </c>
      <c r="D169">
        <v>29983439</v>
      </c>
      <c r="E169">
        <v>29983435</v>
      </c>
      <c r="F169">
        <v>1</v>
      </c>
      <c r="G169">
        <v>29983435</v>
      </c>
      <c r="H169">
        <v>2</v>
      </c>
      <c r="I169" t="s">
        <v>674</v>
      </c>
      <c r="J169" t="s">
        <v>3</v>
      </c>
      <c r="K169" t="s">
        <v>675</v>
      </c>
      <c r="L169">
        <v>1344</v>
      </c>
      <c r="N169">
        <v>1008</v>
      </c>
      <c r="O169" t="s">
        <v>676</v>
      </c>
      <c r="P169" t="s">
        <v>676</v>
      </c>
      <c r="Q169">
        <v>1</v>
      </c>
      <c r="W169">
        <v>0</v>
      </c>
      <c r="X169">
        <v>-1180195794</v>
      </c>
      <c r="Y169">
        <v>12.61</v>
      </c>
      <c r="AA169">
        <v>0</v>
      </c>
      <c r="AB169">
        <v>1</v>
      </c>
      <c r="AC169">
        <v>0</v>
      </c>
      <c r="AD169">
        <v>0</v>
      </c>
      <c r="AE169">
        <v>0</v>
      </c>
      <c r="AF169">
        <v>1</v>
      </c>
      <c r="AG169">
        <v>0</v>
      </c>
      <c r="AH169">
        <v>0</v>
      </c>
      <c r="AI169">
        <v>1</v>
      </c>
      <c r="AJ169">
        <v>1</v>
      </c>
      <c r="AK169">
        <v>1</v>
      </c>
      <c r="AL169">
        <v>1</v>
      </c>
      <c r="AN169">
        <v>0</v>
      </c>
      <c r="AO169">
        <v>1</v>
      </c>
      <c r="AP169">
        <v>0</v>
      </c>
      <c r="AQ169">
        <v>0</v>
      </c>
      <c r="AR169">
        <v>0</v>
      </c>
      <c r="AS169" t="s">
        <v>3</v>
      </c>
      <c r="AT169">
        <v>12.61</v>
      </c>
      <c r="AU169" t="s">
        <v>3</v>
      </c>
      <c r="AV169">
        <v>0</v>
      </c>
      <c r="AW169">
        <v>2</v>
      </c>
      <c r="AX169">
        <v>33995756</v>
      </c>
      <c r="AY169">
        <v>1</v>
      </c>
      <c r="AZ169">
        <v>0</v>
      </c>
      <c r="BA169">
        <v>170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Y169*Source!I381</f>
        <v>0</v>
      </c>
      <c r="CY169">
        <f>AB169</f>
        <v>1</v>
      </c>
      <c r="CZ169">
        <f>AF169</f>
        <v>1</v>
      </c>
      <c r="DA169">
        <f>AJ169</f>
        <v>1</v>
      </c>
      <c r="DB169">
        <f t="shared" si="16"/>
        <v>12.61</v>
      </c>
      <c r="DC169">
        <f t="shared" si="17"/>
        <v>0</v>
      </c>
    </row>
    <row r="170" spans="1:107" x14ac:dyDescent="0.2">
      <c r="A170">
        <f>ROW(Source!A382)</f>
        <v>382</v>
      </c>
      <c r="B170">
        <v>33989672</v>
      </c>
      <c r="C170">
        <v>33992357</v>
      </c>
      <c r="D170">
        <v>29983441</v>
      </c>
      <c r="E170">
        <v>29983435</v>
      </c>
      <c r="F170">
        <v>1</v>
      </c>
      <c r="G170">
        <v>29983435</v>
      </c>
      <c r="H170">
        <v>1</v>
      </c>
      <c r="I170" t="s">
        <v>646</v>
      </c>
      <c r="J170" t="s">
        <v>3</v>
      </c>
      <c r="K170" t="s">
        <v>647</v>
      </c>
      <c r="L170">
        <v>1191</v>
      </c>
      <c r="N170">
        <v>1013</v>
      </c>
      <c r="O170" t="s">
        <v>648</v>
      </c>
      <c r="P170" t="s">
        <v>648</v>
      </c>
      <c r="Q170">
        <v>1</v>
      </c>
      <c r="W170">
        <v>0</v>
      </c>
      <c r="X170">
        <v>476480486</v>
      </c>
      <c r="Y170">
        <v>9.66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1</v>
      </c>
      <c r="AJ170">
        <v>1</v>
      </c>
      <c r="AK170">
        <v>1</v>
      </c>
      <c r="AL170">
        <v>1</v>
      </c>
      <c r="AN170">
        <v>0</v>
      </c>
      <c r="AO170">
        <v>1</v>
      </c>
      <c r="AP170">
        <v>0</v>
      </c>
      <c r="AQ170">
        <v>0</v>
      </c>
      <c r="AR170">
        <v>0</v>
      </c>
      <c r="AS170" t="s">
        <v>3</v>
      </c>
      <c r="AT170">
        <v>9.66</v>
      </c>
      <c r="AU170" t="s">
        <v>3</v>
      </c>
      <c r="AV170">
        <v>1</v>
      </c>
      <c r="AW170">
        <v>2</v>
      </c>
      <c r="AX170">
        <v>33992363</v>
      </c>
      <c r="AY170">
        <v>1</v>
      </c>
      <c r="AZ170">
        <v>0</v>
      </c>
      <c r="BA170">
        <v>171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Y170*Source!I382</f>
        <v>1068.396</v>
      </c>
      <c r="CY170">
        <f>AD170</f>
        <v>0</v>
      </c>
      <c r="CZ170">
        <f>AH170</f>
        <v>0</v>
      </c>
      <c r="DA170">
        <f>AL170</f>
        <v>1</v>
      </c>
      <c r="DB170">
        <f t="shared" si="16"/>
        <v>0</v>
      </c>
      <c r="DC170">
        <f t="shared" si="17"/>
        <v>0</v>
      </c>
    </row>
    <row r="171" spans="1:107" x14ac:dyDescent="0.2">
      <c r="A171">
        <f>ROW(Source!A382)</f>
        <v>382</v>
      </c>
      <c r="B171">
        <v>33989672</v>
      </c>
      <c r="C171">
        <v>33992357</v>
      </c>
      <c r="D171">
        <v>30063964</v>
      </c>
      <c r="E171">
        <v>1</v>
      </c>
      <c r="F171">
        <v>1</v>
      </c>
      <c r="G171">
        <v>29983435</v>
      </c>
      <c r="H171">
        <v>2</v>
      </c>
      <c r="I171" t="s">
        <v>766</v>
      </c>
      <c r="J171" t="s">
        <v>767</v>
      </c>
      <c r="K171" t="s">
        <v>768</v>
      </c>
      <c r="L171">
        <v>1367</v>
      </c>
      <c r="N171">
        <v>1011</v>
      </c>
      <c r="O171" t="s">
        <v>652</v>
      </c>
      <c r="P171" t="s">
        <v>652</v>
      </c>
      <c r="Q171">
        <v>1</v>
      </c>
      <c r="W171">
        <v>0</v>
      </c>
      <c r="X171">
        <v>1088177544</v>
      </c>
      <c r="Y171">
        <v>0.2</v>
      </c>
      <c r="AA171">
        <v>0</v>
      </c>
      <c r="AB171">
        <v>28.8</v>
      </c>
      <c r="AC171">
        <v>9.25</v>
      </c>
      <c r="AD171">
        <v>0</v>
      </c>
      <c r="AE171">
        <v>0</v>
      </c>
      <c r="AF171">
        <v>5.31</v>
      </c>
      <c r="AG171">
        <v>0.36</v>
      </c>
      <c r="AH171">
        <v>0</v>
      </c>
      <c r="AI171">
        <v>1</v>
      </c>
      <c r="AJ171">
        <v>5.18</v>
      </c>
      <c r="AK171">
        <v>24.53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S171" t="s">
        <v>3</v>
      </c>
      <c r="AT171">
        <v>0.2</v>
      </c>
      <c r="AU171" t="s">
        <v>3</v>
      </c>
      <c r="AV171">
        <v>0</v>
      </c>
      <c r="AW171">
        <v>2</v>
      </c>
      <c r="AX171">
        <v>33992364</v>
      </c>
      <c r="AY171">
        <v>1</v>
      </c>
      <c r="AZ171">
        <v>0</v>
      </c>
      <c r="BA171">
        <v>172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Y171*Source!I382</f>
        <v>22.12</v>
      </c>
      <c r="CY171">
        <f>AB171</f>
        <v>28.8</v>
      </c>
      <c r="CZ171">
        <f>AF171</f>
        <v>5.31</v>
      </c>
      <c r="DA171">
        <f>AJ171</f>
        <v>5.18</v>
      </c>
      <c r="DB171">
        <f t="shared" si="16"/>
        <v>1.06</v>
      </c>
      <c r="DC171">
        <f t="shared" si="17"/>
        <v>7.0000000000000007E-2</v>
      </c>
    </row>
    <row r="172" spans="1:107" x14ac:dyDescent="0.2">
      <c r="A172">
        <f>ROW(Source!A382)</f>
        <v>382</v>
      </c>
      <c r="B172">
        <v>33989672</v>
      </c>
      <c r="C172">
        <v>33992357</v>
      </c>
      <c r="D172">
        <v>30063296</v>
      </c>
      <c r="E172">
        <v>1</v>
      </c>
      <c r="F172">
        <v>1</v>
      </c>
      <c r="G172">
        <v>29983435</v>
      </c>
      <c r="H172">
        <v>2</v>
      </c>
      <c r="I172" t="s">
        <v>763</v>
      </c>
      <c r="J172" t="s">
        <v>764</v>
      </c>
      <c r="K172" t="s">
        <v>765</v>
      </c>
      <c r="L172">
        <v>1367</v>
      </c>
      <c r="N172">
        <v>1011</v>
      </c>
      <c r="O172" t="s">
        <v>652</v>
      </c>
      <c r="P172" t="s">
        <v>652</v>
      </c>
      <c r="Q172">
        <v>1</v>
      </c>
      <c r="W172">
        <v>0</v>
      </c>
      <c r="X172">
        <v>-1758701186</v>
      </c>
      <c r="Y172">
        <v>0.2</v>
      </c>
      <c r="AA172">
        <v>0</v>
      </c>
      <c r="AB172">
        <v>966.1</v>
      </c>
      <c r="AC172">
        <v>534.72</v>
      </c>
      <c r="AD172">
        <v>0</v>
      </c>
      <c r="AE172">
        <v>0</v>
      </c>
      <c r="AF172">
        <v>97.54</v>
      </c>
      <c r="AG172">
        <v>20.82</v>
      </c>
      <c r="AH172">
        <v>0</v>
      </c>
      <c r="AI172">
        <v>1</v>
      </c>
      <c r="AJ172">
        <v>9.4600000000000009</v>
      </c>
      <c r="AK172">
        <v>24.53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S172" t="s">
        <v>3</v>
      </c>
      <c r="AT172">
        <v>0.2</v>
      </c>
      <c r="AU172" t="s">
        <v>3</v>
      </c>
      <c r="AV172">
        <v>0</v>
      </c>
      <c r="AW172">
        <v>2</v>
      </c>
      <c r="AX172">
        <v>33992365</v>
      </c>
      <c r="AY172">
        <v>1</v>
      </c>
      <c r="AZ172">
        <v>0</v>
      </c>
      <c r="BA172">
        <v>173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Y172*Source!I382</f>
        <v>22.12</v>
      </c>
      <c r="CY172">
        <f>AB172</f>
        <v>966.1</v>
      </c>
      <c r="CZ172">
        <f>AF172</f>
        <v>97.54</v>
      </c>
      <c r="DA172">
        <f>AJ172</f>
        <v>9.4600000000000009</v>
      </c>
      <c r="DB172">
        <f t="shared" si="16"/>
        <v>19.510000000000002</v>
      </c>
      <c r="DC172">
        <f t="shared" si="17"/>
        <v>4.16</v>
      </c>
    </row>
    <row r="173" spans="1:107" x14ac:dyDescent="0.2">
      <c r="A173">
        <f>ROW(Source!A382)</f>
        <v>382</v>
      </c>
      <c r="B173">
        <v>33989672</v>
      </c>
      <c r="C173">
        <v>33992357</v>
      </c>
      <c r="D173">
        <v>30057929</v>
      </c>
      <c r="E173">
        <v>1</v>
      </c>
      <c r="F173">
        <v>1</v>
      </c>
      <c r="G173">
        <v>29983435</v>
      </c>
      <c r="H173">
        <v>3</v>
      </c>
      <c r="I173" t="s">
        <v>280</v>
      </c>
      <c r="J173" t="s">
        <v>282</v>
      </c>
      <c r="K173" t="s">
        <v>281</v>
      </c>
      <c r="L173">
        <v>1339</v>
      </c>
      <c r="N173">
        <v>1007</v>
      </c>
      <c r="O173" t="s">
        <v>66</v>
      </c>
      <c r="P173" t="s">
        <v>66</v>
      </c>
      <c r="Q173">
        <v>1</v>
      </c>
      <c r="W173">
        <v>0</v>
      </c>
      <c r="X173">
        <v>92320855</v>
      </c>
      <c r="Y173">
        <v>2</v>
      </c>
      <c r="AA173">
        <v>977.95</v>
      </c>
      <c r="AB173">
        <v>0</v>
      </c>
      <c r="AC173">
        <v>0</v>
      </c>
      <c r="AD173">
        <v>0</v>
      </c>
      <c r="AE173">
        <v>146.84</v>
      </c>
      <c r="AF173">
        <v>0</v>
      </c>
      <c r="AG173">
        <v>0</v>
      </c>
      <c r="AH173">
        <v>0</v>
      </c>
      <c r="AI173">
        <v>6.66</v>
      </c>
      <c r="AJ173">
        <v>1</v>
      </c>
      <c r="AK173">
        <v>1</v>
      </c>
      <c r="AL173">
        <v>1</v>
      </c>
      <c r="AN173">
        <v>0</v>
      </c>
      <c r="AO173">
        <v>0</v>
      </c>
      <c r="AP173">
        <v>0</v>
      </c>
      <c r="AQ173">
        <v>0</v>
      </c>
      <c r="AR173">
        <v>0</v>
      </c>
      <c r="AS173" t="s">
        <v>3</v>
      </c>
      <c r="AT173">
        <v>2</v>
      </c>
      <c r="AU173" t="s">
        <v>3</v>
      </c>
      <c r="AV173">
        <v>0</v>
      </c>
      <c r="AW173">
        <v>1</v>
      </c>
      <c r="AX173">
        <v>-1</v>
      </c>
      <c r="AY173">
        <v>0</v>
      </c>
      <c r="AZ173">
        <v>0</v>
      </c>
      <c r="BA173" t="s">
        <v>3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Y173*Source!I382</f>
        <v>221.2</v>
      </c>
      <c r="CY173">
        <f>AA173</f>
        <v>977.95</v>
      </c>
      <c r="CZ173">
        <f>AE173</f>
        <v>146.84</v>
      </c>
      <c r="DA173">
        <f>AI173</f>
        <v>6.66</v>
      </c>
      <c r="DB173">
        <f t="shared" si="16"/>
        <v>293.68</v>
      </c>
      <c r="DC173">
        <f t="shared" si="17"/>
        <v>0</v>
      </c>
    </row>
    <row r="174" spans="1:107" x14ac:dyDescent="0.2">
      <c r="A174">
        <f>ROW(Source!A382)</f>
        <v>382</v>
      </c>
      <c r="B174">
        <v>33989672</v>
      </c>
      <c r="C174">
        <v>33992357</v>
      </c>
      <c r="D174">
        <v>30057923</v>
      </c>
      <c r="E174">
        <v>1</v>
      </c>
      <c r="F174">
        <v>1</v>
      </c>
      <c r="G174">
        <v>29983435</v>
      </c>
      <c r="H174">
        <v>3</v>
      </c>
      <c r="I174" t="s">
        <v>769</v>
      </c>
      <c r="J174" t="s">
        <v>770</v>
      </c>
      <c r="K174" t="s">
        <v>771</v>
      </c>
      <c r="L174">
        <v>1339</v>
      </c>
      <c r="N174">
        <v>1007</v>
      </c>
      <c r="O174" t="s">
        <v>66</v>
      </c>
      <c r="P174" t="s">
        <v>66</v>
      </c>
      <c r="Q174">
        <v>1</v>
      </c>
      <c r="W174">
        <v>0</v>
      </c>
      <c r="X174">
        <v>814528933</v>
      </c>
      <c r="Y174">
        <v>0.7</v>
      </c>
      <c r="AA174">
        <v>933.13</v>
      </c>
      <c r="AB174">
        <v>0</v>
      </c>
      <c r="AC174">
        <v>0</v>
      </c>
      <c r="AD174">
        <v>0</v>
      </c>
      <c r="AE174">
        <v>407.48</v>
      </c>
      <c r="AF174">
        <v>0</v>
      </c>
      <c r="AG174">
        <v>0</v>
      </c>
      <c r="AH174">
        <v>0</v>
      </c>
      <c r="AI174">
        <v>2.29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S174" t="s">
        <v>3</v>
      </c>
      <c r="AT174">
        <v>0.7</v>
      </c>
      <c r="AU174" t="s">
        <v>3</v>
      </c>
      <c r="AV174">
        <v>0</v>
      </c>
      <c r="AW174">
        <v>2</v>
      </c>
      <c r="AX174">
        <v>33992366</v>
      </c>
      <c r="AY174">
        <v>1</v>
      </c>
      <c r="AZ174">
        <v>0</v>
      </c>
      <c r="BA174">
        <v>174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Y174*Source!I382</f>
        <v>77.419999999999987</v>
      </c>
      <c r="CY174">
        <f>AA174</f>
        <v>933.13</v>
      </c>
      <c r="CZ174">
        <f>AE174</f>
        <v>407.48</v>
      </c>
      <c r="DA174">
        <f>AI174</f>
        <v>2.29</v>
      </c>
      <c r="DB174">
        <f t="shared" si="16"/>
        <v>285.24</v>
      </c>
      <c r="DC174">
        <f t="shared" si="17"/>
        <v>0</v>
      </c>
    </row>
    <row r="175" spans="1:107" x14ac:dyDescent="0.2">
      <c r="A175">
        <f>ROW(Source!A384)</f>
        <v>384</v>
      </c>
      <c r="B175">
        <v>33989672</v>
      </c>
      <c r="C175">
        <v>33992369</v>
      </c>
      <c r="D175">
        <v>29983441</v>
      </c>
      <c r="E175">
        <v>29983435</v>
      </c>
      <c r="F175">
        <v>1</v>
      </c>
      <c r="G175">
        <v>29983435</v>
      </c>
      <c r="H175">
        <v>1</v>
      </c>
      <c r="I175" t="s">
        <v>646</v>
      </c>
      <c r="J175" t="s">
        <v>3</v>
      </c>
      <c r="K175" t="s">
        <v>647</v>
      </c>
      <c r="L175">
        <v>1191</v>
      </c>
      <c r="N175">
        <v>1013</v>
      </c>
      <c r="O175" t="s">
        <v>648</v>
      </c>
      <c r="P175" t="s">
        <v>648</v>
      </c>
      <c r="Q175">
        <v>1</v>
      </c>
      <c r="W175">
        <v>0</v>
      </c>
      <c r="X175">
        <v>476480486</v>
      </c>
      <c r="Y175">
        <v>14.6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S175" t="s">
        <v>3</v>
      </c>
      <c r="AT175">
        <v>14.6</v>
      </c>
      <c r="AU175" t="s">
        <v>3</v>
      </c>
      <c r="AV175">
        <v>1</v>
      </c>
      <c r="AW175">
        <v>2</v>
      </c>
      <c r="AX175">
        <v>33992373</v>
      </c>
      <c r="AY175">
        <v>1</v>
      </c>
      <c r="AZ175">
        <v>0</v>
      </c>
      <c r="BA175">
        <v>176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Y175*Source!I384</f>
        <v>2422.14</v>
      </c>
      <c r="CY175">
        <f>AD175</f>
        <v>0</v>
      </c>
      <c r="CZ175">
        <f>AH175</f>
        <v>0</v>
      </c>
      <c r="DA175">
        <f>AL175</f>
        <v>1</v>
      </c>
      <c r="DB175">
        <f t="shared" si="16"/>
        <v>0</v>
      </c>
      <c r="DC175">
        <f t="shared" si="17"/>
        <v>0</v>
      </c>
    </row>
    <row r="176" spans="1:107" x14ac:dyDescent="0.2">
      <c r="A176">
        <f>ROW(Source!A384)</f>
        <v>384</v>
      </c>
      <c r="B176">
        <v>33989672</v>
      </c>
      <c r="C176">
        <v>33992369</v>
      </c>
      <c r="D176">
        <v>30057929</v>
      </c>
      <c r="E176">
        <v>1</v>
      </c>
      <c r="F176">
        <v>1</v>
      </c>
      <c r="G176">
        <v>29983435</v>
      </c>
      <c r="H176">
        <v>3</v>
      </c>
      <c r="I176" t="s">
        <v>280</v>
      </c>
      <c r="J176" t="s">
        <v>282</v>
      </c>
      <c r="K176" t="s">
        <v>281</v>
      </c>
      <c r="L176">
        <v>1339</v>
      </c>
      <c r="N176">
        <v>1007</v>
      </c>
      <c r="O176" t="s">
        <v>66</v>
      </c>
      <c r="P176" t="s">
        <v>66</v>
      </c>
      <c r="Q176">
        <v>1</v>
      </c>
      <c r="W176">
        <v>0</v>
      </c>
      <c r="X176">
        <v>92320855</v>
      </c>
      <c r="Y176">
        <v>2</v>
      </c>
      <c r="AA176">
        <v>977.95</v>
      </c>
      <c r="AB176">
        <v>0</v>
      </c>
      <c r="AC176">
        <v>0</v>
      </c>
      <c r="AD176">
        <v>0</v>
      </c>
      <c r="AE176">
        <v>146.84</v>
      </c>
      <c r="AF176">
        <v>0</v>
      </c>
      <c r="AG176">
        <v>0</v>
      </c>
      <c r="AH176">
        <v>0</v>
      </c>
      <c r="AI176">
        <v>6.66</v>
      </c>
      <c r="AJ176">
        <v>1</v>
      </c>
      <c r="AK176">
        <v>1</v>
      </c>
      <c r="AL176">
        <v>1</v>
      </c>
      <c r="AN176">
        <v>0</v>
      </c>
      <c r="AO176">
        <v>0</v>
      </c>
      <c r="AP176">
        <v>0</v>
      </c>
      <c r="AQ176">
        <v>0</v>
      </c>
      <c r="AR176">
        <v>0</v>
      </c>
      <c r="AS176" t="s">
        <v>3</v>
      </c>
      <c r="AT176">
        <v>2</v>
      </c>
      <c r="AU176" t="s">
        <v>3</v>
      </c>
      <c r="AV176">
        <v>0</v>
      </c>
      <c r="AW176">
        <v>1</v>
      </c>
      <c r="AX176">
        <v>-1</v>
      </c>
      <c r="AY176">
        <v>0</v>
      </c>
      <c r="AZ176">
        <v>0</v>
      </c>
      <c r="BA176" t="s">
        <v>3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Y176*Source!I384</f>
        <v>331.8</v>
      </c>
      <c r="CY176">
        <f>AA176</f>
        <v>977.95</v>
      </c>
      <c r="CZ176">
        <f>AE176</f>
        <v>146.84</v>
      </c>
      <c r="DA176">
        <f>AI176</f>
        <v>6.66</v>
      </c>
      <c r="DB176">
        <f t="shared" si="16"/>
        <v>293.68</v>
      </c>
      <c r="DC176">
        <f t="shared" si="17"/>
        <v>0</v>
      </c>
    </row>
    <row r="177" spans="1:107" x14ac:dyDescent="0.2">
      <c r="A177">
        <f>ROW(Source!A384)</f>
        <v>384</v>
      </c>
      <c r="B177">
        <v>33989672</v>
      </c>
      <c r="C177">
        <v>33992369</v>
      </c>
      <c r="D177">
        <v>30057923</v>
      </c>
      <c r="E177">
        <v>1</v>
      </c>
      <c r="F177">
        <v>1</v>
      </c>
      <c r="G177">
        <v>29983435</v>
      </c>
      <c r="H177">
        <v>3</v>
      </c>
      <c r="I177" t="s">
        <v>769</v>
      </c>
      <c r="J177" t="s">
        <v>770</v>
      </c>
      <c r="K177" t="s">
        <v>771</v>
      </c>
      <c r="L177">
        <v>1339</v>
      </c>
      <c r="N177">
        <v>1007</v>
      </c>
      <c r="O177" t="s">
        <v>66</v>
      </c>
      <c r="P177" t="s">
        <v>66</v>
      </c>
      <c r="Q177">
        <v>1</v>
      </c>
      <c r="W177">
        <v>0</v>
      </c>
      <c r="X177">
        <v>814528933</v>
      </c>
      <c r="Y177">
        <v>0.7</v>
      </c>
      <c r="AA177">
        <v>933.13</v>
      </c>
      <c r="AB177">
        <v>0</v>
      </c>
      <c r="AC177">
        <v>0</v>
      </c>
      <c r="AD177">
        <v>0</v>
      </c>
      <c r="AE177">
        <v>407.48</v>
      </c>
      <c r="AF177">
        <v>0</v>
      </c>
      <c r="AG177">
        <v>0</v>
      </c>
      <c r="AH177">
        <v>0</v>
      </c>
      <c r="AI177">
        <v>2.29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S177" t="s">
        <v>3</v>
      </c>
      <c r="AT177">
        <v>0.7</v>
      </c>
      <c r="AU177" t="s">
        <v>3</v>
      </c>
      <c r="AV177">
        <v>0</v>
      </c>
      <c r="AW177">
        <v>2</v>
      </c>
      <c r="AX177">
        <v>33992374</v>
      </c>
      <c r="AY177">
        <v>1</v>
      </c>
      <c r="AZ177">
        <v>0</v>
      </c>
      <c r="BA177">
        <v>177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Y177*Source!I384</f>
        <v>116.13</v>
      </c>
      <c r="CY177">
        <f>AA177</f>
        <v>933.13</v>
      </c>
      <c r="CZ177">
        <f>AE177</f>
        <v>407.48</v>
      </c>
      <c r="DA177">
        <f>AI177</f>
        <v>2.29</v>
      </c>
      <c r="DB177">
        <f t="shared" si="16"/>
        <v>285.24</v>
      </c>
      <c r="DC177">
        <f t="shared" si="17"/>
        <v>0</v>
      </c>
    </row>
    <row r="178" spans="1:107" x14ac:dyDescent="0.2">
      <c r="A178">
        <f>ROW(Source!A386)</f>
        <v>386</v>
      </c>
      <c r="B178">
        <v>33989672</v>
      </c>
      <c r="C178">
        <v>33992377</v>
      </c>
      <c r="D178">
        <v>29983441</v>
      </c>
      <c r="E178">
        <v>29983435</v>
      </c>
      <c r="F178">
        <v>1</v>
      </c>
      <c r="G178">
        <v>29983435</v>
      </c>
      <c r="H178">
        <v>1</v>
      </c>
      <c r="I178" t="s">
        <v>646</v>
      </c>
      <c r="J178" t="s">
        <v>3</v>
      </c>
      <c r="K178" t="s">
        <v>647</v>
      </c>
      <c r="L178">
        <v>1191</v>
      </c>
      <c r="N178">
        <v>1013</v>
      </c>
      <c r="O178" t="s">
        <v>648</v>
      </c>
      <c r="P178" t="s">
        <v>648</v>
      </c>
      <c r="Q178">
        <v>1</v>
      </c>
      <c r="W178">
        <v>0</v>
      </c>
      <c r="X178">
        <v>476480486</v>
      </c>
      <c r="Y178">
        <v>6.16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S178" t="s">
        <v>3</v>
      </c>
      <c r="AT178">
        <v>6.16</v>
      </c>
      <c r="AU178" t="s">
        <v>3</v>
      </c>
      <c r="AV178">
        <v>1</v>
      </c>
      <c r="AW178">
        <v>2</v>
      </c>
      <c r="AX178">
        <v>33992382</v>
      </c>
      <c r="AY178">
        <v>1</v>
      </c>
      <c r="AZ178">
        <v>0</v>
      </c>
      <c r="BA178">
        <v>179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Y178*Source!I386</f>
        <v>1703.24</v>
      </c>
      <c r="CY178">
        <f>AD178</f>
        <v>0</v>
      </c>
      <c r="CZ178">
        <f>AH178</f>
        <v>0</v>
      </c>
      <c r="DA178">
        <f>AL178</f>
        <v>1</v>
      </c>
      <c r="DB178">
        <f t="shared" si="16"/>
        <v>0</v>
      </c>
      <c r="DC178">
        <f t="shared" si="17"/>
        <v>0</v>
      </c>
    </row>
    <row r="179" spans="1:107" x14ac:dyDescent="0.2">
      <c r="A179">
        <f>ROW(Source!A386)</f>
        <v>386</v>
      </c>
      <c r="B179">
        <v>33989672</v>
      </c>
      <c r="C179">
        <v>33992377</v>
      </c>
      <c r="D179">
        <v>30063518</v>
      </c>
      <c r="E179">
        <v>1</v>
      </c>
      <c r="F179">
        <v>1</v>
      </c>
      <c r="G179">
        <v>29983435</v>
      </c>
      <c r="H179">
        <v>2</v>
      </c>
      <c r="I179" t="s">
        <v>686</v>
      </c>
      <c r="J179" t="s">
        <v>726</v>
      </c>
      <c r="K179" t="s">
        <v>727</v>
      </c>
      <c r="L179">
        <v>1367</v>
      </c>
      <c r="N179">
        <v>1011</v>
      </c>
      <c r="O179" t="s">
        <v>652</v>
      </c>
      <c r="P179" t="s">
        <v>652</v>
      </c>
      <c r="Q179">
        <v>1</v>
      </c>
      <c r="W179">
        <v>0</v>
      </c>
      <c r="X179">
        <v>378346098</v>
      </c>
      <c r="Y179">
        <v>0.26</v>
      </c>
      <c r="AA179">
        <v>0</v>
      </c>
      <c r="AB179">
        <v>1162.78</v>
      </c>
      <c r="AC179">
        <v>734.79</v>
      </c>
      <c r="AD179">
        <v>0</v>
      </c>
      <c r="AE179">
        <v>0</v>
      </c>
      <c r="AF179">
        <v>140.58000000000001</v>
      </c>
      <c r="AG179">
        <v>28.61</v>
      </c>
      <c r="AH179">
        <v>0</v>
      </c>
      <c r="AI179">
        <v>1</v>
      </c>
      <c r="AJ179">
        <v>7.9</v>
      </c>
      <c r="AK179">
        <v>24.53</v>
      </c>
      <c r="AL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S179" t="s">
        <v>3</v>
      </c>
      <c r="AT179">
        <v>0.26</v>
      </c>
      <c r="AU179" t="s">
        <v>3</v>
      </c>
      <c r="AV179">
        <v>0</v>
      </c>
      <c r="AW179">
        <v>2</v>
      </c>
      <c r="AX179">
        <v>33992383</v>
      </c>
      <c r="AY179">
        <v>1</v>
      </c>
      <c r="AZ179">
        <v>0</v>
      </c>
      <c r="BA179">
        <v>180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Y179*Source!I386</f>
        <v>71.89</v>
      </c>
      <c r="CY179">
        <f>AB179</f>
        <v>1162.78</v>
      </c>
      <c r="CZ179">
        <f>AF179</f>
        <v>140.58000000000001</v>
      </c>
      <c r="DA179">
        <f>AJ179</f>
        <v>7.9</v>
      </c>
      <c r="DB179">
        <f t="shared" si="16"/>
        <v>36.549999999999997</v>
      </c>
      <c r="DC179">
        <f t="shared" si="17"/>
        <v>7.44</v>
      </c>
    </row>
    <row r="180" spans="1:107" x14ac:dyDescent="0.2">
      <c r="A180">
        <f>ROW(Source!A386)</f>
        <v>386</v>
      </c>
      <c r="B180">
        <v>33989672</v>
      </c>
      <c r="C180">
        <v>33992377</v>
      </c>
      <c r="D180">
        <v>30042537</v>
      </c>
      <c r="E180">
        <v>1</v>
      </c>
      <c r="F180">
        <v>1</v>
      </c>
      <c r="G180">
        <v>29983435</v>
      </c>
      <c r="H180">
        <v>3</v>
      </c>
      <c r="I180" t="s">
        <v>467</v>
      </c>
      <c r="J180" t="s">
        <v>469</v>
      </c>
      <c r="K180" t="s">
        <v>468</v>
      </c>
      <c r="L180">
        <v>1339</v>
      </c>
      <c r="N180">
        <v>1007</v>
      </c>
      <c r="O180" t="s">
        <v>66</v>
      </c>
      <c r="P180" t="s">
        <v>66</v>
      </c>
      <c r="Q180">
        <v>1</v>
      </c>
      <c r="W180">
        <v>0</v>
      </c>
      <c r="X180">
        <v>-862991314</v>
      </c>
      <c r="Y180">
        <v>1.07</v>
      </c>
      <c r="AA180">
        <v>35.28</v>
      </c>
      <c r="AB180">
        <v>0</v>
      </c>
      <c r="AC180">
        <v>0</v>
      </c>
      <c r="AD180">
        <v>0</v>
      </c>
      <c r="AE180">
        <v>7.07</v>
      </c>
      <c r="AF180">
        <v>0</v>
      </c>
      <c r="AG180">
        <v>0</v>
      </c>
      <c r="AH180">
        <v>0</v>
      </c>
      <c r="AI180">
        <v>4.99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0</v>
      </c>
      <c r="AQ180">
        <v>0</v>
      </c>
      <c r="AR180">
        <v>0</v>
      </c>
      <c r="AS180" t="s">
        <v>3</v>
      </c>
      <c r="AT180">
        <v>1.07</v>
      </c>
      <c r="AU180" t="s">
        <v>3</v>
      </c>
      <c r="AV180">
        <v>0</v>
      </c>
      <c r="AW180">
        <v>2</v>
      </c>
      <c r="AX180">
        <v>33992384</v>
      </c>
      <c r="AY180">
        <v>1</v>
      </c>
      <c r="AZ180">
        <v>0</v>
      </c>
      <c r="BA180">
        <v>181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Y180*Source!I386</f>
        <v>295.85500000000002</v>
      </c>
      <c r="CY180">
        <f>AA180</f>
        <v>35.28</v>
      </c>
      <c r="CZ180">
        <f>AE180</f>
        <v>7.07</v>
      </c>
      <c r="DA180">
        <f>AI180</f>
        <v>4.99</v>
      </c>
      <c r="DB180">
        <f t="shared" si="16"/>
        <v>7.56</v>
      </c>
      <c r="DC180">
        <f t="shared" si="17"/>
        <v>0</v>
      </c>
    </row>
    <row r="181" spans="1:107" x14ac:dyDescent="0.2">
      <c r="A181">
        <f>ROW(Source!A386)</f>
        <v>386</v>
      </c>
      <c r="B181">
        <v>33989672</v>
      </c>
      <c r="C181">
        <v>33992377</v>
      </c>
      <c r="D181">
        <v>30058043</v>
      </c>
      <c r="E181">
        <v>1</v>
      </c>
      <c r="F181">
        <v>1</v>
      </c>
      <c r="G181">
        <v>29983435</v>
      </c>
      <c r="H181">
        <v>3</v>
      </c>
      <c r="I181" t="s">
        <v>326</v>
      </c>
      <c r="J181" t="s">
        <v>329</v>
      </c>
      <c r="K181" t="s">
        <v>327</v>
      </c>
      <c r="L181">
        <v>1354</v>
      </c>
      <c r="N181">
        <v>1010</v>
      </c>
      <c r="O181" t="s">
        <v>328</v>
      </c>
      <c r="P181" t="s">
        <v>328</v>
      </c>
      <c r="Q181">
        <v>1</v>
      </c>
      <c r="W181">
        <v>0</v>
      </c>
      <c r="X181">
        <v>635768350</v>
      </c>
      <c r="Y181">
        <v>10</v>
      </c>
      <c r="AA181">
        <v>226.44</v>
      </c>
      <c r="AB181">
        <v>0</v>
      </c>
      <c r="AC181">
        <v>0</v>
      </c>
      <c r="AD181">
        <v>0</v>
      </c>
      <c r="AE181">
        <v>30.85</v>
      </c>
      <c r="AF181">
        <v>0</v>
      </c>
      <c r="AG181">
        <v>0</v>
      </c>
      <c r="AH181">
        <v>0</v>
      </c>
      <c r="AI181">
        <v>7.34</v>
      </c>
      <c r="AJ181">
        <v>1</v>
      </c>
      <c r="AK181">
        <v>1</v>
      </c>
      <c r="AL181">
        <v>1</v>
      </c>
      <c r="AN181">
        <v>0</v>
      </c>
      <c r="AO181">
        <v>0</v>
      </c>
      <c r="AP181">
        <v>0</v>
      </c>
      <c r="AQ181">
        <v>0</v>
      </c>
      <c r="AR181">
        <v>0</v>
      </c>
      <c r="AS181" t="s">
        <v>3</v>
      </c>
      <c r="AT181">
        <v>10</v>
      </c>
      <c r="AU181" t="s">
        <v>3</v>
      </c>
      <c r="AV181">
        <v>0</v>
      </c>
      <c r="AW181">
        <v>1</v>
      </c>
      <c r="AX181">
        <v>-1</v>
      </c>
      <c r="AY181">
        <v>0</v>
      </c>
      <c r="AZ181">
        <v>0</v>
      </c>
      <c r="BA181" t="s">
        <v>3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Y181*Source!I386</f>
        <v>2765</v>
      </c>
      <c r="CY181">
        <f>AA181</f>
        <v>226.44</v>
      </c>
      <c r="CZ181">
        <f>AE181</f>
        <v>30.85</v>
      </c>
      <c r="DA181">
        <f>AI181</f>
        <v>7.34</v>
      </c>
      <c r="DB181">
        <f t="shared" si="16"/>
        <v>308.5</v>
      </c>
      <c r="DC181">
        <f t="shared" si="17"/>
        <v>0</v>
      </c>
    </row>
    <row r="182" spans="1:107" x14ac:dyDescent="0.2">
      <c r="A182">
        <f>ROW(Source!A492)</f>
        <v>492</v>
      </c>
      <c r="B182">
        <v>33989672</v>
      </c>
      <c r="C182">
        <v>33992387</v>
      </c>
      <c r="D182">
        <v>29983441</v>
      </c>
      <c r="E182">
        <v>29983435</v>
      </c>
      <c r="F182">
        <v>1</v>
      </c>
      <c r="G182">
        <v>29983435</v>
      </c>
      <c r="H182">
        <v>1</v>
      </c>
      <c r="I182" t="s">
        <v>646</v>
      </c>
      <c r="J182" t="s">
        <v>3</v>
      </c>
      <c r="K182" t="s">
        <v>647</v>
      </c>
      <c r="L182">
        <v>1191</v>
      </c>
      <c r="N182">
        <v>1013</v>
      </c>
      <c r="O182" t="s">
        <v>648</v>
      </c>
      <c r="P182" t="s">
        <v>648</v>
      </c>
      <c r="Q182">
        <v>1</v>
      </c>
      <c r="W182">
        <v>0</v>
      </c>
      <c r="X182">
        <v>476480486</v>
      </c>
      <c r="Y182">
        <v>29.95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S182" t="s">
        <v>3</v>
      </c>
      <c r="AT182">
        <v>29.95</v>
      </c>
      <c r="AU182" t="s">
        <v>3</v>
      </c>
      <c r="AV182">
        <v>1</v>
      </c>
      <c r="AW182">
        <v>2</v>
      </c>
      <c r="AX182">
        <v>33992392</v>
      </c>
      <c r="AY182">
        <v>1</v>
      </c>
      <c r="AZ182">
        <v>0</v>
      </c>
      <c r="BA182">
        <v>183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Y182*Source!I492</f>
        <v>146.15600000000001</v>
      </c>
      <c r="CY182">
        <f>AD182</f>
        <v>0</v>
      </c>
      <c r="CZ182">
        <f>AH182</f>
        <v>0</v>
      </c>
      <c r="DA182">
        <f>AL182</f>
        <v>1</v>
      </c>
      <c r="DB182">
        <f t="shared" si="16"/>
        <v>0</v>
      </c>
      <c r="DC182">
        <f t="shared" si="17"/>
        <v>0</v>
      </c>
    </row>
    <row r="183" spans="1:107" x14ac:dyDescent="0.2">
      <c r="A183">
        <f>ROW(Source!A492)</f>
        <v>492</v>
      </c>
      <c r="B183">
        <v>33989672</v>
      </c>
      <c r="C183">
        <v>33992387</v>
      </c>
      <c r="D183">
        <v>30063259</v>
      </c>
      <c r="E183">
        <v>1</v>
      </c>
      <c r="F183">
        <v>1</v>
      </c>
      <c r="G183">
        <v>29983435</v>
      </c>
      <c r="H183">
        <v>2</v>
      </c>
      <c r="I183" t="s">
        <v>772</v>
      </c>
      <c r="J183" t="s">
        <v>773</v>
      </c>
      <c r="K183" t="s">
        <v>774</v>
      </c>
      <c r="L183">
        <v>1367</v>
      </c>
      <c r="N183">
        <v>1011</v>
      </c>
      <c r="O183" t="s">
        <v>652</v>
      </c>
      <c r="P183" t="s">
        <v>652</v>
      </c>
      <c r="Q183">
        <v>1</v>
      </c>
      <c r="W183">
        <v>0</v>
      </c>
      <c r="X183">
        <v>-1659124929</v>
      </c>
      <c r="Y183">
        <v>0.54</v>
      </c>
      <c r="AA183">
        <v>0</v>
      </c>
      <c r="AB183">
        <v>876.97</v>
      </c>
      <c r="AC183">
        <v>536</v>
      </c>
      <c r="AD183">
        <v>0</v>
      </c>
      <c r="AE183">
        <v>0</v>
      </c>
      <c r="AF183">
        <v>80</v>
      </c>
      <c r="AG183">
        <v>20.87</v>
      </c>
      <c r="AH183">
        <v>0</v>
      </c>
      <c r="AI183">
        <v>1</v>
      </c>
      <c r="AJ183">
        <v>10.47</v>
      </c>
      <c r="AK183">
        <v>24.53</v>
      </c>
      <c r="AL183">
        <v>1</v>
      </c>
      <c r="AN183">
        <v>0</v>
      </c>
      <c r="AO183">
        <v>1</v>
      </c>
      <c r="AP183">
        <v>0</v>
      </c>
      <c r="AQ183">
        <v>0</v>
      </c>
      <c r="AR183">
        <v>0</v>
      </c>
      <c r="AS183" t="s">
        <v>3</v>
      </c>
      <c r="AT183">
        <v>0.54</v>
      </c>
      <c r="AU183" t="s">
        <v>3</v>
      </c>
      <c r="AV183">
        <v>0</v>
      </c>
      <c r="AW183">
        <v>2</v>
      </c>
      <c r="AX183">
        <v>33992393</v>
      </c>
      <c r="AY183">
        <v>1</v>
      </c>
      <c r="AZ183">
        <v>0</v>
      </c>
      <c r="BA183">
        <v>184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Y183*Source!I492</f>
        <v>2.6352000000000002</v>
      </c>
      <c r="CY183">
        <f>AB183</f>
        <v>876.97</v>
      </c>
      <c r="CZ183">
        <f>AF183</f>
        <v>80</v>
      </c>
      <c r="DA183">
        <f>AJ183</f>
        <v>10.47</v>
      </c>
      <c r="DB183">
        <f t="shared" si="16"/>
        <v>43.2</v>
      </c>
      <c r="DC183">
        <f t="shared" si="17"/>
        <v>11.27</v>
      </c>
    </row>
    <row r="184" spans="1:107" x14ac:dyDescent="0.2">
      <c r="A184">
        <f>ROW(Source!A492)</f>
        <v>492</v>
      </c>
      <c r="B184">
        <v>33989672</v>
      </c>
      <c r="C184">
        <v>33992387</v>
      </c>
      <c r="D184">
        <v>30057929</v>
      </c>
      <c r="E184">
        <v>1</v>
      </c>
      <c r="F184">
        <v>1</v>
      </c>
      <c r="G184">
        <v>29983435</v>
      </c>
      <c r="H184">
        <v>3</v>
      </c>
      <c r="I184" t="s">
        <v>280</v>
      </c>
      <c r="J184" t="s">
        <v>282</v>
      </c>
      <c r="K184" t="s">
        <v>281</v>
      </c>
      <c r="L184">
        <v>1339</v>
      </c>
      <c r="N184">
        <v>1007</v>
      </c>
      <c r="O184" t="s">
        <v>66</v>
      </c>
      <c r="P184" t="s">
        <v>66</v>
      </c>
      <c r="Q184">
        <v>1</v>
      </c>
      <c r="W184">
        <v>0</v>
      </c>
      <c r="X184">
        <v>92320855</v>
      </c>
      <c r="Y184">
        <v>6.2</v>
      </c>
      <c r="AA184">
        <v>977.95</v>
      </c>
      <c r="AB184">
        <v>0</v>
      </c>
      <c r="AC184">
        <v>0</v>
      </c>
      <c r="AD184">
        <v>0</v>
      </c>
      <c r="AE184">
        <v>146.84</v>
      </c>
      <c r="AF184">
        <v>0</v>
      </c>
      <c r="AG184">
        <v>0</v>
      </c>
      <c r="AH184">
        <v>0</v>
      </c>
      <c r="AI184">
        <v>6.66</v>
      </c>
      <c r="AJ184">
        <v>1</v>
      </c>
      <c r="AK184">
        <v>1</v>
      </c>
      <c r="AL184">
        <v>1</v>
      </c>
      <c r="AN184">
        <v>0</v>
      </c>
      <c r="AO184">
        <v>0</v>
      </c>
      <c r="AP184">
        <v>0</v>
      </c>
      <c r="AQ184">
        <v>0</v>
      </c>
      <c r="AR184">
        <v>0</v>
      </c>
      <c r="AS184" t="s">
        <v>3</v>
      </c>
      <c r="AT184">
        <v>6.2</v>
      </c>
      <c r="AU184" t="s">
        <v>3</v>
      </c>
      <c r="AV184">
        <v>0</v>
      </c>
      <c r="AW184">
        <v>1</v>
      </c>
      <c r="AX184">
        <v>-1</v>
      </c>
      <c r="AY184">
        <v>0</v>
      </c>
      <c r="AZ184">
        <v>0</v>
      </c>
      <c r="BA184" t="s">
        <v>3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Y184*Source!I492</f>
        <v>30.256</v>
      </c>
      <c r="CY184">
        <f>AA184</f>
        <v>977.95</v>
      </c>
      <c r="CZ184">
        <f>AE184</f>
        <v>146.84</v>
      </c>
      <c r="DA184">
        <f>AI184</f>
        <v>6.66</v>
      </c>
      <c r="DB184">
        <f t="shared" si="16"/>
        <v>910.41</v>
      </c>
      <c r="DC184">
        <f t="shared" si="17"/>
        <v>0</v>
      </c>
    </row>
    <row r="185" spans="1:107" x14ac:dyDescent="0.2">
      <c r="A185">
        <f>ROW(Source!A492)</f>
        <v>492</v>
      </c>
      <c r="B185">
        <v>33989672</v>
      </c>
      <c r="C185">
        <v>33992387</v>
      </c>
      <c r="D185">
        <v>30057923</v>
      </c>
      <c r="E185">
        <v>1</v>
      </c>
      <c r="F185">
        <v>1</v>
      </c>
      <c r="G185">
        <v>29983435</v>
      </c>
      <c r="H185">
        <v>3</v>
      </c>
      <c r="I185" t="s">
        <v>769</v>
      </c>
      <c r="J185" t="s">
        <v>770</v>
      </c>
      <c r="K185" t="s">
        <v>771</v>
      </c>
      <c r="L185">
        <v>1339</v>
      </c>
      <c r="N185">
        <v>1007</v>
      </c>
      <c r="O185" t="s">
        <v>66</v>
      </c>
      <c r="P185" t="s">
        <v>66</v>
      </c>
      <c r="Q185">
        <v>1</v>
      </c>
      <c r="W185">
        <v>0</v>
      </c>
      <c r="X185">
        <v>814528933</v>
      </c>
      <c r="Y185">
        <v>2.1</v>
      </c>
      <c r="AA185">
        <v>933.13</v>
      </c>
      <c r="AB185">
        <v>0</v>
      </c>
      <c r="AC185">
        <v>0</v>
      </c>
      <c r="AD185">
        <v>0</v>
      </c>
      <c r="AE185">
        <v>407.48</v>
      </c>
      <c r="AF185">
        <v>0</v>
      </c>
      <c r="AG185">
        <v>0</v>
      </c>
      <c r="AH185">
        <v>0</v>
      </c>
      <c r="AI185">
        <v>2.29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S185" t="s">
        <v>3</v>
      </c>
      <c r="AT185">
        <v>2.1</v>
      </c>
      <c r="AU185" t="s">
        <v>3</v>
      </c>
      <c r="AV185">
        <v>0</v>
      </c>
      <c r="AW185">
        <v>2</v>
      </c>
      <c r="AX185">
        <v>33992394</v>
      </c>
      <c r="AY185">
        <v>1</v>
      </c>
      <c r="AZ185">
        <v>0</v>
      </c>
      <c r="BA185">
        <v>185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Y185*Source!I492</f>
        <v>10.247999999999999</v>
      </c>
      <c r="CY185">
        <f>AA185</f>
        <v>933.13</v>
      </c>
      <c r="CZ185">
        <f>AE185</f>
        <v>407.48</v>
      </c>
      <c r="DA185">
        <f>AI185</f>
        <v>2.29</v>
      </c>
      <c r="DB185">
        <f t="shared" si="16"/>
        <v>855.71</v>
      </c>
      <c r="DC185">
        <f t="shared" si="17"/>
        <v>0</v>
      </c>
    </row>
    <row r="186" spans="1:107" x14ac:dyDescent="0.2">
      <c r="A186">
        <f>ROW(Source!A494)</f>
        <v>494</v>
      </c>
      <c r="B186">
        <v>33989672</v>
      </c>
      <c r="C186">
        <v>33992397</v>
      </c>
      <c r="D186">
        <v>29983441</v>
      </c>
      <c r="E186">
        <v>29983435</v>
      </c>
      <c r="F186">
        <v>1</v>
      </c>
      <c r="G186">
        <v>29983435</v>
      </c>
      <c r="H186">
        <v>1</v>
      </c>
      <c r="I186" t="s">
        <v>646</v>
      </c>
      <c r="J186" t="s">
        <v>3</v>
      </c>
      <c r="K186" t="s">
        <v>647</v>
      </c>
      <c r="L186">
        <v>1191</v>
      </c>
      <c r="N186">
        <v>1013</v>
      </c>
      <c r="O186" t="s">
        <v>648</v>
      </c>
      <c r="P186" t="s">
        <v>648</v>
      </c>
      <c r="Q186">
        <v>1</v>
      </c>
      <c r="W186">
        <v>0</v>
      </c>
      <c r="X186">
        <v>476480486</v>
      </c>
      <c r="Y186">
        <v>51.09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S186" t="s">
        <v>3</v>
      </c>
      <c r="AT186">
        <v>51.09</v>
      </c>
      <c r="AU186" t="s">
        <v>3</v>
      </c>
      <c r="AV186">
        <v>1</v>
      </c>
      <c r="AW186">
        <v>2</v>
      </c>
      <c r="AX186">
        <v>33992401</v>
      </c>
      <c r="AY186">
        <v>1</v>
      </c>
      <c r="AZ186">
        <v>0</v>
      </c>
      <c r="BA186">
        <v>187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Y186*Source!I494</f>
        <v>373.97880000000004</v>
      </c>
      <c r="CY186">
        <f>AD186</f>
        <v>0</v>
      </c>
      <c r="CZ186">
        <f>AH186</f>
        <v>0</v>
      </c>
      <c r="DA186">
        <f>AL186</f>
        <v>1</v>
      </c>
      <c r="DB186">
        <f t="shared" si="16"/>
        <v>0</v>
      </c>
      <c r="DC186">
        <f t="shared" si="17"/>
        <v>0</v>
      </c>
    </row>
    <row r="187" spans="1:107" x14ac:dyDescent="0.2">
      <c r="A187">
        <f>ROW(Source!A494)</f>
        <v>494</v>
      </c>
      <c r="B187">
        <v>33989672</v>
      </c>
      <c r="C187">
        <v>33992397</v>
      </c>
      <c r="D187">
        <v>30057929</v>
      </c>
      <c r="E187">
        <v>1</v>
      </c>
      <c r="F187">
        <v>1</v>
      </c>
      <c r="G187">
        <v>29983435</v>
      </c>
      <c r="H187">
        <v>3</v>
      </c>
      <c r="I187" t="s">
        <v>280</v>
      </c>
      <c r="J187" t="s">
        <v>282</v>
      </c>
      <c r="K187" t="s">
        <v>281</v>
      </c>
      <c r="L187">
        <v>1339</v>
      </c>
      <c r="N187">
        <v>1007</v>
      </c>
      <c r="O187" t="s">
        <v>66</v>
      </c>
      <c r="P187" t="s">
        <v>66</v>
      </c>
      <c r="Q187">
        <v>1</v>
      </c>
      <c r="W187">
        <v>0</v>
      </c>
      <c r="X187">
        <v>92320855</v>
      </c>
      <c r="Y187">
        <v>6.2</v>
      </c>
      <c r="AA187">
        <v>977.95</v>
      </c>
      <c r="AB187">
        <v>0</v>
      </c>
      <c r="AC187">
        <v>0</v>
      </c>
      <c r="AD187">
        <v>0</v>
      </c>
      <c r="AE187">
        <v>146.84</v>
      </c>
      <c r="AF187">
        <v>0</v>
      </c>
      <c r="AG187">
        <v>0</v>
      </c>
      <c r="AH187">
        <v>0</v>
      </c>
      <c r="AI187">
        <v>6.66</v>
      </c>
      <c r="AJ187">
        <v>1</v>
      </c>
      <c r="AK187">
        <v>1</v>
      </c>
      <c r="AL187">
        <v>1</v>
      </c>
      <c r="AN187">
        <v>0</v>
      </c>
      <c r="AO187">
        <v>0</v>
      </c>
      <c r="AP187">
        <v>0</v>
      </c>
      <c r="AQ187">
        <v>0</v>
      </c>
      <c r="AR187">
        <v>0</v>
      </c>
      <c r="AS187" t="s">
        <v>3</v>
      </c>
      <c r="AT187">
        <v>6.2</v>
      </c>
      <c r="AU187" t="s">
        <v>3</v>
      </c>
      <c r="AV187">
        <v>0</v>
      </c>
      <c r="AW187">
        <v>1</v>
      </c>
      <c r="AX187">
        <v>-1</v>
      </c>
      <c r="AY187">
        <v>0</v>
      </c>
      <c r="AZ187">
        <v>0</v>
      </c>
      <c r="BA187" t="s">
        <v>3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Y187*Source!I494</f>
        <v>45.384</v>
      </c>
      <c r="CY187">
        <f>AA187</f>
        <v>977.95</v>
      </c>
      <c r="CZ187">
        <f>AE187</f>
        <v>146.84</v>
      </c>
      <c r="DA187">
        <f>AI187</f>
        <v>6.66</v>
      </c>
      <c r="DB187">
        <f t="shared" si="16"/>
        <v>910.41</v>
      </c>
      <c r="DC187">
        <f t="shared" si="17"/>
        <v>0</v>
      </c>
    </row>
    <row r="188" spans="1:107" x14ac:dyDescent="0.2">
      <c r="A188">
        <f>ROW(Source!A494)</f>
        <v>494</v>
      </c>
      <c r="B188">
        <v>33989672</v>
      </c>
      <c r="C188">
        <v>33992397</v>
      </c>
      <c r="D188">
        <v>30057923</v>
      </c>
      <c r="E188">
        <v>1</v>
      </c>
      <c r="F188">
        <v>1</v>
      </c>
      <c r="G188">
        <v>29983435</v>
      </c>
      <c r="H188">
        <v>3</v>
      </c>
      <c r="I188" t="s">
        <v>769</v>
      </c>
      <c r="J188" t="s">
        <v>770</v>
      </c>
      <c r="K188" t="s">
        <v>771</v>
      </c>
      <c r="L188">
        <v>1339</v>
      </c>
      <c r="N188">
        <v>1007</v>
      </c>
      <c r="O188" t="s">
        <v>66</v>
      </c>
      <c r="P188" t="s">
        <v>66</v>
      </c>
      <c r="Q188">
        <v>1</v>
      </c>
      <c r="W188">
        <v>0</v>
      </c>
      <c r="X188">
        <v>814528933</v>
      </c>
      <c r="Y188">
        <v>2.1</v>
      </c>
      <c r="AA188">
        <v>933.13</v>
      </c>
      <c r="AB188">
        <v>0</v>
      </c>
      <c r="AC188">
        <v>0</v>
      </c>
      <c r="AD188">
        <v>0</v>
      </c>
      <c r="AE188">
        <v>407.48</v>
      </c>
      <c r="AF188">
        <v>0</v>
      </c>
      <c r="AG188">
        <v>0</v>
      </c>
      <c r="AH188">
        <v>0</v>
      </c>
      <c r="AI188">
        <v>2.29</v>
      </c>
      <c r="AJ188">
        <v>1</v>
      </c>
      <c r="AK188">
        <v>1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S188" t="s">
        <v>3</v>
      </c>
      <c r="AT188">
        <v>2.1</v>
      </c>
      <c r="AU188" t="s">
        <v>3</v>
      </c>
      <c r="AV188">
        <v>0</v>
      </c>
      <c r="AW188">
        <v>2</v>
      </c>
      <c r="AX188">
        <v>33992402</v>
      </c>
      <c r="AY188">
        <v>1</v>
      </c>
      <c r="AZ188">
        <v>0</v>
      </c>
      <c r="BA188">
        <v>188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Y188*Source!I494</f>
        <v>15.372000000000002</v>
      </c>
      <c r="CY188">
        <f>AA188</f>
        <v>933.13</v>
      </c>
      <c r="CZ188">
        <f>AE188</f>
        <v>407.48</v>
      </c>
      <c r="DA188">
        <f>AI188</f>
        <v>2.29</v>
      </c>
      <c r="DB188">
        <f t="shared" si="16"/>
        <v>855.71</v>
      </c>
      <c r="DC188">
        <f t="shared" si="17"/>
        <v>0</v>
      </c>
    </row>
    <row r="189" spans="1:107" x14ac:dyDescent="0.2">
      <c r="A189">
        <f>ROW(Source!A496)</f>
        <v>496</v>
      </c>
      <c r="B189">
        <v>33989672</v>
      </c>
      <c r="C189">
        <v>33992405</v>
      </c>
      <c r="D189">
        <v>29983441</v>
      </c>
      <c r="E189">
        <v>29983435</v>
      </c>
      <c r="F189">
        <v>1</v>
      </c>
      <c r="G189">
        <v>29983435</v>
      </c>
      <c r="H189">
        <v>1</v>
      </c>
      <c r="I189" t="s">
        <v>646</v>
      </c>
      <c r="J189" t="s">
        <v>3</v>
      </c>
      <c r="K189" t="s">
        <v>647</v>
      </c>
      <c r="L189">
        <v>1191</v>
      </c>
      <c r="N189">
        <v>1013</v>
      </c>
      <c r="O189" t="s">
        <v>648</v>
      </c>
      <c r="P189" t="s">
        <v>648</v>
      </c>
      <c r="Q189">
        <v>1</v>
      </c>
      <c r="W189">
        <v>0</v>
      </c>
      <c r="X189">
        <v>476480486</v>
      </c>
      <c r="Y189">
        <v>1.38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1</v>
      </c>
      <c r="AP189">
        <v>0</v>
      </c>
      <c r="AQ189">
        <v>0</v>
      </c>
      <c r="AR189">
        <v>0</v>
      </c>
      <c r="AS189" t="s">
        <v>3</v>
      </c>
      <c r="AT189">
        <v>1.38</v>
      </c>
      <c r="AU189" t="s">
        <v>3</v>
      </c>
      <c r="AV189">
        <v>1</v>
      </c>
      <c r="AW189">
        <v>2</v>
      </c>
      <c r="AX189">
        <v>33992409</v>
      </c>
      <c r="AY189">
        <v>1</v>
      </c>
      <c r="AZ189">
        <v>0</v>
      </c>
      <c r="BA189">
        <v>190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Y189*Source!I496</f>
        <v>1.02733272</v>
      </c>
      <c r="CY189">
        <f>AD189</f>
        <v>0</v>
      </c>
      <c r="CZ189">
        <f>AH189</f>
        <v>0</v>
      </c>
      <c r="DA189">
        <f>AL189</f>
        <v>1</v>
      </c>
      <c r="DB189">
        <f t="shared" si="16"/>
        <v>0</v>
      </c>
      <c r="DC189">
        <f t="shared" si="17"/>
        <v>0</v>
      </c>
    </row>
    <row r="190" spans="1:107" x14ac:dyDescent="0.2">
      <c r="A190">
        <f>ROW(Source!A496)</f>
        <v>496</v>
      </c>
      <c r="B190">
        <v>33989672</v>
      </c>
      <c r="C190">
        <v>33992405</v>
      </c>
      <c r="D190">
        <v>30063245</v>
      </c>
      <c r="E190">
        <v>1</v>
      </c>
      <c r="F190">
        <v>1</v>
      </c>
      <c r="G190">
        <v>29983435</v>
      </c>
      <c r="H190">
        <v>2</v>
      </c>
      <c r="I190" t="s">
        <v>740</v>
      </c>
      <c r="J190" t="s">
        <v>741</v>
      </c>
      <c r="K190" t="s">
        <v>742</v>
      </c>
      <c r="L190">
        <v>1367</v>
      </c>
      <c r="N190">
        <v>1011</v>
      </c>
      <c r="O190" t="s">
        <v>652</v>
      </c>
      <c r="P190" t="s">
        <v>652</v>
      </c>
      <c r="Q190">
        <v>1</v>
      </c>
      <c r="W190">
        <v>0</v>
      </c>
      <c r="X190">
        <v>781556702</v>
      </c>
      <c r="Y190">
        <v>3.9874999999999998</v>
      </c>
      <c r="AA190">
        <v>0</v>
      </c>
      <c r="AB190">
        <v>1916.45</v>
      </c>
      <c r="AC190">
        <v>836.26</v>
      </c>
      <c r="AD190">
        <v>0</v>
      </c>
      <c r="AE190">
        <v>0</v>
      </c>
      <c r="AF190">
        <v>162.4</v>
      </c>
      <c r="AG190">
        <v>28.6</v>
      </c>
      <c r="AH190">
        <v>0</v>
      </c>
      <c r="AI190">
        <v>1</v>
      </c>
      <c r="AJ190">
        <v>9.9</v>
      </c>
      <c r="AK190">
        <v>24.53</v>
      </c>
      <c r="AL190">
        <v>1</v>
      </c>
      <c r="AN190">
        <v>0</v>
      </c>
      <c r="AO190">
        <v>1</v>
      </c>
      <c r="AP190">
        <v>0</v>
      </c>
      <c r="AQ190">
        <v>0</v>
      </c>
      <c r="AR190">
        <v>0</v>
      </c>
      <c r="AS190" t="s">
        <v>3</v>
      </c>
      <c r="AT190">
        <v>3.9874999999999998</v>
      </c>
      <c r="AU190" t="s">
        <v>3</v>
      </c>
      <c r="AV190">
        <v>0</v>
      </c>
      <c r="AW190">
        <v>2</v>
      </c>
      <c r="AX190">
        <v>33992410</v>
      </c>
      <c r="AY190">
        <v>1</v>
      </c>
      <c r="AZ190">
        <v>0</v>
      </c>
      <c r="BA190">
        <v>191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Y190*Source!I496</f>
        <v>2.9684704499999999</v>
      </c>
      <c r="CY190">
        <f>AB190</f>
        <v>1916.45</v>
      </c>
      <c r="CZ190">
        <f>AF190</f>
        <v>162.4</v>
      </c>
      <c r="DA190">
        <f>AJ190</f>
        <v>9.9</v>
      </c>
      <c r="DB190">
        <f t="shared" si="16"/>
        <v>647.57000000000005</v>
      </c>
      <c r="DC190">
        <f t="shared" si="17"/>
        <v>114.04</v>
      </c>
    </row>
    <row r="191" spans="1:107" x14ac:dyDescent="0.2">
      <c r="A191">
        <f>ROW(Source!A496)</f>
        <v>496</v>
      </c>
      <c r="B191">
        <v>33989672</v>
      </c>
      <c r="C191">
        <v>33992405</v>
      </c>
      <c r="D191">
        <v>30063270</v>
      </c>
      <c r="E191">
        <v>1</v>
      </c>
      <c r="F191">
        <v>1</v>
      </c>
      <c r="G191">
        <v>29983435</v>
      </c>
      <c r="H191">
        <v>2</v>
      </c>
      <c r="I191" t="s">
        <v>743</v>
      </c>
      <c r="J191" t="s">
        <v>744</v>
      </c>
      <c r="K191" t="s">
        <v>745</v>
      </c>
      <c r="L191">
        <v>1367</v>
      </c>
      <c r="N191">
        <v>1011</v>
      </c>
      <c r="O191" t="s">
        <v>652</v>
      </c>
      <c r="P191" t="s">
        <v>652</v>
      </c>
      <c r="Q191">
        <v>1</v>
      </c>
      <c r="W191">
        <v>0</v>
      </c>
      <c r="X191">
        <v>695902881</v>
      </c>
      <c r="Y191">
        <v>0.997</v>
      </c>
      <c r="AA191">
        <v>0</v>
      </c>
      <c r="AB191">
        <v>1232.06</v>
      </c>
      <c r="AC191">
        <v>775.44</v>
      </c>
      <c r="AD191">
        <v>0</v>
      </c>
      <c r="AE191">
        <v>0</v>
      </c>
      <c r="AF191">
        <v>110.31</v>
      </c>
      <c r="AG191">
        <v>26.52</v>
      </c>
      <c r="AH191">
        <v>0</v>
      </c>
      <c r="AI191">
        <v>1</v>
      </c>
      <c r="AJ191">
        <v>9.3699999999999992</v>
      </c>
      <c r="AK191">
        <v>24.53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S191" t="s">
        <v>3</v>
      </c>
      <c r="AT191">
        <v>0.997</v>
      </c>
      <c r="AU191" t="s">
        <v>3</v>
      </c>
      <c r="AV191">
        <v>0</v>
      </c>
      <c r="AW191">
        <v>2</v>
      </c>
      <c r="AX191">
        <v>33992411</v>
      </c>
      <c r="AY191">
        <v>1</v>
      </c>
      <c r="AZ191">
        <v>0</v>
      </c>
      <c r="BA191">
        <v>192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Y191*Source!I496</f>
        <v>0.74221066800000002</v>
      </c>
      <c r="CY191">
        <f>AB191</f>
        <v>1232.06</v>
      </c>
      <c r="CZ191">
        <f>AF191</f>
        <v>110.31</v>
      </c>
      <c r="DA191">
        <f>AJ191</f>
        <v>9.3699999999999992</v>
      </c>
      <c r="DB191">
        <f t="shared" si="16"/>
        <v>109.98</v>
      </c>
      <c r="DC191">
        <f t="shared" si="17"/>
        <v>26.44</v>
      </c>
    </row>
    <row r="192" spans="1:107" x14ac:dyDescent="0.2">
      <c r="A192">
        <f>ROW(Source!A497)</f>
        <v>497</v>
      </c>
      <c r="B192">
        <v>33989672</v>
      </c>
      <c r="C192">
        <v>33992412</v>
      </c>
      <c r="D192">
        <v>29983441</v>
      </c>
      <c r="E192">
        <v>29983435</v>
      </c>
      <c r="F192">
        <v>1</v>
      </c>
      <c r="G192">
        <v>29983435</v>
      </c>
      <c r="H192">
        <v>1</v>
      </c>
      <c r="I192" t="s">
        <v>646</v>
      </c>
      <c r="J192" t="s">
        <v>3</v>
      </c>
      <c r="K192" t="s">
        <v>647</v>
      </c>
      <c r="L192">
        <v>1191</v>
      </c>
      <c r="N192">
        <v>1013</v>
      </c>
      <c r="O192" t="s">
        <v>648</v>
      </c>
      <c r="P192" t="s">
        <v>648</v>
      </c>
      <c r="Q192">
        <v>1</v>
      </c>
      <c r="W192">
        <v>0</v>
      </c>
      <c r="X192">
        <v>476480486</v>
      </c>
      <c r="Y192">
        <v>83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1</v>
      </c>
      <c r="AJ192">
        <v>1</v>
      </c>
      <c r="AK192">
        <v>1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S192" t="s">
        <v>3</v>
      </c>
      <c r="AT192">
        <v>83</v>
      </c>
      <c r="AU192" t="s">
        <v>3</v>
      </c>
      <c r="AV192">
        <v>1</v>
      </c>
      <c r="AW192">
        <v>2</v>
      </c>
      <c r="AX192">
        <v>34039099</v>
      </c>
      <c r="AY192">
        <v>1</v>
      </c>
      <c r="AZ192">
        <v>0</v>
      </c>
      <c r="BA192">
        <v>193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Y192*Source!I497</f>
        <v>6.8654279999999996</v>
      </c>
      <c r="CY192">
        <f>AD192</f>
        <v>0</v>
      </c>
      <c r="CZ192">
        <f>AH192</f>
        <v>0</v>
      </c>
      <c r="DA192">
        <f>AL192</f>
        <v>1</v>
      </c>
      <c r="DB192">
        <f t="shared" si="16"/>
        <v>0</v>
      </c>
      <c r="DC192">
        <f t="shared" si="17"/>
        <v>0</v>
      </c>
    </row>
    <row r="193" spans="1:107" x14ac:dyDescent="0.2">
      <c r="A193">
        <f>ROW(Source!A498)</f>
        <v>498</v>
      </c>
      <c r="B193">
        <v>33989672</v>
      </c>
      <c r="C193">
        <v>33992415</v>
      </c>
      <c r="D193">
        <v>30064124</v>
      </c>
      <c r="E193">
        <v>1</v>
      </c>
      <c r="F193">
        <v>1</v>
      </c>
      <c r="G193">
        <v>29983435</v>
      </c>
      <c r="H193">
        <v>2</v>
      </c>
      <c r="I193" t="s">
        <v>746</v>
      </c>
      <c r="J193" t="s">
        <v>747</v>
      </c>
      <c r="K193" t="s">
        <v>748</v>
      </c>
      <c r="L193">
        <v>1367</v>
      </c>
      <c r="N193">
        <v>1011</v>
      </c>
      <c r="O193" t="s">
        <v>652</v>
      </c>
      <c r="P193" t="s">
        <v>652</v>
      </c>
      <c r="Q193">
        <v>1</v>
      </c>
      <c r="W193">
        <v>0</v>
      </c>
      <c r="X193">
        <v>-1897129346</v>
      </c>
      <c r="Y193">
        <v>1</v>
      </c>
      <c r="AA193">
        <v>0</v>
      </c>
      <c r="AB193">
        <v>1382.12</v>
      </c>
      <c r="AC193">
        <v>415.05</v>
      </c>
      <c r="AD193">
        <v>0</v>
      </c>
      <c r="AE193">
        <v>0</v>
      </c>
      <c r="AF193">
        <v>162.03</v>
      </c>
      <c r="AG193">
        <v>16.920000000000002</v>
      </c>
      <c r="AH193">
        <v>0</v>
      </c>
      <c r="AI193">
        <v>1</v>
      </c>
      <c r="AJ193">
        <v>8.5299999999999994</v>
      </c>
      <c r="AK193">
        <v>24.53</v>
      </c>
      <c r="AL193">
        <v>1</v>
      </c>
      <c r="AN193">
        <v>0</v>
      </c>
      <c r="AO193">
        <v>1</v>
      </c>
      <c r="AP193">
        <v>0</v>
      </c>
      <c r="AQ193">
        <v>0</v>
      </c>
      <c r="AR193">
        <v>0</v>
      </c>
      <c r="AS193" t="s">
        <v>3</v>
      </c>
      <c r="AT193">
        <v>1</v>
      </c>
      <c r="AU193" t="s">
        <v>3</v>
      </c>
      <c r="AV193">
        <v>0</v>
      </c>
      <c r="AW193">
        <v>2</v>
      </c>
      <c r="AX193">
        <v>34039098</v>
      </c>
      <c r="AY193">
        <v>1</v>
      </c>
      <c r="AZ193">
        <v>0</v>
      </c>
      <c r="BA193">
        <v>194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Y193*Source!I498</f>
        <v>0</v>
      </c>
      <c r="CY193">
        <f>AB193</f>
        <v>1382.12</v>
      </c>
      <c r="CZ193">
        <f>AF193</f>
        <v>162.03</v>
      </c>
      <c r="DA193">
        <f>AJ193</f>
        <v>8.5299999999999994</v>
      </c>
      <c r="DB193">
        <f t="shared" ref="DB193:DB202" si="18">ROUND(ROUND(AT193*CZ193,2),6)</f>
        <v>162.03</v>
      </c>
      <c r="DC193">
        <f t="shared" ref="DC193:DC202" si="19">ROUND(ROUND(AT193*AG193,2),6)</f>
        <v>16.920000000000002</v>
      </c>
    </row>
    <row r="194" spans="1:107" x14ac:dyDescent="0.2">
      <c r="A194">
        <f>ROW(Source!A499)</f>
        <v>499</v>
      </c>
      <c r="B194">
        <v>33989672</v>
      </c>
      <c r="C194">
        <v>33992418</v>
      </c>
      <c r="D194">
        <v>29983439</v>
      </c>
      <c r="E194">
        <v>29983435</v>
      </c>
      <c r="F194">
        <v>1</v>
      </c>
      <c r="G194">
        <v>29983435</v>
      </c>
      <c r="H194">
        <v>2</v>
      </c>
      <c r="I194" t="s">
        <v>674</v>
      </c>
      <c r="J194" t="s">
        <v>3</v>
      </c>
      <c r="K194" t="s">
        <v>675</v>
      </c>
      <c r="L194">
        <v>1344</v>
      </c>
      <c r="N194">
        <v>1008</v>
      </c>
      <c r="O194" t="s">
        <v>676</v>
      </c>
      <c r="P194" t="s">
        <v>676</v>
      </c>
      <c r="Q194">
        <v>1</v>
      </c>
      <c r="W194">
        <v>0</v>
      </c>
      <c r="X194">
        <v>-1180195794</v>
      </c>
      <c r="Y194">
        <v>12.61</v>
      </c>
      <c r="AA194">
        <v>0</v>
      </c>
      <c r="AB194">
        <v>1</v>
      </c>
      <c r="AC194">
        <v>0</v>
      </c>
      <c r="AD194">
        <v>0</v>
      </c>
      <c r="AE194">
        <v>0</v>
      </c>
      <c r="AF194">
        <v>1</v>
      </c>
      <c r="AG194">
        <v>0</v>
      </c>
      <c r="AH194">
        <v>0</v>
      </c>
      <c r="AI194">
        <v>1</v>
      </c>
      <c r="AJ194">
        <v>1</v>
      </c>
      <c r="AK194">
        <v>1</v>
      </c>
      <c r="AL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S194" t="s">
        <v>3</v>
      </c>
      <c r="AT194">
        <v>12.61</v>
      </c>
      <c r="AU194" t="s">
        <v>3</v>
      </c>
      <c r="AV194">
        <v>0</v>
      </c>
      <c r="AW194">
        <v>2</v>
      </c>
      <c r="AX194">
        <v>33995759</v>
      </c>
      <c r="AY194">
        <v>1</v>
      </c>
      <c r="AZ194">
        <v>0</v>
      </c>
      <c r="BA194">
        <v>195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Y194*Source!I499</f>
        <v>0</v>
      </c>
      <c r="CY194">
        <f>AB194</f>
        <v>1</v>
      </c>
      <c r="CZ194">
        <f>AF194</f>
        <v>1</v>
      </c>
      <c r="DA194">
        <f>AJ194</f>
        <v>1</v>
      </c>
      <c r="DB194">
        <f t="shared" si="18"/>
        <v>12.61</v>
      </c>
      <c r="DC194">
        <f t="shared" si="19"/>
        <v>0</v>
      </c>
    </row>
    <row r="195" spans="1:107" x14ac:dyDescent="0.2">
      <c r="A195">
        <f>ROW(Source!A500)</f>
        <v>500</v>
      </c>
      <c r="B195">
        <v>33989672</v>
      </c>
      <c r="C195">
        <v>33992421</v>
      </c>
      <c r="D195">
        <v>29983441</v>
      </c>
      <c r="E195">
        <v>29983435</v>
      </c>
      <c r="F195">
        <v>1</v>
      </c>
      <c r="G195">
        <v>29983435</v>
      </c>
      <c r="H195">
        <v>1</v>
      </c>
      <c r="I195" t="s">
        <v>646</v>
      </c>
      <c r="J195" t="s">
        <v>3</v>
      </c>
      <c r="K195" t="s">
        <v>647</v>
      </c>
      <c r="L195">
        <v>1191</v>
      </c>
      <c r="N195">
        <v>1013</v>
      </c>
      <c r="O195" t="s">
        <v>648</v>
      </c>
      <c r="P195" t="s">
        <v>648</v>
      </c>
      <c r="Q195">
        <v>1</v>
      </c>
      <c r="W195">
        <v>0</v>
      </c>
      <c r="X195">
        <v>476480486</v>
      </c>
      <c r="Y195">
        <v>18.010000000000002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1</v>
      </c>
      <c r="AL195">
        <v>1</v>
      </c>
      <c r="AN195">
        <v>0</v>
      </c>
      <c r="AO195">
        <v>1</v>
      </c>
      <c r="AP195">
        <v>0</v>
      </c>
      <c r="AQ195">
        <v>0</v>
      </c>
      <c r="AR195">
        <v>0</v>
      </c>
      <c r="AS195" t="s">
        <v>3</v>
      </c>
      <c r="AT195">
        <v>18.010000000000002</v>
      </c>
      <c r="AU195" t="s">
        <v>3</v>
      </c>
      <c r="AV195">
        <v>1</v>
      </c>
      <c r="AW195">
        <v>2</v>
      </c>
      <c r="AX195">
        <v>33992428</v>
      </c>
      <c r="AY195">
        <v>1</v>
      </c>
      <c r="AZ195">
        <v>0</v>
      </c>
      <c r="BA195">
        <v>196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Y195*Source!I500</f>
        <v>219.72200000000001</v>
      </c>
      <c r="CY195">
        <f>AD195</f>
        <v>0</v>
      </c>
      <c r="CZ195">
        <f>AH195</f>
        <v>0</v>
      </c>
      <c r="DA195">
        <f>AL195</f>
        <v>1</v>
      </c>
      <c r="DB195">
        <f t="shared" si="18"/>
        <v>0</v>
      </c>
      <c r="DC195">
        <f t="shared" si="19"/>
        <v>0</v>
      </c>
    </row>
    <row r="196" spans="1:107" x14ac:dyDescent="0.2">
      <c r="A196">
        <f>ROW(Source!A500)</f>
        <v>500</v>
      </c>
      <c r="B196">
        <v>33989672</v>
      </c>
      <c r="C196">
        <v>33992421</v>
      </c>
      <c r="D196">
        <v>30063337</v>
      </c>
      <c r="E196">
        <v>1</v>
      </c>
      <c r="F196">
        <v>1</v>
      </c>
      <c r="G196">
        <v>29983435</v>
      </c>
      <c r="H196">
        <v>2</v>
      </c>
      <c r="I196" t="s">
        <v>729</v>
      </c>
      <c r="J196" t="s">
        <v>730</v>
      </c>
      <c r="K196" t="s">
        <v>731</v>
      </c>
      <c r="L196">
        <v>1367</v>
      </c>
      <c r="N196">
        <v>1011</v>
      </c>
      <c r="O196" t="s">
        <v>652</v>
      </c>
      <c r="P196" t="s">
        <v>652</v>
      </c>
      <c r="Q196">
        <v>1</v>
      </c>
      <c r="W196">
        <v>0</v>
      </c>
      <c r="X196">
        <v>-266174272</v>
      </c>
      <c r="Y196">
        <v>1.34</v>
      </c>
      <c r="AA196">
        <v>0</v>
      </c>
      <c r="AB196">
        <v>1655.2</v>
      </c>
      <c r="AC196">
        <v>466.14</v>
      </c>
      <c r="AD196">
        <v>0</v>
      </c>
      <c r="AE196">
        <v>0</v>
      </c>
      <c r="AF196">
        <v>190.93</v>
      </c>
      <c r="AG196">
        <v>18.149999999999999</v>
      </c>
      <c r="AH196">
        <v>0</v>
      </c>
      <c r="AI196">
        <v>1</v>
      </c>
      <c r="AJ196">
        <v>8.2799999999999994</v>
      </c>
      <c r="AK196">
        <v>24.53</v>
      </c>
      <c r="AL196">
        <v>1</v>
      </c>
      <c r="AN196">
        <v>0</v>
      </c>
      <c r="AO196">
        <v>1</v>
      </c>
      <c r="AP196">
        <v>0</v>
      </c>
      <c r="AQ196">
        <v>0</v>
      </c>
      <c r="AR196">
        <v>0</v>
      </c>
      <c r="AS196" t="s">
        <v>3</v>
      </c>
      <c r="AT196">
        <v>1.34</v>
      </c>
      <c r="AU196" t="s">
        <v>3</v>
      </c>
      <c r="AV196">
        <v>0</v>
      </c>
      <c r="AW196">
        <v>2</v>
      </c>
      <c r="AX196">
        <v>33992429</v>
      </c>
      <c r="AY196">
        <v>1</v>
      </c>
      <c r="AZ196">
        <v>0</v>
      </c>
      <c r="BA196">
        <v>197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Y196*Source!I500</f>
        <v>16.347999999999999</v>
      </c>
      <c r="CY196">
        <f>AB196</f>
        <v>1655.2</v>
      </c>
      <c r="CZ196">
        <f>AF196</f>
        <v>190.93</v>
      </c>
      <c r="DA196">
        <f>AJ196</f>
        <v>8.2799999999999994</v>
      </c>
      <c r="DB196">
        <f t="shared" si="18"/>
        <v>255.85</v>
      </c>
      <c r="DC196">
        <f t="shared" si="19"/>
        <v>24.32</v>
      </c>
    </row>
    <row r="197" spans="1:107" x14ac:dyDescent="0.2">
      <c r="A197">
        <f>ROW(Source!A500)</f>
        <v>500</v>
      </c>
      <c r="B197">
        <v>33989672</v>
      </c>
      <c r="C197">
        <v>33992421</v>
      </c>
      <c r="D197">
        <v>30063518</v>
      </c>
      <c r="E197">
        <v>1</v>
      </c>
      <c r="F197">
        <v>1</v>
      </c>
      <c r="G197">
        <v>29983435</v>
      </c>
      <c r="H197">
        <v>2</v>
      </c>
      <c r="I197" t="s">
        <v>686</v>
      </c>
      <c r="J197" t="s">
        <v>726</v>
      </c>
      <c r="K197" t="s">
        <v>727</v>
      </c>
      <c r="L197">
        <v>1367</v>
      </c>
      <c r="N197">
        <v>1011</v>
      </c>
      <c r="O197" t="s">
        <v>652</v>
      </c>
      <c r="P197" t="s">
        <v>652</v>
      </c>
      <c r="Q197">
        <v>1</v>
      </c>
      <c r="W197">
        <v>0</v>
      </c>
      <c r="X197">
        <v>378346098</v>
      </c>
      <c r="Y197">
        <v>0.61</v>
      </c>
      <c r="AA197">
        <v>0</v>
      </c>
      <c r="AB197">
        <v>1162.78</v>
      </c>
      <c r="AC197">
        <v>734.79</v>
      </c>
      <c r="AD197">
        <v>0</v>
      </c>
      <c r="AE197">
        <v>0</v>
      </c>
      <c r="AF197">
        <v>140.58000000000001</v>
      </c>
      <c r="AG197">
        <v>28.61</v>
      </c>
      <c r="AH197">
        <v>0</v>
      </c>
      <c r="AI197">
        <v>1</v>
      </c>
      <c r="AJ197">
        <v>7.9</v>
      </c>
      <c r="AK197">
        <v>24.53</v>
      </c>
      <c r="AL197">
        <v>1</v>
      </c>
      <c r="AN197">
        <v>0</v>
      </c>
      <c r="AO197">
        <v>1</v>
      </c>
      <c r="AP197">
        <v>0</v>
      </c>
      <c r="AQ197">
        <v>0</v>
      </c>
      <c r="AR197">
        <v>0</v>
      </c>
      <c r="AS197" t="s">
        <v>3</v>
      </c>
      <c r="AT197">
        <v>0.61</v>
      </c>
      <c r="AU197" t="s">
        <v>3</v>
      </c>
      <c r="AV197">
        <v>0</v>
      </c>
      <c r="AW197">
        <v>2</v>
      </c>
      <c r="AX197">
        <v>33992430</v>
      </c>
      <c r="AY197">
        <v>1</v>
      </c>
      <c r="AZ197">
        <v>0</v>
      </c>
      <c r="BA197">
        <v>198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Y197*Source!I500</f>
        <v>7.4419999999999993</v>
      </c>
      <c r="CY197">
        <f>AB197</f>
        <v>1162.78</v>
      </c>
      <c r="CZ197">
        <f>AF197</f>
        <v>140.58000000000001</v>
      </c>
      <c r="DA197">
        <f>AJ197</f>
        <v>7.9</v>
      </c>
      <c r="DB197">
        <f t="shared" si="18"/>
        <v>85.75</v>
      </c>
      <c r="DC197">
        <f t="shared" si="19"/>
        <v>17.45</v>
      </c>
    </row>
    <row r="198" spans="1:107" x14ac:dyDescent="0.2">
      <c r="A198">
        <f>ROW(Source!A500)</f>
        <v>500</v>
      </c>
      <c r="B198">
        <v>33989672</v>
      </c>
      <c r="C198">
        <v>33992421</v>
      </c>
      <c r="D198">
        <v>30042537</v>
      </c>
      <c r="E198">
        <v>1</v>
      </c>
      <c r="F198">
        <v>1</v>
      </c>
      <c r="G198">
        <v>29983435</v>
      </c>
      <c r="H198">
        <v>3</v>
      </c>
      <c r="I198" t="s">
        <v>467</v>
      </c>
      <c r="J198" t="s">
        <v>469</v>
      </c>
      <c r="K198" t="s">
        <v>468</v>
      </c>
      <c r="L198">
        <v>1339</v>
      </c>
      <c r="N198">
        <v>1007</v>
      </c>
      <c r="O198" t="s">
        <v>66</v>
      </c>
      <c r="P198" t="s">
        <v>66</v>
      </c>
      <c r="Q198">
        <v>1</v>
      </c>
      <c r="W198">
        <v>0</v>
      </c>
      <c r="X198">
        <v>-862991314</v>
      </c>
      <c r="Y198">
        <v>2.6</v>
      </c>
      <c r="AA198">
        <v>35.28</v>
      </c>
      <c r="AB198">
        <v>0</v>
      </c>
      <c r="AC198">
        <v>0</v>
      </c>
      <c r="AD198">
        <v>0</v>
      </c>
      <c r="AE198">
        <v>7.07</v>
      </c>
      <c r="AF198">
        <v>0</v>
      </c>
      <c r="AG198">
        <v>0</v>
      </c>
      <c r="AH198">
        <v>0</v>
      </c>
      <c r="AI198">
        <v>4.99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0</v>
      </c>
      <c r="AQ198">
        <v>0</v>
      </c>
      <c r="AR198">
        <v>0</v>
      </c>
      <c r="AS198" t="s">
        <v>3</v>
      </c>
      <c r="AT198">
        <v>2.6</v>
      </c>
      <c r="AU198" t="s">
        <v>3</v>
      </c>
      <c r="AV198">
        <v>0</v>
      </c>
      <c r="AW198">
        <v>2</v>
      </c>
      <c r="AX198">
        <v>33992431</v>
      </c>
      <c r="AY198">
        <v>1</v>
      </c>
      <c r="AZ198">
        <v>0</v>
      </c>
      <c r="BA198">
        <v>199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Y198*Source!I500</f>
        <v>31.72</v>
      </c>
      <c r="CY198">
        <f>AA198</f>
        <v>35.28</v>
      </c>
      <c r="CZ198">
        <f>AE198</f>
        <v>7.07</v>
      </c>
      <c r="DA198">
        <f>AI198</f>
        <v>4.99</v>
      </c>
      <c r="DB198">
        <f t="shared" si="18"/>
        <v>18.38</v>
      </c>
      <c r="DC198">
        <f t="shared" si="19"/>
        <v>0</v>
      </c>
    </row>
    <row r="199" spans="1:107" x14ac:dyDescent="0.2">
      <c r="A199">
        <f>ROW(Source!A500)</f>
        <v>500</v>
      </c>
      <c r="B199">
        <v>33989672</v>
      </c>
      <c r="C199">
        <v>33992421</v>
      </c>
      <c r="D199">
        <v>30058115</v>
      </c>
      <c r="E199">
        <v>1</v>
      </c>
      <c r="F199">
        <v>1</v>
      </c>
      <c r="G199">
        <v>29983435</v>
      </c>
      <c r="H199">
        <v>3</v>
      </c>
      <c r="I199" t="s">
        <v>352</v>
      </c>
      <c r="J199" t="s">
        <v>354</v>
      </c>
      <c r="K199" t="s">
        <v>353</v>
      </c>
      <c r="L199">
        <v>1354</v>
      </c>
      <c r="N199">
        <v>1010</v>
      </c>
      <c r="O199" t="s">
        <v>328</v>
      </c>
      <c r="P199" t="s">
        <v>328</v>
      </c>
      <c r="Q199">
        <v>1</v>
      </c>
      <c r="W199">
        <v>0</v>
      </c>
      <c r="X199">
        <v>-1513397672</v>
      </c>
      <c r="Y199">
        <v>10</v>
      </c>
      <c r="AA199">
        <v>6829.16</v>
      </c>
      <c r="AB199">
        <v>0</v>
      </c>
      <c r="AC199">
        <v>0</v>
      </c>
      <c r="AD199">
        <v>0</v>
      </c>
      <c r="AE199">
        <v>330.55</v>
      </c>
      <c r="AF199">
        <v>0</v>
      </c>
      <c r="AG199">
        <v>0</v>
      </c>
      <c r="AH199">
        <v>0</v>
      </c>
      <c r="AI199">
        <v>20.66</v>
      </c>
      <c r="AJ199">
        <v>1</v>
      </c>
      <c r="AK199">
        <v>1</v>
      </c>
      <c r="AL199">
        <v>1</v>
      </c>
      <c r="AN199">
        <v>0</v>
      </c>
      <c r="AO199">
        <v>0</v>
      </c>
      <c r="AP199">
        <v>0</v>
      </c>
      <c r="AQ199">
        <v>0</v>
      </c>
      <c r="AR199">
        <v>0</v>
      </c>
      <c r="AS199" t="s">
        <v>3</v>
      </c>
      <c r="AT199">
        <v>10</v>
      </c>
      <c r="AU199" t="s">
        <v>3</v>
      </c>
      <c r="AV199">
        <v>0</v>
      </c>
      <c r="AW199">
        <v>1</v>
      </c>
      <c r="AX199">
        <v>-1</v>
      </c>
      <c r="AY199">
        <v>0</v>
      </c>
      <c r="AZ199">
        <v>0</v>
      </c>
      <c r="BA199" t="s">
        <v>3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Y199*Source!I500</f>
        <v>122</v>
      </c>
      <c r="CY199">
        <f>AA199</f>
        <v>6829.16</v>
      </c>
      <c r="CZ199">
        <f>AE199</f>
        <v>330.55</v>
      </c>
      <c r="DA199">
        <f>AI199</f>
        <v>20.66</v>
      </c>
      <c r="DB199">
        <f t="shared" si="18"/>
        <v>3305.5</v>
      </c>
      <c r="DC199">
        <f t="shared" si="19"/>
        <v>0</v>
      </c>
    </row>
    <row r="200" spans="1:107" x14ac:dyDescent="0.2">
      <c r="A200">
        <f>ROW(Source!A500)</f>
        <v>500</v>
      </c>
      <c r="B200">
        <v>33989672</v>
      </c>
      <c r="C200">
        <v>33992421</v>
      </c>
      <c r="D200">
        <v>29983437</v>
      </c>
      <c r="E200">
        <v>29983435</v>
      </c>
      <c r="F200">
        <v>1</v>
      </c>
      <c r="G200">
        <v>29983435</v>
      </c>
      <c r="H200">
        <v>3</v>
      </c>
      <c r="I200" t="s">
        <v>738</v>
      </c>
      <c r="J200" t="s">
        <v>3</v>
      </c>
      <c r="K200" t="s">
        <v>739</v>
      </c>
      <c r="L200">
        <v>1344</v>
      </c>
      <c r="N200">
        <v>1008</v>
      </c>
      <c r="O200" t="s">
        <v>676</v>
      </c>
      <c r="P200" t="s">
        <v>676</v>
      </c>
      <c r="Q200">
        <v>1</v>
      </c>
      <c r="W200">
        <v>0</v>
      </c>
      <c r="X200">
        <v>-94250534</v>
      </c>
      <c r="Y200">
        <v>21.7</v>
      </c>
      <c r="AA200">
        <v>1</v>
      </c>
      <c r="AB200">
        <v>0</v>
      </c>
      <c r="AC200">
        <v>0</v>
      </c>
      <c r="AD200">
        <v>0</v>
      </c>
      <c r="AE200">
        <v>1</v>
      </c>
      <c r="AF200">
        <v>0</v>
      </c>
      <c r="AG200">
        <v>0</v>
      </c>
      <c r="AH200">
        <v>0</v>
      </c>
      <c r="AI200">
        <v>1</v>
      </c>
      <c r="AJ200">
        <v>1</v>
      </c>
      <c r="AK200">
        <v>1</v>
      </c>
      <c r="AL200">
        <v>1</v>
      </c>
      <c r="AN200">
        <v>0</v>
      </c>
      <c r="AO200">
        <v>1</v>
      </c>
      <c r="AP200">
        <v>0</v>
      </c>
      <c r="AQ200">
        <v>0</v>
      </c>
      <c r="AR200">
        <v>0</v>
      </c>
      <c r="AS200" t="s">
        <v>3</v>
      </c>
      <c r="AT200">
        <v>21.7</v>
      </c>
      <c r="AU200" t="s">
        <v>3</v>
      </c>
      <c r="AV200">
        <v>0</v>
      </c>
      <c r="AW200">
        <v>2</v>
      </c>
      <c r="AX200">
        <v>33992433</v>
      </c>
      <c r="AY200">
        <v>1</v>
      </c>
      <c r="AZ200">
        <v>0</v>
      </c>
      <c r="BA200">
        <v>201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Y200*Source!I500</f>
        <v>264.73999999999995</v>
      </c>
      <c r="CY200">
        <f>AA200</f>
        <v>1</v>
      </c>
      <c r="CZ200">
        <f>AE200</f>
        <v>1</v>
      </c>
      <c r="DA200">
        <f>AI200</f>
        <v>1</v>
      </c>
      <c r="DB200">
        <f t="shared" si="18"/>
        <v>21.7</v>
      </c>
      <c r="DC200">
        <f t="shared" si="19"/>
        <v>0</v>
      </c>
    </row>
    <row r="201" spans="1:107" x14ac:dyDescent="0.2">
      <c r="A201">
        <f>ROW(Source!A572)</f>
        <v>572</v>
      </c>
      <c r="B201">
        <v>33989672</v>
      </c>
      <c r="C201">
        <v>33992435</v>
      </c>
      <c r="D201">
        <v>29983441</v>
      </c>
      <c r="E201">
        <v>29983435</v>
      </c>
      <c r="F201">
        <v>1</v>
      </c>
      <c r="G201">
        <v>29983435</v>
      </c>
      <c r="H201">
        <v>1</v>
      </c>
      <c r="I201" t="s">
        <v>646</v>
      </c>
      <c r="J201" t="s">
        <v>3</v>
      </c>
      <c r="K201" t="s">
        <v>647</v>
      </c>
      <c r="L201">
        <v>1191</v>
      </c>
      <c r="N201">
        <v>1013</v>
      </c>
      <c r="O201" t="s">
        <v>648</v>
      </c>
      <c r="P201" t="s">
        <v>648</v>
      </c>
      <c r="Q201">
        <v>1</v>
      </c>
      <c r="W201">
        <v>0</v>
      </c>
      <c r="X201">
        <v>476480486</v>
      </c>
      <c r="Y201">
        <v>46.7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1</v>
      </c>
      <c r="AJ201">
        <v>1</v>
      </c>
      <c r="AK201">
        <v>1</v>
      </c>
      <c r="AL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S201" t="s">
        <v>3</v>
      </c>
      <c r="AT201">
        <v>46.7</v>
      </c>
      <c r="AU201" t="s">
        <v>3</v>
      </c>
      <c r="AV201">
        <v>1</v>
      </c>
      <c r="AW201">
        <v>2</v>
      </c>
      <c r="AX201">
        <v>33992438</v>
      </c>
      <c r="AY201">
        <v>1</v>
      </c>
      <c r="AZ201">
        <v>0</v>
      </c>
      <c r="BA201">
        <v>202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Y201*Source!I572</f>
        <v>131.69399999999999</v>
      </c>
      <c r="CY201">
        <f>AD201</f>
        <v>0</v>
      </c>
      <c r="CZ201">
        <f>AH201</f>
        <v>0</v>
      </c>
      <c r="DA201">
        <f>AL201</f>
        <v>1</v>
      </c>
      <c r="DB201">
        <f t="shared" si="18"/>
        <v>0</v>
      </c>
      <c r="DC201">
        <f t="shared" si="19"/>
        <v>0</v>
      </c>
    </row>
    <row r="202" spans="1:107" x14ac:dyDescent="0.2">
      <c r="A202">
        <f>ROW(Source!A572)</f>
        <v>572</v>
      </c>
      <c r="B202">
        <v>33989672</v>
      </c>
      <c r="C202">
        <v>33992435</v>
      </c>
      <c r="D202">
        <v>30057929</v>
      </c>
      <c r="E202">
        <v>1</v>
      </c>
      <c r="F202">
        <v>1</v>
      </c>
      <c r="G202">
        <v>29983435</v>
      </c>
      <c r="H202">
        <v>3</v>
      </c>
      <c r="I202" t="s">
        <v>280</v>
      </c>
      <c r="J202" t="s">
        <v>282</v>
      </c>
      <c r="K202" t="s">
        <v>281</v>
      </c>
      <c r="L202">
        <v>1339</v>
      </c>
      <c r="N202">
        <v>1007</v>
      </c>
      <c r="O202" t="s">
        <v>66</v>
      </c>
      <c r="P202" t="s">
        <v>66</v>
      </c>
      <c r="Q202">
        <v>1</v>
      </c>
      <c r="W202">
        <v>0</v>
      </c>
      <c r="X202">
        <v>92320855</v>
      </c>
      <c r="Y202">
        <v>20</v>
      </c>
      <c r="AA202">
        <v>977.95</v>
      </c>
      <c r="AB202">
        <v>0</v>
      </c>
      <c r="AC202">
        <v>0</v>
      </c>
      <c r="AD202">
        <v>0</v>
      </c>
      <c r="AE202">
        <v>146.84</v>
      </c>
      <c r="AF202">
        <v>0</v>
      </c>
      <c r="AG202">
        <v>0</v>
      </c>
      <c r="AH202">
        <v>0</v>
      </c>
      <c r="AI202">
        <v>6.66</v>
      </c>
      <c r="AJ202">
        <v>1</v>
      </c>
      <c r="AK202">
        <v>1</v>
      </c>
      <c r="AL202">
        <v>1</v>
      </c>
      <c r="AN202">
        <v>0</v>
      </c>
      <c r="AO202">
        <v>0</v>
      </c>
      <c r="AP202">
        <v>0</v>
      </c>
      <c r="AQ202">
        <v>0</v>
      </c>
      <c r="AR202">
        <v>0</v>
      </c>
      <c r="AS202" t="s">
        <v>3</v>
      </c>
      <c r="AT202">
        <v>20</v>
      </c>
      <c r="AU202" t="s">
        <v>3</v>
      </c>
      <c r="AV202">
        <v>0</v>
      </c>
      <c r="AW202">
        <v>1</v>
      </c>
      <c r="AX202">
        <v>-1</v>
      </c>
      <c r="AY202">
        <v>0</v>
      </c>
      <c r="AZ202">
        <v>0</v>
      </c>
      <c r="BA202" t="s">
        <v>3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Y202*Source!I572</f>
        <v>56.4</v>
      </c>
      <c r="CY202">
        <f>AA202</f>
        <v>977.95</v>
      </c>
      <c r="CZ202">
        <f>AE202</f>
        <v>146.84</v>
      </c>
      <c r="DA202">
        <f>AI202</f>
        <v>6.66</v>
      </c>
      <c r="DB202">
        <f t="shared" si="18"/>
        <v>2936.8</v>
      </c>
      <c r="DC202">
        <f t="shared" si="19"/>
        <v>0</v>
      </c>
    </row>
    <row r="203" spans="1:107" x14ac:dyDescent="0.2">
      <c r="A203">
        <f>ROW(Source!A574)</f>
        <v>574</v>
      </c>
      <c r="B203">
        <v>33989672</v>
      </c>
      <c r="C203">
        <v>33992441</v>
      </c>
      <c r="D203">
        <v>29983441</v>
      </c>
      <c r="E203">
        <v>29983435</v>
      </c>
      <c r="F203">
        <v>1</v>
      </c>
      <c r="G203">
        <v>29983435</v>
      </c>
      <c r="H203">
        <v>1</v>
      </c>
      <c r="I203" t="s">
        <v>646</v>
      </c>
      <c r="J203" t="s">
        <v>3</v>
      </c>
      <c r="K203" t="s">
        <v>647</v>
      </c>
      <c r="L203">
        <v>1191</v>
      </c>
      <c r="N203">
        <v>1013</v>
      </c>
      <c r="O203" t="s">
        <v>648</v>
      </c>
      <c r="P203" t="s">
        <v>648</v>
      </c>
      <c r="Q203">
        <v>1</v>
      </c>
      <c r="W203">
        <v>0</v>
      </c>
      <c r="X203">
        <v>476480486</v>
      </c>
      <c r="Y203">
        <v>21.68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1</v>
      </c>
      <c r="AK203">
        <v>1</v>
      </c>
      <c r="AL203">
        <v>1</v>
      </c>
      <c r="AN203">
        <v>0</v>
      </c>
      <c r="AO203">
        <v>1</v>
      </c>
      <c r="AP203">
        <v>1</v>
      </c>
      <c r="AQ203">
        <v>0</v>
      </c>
      <c r="AR203">
        <v>0</v>
      </c>
      <c r="AS203" t="s">
        <v>3</v>
      </c>
      <c r="AT203">
        <v>5.42</v>
      </c>
      <c r="AU203" t="s">
        <v>367</v>
      </c>
      <c r="AV203">
        <v>1</v>
      </c>
      <c r="AW203">
        <v>2</v>
      </c>
      <c r="AX203">
        <v>33992444</v>
      </c>
      <c r="AY203">
        <v>1</v>
      </c>
      <c r="AZ203">
        <v>0</v>
      </c>
      <c r="BA203">
        <v>204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Y203*Source!I574</f>
        <v>61.137599999999999</v>
      </c>
      <c r="CY203">
        <f>AD203</f>
        <v>0</v>
      </c>
      <c r="CZ203">
        <f>AH203</f>
        <v>0</v>
      </c>
      <c r="DA203">
        <f>AL203</f>
        <v>1</v>
      </c>
      <c r="DB203">
        <f>ROUND((ROUND(AT203*CZ203,2)*4),6)</f>
        <v>0</v>
      </c>
      <c r="DC203">
        <f>ROUND((ROUND(AT203*AG203,2)*4),6)</f>
        <v>0</v>
      </c>
    </row>
    <row r="204" spans="1:107" x14ac:dyDescent="0.2">
      <c r="A204">
        <f>ROW(Source!A574)</f>
        <v>574</v>
      </c>
      <c r="B204">
        <v>33989672</v>
      </c>
      <c r="C204">
        <v>33992441</v>
      </c>
      <c r="D204">
        <v>30057929</v>
      </c>
      <c r="E204">
        <v>1</v>
      </c>
      <c r="F204">
        <v>1</v>
      </c>
      <c r="G204">
        <v>29983435</v>
      </c>
      <c r="H204">
        <v>3</v>
      </c>
      <c r="I204" t="s">
        <v>280</v>
      </c>
      <c r="J204" t="s">
        <v>282</v>
      </c>
      <c r="K204" t="s">
        <v>281</v>
      </c>
      <c r="L204">
        <v>1339</v>
      </c>
      <c r="N204">
        <v>1007</v>
      </c>
      <c r="O204" t="s">
        <v>66</v>
      </c>
      <c r="P204" t="s">
        <v>66</v>
      </c>
      <c r="Q204">
        <v>1</v>
      </c>
      <c r="W204">
        <v>0</v>
      </c>
      <c r="X204">
        <v>92320855</v>
      </c>
      <c r="Y204">
        <v>20</v>
      </c>
      <c r="AA204">
        <v>977.95</v>
      </c>
      <c r="AB204">
        <v>0</v>
      </c>
      <c r="AC204">
        <v>0</v>
      </c>
      <c r="AD204">
        <v>0</v>
      </c>
      <c r="AE204">
        <v>146.84</v>
      </c>
      <c r="AF204">
        <v>0</v>
      </c>
      <c r="AG204">
        <v>0</v>
      </c>
      <c r="AH204">
        <v>0</v>
      </c>
      <c r="AI204">
        <v>6.66</v>
      </c>
      <c r="AJ204">
        <v>1</v>
      </c>
      <c r="AK204">
        <v>1</v>
      </c>
      <c r="AL204">
        <v>1</v>
      </c>
      <c r="AN204">
        <v>0</v>
      </c>
      <c r="AO204">
        <v>0</v>
      </c>
      <c r="AP204">
        <v>1</v>
      </c>
      <c r="AQ204">
        <v>0</v>
      </c>
      <c r="AR204">
        <v>0</v>
      </c>
      <c r="AS204" t="s">
        <v>3</v>
      </c>
      <c r="AT204">
        <v>5</v>
      </c>
      <c r="AU204" t="s">
        <v>367</v>
      </c>
      <c r="AV204">
        <v>0</v>
      </c>
      <c r="AW204">
        <v>1</v>
      </c>
      <c r="AX204">
        <v>-1</v>
      </c>
      <c r="AY204">
        <v>0</v>
      </c>
      <c r="AZ204">
        <v>0</v>
      </c>
      <c r="BA204" t="s">
        <v>3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Y204*Source!I574</f>
        <v>56.4</v>
      </c>
      <c r="CY204">
        <f>AA204</f>
        <v>977.95</v>
      </c>
      <c r="CZ204">
        <f>AE204</f>
        <v>146.84</v>
      </c>
      <c r="DA204">
        <f>AI204</f>
        <v>6.66</v>
      </c>
      <c r="DB204">
        <f>ROUND((ROUND(AT204*CZ204,2)*4),6)</f>
        <v>2936.8</v>
      </c>
      <c r="DC204">
        <f>ROUND((ROUND(AT204*AG204,2)*4),6)</f>
        <v>0</v>
      </c>
    </row>
    <row r="205" spans="1:107" x14ac:dyDescent="0.2">
      <c r="A205">
        <f>ROW(Source!A576)</f>
        <v>576</v>
      </c>
      <c r="B205">
        <v>33989672</v>
      </c>
      <c r="C205">
        <v>33992447</v>
      </c>
      <c r="D205">
        <v>29983441</v>
      </c>
      <c r="E205">
        <v>29983435</v>
      </c>
      <c r="F205">
        <v>1</v>
      </c>
      <c r="G205">
        <v>29983435</v>
      </c>
      <c r="H205">
        <v>1</v>
      </c>
      <c r="I205" t="s">
        <v>646</v>
      </c>
      <c r="J205" t="s">
        <v>3</v>
      </c>
      <c r="K205" t="s">
        <v>647</v>
      </c>
      <c r="L205">
        <v>1191</v>
      </c>
      <c r="N205">
        <v>1013</v>
      </c>
      <c r="O205" t="s">
        <v>648</v>
      </c>
      <c r="P205" t="s">
        <v>648</v>
      </c>
      <c r="Q205">
        <v>1</v>
      </c>
      <c r="W205">
        <v>0</v>
      </c>
      <c r="X205">
        <v>476480486</v>
      </c>
      <c r="Y205">
        <v>135.01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1</v>
      </c>
      <c r="AJ205">
        <v>1</v>
      </c>
      <c r="AK205">
        <v>1</v>
      </c>
      <c r="AL205">
        <v>1</v>
      </c>
      <c r="AN205">
        <v>0</v>
      </c>
      <c r="AO205">
        <v>1</v>
      </c>
      <c r="AP205">
        <v>0</v>
      </c>
      <c r="AQ205">
        <v>0</v>
      </c>
      <c r="AR205">
        <v>0</v>
      </c>
      <c r="AS205" t="s">
        <v>3</v>
      </c>
      <c r="AT205">
        <v>135.01</v>
      </c>
      <c r="AU205" t="s">
        <v>3</v>
      </c>
      <c r="AV205">
        <v>1</v>
      </c>
      <c r="AW205">
        <v>2</v>
      </c>
      <c r="AX205">
        <v>33992454</v>
      </c>
      <c r="AY205">
        <v>1</v>
      </c>
      <c r="AZ205">
        <v>0</v>
      </c>
      <c r="BA205">
        <v>206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Y205*Source!I576</f>
        <v>190.36409999999998</v>
      </c>
      <c r="CY205">
        <f>AD205</f>
        <v>0</v>
      </c>
      <c r="CZ205">
        <f>AH205</f>
        <v>0</v>
      </c>
      <c r="DA205">
        <f>AL205</f>
        <v>1</v>
      </c>
      <c r="DB205">
        <f t="shared" ref="DB205:DB236" si="20">ROUND(ROUND(AT205*CZ205,2),6)</f>
        <v>0</v>
      </c>
      <c r="DC205">
        <f t="shared" ref="DC205:DC236" si="21">ROUND(ROUND(AT205*AG205,2),6)</f>
        <v>0</v>
      </c>
    </row>
    <row r="206" spans="1:107" x14ac:dyDescent="0.2">
      <c r="A206">
        <f>ROW(Source!A576)</f>
        <v>576</v>
      </c>
      <c r="B206">
        <v>33989672</v>
      </c>
      <c r="C206">
        <v>33992447</v>
      </c>
      <c r="D206">
        <v>30042537</v>
      </c>
      <c r="E206">
        <v>1</v>
      </c>
      <c r="F206">
        <v>1</v>
      </c>
      <c r="G206">
        <v>29983435</v>
      </c>
      <c r="H206">
        <v>3</v>
      </c>
      <c r="I206" t="s">
        <v>467</v>
      </c>
      <c r="J206" t="s">
        <v>469</v>
      </c>
      <c r="K206" t="s">
        <v>468</v>
      </c>
      <c r="L206">
        <v>1339</v>
      </c>
      <c r="N206">
        <v>1007</v>
      </c>
      <c r="O206" t="s">
        <v>66</v>
      </c>
      <c r="P206" t="s">
        <v>66</v>
      </c>
      <c r="Q206">
        <v>1</v>
      </c>
      <c r="W206">
        <v>0</v>
      </c>
      <c r="X206">
        <v>-862991314</v>
      </c>
      <c r="Y206">
        <v>30</v>
      </c>
      <c r="AA206">
        <v>35.28</v>
      </c>
      <c r="AB206">
        <v>0</v>
      </c>
      <c r="AC206">
        <v>0</v>
      </c>
      <c r="AD206">
        <v>0</v>
      </c>
      <c r="AE206">
        <v>7.07</v>
      </c>
      <c r="AF206">
        <v>0</v>
      </c>
      <c r="AG206">
        <v>0</v>
      </c>
      <c r="AH206">
        <v>0</v>
      </c>
      <c r="AI206">
        <v>4.99</v>
      </c>
      <c r="AJ206">
        <v>1</v>
      </c>
      <c r="AK206">
        <v>1</v>
      </c>
      <c r="AL206">
        <v>1</v>
      </c>
      <c r="AN206">
        <v>0</v>
      </c>
      <c r="AO206">
        <v>1</v>
      </c>
      <c r="AP206">
        <v>0</v>
      </c>
      <c r="AQ206">
        <v>0</v>
      </c>
      <c r="AR206">
        <v>0</v>
      </c>
      <c r="AS206" t="s">
        <v>3</v>
      </c>
      <c r="AT206">
        <v>30</v>
      </c>
      <c r="AU206" t="s">
        <v>3</v>
      </c>
      <c r="AV206">
        <v>0</v>
      </c>
      <c r="AW206">
        <v>2</v>
      </c>
      <c r="AX206">
        <v>33992455</v>
      </c>
      <c r="AY206">
        <v>1</v>
      </c>
      <c r="AZ206">
        <v>0</v>
      </c>
      <c r="BA206">
        <v>207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Y206*Source!I576</f>
        <v>42.3</v>
      </c>
      <c r="CY206">
        <f>AA206</f>
        <v>35.28</v>
      </c>
      <c r="CZ206">
        <f>AE206</f>
        <v>7.07</v>
      </c>
      <c r="DA206">
        <f>AI206</f>
        <v>4.99</v>
      </c>
      <c r="DB206">
        <f t="shared" si="20"/>
        <v>212.1</v>
      </c>
      <c r="DC206">
        <f t="shared" si="21"/>
        <v>0</v>
      </c>
    </row>
    <row r="207" spans="1:107" x14ac:dyDescent="0.2">
      <c r="A207">
        <f>ROW(Source!A576)</f>
        <v>576</v>
      </c>
      <c r="B207">
        <v>33989672</v>
      </c>
      <c r="C207">
        <v>33992447</v>
      </c>
      <c r="D207">
        <v>30042428</v>
      </c>
      <c r="E207">
        <v>1</v>
      </c>
      <c r="F207">
        <v>1</v>
      </c>
      <c r="G207">
        <v>29983435</v>
      </c>
      <c r="H207">
        <v>3</v>
      </c>
      <c r="I207" t="s">
        <v>775</v>
      </c>
      <c r="J207" t="s">
        <v>776</v>
      </c>
      <c r="K207" t="s">
        <v>777</v>
      </c>
      <c r="L207">
        <v>1339</v>
      </c>
      <c r="N207">
        <v>1007</v>
      </c>
      <c r="O207" t="s">
        <v>66</v>
      </c>
      <c r="P207" t="s">
        <v>66</v>
      </c>
      <c r="Q207">
        <v>1</v>
      </c>
      <c r="W207">
        <v>0</v>
      </c>
      <c r="X207">
        <v>468437763</v>
      </c>
      <c r="Y207">
        <v>8.0000000000000002E-3</v>
      </c>
      <c r="AA207">
        <v>5467.39</v>
      </c>
      <c r="AB207">
        <v>0</v>
      </c>
      <c r="AC207">
        <v>0</v>
      </c>
      <c r="AD207">
        <v>0</v>
      </c>
      <c r="AE207">
        <v>1828.56</v>
      </c>
      <c r="AF207">
        <v>0</v>
      </c>
      <c r="AG207">
        <v>0</v>
      </c>
      <c r="AH207">
        <v>0</v>
      </c>
      <c r="AI207">
        <v>2.99</v>
      </c>
      <c r="AJ207">
        <v>1</v>
      </c>
      <c r="AK207">
        <v>1</v>
      </c>
      <c r="AL207">
        <v>1</v>
      </c>
      <c r="AN207">
        <v>0</v>
      </c>
      <c r="AO207">
        <v>1</v>
      </c>
      <c r="AP207">
        <v>0</v>
      </c>
      <c r="AQ207">
        <v>0</v>
      </c>
      <c r="AR207">
        <v>0</v>
      </c>
      <c r="AS207" t="s">
        <v>3</v>
      </c>
      <c r="AT207">
        <v>8.0000000000000002E-3</v>
      </c>
      <c r="AU207" t="s">
        <v>3</v>
      </c>
      <c r="AV207">
        <v>0</v>
      </c>
      <c r="AW207">
        <v>2</v>
      </c>
      <c r="AX207">
        <v>33992456</v>
      </c>
      <c r="AY207">
        <v>1</v>
      </c>
      <c r="AZ207">
        <v>0</v>
      </c>
      <c r="BA207">
        <v>208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Y207*Source!I576</f>
        <v>1.128E-2</v>
      </c>
      <c r="CY207">
        <f>AA207</f>
        <v>5467.39</v>
      </c>
      <c r="CZ207">
        <f>AE207</f>
        <v>1828.56</v>
      </c>
      <c r="DA207">
        <f>AI207</f>
        <v>2.99</v>
      </c>
      <c r="DB207">
        <f t="shared" si="20"/>
        <v>14.63</v>
      </c>
      <c r="DC207">
        <f t="shared" si="21"/>
        <v>0</v>
      </c>
    </row>
    <row r="208" spans="1:107" x14ac:dyDescent="0.2">
      <c r="A208">
        <f>ROW(Source!A576)</f>
        <v>576</v>
      </c>
      <c r="B208">
        <v>33989672</v>
      </c>
      <c r="C208">
        <v>33992447</v>
      </c>
      <c r="D208">
        <v>30057956</v>
      </c>
      <c r="E208">
        <v>1</v>
      </c>
      <c r="F208">
        <v>1</v>
      </c>
      <c r="G208">
        <v>29983435</v>
      </c>
      <c r="H208">
        <v>3</v>
      </c>
      <c r="I208" t="s">
        <v>374</v>
      </c>
      <c r="J208" t="s">
        <v>376</v>
      </c>
      <c r="K208" t="s">
        <v>375</v>
      </c>
      <c r="L208">
        <v>1354</v>
      </c>
      <c r="N208">
        <v>1010</v>
      </c>
      <c r="O208" t="s">
        <v>328</v>
      </c>
      <c r="P208" t="s">
        <v>328</v>
      </c>
      <c r="Q208">
        <v>1</v>
      </c>
      <c r="W208">
        <v>0</v>
      </c>
      <c r="X208">
        <v>-1755298893</v>
      </c>
      <c r="Y208">
        <v>1600</v>
      </c>
      <c r="AA208">
        <v>56.25</v>
      </c>
      <c r="AB208">
        <v>0</v>
      </c>
      <c r="AC208">
        <v>0</v>
      </c>
      <c r="AD208">
        <v>0</v>
      </c>
      <c r="AE208">
        <v>45.36</v>
      </c>
      <c r="AF208">
        <v>0</v>
      </c>
      <c r="AG208">
        <v>0</v>
      </c>
      <c r="AH208">
        <v>0</v>
      </c>
      <c r="AI208">
        <v>1.24</v>
      </c>
      <c r="AJ208">
        <v>1</v>
      </c>
      <c r="AK208">
        <v>1</v>
      </c>
      <c r="AL208">
        <v>1</v>
      </c>
      <c r="AN208">
        <v>0</v>
      </c>
      <c r="AO208">
        <v>0</v>
      </c>
      <c r="AP208">
        <v>0</v>
      </c>
      <c r="AQ208">
        <v>0</v>
      </c>
      <c r="AR208">
        <v>0</v>
      </c>
      <c r="AS208" t="s">
        <v>3</v>
      </c>
      <c r="AT208">
        <v>1600</v>
      </c>
      <c r="AU208" t="s">
        <v>3</v>
      </c>
      <c r="AV208">
        <v>0</v>
      </c>
      <c r="AW208">
        <v>1</v>
      </c>
      <c r="AX208">
        <v>-1</v>
      </c>
      <c r="AY208">
        <v>0</v>
      </c>
      <c r="AZ208">
        <v>0</v>
      </c>
      <c r="BA208" t="s">
        <v>3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Y208*Source!I576</f>
        <v>2256</v>
      </c>
      <c r="CY208">
        <f>AA208</f>
        <v>56.25</v>
      </c>
      <c r="CZ208">
        <f>AE208</f>
        <v>45.36</v>
      </c>
      <c r="DA208">
        <f>AI208</f>
        <v>1.24</v>
      </c>
      <c r="DB208">
        <f t="shared" si="20"/>
        <v>72576</v>
      </c>
      <c r="DC208">
        <f t="shared" si="21"/>
        <v>0</v>
      </c>
    </row>
    <row r="209" spans="1:107" x14ac:dyDescent="0.2">
      <c r="A209">
        <f>ROW(Source!A576)</f>
        <v>576</v>
      </c>
      <c r="B209">
        <v>33989672</v>
      </c>
      <c r="C209">
        <v>33992447</v>
      </c>
      <c r="D209">
        <v>30057923</v>
      </c>
      <c r="E209">
        <v>1</v>
      </c>
      <c r="F209">
        <v>1</v>
      </c>
      <c r="G209">
        <v>29983435</v>
      </c>
      <c r="H209">
        <v>3</v>
      </c>
      <c r="I209" t="s">
        <v>769</v>
      </c>
      <c r="J209" t="s">
        <v>770</v>
      </c>
      <c r="K209" t="s">
        <v>771</v>
      </c>
      <c r="L209">
        <v>1339</v>
      </c>
      <c r="N209">
        <v>1007</v>
      </c>
      <c r="O209" t="s">
        <v>66</v>
      </c>
      <c r="P209" t="s">
        <v>66</v>
      </c>
      <c r="Q209">
        <v>1</v>
      </c>
      <c r="W209">
        <v>0</v>
      </c>
      <c r="X209">
        <v>814528933</v>
      </c>
      <c r="Y209">
        <v>2</v>
      </c>
      <c r="AA209">
        <v>933.13</v>
      </c>
      <c r="AB209">
        <v>0</v>
      </c>
      <c r="AC209">
        <v>0</v>
      </c>
      <c r="AD209">
        <v>0</v>
      </c>
      <c r="AE209">
        <v>407.48</v>
      </c>
      <c r="AF209">
        <v>0</v>
      </c>
      <c r="AG209">
        <v>0</v>
      </c>
      <c r="AH209">
        <v>0</v>
      </c>
      <c r="AI209">
        <v>2.29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S209" t="s">
        <v>3</v>
      </c>
      <c r="AT209">
        <v>2</v>
      </c>
      <c r="AU209" t="s">
        <v>3</v>
      </c>
      <c r="AV209">
        <v>0</v>
      </c>
      <c r="AW209">
        <v>2</v>
      </c>
      <c r="AX209">
        <v>33992457</v>
      </c>
      <c r="AY209">
        <v>1</v>
      </c>
      <c r="AZ209">
        <v>0</v>
      </c>
      <c r="BA209">
        <v>209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Y209*Source!I576</f>
        <v>2.82</v>
      </c>
      <c r="CY209">
        <f>AA209</f>
        <v>933.13</v>
      </c>
      <c r="CZ209">
        <f>AE209</f>
        <v>407.48</v>
      </c>
      <c r="DA209">
        <f>AI209</f>
        <v>2.29</v>
      </c>
      <c r="DB209">
        <f t="shared" si="20"/>
        <v>814.96</v>
      </c>
      <c r="DC209">
        <f t="shared" si="21"/>
        <v>0</v>
      </c>
    </row>
    <row r="210" spans="1:107" x14ac:dyDescent="0.2">
      <c r="A210">
        <f>ROW(Source!A576)</f>
        <v>576</v>
      </c>
      <c r="B210">
        <v>33989672</v>
      </c>
      <c r="C210">
        <v>33992447</v>
      </c>
      <c r="D210">
        <v>29983437</v>
      </c>
      <c r="E210">
        <v>29983435</v>
      </c>
      <c r="F210">
        <v>1</v>
      </c>
      <c r="G210">
        <v>29983435</v>
      </c>
      <c r="H210">
        <v>3</v>
      </c>
      <c r="I210" t="s">
        <v>738</v>
      </c>
      <c r="J210" t="s">
        <v>3</v>
      </c>
      <c r="K210" t="s">
        <v>739</v>
      </c>
      <c r="L210">
        <v>1344</v>
      </c>
      <c r="N210">
        <v>1008</v>
      </c>
      <c r="O210" t="s">
        <v>676</v>
      </c>
      <c r="P210" t="s">
        <v>676</v>
      </c>
      <c r="Q210">
        <v>1</v>
      </c>
      <c r="W210">
        <v>0</v>
      </c>
      <c r="X210">
        <v>-94250534</v>
      </c>
      <c r="Y210">
        <v>6.79</v>
      </c>
      <c r="AA210">
        <v>1</v>
      </c>
      <c r="AB210">
        <v>0</v>
      </c>
      <c r="AC210">
        <v>0</v>
      </c>
      <c r="AD210">
        <v>0</v>
      </c>
      <c r="AE210">
        <v>1</v>
      </c>
      <c r="AF210">
        <v>0</v>
      </c>
      <c r="AG210">
        <v>0</v>
      </c>
      <c r="AH210">
        <v>0</v>
      </c>
      <c r="AI210">
        <v>1</v>
      </c>
      <c r="AJ210">
        <v>1</v>
      </c>
      <c r="AK210">
        <v>1</v>
      </c>
      <c r="AL210">
        <v>1</v>
      </c>
      <c r="AN210">
        <v>0</v>
      </c>
      <c r="AO210">
        <v>1</v>
      </c>
      <c r="AP210">
        <v>0</v>
      </c>
      <c r="AQ210">
        <v>0</v>
      </c>
      <c r="AR210">
        <v>0</v>
      </c>
      <c r="AS210" t="s">
        <v>3</v>
      </c>
      <c r="AT210">
        <v>6.79</v>
      </c>
      <c r="AU210" t="s">
        <v>3</v>
      </c>
      <c r="AV210">
        <v>0</v>
      </c>
      <c r="AW210">
        <v>2</v>
      </c>
      <c r="AX210">
        <v>33992459</v>
      </c>
      <c r="AY210">
        <v>1</v>
      </c>
      <c r="AZ210">
        <v>0</v>
      </c>
      <c r="BA210">
        <v>211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Y210*Source!I576</f>
        <v>9.5739000000000001</v>
      </c>
      <c r="CY210">
        <f>AA210</f>
        <v>1</v>
      </c>
      <c r="CZ210">
        <f>AE210</f>
        <v>1</v>
      </c>
      <c r="DA210">
        <f>AI210</f>
        <v>1</v>
      </c>
      <c r="DB210">
        <f t="shared" si="20"/>
        <v>6.79</v>
      </c>
      <c r="DC210">
        <f t="shared" si="21"/>
        <v>0</v>
      </c>
    </row>
    <row r="211" spans="1:107" x14ac:dyDescent="0.2">
      <c r="A211">
        <f>ROW(Source!A578)</f>
        <v>578</v>
      </c>
      <c r="B211">
        <v>33989672</v>
      </c>
      <c r="C211">
        <v>33992461</v>
      </c>
      <c r="D211">
        <v>29983441</v>
      </c>
      <c r="E211">
        <v>29983435</v>
      </c>
      <c r="F211">
        <v>1</v>
      </c>
      <c r="G211">
        <v>29983435</v>
      </c>
      <c r="H211">
        <v>1</v>
      </c>
      <c r="I211" t="s">
        <v>646</v>
      </c>
      <c r="J211" t="s">
        <v>3</v>
      </c>
      <c r="K211" t="s">
        <v>647</v>
      </c>
      <c r="L211">
        <v>1191</v>
      </c>
      <c r="N211">
        <v>1013</v>
      </c>
      <c r="O211" t="s">
        <v>648</v>
      </c>
      <c r="P211" t="s">
        <v>648</v>
      </c>
      <c r="Q211">
        <v>1</v>
      </c>
      <c r="W211">
        <v>0</v>
      </c>
      <c r="X211">
        <v>476480486</v>
      </c>
      <c r="Y211">
        <v>135.01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1</v>
      </c>
      <c r="AJ211">
        <v>1</v>
      </c>
      <c r="AK211">
        <v>1</v>
      </c>
      <c r="AL211">
        <v>1</v>
      </c>
      <c r="AN211">
        <v>0</v>
      </c>
      <c r="AO211">
        <v>1</v>
      </c>
      <c r="AP211">
        <v>0</v>
      </c>
      <c r="AQ211">
        <v>0</v>
      </c>
      <c r="AR211">
        <v>0</v>
      </c>
      <c r="AS211" t="s">
        <v>3</v>
      </c>
      <c r="AT211">
        <v>135.01</v>
      </c>
      <c r="AU211" t="s">
        <v>3</v>
      </c>
      <c r="AV211">
        <v>1</v>
      </c>
      <c r="AW211">
        <v>2</v>
      </c>
      <c r="AX211">
        <v>33992468</v>
      </c>
      <c r="AY211">
        <v>1</v>
      </c>
      <c r="AZ211">
        <v>0</v>
      </c>
      <c r="BA211">
        <v>212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Y211*Source!I578</f>
        <v>190.36409999999998</v>
      </c>
      <c r="CY211">
        <f>AD211</f>
        <v>0</v>
      </c>
      <c r="CZ211">
        <f>AH211</f>
        <v>0</v>
      </c>
      <c r="DA211">
        <f>AL211</f>
        <v>1</v>
      </c>
      <c r="DB211">
        <f t="shared" si="20"/>
        <v>0</v>
      </c>
      <c r="DC211">
        <f t="shared" si="21"/>
        <v>0</v>
      </c>
    </row>
    <row r="212" spans="1:107" x14ac:dyDescent="0.2">
      <c r="A212">
        <f>ROW(Source!A578)</f>
        <v>578</v>
      </c>
      <c r="B212">
        <v>33989672</v>
      </c>
      <c r="C212">
        <v>33992461</v>
      </c>
      <c r="D212">
        <v>30042537</v>
      </c>
      <c r="E212">
        <v>1</v>
      </c>
      <c r="F212">
        <v>1</v>
      </c>
      <c r="G212">
        <v>29983435</v>
      </c>
      <c r="H212">
        <v>3</v>
      </c>
      <c r="I212" t="s">
        <v>467</v>
      </c>
      <c r="J212" t="s">
        <v>469</v>
      </c>
      <c r="K212" t="s">
        <v>468</v>
      </c>
      <c r="L212">
        <v>1339</v>
      </c>
      <c r="N212">
        <v>1007</v>
      </c>
      <c r="O212" t="s">
        <v>66</v>
      </c>
      <c r="P212" t="s">
        <v>66</v>
      </c>
      <c r="Q212">
        <v>1</v>
      </c>
      <c r="W212">
        <v>0</v>
      </c>
      <c r="X212">
        <v>-862991314</v>
      </c>
      <c r="Y212">
        <v>30</v>
      </c>
      <c r="AA212">
        <v>35.28</v>
      </c>
      <c r="AB212">
        <v>0</v>
      </c>
      <c r="AC212">
        <v>0</v>
      </c>
      <c r="AD212">
        <v>0</v>
      </c>
      <c r="AE212">
        <v>7.07</v>
      </c>
      <c r="AF212">
        <v>0</v>
      </c>
      <c r="AG212">
        <v>0</v>
      </c>
      <c r="AH212">
        <v>0</v>
      </c>
      <c r="AI212">
        <v>4.99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0</v>
      </c>
      <c r="AQ212">
        <v>0</v>
      </c>
      <c r="AR212">
        <v>0</v>
      </c>
      <c r="AS212" t="s">
        <v>3</v>
      </c>
      <c r="AT212">
        <v>30</v>
      </c>
      <c r="AU212" t="s">
        <v>3</v>
      </c>
      <c r="AV212">
        <v>0</v>
      </c>
      <c r="AW212">
        <v>2</v>
      </c>
      <c r="AX212">
        <v>33992469</v>
      </c>
      <c r="AY212">
        <v>1</v>
      </c>
      <c r="AZ212">
        <v>0</v>
      </c>
      <c r="BA212">
        <v>213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Y212*Source!I578</f>
        <v>42.3</v>
      </c>
      <c r="CY212">
        <f>AA212</f>
        <v>35.28</v>
      </c>
      <c r="CZ212">
        <f>AE212</f>
        <v>7.07</v>
      </c>
      <c r="DA212">
        <f>AI212</f>
        <v>4.99</v>
      </c>
      <c r="DB212">
        <f t="shared" si="20"/>
        <v>212.1</v>
      </c>
      <c r="DC212">
        <f t="shared" si="21"/>
        <v>0</v>
      </c>
    </row>
    <row r="213" spans="1:107" x14ac:dyDescent="0.2">
      <c r="A213">
        <f>ROW(Source!A578)</f>
        <v>578</v>
      </c>
      <c r="B213">
        <v>33989672</v>
      </c>
      <c r="C213">
        <v>33992461</v>
      </c>
      <c r="D213">
        <v>30042428</v>
      </c>
      <c r="E213">
        <v>1</v>
      </c>
      <c r="F213">
        <v>1</v>
      </c>
      <c r="G213">
        <v>29983435</v>
      </c>
      <c r="H213">
        <v>3</v>
      </c>
      <c r="I213" t="s">
        <v>775</v>
      </c>
      <c r="J213" t="s">
        <v>776</v>
      </c>
      <c r="K213" t="s">
        <v>777</v>
      </c>
      <c r="L213">
        <v>1339</v>
      </c>
      <c r="N213">
        <v>1007</v>
      </c>
      <c r="O213" t="s">
        <v>66</v>
      </c>
      <c r="P213" t="s">
        <v>66</v>
      </c>
      <c r="Q213">
        <v>1</v>
      </c>
      <c r="W213">
        <v>0</v>
      </c>
      <c r="X213">
        <v>468437763</v>
      </c>
      <c r="Y213">
        <v>8.0000000000000002E-3</v>
      </c>
      <c r="AA213">
        <v>5467.39</v>
      </c>
      <c r="AB213">
        <v>0</v>
      </c>
      <c r="AC213">
        <v>0</v>
      </c>
      <c r="AD213">
        <v>0</v>
      </c>
      <c r="AE213">
        <v>1828.56</v>
      </c>
      <c r="AF213">
        <v>0</v>
      </c>
      <c r="AG213">
        <v>0</v>
      </c>
      <c r="AH213">
        <v>0</v>
      </c>
      <c r="AI213">
        <v>2.99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0</v>
      </c>
      <c r="AQ213">
        <v>0</v>
      </c>
      <c r="AR213">
        <v>0</v>
      </c>
      <c r="AS213" t="s">
        <v>3</v>
      </c>
      <c r="AT213">
        <v>8.0000000000000002E-3</v>
      </c>
      <c r="AU213" t="s">
        <v>3</v>
      </c>
      <c r="AV213">
        <v>0</v>
      </c>
      <c r="AW213">
        <v>2</v>
      </c>
      <c r="AX213">
        <v>33992470</v>
      </c>
      <c r="AY213">
        <v>1</v>
      </c>
      <c r="AZ213">
        <v>0</v>
      </c>
      <c r="BA213">
        <v>214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Y213*Source!I578</f>
        <v>1.128E-2</v>
      </c>
      <c r="CY213">
        <f>AA213</f>
        <v>5467.39</v>
      </c>
      <c r="CZ213">
        <f>AE213</f>
        <v>1828.56</v>
      </c>
      <c r="DA213">
        <f>AI213</f>
        <v>2.99</v>
      </c>
      <c r="DB213">
        <f t="shared" si="20"/>
        <v>14.63</v>
      </c>
      <c r="DC213">
        <f t="shared" si="21"/>
        <v>0</v>
      </c>
    </row>
    <row r="214" spans="1:107" x14ac:dyDescent="0.2">
      <c r="A214">
        <f>ROW(Source!A578)</f>
        <v>578</v>
      </c>
      <c r="B214">
        <v>33989672</v>
      </c>
      <c r="C214">
        <v>33992461</v>
      </c>
      <c r="D214">
        <v>30057985</v>
      </c>
      <c r="E214">
        <v>1</v>
      </c>
      <c r="F214">
        <v>1</v>
      </c>
      <c r="G214">
        <v>29983435</v>
      </c>
      <c r="H214">
        <v>3</v>
      </c>
      <c r="I214" t="s">
        <v>379</v>
      </c>
      <c r="J214" t="s">
        <v>381</v>
      </c>
      <c r="K214" t="s">
        <v>380</v>
      </c>
      <c r="L214">
        <v>1354</v>
      </c>
      <c r="N214">
        <v>1010</v>
      </c>
      <c r="O214" t="s">
        <v>328</v>
      </c>
      <c r="P214" t="s">
        <v>328</v>
      </c>
      <c r="Q214">
        <v>1</v>
      </c>
      <c r="W214">
        <v>0</v>
      </c>
      <c r="X214">
        <v>-85359034</v>
      </c>
      <c r="Y214">
        <v>1600</v>
      </c>
      <c r="AA214">
        <v>43.71</v>
      </c>
      <c r="AB214">
        <v>0</v>
      </c>
      <c r="AC214">
        <v>0</v>
      </c>
      <c r="AD214">
        <v>0</v>
      </c>
      <c r="AE214">
        <v>37.04</v>
      </c>
      <c r="AF214">
        <v>0</v>
      </c>
      <c r="AG214">
        <v>0</v>
      </c>
      <c r="AH214">
        <v>0</v>
      </c>
      <c r="AI214">
        <v>1.18</v>
      </c>
      <c r="AJ214">
        <v>1</v>
      </c>
      <c r="AK214">
        <v>1</v>
      </c>
      <c r="AL214">
        <v>1</v>
      </c>
      <c r="AN214">
        <v>0</v>
      </c>
      <c r="AO214">
        <v>0</v>
      </c>
      <c r="AP214">
        <v>0</v>
      </c>
      <c r="AQ214">
        <v>0</v>
      </c>
      <c r="AR214">
        <v>0</v>
      </c>
      <c r="AS214" t="s">
        <v>3</v>
      </c>
      <c r="AT214">
        <v>1600</v>
      </c>
      <c r="AU214" t="s">
        <v>3</v>
      </c>
      <c r="AV214">
        <v>0</v>
      </c>
      <c r="AW214">
        <v>1</v>
      </c>
      <c r="AX214">
        <v>-1</v>
      </c>
      <c r="AY214">
        <v>0</v>
      </c>
      <c r="AZ214">
        <v>0</v>
      </c>
      <c r="BA214" t="s">
        <v>3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Y214*Source!I578</f>
        <v>2256</v>
      </c>
      <c r="CY214">
        <f>AA214</f>
        <v>43.71</v>
      </c>
      <c r="CZ214">
        <f>AE214</f>
        <v>37.04</v>
      </c>
      <c r="DA214">
        <f>AI214</f>
        <v>1.18</v>
      </c>
      <c r="DB214">
        <f t="shared" si="20"/>
        <v>59264</v>
      </c>
      <c r="DC214">
        <f t="shared" si="21"/>
        <v>0</v>
      </c>
    </row>
    <row r="215" spans="1:107" x14ac:dyDescent="0.2">
      <c r="A215">
        <f>ROW(Source!A578)</f>
        <v>578</v>
      </c>
      <c r="B215">
        <v>33989672</v>
      </c>
      <c r="C215">
        <v>33992461</v>
      </c>
      <c r="D215">
        <v>30057923</v>
      </c>
      <c r="E215">
        <v>1</v>
      </c>
      <c r="F215">
        <v>1</v>
      </c>
      <c r="G215">
        <v>29983435</v>
      </c>
      <c r="H215">
        <v>3</v>
      </c>
      <c r="I215" t="s">
        <v>769</v>
      </c>
      <c r="J215" t="s">
        <v>770</v>
      </c>
      <c r="K215" t="s">
        <v>771</v>
      </c>
      <c r="L215">
        <v>1339</v>
      </c>
      <c r="N215">
        <v>1007</v>
      </c>
      <c r="O215" t="s">
        <v>66</v>
      </c>
      <c r="P215" t="s">
        <v>66</v>
      </c>
      <c r="Q215">
        <v>1</v>
      </c>
      <c r="W215">
        <v>0</v>
      </c>
      <c r="X215">
        <v>814528933</v>
      </c>
      <c r="Y215">
        <v>2</v>
      </c>
      <c r="AA215">
        <v>933.13</v>
      </c>
      <c r="AB215">
        <v>0</v>
      </c>
      <c r="AC215">
        <v>0</v>
      </c>
      <c r="AD215">
        <v>0</v>
      </c>
      <c r="AE215">
        <v>407.48</v>
      </c>
      <c r="AF215">
        <v>0</v>
      </c>
      <c r="AG215">
        <v>0</v>
      </c>
      <c r="AH215">
        <v>0</v>
      </c>
      <c r="AI215">
        <v>2.29</v>
      </c>
      <c r="AJ215">
        <v>1</v>
      </c>
      <c r="AK215">
        <v>1</v>
      </c>
      <c r="AL215">
        <v>1</v>
      </c>
      <c r="AN215">
        <v>0</v>
      </c>
      <c r="AO215">
        <v>1</v>
      </c>
      <c r="AP215">
        <v>0</v>
      </c>
      <c r="AQ215">
        <v>0</v>
      </c>
      <c r="AR215">
        <v>0</v>
      </c>
      <c r="AS215" t="s">
        <v>3</v>
      </c>
      <c r="AT215">
        <v>2</v>
      </c>
      <c r="AU215" t="s">
        <v>3</v>
      </c>
      <c r="AV215">
        <v>0</v>
      </c>
      <c r="AW215">
        <v>2</v>
      </c>
      <c r="AX215">
        <v>33992471</v>
      </c>
      <c r="AY215">
        <v>1</v>
      </c>
      <c r="AZ215">
        <v>0</v>
      </c>
      <c r="BA215">
        <v>215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Y215*Source!I578</f>
        <v>2.82</v>
      </c>
      <c r="CY215">
        <f>AA215</f>
        <v>933.13</v>
      </c>
      <c r="CZ215">
        <f>AE215</f>
        <v>407.48</v>
      </c>
      <c r="DA215">
        <f>AI215</f>
        <v>2.29</v>
      </c>
      <c r="DB215">
        <f t="shared" si="20"/>
        <v>814.96</v>
      </c>
      <c r="DC215">
        <f t="shared" si="21"/>
        <v>0</v>
      </c>
    </row>
    <row r="216" spans="1:107" x14ac:dyDescent="0.2">
      <c r="A216">
        <f>ROW(Source!A578)</f>
        <v>578</v>
      </c>
      <c r="B216">
        <v>33989672</v>
      </c>
      <c r="C216">
        <v>33992461</v>
      </c>
      <c r="D216">
        <v>29983437</v>
      </c>
      <c r="E216">
        <v>29983435</v>
      </c>
      <c r="F216">
        <v>1</v>
      </c>
      <c r="G216">
        <v>29983435</v>
      </c>
      <c r="H216">
        <v>3</v>
      </c>
      <c r="I216" t="s">
        <v>738</v>
      </c>
      <c r="J216" t="s">
        <v>3</v>
      </c>
      <c r="K216" t="s">
        <v>739</v>
      </c>
      <c r="L216">
        <v>1344</v>
      </c>
      <c r="N216">
        <v>1008</v>
      </c>
      <c r="O216" t="s">
        <v>676</v>
      </c>
      <c r="P216" t="s">
        <v>676</v>
      </c>
      <c r="Q216">
        <v>1</v>
      </c>
      <c r="W216">
        <v>0</v>
      </c>
      <c r="X216">
        <v>-94250534</v>
      </c>
      <c r="Y216">
        <v>6.79</v>
      </c>
      <c r="AA216">
        <v>1</v>
      </c>
      <c r="AB216">
        <v>0</v>
      </c>
      <c r="AC216">
        <v>0</v>
      </c>
      <c r="AD216">
        <v>0</v>
      </c>
      <c r="AE216">
        <v>1</v>
      </c>
      <c r="AF216">
        <v>0</v>
      </c>
      <c r="AG216">
        <v>0</v>
      </c>
      <c r="AH216">
        <v>0</v>
      </c>
      <c r="AI216">
        <v>1</v>
      </c>
      <c r="AJ216">
        <v>1</v>
      </c>
      <c r="AK216">
        <v>1</v>
      </c>
      <c r="AL216">
        <v>1</v>
      </c>
      <c r="AN216">
        <v>0</v>
      </c>
      <c r="AO216">
        <v>1</v>
      </c>
      <c r="AP216">
        <v>0</v>
      </c>
      <c r="AQ216">
        <v>0</v>
      </c>
      <c r="AR216">
        <v>0</v>
      </c>
      <c r="AS216" t="s">
        <v>3</v>
      </c>
      <c r="AT216">
        <v>6.79</v>
      </c>
      <c r="AU216" t="s">
        <v>3</v>
      </c>
      <c r="AV216">
        <v>0</v>
      </c>
      <c r="AW216">
        <v>2</v>
      </c>
      <c r="AX216">
        <v>33992473</v>
      </c>
      <c r="AY216">
        <v>1</v>
      </c>
      <c r="AZ216">
        <v>0</v>
      </c>
      <c r="BA216">
        <v>217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Y216*Source!I578</f>
        <v>9.5739000000000001</v>
      </c>
      <c r="CY216">
        <f>AA216</f>
        <v>1</v>
      </c>
      <c r="CZ216">
        <f>AE216</f>
        <v>1</v>
      </c>
      <c r="DA216">
        <f>AI216</f>
        <v>1</v>
      </c>
      <c r="DB216">
        <f t="shared" si="20"/>
        <v>6.79</v>
      </c>
      <c r="DC216">
        <f t="shared" si="21"/>
        <v>0</v>
      </c>
    </row>
    <row r="217" spans="1:107" x14ac:dyDescent="0.2">
      <c r="A217">
        <f>ROW(Source!A580)</f>
        <v>580</v>
      </c>
      <c r="B217">
        <v>33989672</v>
      </c>
      <c r="C217">
        <v>33992475</v>
      </c>
      <c r="D217">
        <v>29983441</v>
      </c>
      <c r="E217">
        <v>29983435</v>
      </c>
      <c r="F217">
        <v>1</v>
      </c>
      <c r="G217">
        <v>29983435</v>
      </c>
      <c r="H217">
        <v>1</v>
      </c>
      <c r="I217" t="s">
        <v>646</v>
      </c>
      <c r="J217" t="s">
        <v>3</v>
      </c>
      <c r="K217" t="s">
        <v>647</v>
      </c>
      <c r="L217">
        <v>1191</v>
      </c>
      <c r="N217">
        <v>1013</v>
      </c>
      <c r="O217" t="s">
        <v>648</v>
      </c>
      <c r="P217" t="s">
        <v>648</v>
      </c>
      <c r="Q217">
        <v>1</v>
      </c>
      <c r="W217">
        <v>0</v>
      </c>
      <c r="X217">
        <v>476480486</v>
      </c>
      <c r="Y217">
        <v>6.88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1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S217" t="s">
        <v>3</v>
      </c>
      <c r="AT217">
        <v>6.88</v>
      </c>
      <c r="AU217" t="s">
        <v>3</v>
      </c>
      <c r="AV217">
        <v>1</v>
      </c>
      <c r="AW217">
        <v>2</v>
      </c>
      <c r="AX217">
        <v>33992480</v>
      </c>
      <c r="AY217">
        <v>1</v>
      </c>
      <c r="AZ217">
        <v>0</v>
      </c>
      <c r="BA217">
        <v>218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Y217*Source!I580</f>
        <v>9.7007999999999992</v>
      </c>
      <c r="CY217">
        <f>AD217</f>
        <v>0</v>
      </c>
      <c r="CZ217">
        <f>AH217</f>
        <v>0</v>
      </c>
      <c r="DA217">
        <f>AL217</f>
        <v>1</v>
      </c>
      <c r="DB217">
        <f t="shared" si="20"/>
        <v>0</v>
      </c>
      <c r="DC217">
        <f t="shared" si="21"/>
        <v>0</v>
      </c>
    </row>
    <row r="218" spans="1:107" x14ac:dyDescent="0.2">
      <c r="A218">
        <f>ROW(Source!A580)</f>
        <v>580</v>
      </c>
      <c r="B218">
        <v>33989672</v>
      </c>
      <c r="C218">
        <v>33992475</v>
      </c>
      <c r="D218">
        <v>30042428</v>
      </c>
      <c r="E218">
        <v>1</v>
      </c>
      <c r="F218">
        <v>1</v>
      </c>
      <c r="G218">
        <v>29983435</v>
      </c>
      <c r="H218">
        <v>3</v>
      </c>
      <c r="I218" t="s">
        <v>775</v>
      </c>
      <c r="J218" t="s">
        <v>776</v>
      </c>
      <c r="K218" t="s">
        <v>777</v>
      </c>
      <c r="L218">
        <v>1339</v>
      </c>
      <c r="N218">
        <v>1007</v>
      </c>
      <c r="O218" t="s">
        <v>66</v>
      </c>
      <c r="P218" t="s">
        <v>66</v>
      </c>
      <c r="Q218">
        <v>1</v>
      </c>
      <c r="W218">
        <v>0</v>
      </c>
      <c r="X218">
        <v>468437763</v>
      </c>
      <c r="Y218">
        <v>5.0000000000000001E-3</v>
      </c>
      <c r="AA218">
        <v>5467.39</v>
      </c>
      <c r="AB218">
        <v>0</v>
      </c>
      <c r="AC218">
        <v>0</v>
      </c>
      <c r="AD218">
        <v>0</v>
      </c>
      <c r="AE218">
        <v>1828.56</v>
      </c>
      <c r="AF218">
        <v>0</v>
      </c>
      <c r="AG218">
        <v>0</v>
      </c>
      <c r="AH218">
        <v>0</v>
      </c>
      <c r="AI218">
        <v>2.99</v>
      </c>
      <c r="AJ218">
        <v>1</v>
      </c>
      <c r="AK218">
        <v>1</v>
      </c>
      <c r="AL218">
        <v>1</v>
      </c>
      <c r="AN218">
        <v>0</v>
      </c>
      <c r="AO218">
        <v>1</v>
      </c>
      <c r="AP218">
        <v>0</v>
      </c>
      <c r="AQ218">
        <v>0</v>
      </c>
      <c r="AR218">
        <v>0</v>
      </c>
      <c r="AS218" t="s">
        <v>3</v>
      </c>
      <c r="AT218">
        <v>5.0000000000000001E-3</v>
      </c>
      <c r="AU218" t="s">
        <v>3</v>
      </c>
      <c r="AV218">
        <v>0</v>
      </c>
      <c r="AW218">
        <v>2</v>
      </c>
      <c r="AX218">
        <v>33992481</v>
      </c>
      <c r="AY218">
        <v>1</v>
      </c>
      <c r="AZ218">
        <v>0</v>
      </c>
      <c r="BA218">
        <v>219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Y218*Source!I580</f>
        <v>7.0499999999999998E-3</v>
      </c>
      <c r="CY218">
        <f>AA218</f>
        <v>5467.39</v>
      </c>
      <c r="CZ218">
        <f>AE218</f>
        <v>1828.56</v>
      </c>
      <c r="DA218">
        <f>AI218</f>
        <v>2.99</v>
      </c>
      <c r="DB218">
        <f t="shared" si="20"/>
        <v>9.14</v>
      </c>
      <c r="DC218">
        <f t="shared" si="21"/>
        <v>0</v>
      </c>
    </row>
    <row r="219" spans="1:107" x14ac:dyDescent="0.2">
      <c r="A219">
        <f>ROW(Source!A580)</f>
        <v>580</v>
      </c>
      <c r="B219">
        <v>33989672</v>
      </c>
      <c r="C219">
        <v>33992475</v>
      </c>
      <c r="D219">
        <v>30057985</v>
      </c>
      <c r="E219">
        <v>1</v>
      </c>
      <c r="F219">
        <v>1</v>
      </c>
      <c r="G219">
        <v>29983435</v>
      </c>
      <c r="H219">
        <v>3</v>
      </c>
      <c r="I219" t="s">
        <v>379</v>
      </c>
      <c r="J219" t="s">
        <v>381</v>
      </c>
      <c r="K219" t="s">
        <v>380</v>
      </c>
      <c r="L219">
        <v>1354</v>
      </c>
      <c r="N219">
        <v>1010</v>
      </c>
      <c r="O219" t="s">
        <v>328</v>
      </c>
      <c r="P219" t="s">
        <v>328</v>
      </c>
      <c r="Q219">
        <v>1</v>
      </c>
      <c r="W219">
        <v>0</v>
      </c>
      <c r="X219">
        <v>-85359034</v>
      </c>
      <c r="Y219">
        <v>1220</v>
      </c>
      <c r="AA219">
        <v>43.71</v>
      </c>
      <c r="AB219">
        <v>0</v>
      </c>
      <c r="AC219">
        <v>0</v>
      </c>
      <c r="AD219">
        <v>0</v>
      </c>
      <c r="AE219">
        <v>37.04</v>
      </c>
      <c r="AF219">
        <v>0</v>
      </c>
      <c r="AG219">
        <v>0</v>
      </c>
      <c r="AH219">
        <v>0</v>
      </c>
      <c r="AI219">
        <v>1.18</v>
      </c>
      <c r="AJ219">
        <v>1</v>
      </c>
      <c r="AK219">
        <v>1</v>
      </c>
      <c r="AL219">
        <v>1</v>
      </c>
      <c r="AN219">
        <v>0</v>
      </c>
      <c r="AO219">
        <v>0</v>
      </c>
      <c r="AP219">
        <v>0</v>
      </c>
      <c r="AQ219">
        <v>0</v>
      </c>
      <c r="AR219">
        <v>0</v>
      </c>
      <c r="AS219" t="s">
        <v>3</v>
      </c>
      <c r="AT219">
        <v>1220</v>
      </c>
      <c r="AU219" t="s">
        <v>3</v>
      </c>
      <c r="AV219">
        <v>0</v>
      </c>
      <c r="AW219">
        <v>1</v>
      </c>
      <c r="AX219">
        <v>-1</v>
      </c>
      <c r="AY219">
        <v>0</v>
      </c>
      <c r="AZ219">
        <v>0</v>
      </c>
      <c r="BA219" t="s">
        <v>3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Y219*Source!I580</f>
        <v>1720.1999999999998</v>
      </c>
      <c r="CY219">
        <f>AA219</f>
        <v>43.71</v>
      </c>
      <c r="CZ219">
        <f>AE219</f>
        <v>37.04</v>
      </c>
      <c r="DA219">
        <f>AI219</f>
        <v>1.18</v>
      </c>
      <c r="DB219">
        <f t="shared" si="20"/>
        <v>45188.800000000003</v>
      </c>
      <c r="DC219">
        <f t="shared" si="21"/>
        <v>0</v>
      </c>
    </row>
    <row r="220" spans="1:107" x14ac:dyDescent="0.2">
      <c r="A220">
        <f>ROW(Source!A580)</f>
        <v>580</v>
      </c>
      <c r="B220">
        <v>33989672</v>
      </c>
      <c r="C220">
        <v>33992475</v>
      </c>
      <c r="D220">
        <v>29983437</v>
      </c>
      <c r="E220">
        <v>29983435</v>
      </c>
      <c r="F220">
        <v>1</v>
      </c>
      <c r="G220">
        <v>29983435</v>
      </c>
      <c r="H220">
        <v>3</v>
      </c>
      <c r="I220" t="s">
        <v>738</v>
      </c>
      <c r="J220" t="s">
        <v>3</v>
      </c>
      <c r="K220" t="s">
        <v>739</v>
      </c>
      <c r="L220">
        <v>1344</v>
      </c>
      <c r="N220">
        <v>1008</v>
      </c>
      <c r="O220" t="s">
        <v>676</v>
      </c>
      <c r="P220" t="s">
        <v>676</v>
      </c>
      <c r="Q220">
        <v>1</v>
      </c>
      <c r="W220">
        <v>0</v>
      </c>
      <c r="X220">
        <v>-94250534</v>
      </c>
      <c r="Y220">
        <v>4.34</v>
      </c>
      <c r="AA220">
        <v>1</v>
      </c>
      <c r="AB220">
        <v>0</v>
      </c>
      <c r="AC220">
        <v>0</v>
      </c>
      <c r="AD220">
        <v>0</v>
      </c>
      <c r="AE220">
        <v>1</v>
      </c>
      <c r="AF220">
        <v>0</v>
      </c>
      <c r="AG220">
        <v>0</v>
      </c>
      <c r="AH220">
        <v>0</v>
      </c>
      <c r="AI220">
        <v>1</v>
      </c>
      <c r="AJ220">
        <v>1</v>
      </c>
      <c r="AK220">
        <v>1</v>
      </c>
      <c r="AL220">
        <v>1</v>
      </c>
      <c r="AN220">
        <v>0</v>
      </c>
      <c r="AO220">
        <v>1</v>
      </c>
      <c r="AP220">
        <v>0</v>
      </c>
      <c r="AQ220">
        <v>0</v>
      </c>
      <c r="AR220">
        <v>0</v>
      </c>
      <c r="AS220" t="s">
        <v>3</v>
      </c>
      <c r="AT220">
        <v>4.34</v>
      </c>
      <c r="AU220" t="s">
        <v>3</v>
      </c>
      <c r="AV220">
        <v>0</v>
      </c>
      <c r="AW220">
        <v>2</v>
      </c>
      <c r="AX220">
        <v>33992483</v>
      </c>
      <c r="AY220">
        <v>1</v>
      </c>
      <c r="AZ220">
        <v>0</v>
      </c>
      <c r="BA220">
        <v>221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Y220*Source!I580</f>
        <v>6.1193999999999997</v>
      </c>
      <c r="CY220">
        <f>AA220</f>
        <v>1</v>
      </c>
      <c r="CZ220">
        <f>AE220</f>
        <v>1</v>
      </c>
      <c r="DA220">
        <f>AI220</f>
        <v>1</v>
      </c>
      <c r="DB220">
        <f t="shared" si="20"/>
        <v>4.34</v>
      </c>
      <c r="DC220">
        <f t="shared" si="21"/>
        <v>0</v>
      </c>
    </row>
    <row r="221" spans="1:107" x14ac:dyDescent="0.2">
      <c r="A221">
        <f>ROW(Source!A652)</f>
        <v>652</v>
      </c>
      <c r="B221">
        <v>33989672</v>
      </c>
      <c r="C221">
        <v>33992485</v>
      </c>
      <c r="D221">
        <v>29983441</v>
      </c>
      <c r="E221">
        <v>29983435</v>
      </c>
      <c r="F221">
        <v>1</v>
      </c>
      <c r="G221">
        <v>29983435</v>
      </c>
      <c r="H221">
        <v>1</v>
      </c>
      <c r="I221" t="s">
        <v>646</v>
      </c>
      <c r="J221" t="s">
        <v>3</v>
      </c>
      <c r="K221" t="s">
        <v>647</v>
      </c>
      <c r="L221">
        <v>1191</v>
      </c>
      <c r="N221">
        <v>1013</v>
      </c>
      <c r="O221" t="s">
        <v>648</v>
      </c>
      <c r="P221" t="s">
        <v>648</v>
      </c>
      <c r="Q221">
        <v>1</v>
      </c>
      <c r="W221">
        <v>0</v>
      </c>
      <c r="X221">
        <v>476480486</v>
      </c>
      <c r="Y221">
        <v>1.38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1</v>
      </c>
      <c r="AJ221">
        <v>1</v>
      </c>
      <c r="AK221">
        <v>1</v>
      </c>
      <c r="AL221">
        <v>1</v>
      </c>
      <c r="AN221">
        <v>0</v>
      </c>
      <c r="AO221">
        <v>1</v>
      </c>
      <c r="AP221">
        <v>0</v>
      </c>
      <c r="AQ221">
        <v>0</v>
      </c>
      <c r="AR221">
        <v>0</v>
      </c>
      <c r="AS221" t="s">
        <v>3</v>
      </c>
      <c r="AT221">
        <v>1.38</v>
      </c>
      <c r="AU221" t="s">
        <v>3</v>
      </c>
      <c r="AV221">
        <v>1</v>
      </c>
      <c r="AW221">
        <v>2</v>
      </c>
      <c r="AX221">
        <v>33992489</v>
      </c>
      <c r="AY221">
        <v>1</v>
      </c>
      <c r="AZ221">
        <v>0</v>
      </c>
      <c r="BA221">
        <v>222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Y221*Source!I652</f>
        <v>8.0269217999999984</v>
      </c>
      <c r="CY221">
        <f>AD221</f>
        <v>0</v>
      </c>
      <c r="CZ221">
        <f>AH221</f>
        <v>0</v>
      </c>
      <c r="DA221">
        <f>AL221</f>
        <v>1</v>
      </c>
      <c r="DB221">
        <f t="shared" si="20"/>
        <v>0</v>
      </c>
      <c r="DC221">
        <f t="shared" si="21"/>
        <v>0</v>
      </c>
    </row>
    <row r="222" spans="1:107" x14ac:dyDescent="0.2">
      <c r="A222">
        <f>ROW(Source!A652)</f>
        <v>652</v>
      </c>
      <c r="B222">
        <v>33989672</v>
      </c>
      <c r="C222">
        <v>33992485</v>
      </c>
      <c r="D222">
        <v>30063245</v>
      </c>
      <c r="E222">
        <v>1</v>
      </c>
      <c r="F222">
        <v>1</v>
      </c>
      <c r="G222">
        <v>29983435</v>
      </c>
      <c r="H222">
        <v>2</v>
      </c>
      <c r="I222" t="s">
        <v>740</v>
      </c>
      <c r="J222" t="s">
        <v>741</v>
      </c>
      <c r="K222" t="s">
        <v>742</v>
      </c>
      <c r="L222">
        <v>1367</v>
      </c>
      <c r="N222">
        <v>1011</v>
      </c>
      <c r="O222" t="s">
        <v>652</v>
      </c>
      <c r="P222" t="s">
        <v>652</v>
      </c>
      <c r="Q222">
        <v>1</v>
      </c>
      <c r="W222">
        <v>0</v>
      </c>
      <c r="X222">
        <v>781556702</v>
      </c>
      <c r="Y222">
        <v>3.9874999999999998</v>
      </c>
      <c r="AA222">
        <v>0</v>
      </c>
      <c r="AB222">
        <v>1916.45</v>
      </c>
      <c r="AC222">
        <v>836.26</v>
      </c>
      <c r="AD222">
        <v>0</v>
      </c>
      <c r="AE222">
        <v>0</v>
      </c>
      <c r="AF222">
        <v>162.4</v>
      </c>
      <c r="AG222">
        <v>28.6</v>
      </c>
      <c r="AH222">
        <v>0</v>
      </c>
      <c r="AI222">
        <v>1</v>
      </c>
      <c r="AJ222">
        <v>9.9</v>
      </c>
      <c r="AK222">
        <v>24.53</v>
      </c>
      <c r="AL222">
        <v>1</v>
      </c>
      <c r="AN222">
        <v>0</v>
      </c>
      <c r="AO222">
        <v>1</v>
      </c>
      <c r="AP222">
        <v>0</v>
      </c>
      <c r="AQ222">
        <v>0</v>
      </c>
      <c r="AR222">
        <v>0</v>
      </c>
      <c r="AS222" t="s">
        <v>3</v>
      </c>
      <c r="AT222">
        <v>3.9874999999999998</v>
      </c>
      <c r="AU222" t="s">
        <v>3</v>
      </c>
      <c r="AV222">
        <v>0</v>
      </c>
      <c r="AW222">
        <v>2</v>
      </c>
      <c r="AX222">
        <v>33992490</v>
      </c>
      <c r="AY222">
        <v>1</v>
      </c>
      <c r="AZ222">
        <v>0</v>
      </c>
      <c r="BA222">
        <v>223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Y222*Source!I652</f>
        <v>23.193732375</v>
      </c>
      <c r="CY222">
        <f>AB222</f>
        <v>1916.45</v>
      </c>
      <c r="CZ222">
        <f>AF222</f>
        <v>162.4</v>
      </c>
      <c r="DA222">
        <f>AJ222</f>
        <v>9.9</v>
      </c>
      <c r="DB222">
        <f t="shared" si="20"/>
        <v>647.57000000000005</v>
      </c>
      <c r="DC222">
        <f t="shared" si="21"/>
        <v>114.04</v>
      </c>
    </row>
    <row r="223" spans="1:107" x14ac:dyDescent="0.2">
      <c r="A223">
        <f>ROW(Source!A652)</f>
        <v>652</v>
      </c>
      <c r="B223">
        <v>33989672</v>
      </c>
      <c r="C223">
        <v>33992485</v>
      </c>
      <c r="D223">
        <v>30063270</v>
      </c>
      <c r="E223">
        <v>1</v>
      </c>
      <c r="F223">
        <v>1</v>
      </c>
      <c r="G223">
        <v>29983435</v>
      </c>
      <c r="H223">
        <v>2</v>
      </c>
      <c r="I223" t="s">
        <v>743</v>
      </c>
      <c r="J223" t="s">
        <v>744</v>
      </c>
      <c r="K223" t="s">
        <v>745</v>
      </c>
      <c r="L223">
        <v>1367</v>
      </c>
      <c r="N223">
        <v>1011</v>
      </c>
      <c r="O223" t="s">
        <v>652</v>
      </c>
      <c r="P223" t="s">
        <v>652</v>
      </c>
      <c r="Q223">
        <v>1</v>
      </c>
      <c r="W223">
        <v>0</v>
      </c>
      <c r="X223">
        <v>695902881</v>
      </c>
      <c r="Y223">
        <v>0.997</v>
      </c>
      <c r="AA223">
        <v>0</v>
      </c>
      <c r="AB223">
        <v>1232.06</v>
      </c>
      <c r="AC223">
        <v>775.44</v>
      </c>
      <c r="AD223">
        <v>0</v>
      </c>
      <c r="AE223">
        <v>0</v>
      </c>
      <c r="AF223">
        <v>110.31</v>
      </c>
      <c r="AG223">
        <v>26.52</v>
      </c>
      <c r="AH223">
        <v>0</v>
      </c>
      <c r="AI223">
        <v>1</v>
      </c>
      <c r="AJ223">
        <v>9.3699999999999992</v>
      </c>
      <c r="AK223">
        <v>24.53</v>
      </c>
      <c r="AL223">
        <v>1</v>
      </c>
      <c r="AN223">
        <v>0</v>
      </c>
      <c r="AO223">
        <v>1</v>
      </c>
      <c r="AP223">
        <v>0</v>
      </c>
      <c r="AQ223">
        <v>0</v>
      </c>
      <c r="AR223">
        <v>0</v>
      </c>
      <c r="AS223" t="s">
        <v>3</v>
      </c>
      <c r="AT223">
        <v>0.997</v>
      </c>
      <c r="AU223" t="s">
        <v>3</v>
      </c>
      <c r="AV223">
        <v>0</v>
      </c>
      <c r="AW223">
        <v>2</v>
      </c>
      <c r="AX223">
        <v>33992491</v>
      </c>
      <c r="AY223">
        <v>1</v>
      </c>
      <c r="AZ223">
        <v>0</v>
      </c>
      <c r="BA223">
        <v>224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Y223*Source!I652</f>
        <v>5.7991601699999995</v>
      </c>
      <c r="CY223">
        <f>AB223</f>
        <v>1232.06</v>
      </c>
      <c r="CZ223">
        <f>AF223</f>
        <v>110.31</v>
      </c>
      <c r="DA223">
        <f>AJ223</f>
        <v>9.3699999999999992</v>
      </c>
      <c r="DB223">
        <f t="shared" si="20"/>
        <v>109.98</v>
      </c>
      <c r="DC223">
        <f t="shared" si="21"/>
        <v>26.44</v>
      </c>
    </row>
    <row r="224" spans="1:107" x14ac:dyDescent="0.2">
      <c r="A224">
        <f>ROW(Source!A653)</f>
        <v>653</v>
      </c>
      <c r="B224">
        <v>33989672</v>
      </c>
      <c r="C224">
        <v>33992492</v>
      </c>
      <c r="D224">
        <v>29983441</v>
      </c>
      <c r="E224">
        <v>29983435</v>
      </c>
      <c r="F224">
        <v>1</v>
      </c>
      <c r="G224">
        <v>29983435</v>
      </c>
      <c r="H224">
        <v>1</v>
      </c>
      <c r="I224" t="s">
        <v>646</v>
      </c>
      <c r="J224" t="s">
        <v>3</v>
      </c>
      <c r="K224" t="s">
        <v>647</v>
      </c>
      <c r="L224">
        <v>1191</v>
      </c>
      <c r="N224">
        <v>1013</v>
      </c>
      <c r="O224" t="s">
        <v>648</v>
      </c>
      <c r="P224" t="s">
        <v>648</v>
      </c>
      <c r="Q224">
        <v>1</v>
      </c>
      <c r="W224">
        <v>0</v>
      </c>
      <c r="X224">
        <v>476480486</v>
      </c>
      <c r="Y224">
        <v>192.7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1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S224" t="s">
        <v>3</v>
      </c>
      <c r="AT224">
        <v>192.7</v>
      </c>
      <c r="AU224" t="s">
        <v>3</v>
      </c>
      <c r="AV224">
        <v>1</v>
      </c>
      <c r="AW224">
        <v>2</v>
      </c>
      <c r="AX224">
        <v>33992494</v>
      </c>
      <c r="AY224">
        <v>1</v>
      </c>
      <c r="AZ224">
        <v>0</v>
      </c>
      <c r="BA224">
        <v>225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Y224*Source!I653</f>
        <v>124.540083</v>
      </c>
      <c r="CY224">
        <f>AD224</f>
        <v>0</v>
      </c>
      <c r="CZ224">
        <f>AH224</f>
        <v>0</v>
      </c>
      <c r="DA224">
        <f>AL224</f>
        <v>1</v>
      </c>
      <c r="DB224">
        <f t="shared" si="20"/>
        <v>0</v>
      </c>
      <c r="DC224">
        <f t="shared" si="21"/>
        <v>0</v>
      </c>
    </row>
    <row r="225" spans="1:107" x14ac:dyDescent="0.2">
      <c r="A225">
        <f>ROW(Source!A654)</f>
        <v>654</v>
      </c>
      <c r="B225">
        <v>33989672</v>
      </c>
      <c r="C225">
        <v>33992495</v>
      </c>
      <c r="D225">
        <v>29983441</v>
      </c>
      <c r="E225">
        <v>29983435</v>
      </c>
      <c r="F225">
        <v>1</v>
      </c>
      <c r="G225">
        <v>29983435</v>
      </c>
      <c r="H225">
        <v>1</v>
      </c>
      <c r="I225" t="s">
        <v>646</v>
      </c>
      <c r="J225" t="s">
        <v>3</v>
      </c>
      <c r="K225" t="s">
        <v>647</v>
      </c>
      <c r="L225">
        <v>1191</v>
      </c>
      <c r="N225">
        <v>1013</v>
      </c>
      <c r="O225" t="s">
        <v>648</v>
      </c>
      <c r="P225" t="s">
        <v>648</v>
      </c>
      <c r="Q225">
        <v>1</v>
      </c>
      <c r="W225">
        <v>0</v>
      </c>
      <c r="X225">
        <v>476480486</v>
      </c>
      <c r="Y225">
        <v>83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1</v>
      </c>
      <c r="AJ225">
        <v>1</v>
      </c>
      <c r="AK225">
        <v>1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S225" t="s">
        <v>3</v>
      </c>
      <c r="AT225">
        <v>83</v>
      </c>
      <c r="AU225" t="s">
        <v>3</v>
      </c>
      <c r="AV225">
        <v>1</v>
      </c>
      <c r="AW225">
        <v>2</v>
      </c>
      <c r="AX225">
        <v>33992497</v>
      </c>
      <c r="AY225">
        <v>1</v>
      </c>
      <c r="AZ225">
        <v>0</v>
      </c>
      <c r="BA225">
        <v>226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Y225*Source!I654</f>
        <v>53.642070000000004</v>
      </c>
      <c r="CY225">
        <f>AD225</f>
        <v>0</v>
      </c>
      <c r="CZ225">
        <f>AH225</f>
        <v>0</v>
      </c>
      <c r="DA225">
        <f>AL225</f>
        <v>1</v>
      </c>
      <c r="DB225">
        <f t="shared" si="20"/>
        <v>0</v>
      </c>
      <c r="DC225">
        <f t="shared" si="21"/>
        <v>0</v>
      </c>
    </row>
    <row r="226" spans="1:107" x14ac:dyDescent="0.2">
      <c r="A226">
        <f>ROW(Source!A655)</f>
        <v>655</v>
      </c>
      <c r="B226">
        <v>33989672</v>
      </c>
      <c r="C226">
        <v>33992498</v>
      </c>
      <c r="D226">
        <v>30064124</v>
      </c>
      <c r="E226">
        <v>1</v>
      </c>
      <c r="F226">
        <v>1</v>
      </c>
      <c r="G226">
        <v>29983435</v>
      </c>
      <c r="H226">
        <v>2</v>
      </c>
      <c r="I226" t="s">
        <v>746</v>
      </c>
      <c r="J226" t="s">
        <v>747</v>
      </c>
      <c r="K226" t="s">
        <v>748</v>
      </c>
      <c r="L226">
        <v>1367</v>
      </c>
      <c r="N226">
        <v>1011</v>
      </c>
      <c r="O226" t="s">
        <v>652</v>
      </c>
      <c r="P226" t="s">
        <v>652</v>
      </c>
      <c r="Q226">
        <v>1</v>
      </c>
      <c r="W226">
        <v>0</v>
      </c>
      <c r="X226">
        <v>-1897129346</v>
      </c>
      <c r="Y226">
        <v>1</v>
      </c>
      <c r="AA226">
        <v>0</v>
      </c>
      <c r="AB226">
        <v>1382.12</v>
      </c>
      <c r="AC226">
        <v>415.05</v>
      </c>
      <c r="AD226">
        <v>0</v>
      </c>
      <c r="AE226">
        <v>0</v>
      </c>
      <c r="AF226">
        <v>162.03</v>
      </c>
      <c r="AG226">
        <v>16.920000000000002</v>
      </c>
      <c r="AH226">
        <v>0</v>
      </c>
      <c r="AI226">
        <v>1</v>
      </c>
      <c r="AJ226">
        <v>8.5299999999999994</v>
      </c>
      <c r="AK226">
        <v>24.53</v>
      </c>
      <c r="AL226">
        <v>1</v>
      </c>
      <c r="AN226">
        <v>0</v>
      </c>
      <c r="AO226">
        <v>1</v>
      </c>
      <c r="AP226">
        <v>0</v>
      </c>
      <c r="AQ226">
        <v>0</v>
      </c>
      <c r="AR226">
        <v>0</v>
      </c>
      <c r="AS226" t="s">
        <v>3</v>
      </c>
      <c r="AT226">
        <v>1</v>
      </c>
      <c r="AU226" t="s">
        <v>3</v>
      </c>
      <c r="AV226">
        <v>0</v>
      </c>
      <c r="AW226">
        <v>2</v>
      </c>
      <c r="AX226">
        <v>34039103</v>
      </c>
      <c r="AY226">
        <v>1</v>
      </c>
      <c r="AZ226">
        <v>0</v>
      </c>
      <c r="BA226">
        <v>227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Y226*Source!I655</f>
        <v>0</v>
      </c>
      <c r="CY226">
        <f>AB226</f>
        <v>1382.12</v>
      </c>
      <c r="CZ226">
        <f>AF226</f>
        <v>162.03</v>
      </c>
      <c r="DA226">
        <f>AJ226</f>
        <v>8.5299999999999994</v>
      </c>
      <c r="DB226">
        <f t="shared" si="20"/>
        <v>162.03</v>
      </c>
      <c r="DC226">
        <f t="shared" si="21"/>
        <v>16.920000000000002</v>
      </c>
    </row>
    <row r="227" spans="1:107" x14ac:dyDescent="0.2">
      <c r="A227">
        <f>ROW(Source!A656)</f>
        <v>656</v>
      </c>
      <c r="B227">
        <v>33989672</v>
      </c>
      <c r="C227">
        <v>33992501</v>
      </c>
      <c r="D227">
        <v>29983439</v>
      </c>
      <c r="E227">
        <v>29983435</v>
      </c>
      <c r="F227">
        <v>1</v>
      </c>
      <c r="G227">
        <v>29983435</v>
      </c>
      <c r="H227">
        <v>2</v>
      </c>
      <c r="I227" t="s">
        <v>674</v>
      </c>
      <c r="J227" t="s">
        <v>3</v>
      </c>
      <c r="K227" t="s">
        <v>675</v>
      </c>
      <c r="L227">
        <v>1344</v>
      </c>
      <c r="N227">
        <v>1008</v>
      </c>
      <c r="O227" t="s">
        <v>676</v>
      </c>
      <c r="P227" t="s">
        <v>676</v>
      </c>
      <c r="Q227">
        <v>1</v>
      </c>
      <c r="W227">
        <v>0</v>
      </c>
      <c r="X227">
        <v>-1180195794</v>
      </c>
      <c r="Y227">
        <v>12.61</v>
      </c>
      <c r="AA227">
        <v>0</v>
      </c>
      <c r="AB227">
        <v>1</v>
      </c>
      <c r="AC227">
        <v>0</v>
      </c>
      <c r="AD227">
        <v>0</v>
      </c>
      <c r="AE227">
        <v>0</v>
      </c>
      <c r="AF227">
        <v>1</v>
      </c>
      <c r="AG227">
        <v>0</v>
      </c>
      <c r="AH227">
        <v>0</v>
      </c>
      <c r="AI227">
        <v>1</v>
      </c>
      <c r="AJ227">
        <v>1</v>
      </c>
      <c r="AK227">
        <v>1</v>
      </c>
      <c r="AL227">
        <v>1</v>
      </c>
      <c r="AN227">
        <v>0</v>
      </c>
      <c r="AO227">
        <v>1</v>
      </c>
      <c r="AP227">
        <v>0</v>
      </c>
      <c r="AQ227">
        <v>0</v>
      </c>
      <c r="AR227">
        <v>0</v>
      </c>
      <c r="AS227" t="s">
        <v>3</v>
      </c>
      <c r="AT227">
        <v>12.61</v>
      </c>
      <c r="AU227" t="s">
        <v>3</v>
      </c>
      <c r="AV227">
        <v>0</v>
      </c>
      <c r="AW227">
        <v>2</v>
      </c>
      <c r="AX227">
        <v>34039102</v>
      </c>
      <c r="AY227">
        <v>1</v>
      </c>
      <c r="AZ227">
        <v>0</v>
      </c>
      <c r="BA227">
        <v>228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Y227*Source!I656</f>
        <v>0</v>
      </c>
      <c r="CY227">
        <f>AB227</f>
        <v>1</v>
      </c>
      <c r="CZ227">
        <f>AF227</f>
        <v>1</v>
      </c>
      <c r="DA227">
        <f>AJ227</f>
        <v>1</v>
      </c>
      <c r="DB227">
        <f t="shared" si="20"/>
        <v>12.61</v>
      </c>
      <c r="DC227">
        <f t="shared" si="21"/>
        <v>0</v>
      </c>
    </row>
    <row r="228" spans="1:107" x14ac:dyDescent="0.2">
      <c r="A228">
        <f>ROW(Source!A657)</f>
        <v>657</v>
      </c>
      <c r="B228">
        <v>33989672</v>
      </c>
      <c r="C228">
        <v>33992504</v>
      </c>
      <c r="D228">
        <v>29983441</v>
      </c>
      <c r="E228">
        <v>29983435</v>
      </c>
      <c r="F228">
        <v>1</v>
      </c>
      <c r="G228">
        <v>29983435</v>
      </c>
      <c r="H228">
        <v>1</v>
      </c>
      <c r="I228" t="s">
        <v>646</v>
      </c>
      <c r="J228" t="s">
        <v>3</v>
      </c>
      <c r="K228" t="s">
        <v>647</v>
      </c>
      <c r="L228">
        <v>1191</v>
      </c>
      <c r="N228">
        <v>1013</v>
      </c>
      <c r="O228" t="s">
        <v>648</v>
      </c>
      <c r="P228" t="s">
        <v>648</v>
      </c>
      <c r="Q228">
        <v>1</v>
      </c>
      <c r="W228">
        <v>0</v>
      </c>
      <c r="X228">
        <v>476480486</v>
      </c>
      <c r="Y228">
        <v>14.4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1</v>
      </c>
      <c r="AJ228">
        <v>1</v>
      </c>
      <c r="AK228">
        <v>1</v>
      </c>
      <c r="AL228">
        <v>1</v>
      </c>
      <c r="AN228">
        <v>0</v>
      </c>
      <c r="AO228">
        <v>1</v>
      </c>
      <c r="AP228">
        <v>0</v>
      </c>
      <c r="AQ228">
        <v>0</v>
      </c>
      <c r="AR228">
        <v>0</v>
      </c>
      <c r="AS228" t="s">
        <v>3</v>
      </c>
      <c r="AT228">
        <v>14.4</v>
      </c>
      <c r="AU228" t="s">
        <v>3</v>
      </c>
      <c r="AV228">
        <v>1</v>
      </c>
      <c r="AW228">
        <v>2</v>
      </c>
      <c r="AX228">
        <v>33992513</v>
      </c>
      <c r="AY228">
        <v>1</v>
      </c>
      <c r="AZ228">
        <v>0</v>
      </c>
      <c r="BA228">
        <v>229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Y228*Source!I657</f>
        <v>43.2864</v>
      </c>
      <c r="CY228">
        <f>AD228</f>
        <v>0</v>
      </c>
      <c r="CZ228">
        <f>AH228</f>
        <v>0</v>
      </c>
      <c r="DA228">
        <f>AL228</f>
        <v>1</v>
      </c>
      <c r="DB228">
        <f t="shared" si="20"/>
        <v>0</v>
      </c>
      <c r="DC228">
        <f t="shared" si="21"/>
        <v>0</v>
      </c>
    </row>
    <row r="229" spans="1:107" x14ac:dyDescent="0.2">
      <c r="A229">
        <f>ROW(Source!A657)</f>
        <v>657</v>
      </c>
      <c r="B229">
        <v>33989672</v>
      </c>
      <c r="C229">
        <v>33992504</v>
      </c>
      <c r="D229">
        <v>30063290</v>
      </c>
      <c r="E229">
        <v>1</v>
      </c>
      <c r="F229">
        <v>1</v>
      </c>
      <c r="G229">
        <v>29983435</v>
      </c>
      <c r="H229">
        <v>2</v>
      </c>
      <c r="I229" t="s">
        <v>683</v>
      </c>
      <c r="J229" t="s">
        <v>684</v>
      </c>
      <c r="K229" t="s">
        <v>685</v>
      </c>
      <c r="L229">
        <v>1367</v>
      </c>
      <c r="N229">
        <v>1011</v>
      </c>
      <c r="O229" t="s">
        <v>652</v>
      </c>
      <c r="P229" t="s">
        <v>652</v>
      </c>
      <c r="Q229">
        <v>1</v>
      </c>
      <c r="W229">
        <v>0</v>
      </c>
      <c r="X229">
        <v>1928543733</v>
      </c>
      <c r="Y229">
        <v>1.66</v>
      </c>
      <c r="AA229">
        <v>0</v>
      </c>
      <c r="AB229">
        <v>1261.78</v>
      </c>
      <c r="AC229">
        <v>601.24</v>
      </c>
      <c r="AD229">
        <v>0</v>
      </c>
      <c r="AE229">
        <v>0</v>
      </c>
      <c r="AF229">
        <v>116.89</v>
      </c>
      <c r="AG229">
        <v>23.41</v>
      </c>
      <c r="AH229">
        <v>0</v>
      </c>
      <c r="AI229">
        <v>1</v>
      </c>
      <c r="AJ229">
        <v>10.31</v>
      </c>
      <c r="AK229">
        <v>24.53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S229" t="s">
        <v>3</v>
      </c>
      <c r="AT229">
        <v>1.66</v>
      </c>
      <c r="AU229" t="s">
        <v>3</v>
      </c>
      <c r="AV229">
        <v>0</v>
      </c>
      <c r="AW229">
        <v>2</v>
      </c>
      <c r="AX229">
        <v>33992514</v>
      </c>
      <c r="AY229">
        <v>1</v>
      </c>
      <c r="AZ229">
        <v>0</v>
      </c>
      <c r="BA229">
        <v>230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Y229*Source!I657</f>
        <v>4.9899599999999991</v>
      </c>
      <c r="CY229">
        <f>AB229</f>
        <v>1261.78</v>
      </c>
      <c r="CZ229">
        <f>AF229</f>
        <v>116.89</v>
      </c>
      <c r="DA229">
        <f>AJ229</f>
        <v>10.31</v>
      </c>
      <c r="DB229">
        <f t="shared" si="20"/>
        <v>194.04</v>
      </c>
      <c r="DC229">
        <f t="shared" si="21"/>
        <v>38.86</v>
      </c>
    </row>
    <row r="230" spans="1:107" x14ac:dyDescent="0.2">
      <c r="A230">
        <f>ROW(Source!A657)</f>
        <v>657</v>
      </c>
      <c r="B230">
        <v>33989672</v>
      </c>
      <c r="C230">
        <v>33992504</v>
      </c>
      <c r="D230">
        <v>30063515</v>
      </c>
      <c r="E230">
        <v>1</v>
      </c>
      <c r="F230">
        <v>1</v>
      </c>
      <c r="G230">
        <v>29983435</v>
      </c>
      <c r="H230">
        <v>2</v>
      </c>
      <c r="I230" t="s">
        <v>723</v>
      </c>
      <c r="J230" t="s">
        <v>724</v>
      </c>
      <c r="K230" t="s">
        <v>725</v>
      </c>
      <c r="L230">
        <v>1367</v>
      </c>
      <c r="N230">
        <v>1011</v>
      </c>
      <c r="O230" t="s">
        <v>652</v>
      </c>
      <c r="P230" t="s">
        <v>652</v>
      </c>
      <c r="Q230">
        <v>1</v>
      </c>
      <c r="W230">
        <v>0</v>
      </c>
      <c r="X230">
        <v>142191915</v>
      </c>
      <c r="Y230">
        <v>1.66</v>
      </c>
      <c r="AA230">
        <v>0</v>
      </c>
      <c r="AB230">
        <v>445.02</v>
      </c>
      <c r="AC230">
        <v>170.53</v>
      </c>
      <c r="AD230">
        <v>0</v>
      </c>
      <c r="AE230">
        <v>0</v>
      </c>
      <c r="AF230">
        <v>62.97</v>
      </c>
      <c r="AG230">
        <v>6.64</v>
      </c>
      <c r="AH230">
        <v>0</v>
      </c>
      <c r="AI230">
        <v>1</v>
      </c>
      <c r="AJ230">
        <v>6.75</v>
      </c>
      <c r="AK230">
        <v>24.53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3</v>
      </c>
      <c r="AT230">
        <v>1.66</v>
      </c>
      <c r="AU230" t="s">
        <v>3</v>
      </c>
      <c r="AV230">
        <v>0</v>
      </c>
      <c r="AW230">
        <v>2</v>
      </c>
      <c r="AX230">
        <v>33992515</v>
      </c>
      <c r="AY230">
        <v>1</v>
      </c>
      <c r="AZ230">
        <v>0</v>
      </c>
      <c r="BA230">
        <v>231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Y230*Source!I657</f>
        <v>4.9899599999999991</v>
      </c>
      <c r="CY230">
        <f>AB230</f>
        <v>445.02</v>
      </c>
      <c r="CZ230">
        <f>AF230</f>
        <v>62.97</v>
      </c>
      <c r="DA230">
        <f>AJ230</f>
        <v>6.75</v>
      </c>
      <c r="DB230">
        <f t="shared" si="20"/>
        <v>104.53</v>
      </c>
      <c r="DC230">
        <f t="shared" si="21"/>
        <v>11.02</v>
      </c>
    </row>
    <row r="231" spans="1:107" x14ac:dyDescent="0.2">
      <c r="A231">
        <f>ROW(Source!A657)</f>
        <v>657</v>
      </c>
      <c r="B231">
        <v>33989672</v>
      </c>
      <c r="C231">
        <v>33992504</v>
      </c>
      <c r="D231">
        <v>30063518</v>
      </c>
      <c r="E231">
        <v>1</v>
      </c>
      <c r="F231">
        <v>1</v>
      </c>
      <c r="G231">
        <v>29983435</v>
      </c>
      <c r="H231">
        <v>2</v>
      </c>
      <c r="I231" t="s">
        <v>686</v>
      </c>
      <c r="J231" t="s">
        <v>726</v>
      </c>
      <c r="K231" t="s">
        <v>727</v>
      </c>
      <c r="L231">
        <v>1367</v>
      </c>
      <c r="N231">
        <v>1011</v>
      </c>
      <c r="O231" t="s">
        <v>652</v>
      </c>
      <c r="P231" t="s">
        <v>652</v>
      </c>
      <c r="Q231">
        <v>1</v>
      </c>
      <c r="W231">
        <v>0</v>
      </c>
      <c r="X231">
        <v>378346098</v>
      </c>
      <c r="Y231">
        <v>0.65</v>
      </c>
      <c r="AA231">
        <v>0</v>
      </c>
      <c r="AB231">
        <v>1162.78</v>
      </c>
      <c r="AC231">
        <v>734.79</v>
      </c>
      <c r="AD231">
        <v>0</v>
      </c>
      <c r="AE231">
        <v>0</v>
      </c>
      <c r="AF231">
        <v>140.58000000000001</v>
      </c>
      <c r="AG231">
        <v>28.61</v>
      </c>
      <c r="AH231">
        <v>0</v>
      </c>
      <c r="AI231">
        <v>1</v>
      </c>
      <c r="AJ231">
        <v>7.9</v>
      </c>
      <c r="AK231">
        <v>24.53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S231" t="s">
        <v>3</v>
      </c>
      <c r="AT231">
        <v>0.65</v>
      </c>
      <c r="AU231" t="s">
        <v>3</v>
      </c>
      <c r="AV231">
        <v>0</v>
      </c>
      <c r="AW231">
        <v>2</v>
      </c>
      <c r="AX231">
        <v>33992516</v>
      </c>
      <c r="AY231">
        <v>1</v>
      </c>
      <c r="AZ231">
        <v>0</v>
      </c>
      <c r="BA231">
        <v>232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Y231*Source!I657</f>
        <v>1.9539</v>
      </c>
      <c r="CY231">
        <f>AB231</f>
        <v>1162.78</v>
      </c>
      <c r="CZ231">
        <f>AF231</f>
        <v>140.58000000000001</v>
      </c>
      <c r="DA231">
        <f>AJ231</f>
        <v>7.9</v>
      </c>
      <c r="DB231">
        <f t="shared" si="20"/>
        <v>91.38</v>
      </c>
      <c r="DC231">
        <f t="shared" si="21"/>
        <v>18.600000000000001</v>
      </c>
    </row>
    <row r="232" spans="1:107" x14ac:dyDescent="0.2">
      <c r="A232">
        <f>ROW(Source!A657)</f>
        <v>657</v>
      </c>
      <c r="B232">
        <v>33989672</v>
      </c>
      <c r="C232">
        <v>33992504</v>
      </c>
      <c r="D232">
        <v>30063546</v>
      </c>
      <c r="E232">
        <v>1</v>
      </c>
      <c r="F232">
        <v>1</v>
      </c>
      <c r="G232">
        <v>29983435</v>
      </c>
      <c r="H232">
        <v>2</v>
      </c>
      <c r="I232" t="s">
        <v>671</v>
      </c>
      <c r="J232" t="s">
        <v>672</v>
      </c>
      <c r="K232" t="s">
        <v>673</v>
      </c>
      <c r="L232">
        <v>1367</v>
      </c>
      <c r="N232">
        <v>1011</v>
      </c>
      <c r="O232" t="s">
        <v>652</v>
      </c>
      <c r="P232" t="s">
        <v>652</v>
      </c>
      <c r="Q232">
        <v>1</v>
      </c>
      <c r="W232">
        <v>0</v>
      </c>
      <c r="X232">
        <v>856318566</v>
      </c>
      <c r="Y232">
        <v>1.55</v>
      </c>
      <c r="AA232">
        <v>0</v>
      </c>
      <c r="AB232">
        <v>1539.38</v>
      </c>
      <c r="AC232">
        <v>635.4</v>
      </c>
      <c r="AD232">
        <v>0</v>
      </c>
      <c r="AE232">
        <v>0</v>
      </c>
      <c r="AF232">
        <v>125.13</v>
      </c>
      <c r="AG232">
        <v>24.74</v>
      </c>
      <c r="AH232">
        <v>0</v>
      </c>
      <c r="AI232">
        <v>1</v>
      </c>
      <c r="AJ232">
        <v>11.75</v>
      </c>
      <c r="AK232">
        <v>24.53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 t="s">
        <v>3</v>
      </c>
      <c r="AT232">
        <v>1.55</v>
      </c>
      <c r="AU232" t="s">
        <v>3</v>
      </c>
      <c r="AV232">
        <v>0</v>
      </c>
      <c r="AW232">
        <v>2</v>
      </c>
      <c r="AX232">
        <v>33992517</v>
      </c>
      <c r="AY232">
        <v>1</v>
      </c>
      <c r="AZ232">
        <v>0</v>
      </c>
      <c r="BA232">
        <v>233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Y232*Source!I657</f>
        <v>4.6593</v>
      </c>
      <c r="CY232">
        <f>AB232</f>
        <v>1539.38</v>
      </c>
      <c r="CZ232">
        <f>AF232</f>
        <v>125.13</v>
      </c>
      <c r="DA232">
        <f>AJ232</f>
        <v>11.75</v>
      </c>
      <c r="DB232">
        <f t="shared" si="20"/>
        <v>193.95</v>
      </c>
      <c r="DC232">
        <f t="shared" si="21"/>
        <v>38.35</v>
      </c>
    </row>
    <row r="233" spans="1:107" x14ac:dyDescent="0.2">
      <c r="A233">
        <f>ROW(Source!A657)</f>
        <v>657</v>
      </c>
      <c r="B233">
        <v>33989672</v>
      </c>
      <c r="C233">
        <v>33992504</v>
      </c>
      <c r="D233">
        <v>30063508</v>
      </c>
      <c r="E233">
        <v>1</v>
      </c>
      <c r="F233">
        <v>1</v>
      </c>
      <c r="G233">
        <v>29983435</v>
      </c>
      <c r="H233">
        <v>2</v>
      </c>
      <c r="I233" t="s">
        <v>713</v>
      </c>
      <c r="J233" t="s">
        <v>728</v>
      </c>
      <c r="K233" t="s">
        <v>715</v>
      </c>
      <c r="L233">
        <v>1367</v>
      </c>
      <c r="N233">
        <v>1011</v>
      </c>
      <c r="O233" t="s">
        <v>652</v>
      </c>
      <c r="P233" t="s">
        <v>652</v>
      </c>
      <c r="Q233">
        <v>1</v>
      </c>
      <c r="W233">
        <v>0</v>
      </c>
      <c r="X233">
        <v>2023875219</v>
      </c>
      <c r="Y233">
        <v>0.52</v>
      </c>
      <c r="AA233">
        <v>0</v>
      </c>
      <c r="AB233">
        <v>1593.61</v>
      </c>
      <c r="AC233">
        <v>603.54999999999995</v>
      </c>
      <c r="AD233">
        <v>0</v>
      </c>
      <c r="AE233">
        <v>0</v>
      </c>
      <c r="AF233">
        <v>178.02</v>
      </c>
      <c r="AG233">
        <v>23.5</v>
      </c>
      <c r="AH233">
        <v>0</v>
      </c>
      <c r="AI233">
        <v>1</v>
      </c>
      <c r="AJ233">
        <v>8.5500000000000007</v>
      </c>
      <c r="AK233">
        <v>24.53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S233" t="s">
        <v>3</v>
      </c>
      <c r="AT233">
        <v>0.52</v>
      </c>
      <c r="AU233" t="s">
        <v>3</v>
      </c>
      <c r="AV233">
        <v>0</v>
      </c>
      <c r="AW233">
        <v>2</v>
      </c>
      <c r="AX233">
        <v>33992518</v>
      </c>
      <c r="AY233">
        <v>1</v>
      </c>
      <c r="AZ233">
        <v>0</v>
      </c>
      <c r="BA233">
        <v>234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Y233*Source!I657</f>
        <v>1.5631199999999998</v>
      </c>
      <c r="CY233">
        <f>AB233</f>
        <v>1593.61</v>
      </c>
      <c r="CZ233">
        <f>AF233</f>
        <v>178.02</v>
      </c>
      <c r="DA233">
        <f>AJ233</f>
        <v>8.5500000000000007</v>
      </c>
      <c r="DB233">
        <f t="shared" si="20"/>
        <v>92.57</v>
      </c>
      <c r="DC233">
        <f t="shared" si="21"/>
        <v>12.22</v>
      </c>
    </row>
    <row r="234" spans="1:107" x14ac:dyDescent="0.2">
      <c r="A234">
        <f>ROW(Source!A657)</f>
        <v>657</v>
      </c>
      <c r="B234">
        <v>33989672</v>
      </c>
      <c r="C234">
        <v>33992504</v>
      </c>
      <c r="D234">
        <v>30042537</v>
      </c>
      <c r="E234">
        <v>1</v>
      </c>
      <c r="F234">
        <v>1</v>
      </c>
      <c r="G234">
        <v>29983435</v>
      </c>
      <c r="H234">
        <v>3</v>
      </c>
      <c r="I234" t="s">
        <v>467</v>
      </c>
      <c r="J234" t="s">
        <v>469</v>
      </c>
      <c r="K234" t="s">
        <v>468</v>
      </c>
      <c r="L234">
        <v>1339</v>
      </c>
      <c r="N234">
        <v>1007</v>
      </c>
      <c r="O234" t="s">
        <v>66</v>
      </c>
      <c r="P234" t="s">
        <v>66</v>
      </c>
      <c r="Q234">
        <v>1</v>
      </c>
      <c r="W234">
        <v>0</v>
      </c>
      <c r="X234">
        <v>-862991314</v>
      </c>
      <c r="Y234">
        <v>5</v>
      </c>
      <c r="AA234">
        <v>35.35</v>
      </c>
      <c r="AB234">
        <v>0</v>
      </c>
      <c r="AC234">
        <v>0</v>
      </c>
      <c r="AD234">
        <v>0</v>
      </c>
      <c r="AE234">
        <v>7.07</v>
      </c>
      <c r="AF234">
        <v>0</v>
      </c>
      <c r="AG234">
        <v>0</v>
      </c>
      <c r="AH234">
        <v>0</v>
      </c>
      <c r="AI234">
        <v>4.99</v>
      </c>
      <c r="AJ234">
        <v>1</v>
      </c>
      <c r="AK234">
        <v>1</v>
      </c>
      <c r="AL234">
        <v>1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3</v>
      </c>
      <c r="AT234">
        <v>5</v>
      </c>
      <c r="AU234" t="s">
        <v>3</v>
      </c>
      <c r="AV234">
        <v>0</v>
      </c>
      <c r="AW234">
        <v>2</v>
      </c>
      <c r="AX234">
        <v>33992519</v>
      </c>
      <c r="AY234">
        <v>1</v>
      </c>
      <c r="AZ234">
        <v>0</v>
      </c>
      <c r="BA234">
        <v>235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Y234*Source!I657</f>
        <v>15.03</v>
      </c>
      <c r="CY234">
        <f>AA234</f>
        <v>35.35</v>
      </c>
      <c r="CZ234">
        <f>AE234</f>
        <v>7.07</v>
      </c>
      <c r="DA234">
        <f>AI234</f>
        <v>4.99</v>
      </c>
      <c r="DB234">
        <f t="shared" si="20"/>
        <v>35.35</v>
      </c>
      <c r="DC234">
        <f t="shared" si="21"/>
        <v>0</v>
      </c>
    </row>
    <row r="235" spans="1:107" x14ac:dyDescent="0.2">
      <c r="A235">
        <f>ROW(Source!A657)</f>
        <v>657</v>
      </c>
      <c r="B235">
        <v>33989672</v>
      </c>
      <c r="C235">
        <v>33992504</v>
      </c>
      <c r="D235">
        <v>30041978</v>
      </c>
      <c r="E235">
        <v>1</v>
      </c>
      <c r="F235">
        <v>1</v>
      </c>
      <c r="G235">
        <v>29983435</v>
      </c>
      <c r="H235">
        <v>3</v>
      </c>
      <c r="I235" t="s">
        <v>190</v>
      </c>
      <c r="J235" t="s">
        <v>192</v>
      </c>
      <c r="K235" t="s">
        <v>191</v>
      </c>
      <c r="L235">
        <v>1339</v>
      </c>
      <c r="N235">
        <v>1007</v>
      </c>
      <c r="O235" t="s">
        <v>66</v>
      </c>
      <c r="P235" t="s">
        <v>66</v>
      </c>
      <c r="Q235">
        <v>1</v>
      </c>
      <c r="W235">
        <v>0</v>
      </c>
      <c r="X235">
        <v>2069056849</v>
      </c>
      <c r="Y235">
        <v>110</v>
      </c>
      <c r="AA235">
        <v>553.35</v>
      </c>
      <c r="AB235">
        <v>0</v>
      </c>
      <c r="AC235">
        <v>0</v>
      </c>
      <c r="AD235">
        <v>0</v>
      </c>
      <c r="AE235">
        <v>104.99</v>
      </c>
      <c r="AF235">
        <v>0</v>
      </c>
      <c r="AG235">
        <v>0</v>
      </c>
      <c r="AH235">
        <v>0</v>
      </c>
      <c r="AI235">
        <v>5.26</v>
      </c>
      <c r="AJ235">
        <v>1</v>
      </c>
      <c r="AK235">
        <v>1</v>
      </c>
      <c r="AL235">
        <v>1</v>
      </c>
      <c r="AN235">
        <v>0</v>
      </c>
      <c r="AO235">
        <v>0</v>
      </c>
      <c r="AP235">
        <v>0</v>
      </c>
      <c r="AQ235">
        <v>0</v>
      </c>
      <c r="AR235">
        <v>0</v>
      </c>
      <c r="AS235" t="s">
        <v>3</v>
      </c>
      <c r="AT235">
        <v>110</v>
      </c>
      <c r="AU235" t="s">
        <v>3</v>
      </c>
      <c r="AV235">
        <v>0</v>
      </c>
      <c r="AW235">
        <v>1</v>
      </c>
      <c r="AX235">
        <v>-1</v>
      </c>
      <c r="AY235">
        <v>0</v>
      </c>
      <c r="AZ235">
        <v>0</v>
      </c>
      <c r="BA235" t="s">
        <v>3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Y235*Source!I657</f>
        <v>330.65999999999997</v>
      </c>
      <c r="CY235">
        <f>AA235</f>
        <v>553.35</v>
      </c>
      <c r="CZ235">
        <f>AE235</f>
        <v>104.99</v>
      </c>
      <c r="DA235">
        <f>AI235</f>
        <v>5.26</v>
      </c>
      <c r="DB235">
        <f t="shared" si="20"/>
        <v>11548.9</v>
      </c>
      <c r="DC235">
        <f t="shared" si="21"/>
        <v>0</v>
      </c>
    </row>
    <row r="236" spans="1:107" x14ac:dyDescent="0.2">
      <c r="A236">
        <f>ROW(Source!A659)</f>
        <v>659</v>
      </c>
      <c r="B236">
        <v>33989672</v>
      </c>
      <c r="C236">
        <v>33992522</v>
      </c>
      <c r="D236">
        <v>29983441</v>
      </c>
      <c r="E236">
        <v>29983435</v>
      </c>
      <c r="F236">
        <v>1</v>
      </c>
      <c r="G236">
        <v>29983435</v>
      </c>
      <c r="H236">
        <v>1</v>
      </c>
      <c r="I236" t="s">
        <v>646</v>
      </c>
      <c r="J236" t="s">
        <v>3</v>
      </c>
      <c r="K236" t="s">
        <v>647</v>
      </c>
      <c r="L236">
        <v>1191</v>
      </c>
      <c r="N236">
        <v>1013</v>
      </c>
      <c r="O236" t="s">
        <v>648</v>
      </c>
      <c r="P236" t="s">
        <v>648</v>
      </c>
      <c r="Q236">
        <v>1</v>
      </c>
      <c r="W236">
        <v>0</v>
      </c>
      <c r="X236">
        <v>476480486</v>
      </c>
      <c r="Y236">
        <v>21.6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1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0</v>
      </c>
      <c r="AQ236">
        <v>0</v>
      </c>
      <c r="AR236">
        <v>0</v>
      </c>
      <c r="AS236" t="s">
        <v>3</v>
      </c>
      <c r="AT236">
        <v>21.6</v>
      </c>
      <c r="AU236" t="s">
        <v>3</v>
      </c>
      <c r="AV236">
        <v>1</v>
      </c>
      <c r="AW236">
        <v>2</v>
      </c>
      <c r="AX236">
        <v>33992532</v>
      </c>
      <c r="AY236">
        <v>1</v>
      </c>
      <c r="AZ236">
        <v>0</v>
      </c>
      <c r="BA236">
        <v>237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Y236*Source!I659</f>
        <v>38.957760000000007</v>
      </c>
      <c r="CY236">
        <f>AD236</f>
        <v>0</v>
      </c>
      <c r="CZ236">
        <f>AH236</f>
        <v>0</v>
      </c>
      <c r="DA236">
        <f>AL236</f>
        <v>1</v>
      </c>
      <c r="DB236">
        <f t="shared" si="20"/>
        <v>0</v>
      </c>
      <c r="DC236">
        <f t="shared" si="21"/>
        <v>0</v>
      </c>
    </row>
    <row r="237" spans="1:107" x14ac:dyDescent="0.2">
      <c r="A237">
        <f>ROW(Source!A659)</f>
        <v>659</v>
      </c>
      <c r="B237">
        <v>33989672</v>
      </c>
      <c r="C237">
        <v>33992522</v>
      </c>
      <c r="D237">
        <v>30063269</v>
      </c>
      <c r="E237">
        <v>1</v>
      </c>
      <c r="F237">
        <v>1</v>
      </c>
      <c r="G237">
        <v>29983435</v>
      </c>
      <c r="H237">
        <v>2</v>
      </c>
      <c r="I237" t="s">
        <v>749</v>
      </c>
      <c r="J237" t="s">
        <v>750</v>
      </c>
      <c r="K237" t="s">
        <v>751</v>
      </c>
      <c r="L237">
        <v>1367</v>
      </c>
      <c r="N237">
        <v>1011</v>
      </c>
      <c r="O237" t="s">
        <v>652</v>
      </c>
      <c r="P237" t="s">
        <v>652</v>
      </c>
      <c r="Q237">
        <v>1</v>
      </c>
      <c r="W237">
        <v>0</v>
      </c>
      <c r="X237">
        <v>1109083233</v>
      </c>
      <c r="Y237">
        <v>2.35</v>
      </c>
      <c r="AA237">
        <v>0</v>
      </c>
      <c r="AB237">
        <v>989.31</v>
      </c>
      <c r="AC237">
        <v>570.66999999999996</v>
      </c>
      <c r="AD237">
        <v>0</v>
      </c>
      <c r="AE237">
        <v>0</v>
      </c>
      <c r="AF237">
        <v>95.06</v>
      </c>
      <c r="AG237">
        <v>22.22</v>
      </c>
      <c r="AH237">
        <v>0</v>
      </c>
      <c r="AI237">
        <v>1</v>
      </c>
      <c r="AJ237">
        <v>9.94</v>
      </c>
      <c r="AK237">
        <v>24.53</v>
      </c>
      <c r="AL237">
        <v>1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3</v>
      </c>
      <c r="AT237">
        <v>2.35</v>
      </c>
      <c r="AU237" t="s">
        <v>3</v>
      </c>
      <c r="AV237">
        <v>0</v>
      </c>
      <c r="AW237">
        <v>2</v>
      </c>
      <c r="AX237">
        <v>33992533</v>
      </c>
      <c r="AY237">
        <v>1</v>
      </c>
      <c r="AZ237">
        <v>0</v>
      </c>
      <c r="BA237">
        <v>238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Y237*Source!I659</f>
        <v>4.2384600000000008</v>
      </c>
      <c r="CY237">
        <f t="shared" ref="CY237:CY242" si="22">AB237</f>
        <v>989.31</v>
      </c>
      <c r="CZ237">
        <f t="shared" ref="CZ237:CZ242" si="23">AF237</f>
        <v>95.06</v>
      </c>
      <c r="DA237">
        <f t="shared" ref="DA237:DA242" si="24">AJ237</f>
        <v>9.94</v>
      </c>
      <c r="DB237">
        <f t="shared" ref="DB237:DB268" si="25">ROUND(ROUND(AT237*CZ237,2),6)</f>
        <v>223.39</v>
      </c>
      <c r="DC237">
        <f t="shared" ref="DC237:DC268" si="26">ROUND(ROUND(AT237*AG237,2),6)</f>
        <v>52.22</v>
      </c>
    </row>
    <row r="238" spans="1:107" x14ac:dyDescent="0.2">
      <c r="A238">
        <f>ROW(Source!A659)</f>
        <v>659</v>
      </c>
      <c r="B238">
        <v>33989672</v>
      </c>
      <c r="C238">
        <v>33992522</v>
      </c>
      <c r="D238">
        <v>30063518</v>
      </c>
      <c r="E238">
        <v>1</v>
      </c>
      <c r="F238">
        <v>1</v>
      </c>
      <c r="G238">
        <v>29983435</v>
      </c>
      <c r="H238">
        <v>2</v>
      </c>
      <c r="I238" t="s">
        <v>686</v>
      </c>
      <c r="J238" t="s">
        <v>726</v>
      </c>
      <c r="K238" t="s">
        <v>727</v>
      </c>
      <c r="L238">
        <v>1367</v>
      </c>
      <c r="N238">
        <v>1011</v>
      </c>
      <c r="O238" t="s">
        <v>652</v>
      </c>
      <c r="P238" t="s">
        <v>652</v>
      </c>
      <c r="Q238">
        <v>1</v>
      </c>
      <c r="W238">
        <v>0</v>
      </c>
      <c r="X238">
        <v>378346098</v>
      </c>
      <c r="Y238">
        <v>0.91</v>
      </c>
      <c r="AA238">
        <v>0</v>
      </c>
      <c r="AB238">
        <v>1162.78</v>
      </c>
      <c r="AC238">
        <v>734.79</v>
      </c>
      <c r="AD238">
        <v>0</v>
      </c>
      <c r="AE238">
        <v>0</v>
      </c>
      <c r="AF238">
        <v>140.58000000000001</v>
      </c>
      <c r="AG238">
        <v>28.61</v>
      </c>
      <c r="AH238">
        <v>0</v>
      </c>
      <c r="AI238">
        <v>1</v>
      </c>
      <c r="AJ238">
        <v>7.9</v>
      </c>
      <c r="AK238">
        <v>24.53</v>
      </c>
      <c r="AL238">
        <v>1</v>
      </c>
      <c r="AN238">
        <v>0</v>
      </c>
      <c r="AO238">
        <v>1</v>
      </c>
      <c r="AP238">
        <v>0</v>
      </c>
      <c r="AQ238">
        <v>0</v>
      </c>
      <c r="AR238">
        <v>0</v>
      </c>
      <c r="AS238" t="s">
        <v>3</v>
      </c>
      <c r="AT238">
        <v>0.91</v>
      </c>
      <c r="AU238" t="s">
        <v>3</v>
      </c>
      <c r="AV238">
        <v>0</v>
      </c>
      <c r="AW238">
        <v>2</v>
      </c>
      <c r="AX238">
        <v>33992534</v>
      </c>
      <c r="AY238">
        <v>1</v>
      </c>
      <c r="AZ238">
        <v>0</v>
      </c>
      <c r="BA238">
        <v>239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Y238*Source!I659</f>
        <v>1.6412760000000002</v>
      </c>
      <c r="CY238">
        <f t="shared" si="22"/>
        <v>1162.78</v>
      </c>
      <c r="CZ238">
        <f t="shared" si="23"/>
        <v>140.58000000000001</v>
      </c>
      <c r="DA238">
        <f t="shared" si="24"/>
        <v>7.9</v>
      </c>
      <c r="DB238">
        <f t="shared" si="25"/>
        <v>127.93</v>
      </c>
      <c r="DC238">
        <f t="shared" si="26"/>
        <v>26.04</v>
      </c>
    </row>
    <row r="239" spans="1:107" x14ac:dyDescent="0.2">
      <c r="A239">
        <f>ROW(Source!A659)</f>
        <v>659</v>
      </c>
      <c r="B239">
        <v>33989672</v>
      </c>
      <c r="C239">
        <v>33992522</v>
      </c>
      <c r="D239">
        <v>30063503</v>
      </c>
      <c r="E239">
        <v>1</v>
      </c>
      <c r="F239">
        <v>1</v>
      </c>
      <c r="G239">
        <v>29983435</v>
      </c>
      <c r="H239">
        <v>2</v>
      </c>
      <c r="I239" t="s">
        <v>689</v>
      </c>
      <c r="J239" t="s">
        <v>719</v>
      </c>
      <c r="K239" t="s">
        <v>691</v>
      </c>
      <c r="L239">
        <v>1367</v>
      </c>
      <c r="N239">
        <v>1011</v>
      </c>
      <c r="O239" t="s">
        <v>652</v>
      </c>
      <c r="P239" t="s">
        <v>652</v>
      </c>
      <c r="Q239">
        <v>1</v>
      </c>
      <c r="W239">
        <v>0</v>
      </c>
      <c r="X239">
        <v>-251987950</v>
      </c>
      <c r="Y239">
        <v>7.17</v>
      </c>
      <c r="AA239">
        <v>0</v>
      </c>
      <c r="AB239">
        <v>729.99</v>
      </c>
      <c r="AC239">
        <v>586.85</v>
      </c>
      <c r="AD239">
        <v>0</v>
      </c>
      <c r="AE239">
        <v>0</v>
      </c>
      <c r="AF239">
        <v>84.82</v>
      </c>
      <c r="AG239">
        <v>22.85</v>
      </c>
      <c r="AH239">
        <v>0</v>
      </c>
      <c r="AI239">
        <v>1</v>
      </c>
      <c r="AJ239">
        <v>8.2200000000000006</v>
      </c>
      <c r="AK239">
        <v>24.53</v>
      </c>
      <c r="AL239">
        <v>1</v>
      </c>
      <c r="AN239">
        <v>0</v>
      </c>
      <c r="AO239">
        <v>1</v>
      </c>
      <c r="AP239">
        <v>0</v>
      </c>
      <c r="AQ239">
        <v>0</v>
      </c>
      <c r="AR239">
        <v>0</v>
      </c>
      <c r="AS239" t="s">
        <v>3</v>
      </c>
      <c r="AT239">
        <v>7.17</v>
      </c>
      <c r="AU239" t="s">
        <v>3</v>
      </c>
      <c r="AV239">
        <v>0</v>
      </c>
      <c r="AW239">
        <v>2</v>
      </c>
      <c r="AX239">
        <v>33992535</v>
      </c>
      <c r="AY239">
        <v>1</v>
      </c>
      <c r="AZ239">
        <v>0</v>
      </c>
      <c r="BA239">
        <v>240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Y239*Source!I659</f>
        <v>12.931812000000001</v>
      </c>
      <c r="CY239">
        <f t="shared" si="22"/>
        <v>729.99</v>
      </c>
      <c r="CZ239">
        <f t="shared" si="23"/>
        <v>84.82</v>
      </c>
      <c r="DA239">
        <f t="shared" si="24"/>
        <v>8.2200000000000006</v>
      </c>
      <c r="DB239">
        <f t="shared" si="25"/>
        <v>608.16</v>
      </c>
      <c r="DC239">
        <f t="shared" si="26"/>
        <v>163.83000000000001</v>
      </c>
    </row>
    <row r="240" spans="1:107" x14ac:dyDescent="0.2">
      <c r="A240">
        <f>ROW(Source!A659)</f>
        <v>659</v>
      </c>
      <c r="B240">
        <v>33989672</v>
      </c>
      <c r="C240">
        <v>33992522</v>
      </c>
      <c r="D240">
        <v>30063504</v>
      </c>
      <c r="E240">
        <v>1</v>
      </c>
      <c r="F240">
        <v>1</v>
      </c>
      <c r="G240">
        <v>29983435</v>
      </c>
      <c r="H240">
        <v>2</v>
      </c>
      <c r="I240" t="s">
        <v>692</v>
      </c>
      <c r="J240" t="s">
        <v>752</v>
      </c>
      <c r="K240" t="s">
        <v>753</v>
      </c>
      <c r="L240">
        <v>1367</v>
      </c>
      <c r="N240">
        <v>1011</v>
      </c>
      <c r="O240" t="s">
        <v>652</v>
      </c>
      <c r="P240" t="s">
        <v>652</v>
      </c>
      <c r="Q240">
        <v>1</v>
      </c>
      <c r="W240">
        <v>0</v>
      </c>
      <c r="X240">
        <v>205895447</v>
      </c>
      <c r="Y240">
        <v>14.6</v>
      </c>
      <c r="AA240">
        <v>0</v>
      </c>
      <c r="AB240">
        <v>1037.05</v>
      </c>
      <c r="AC240">
        <v>586.85</v>
      </c>
      <c r="AD240">
        <v>0</v>
      </c>
      <c r="AE240">
        <v>0</v>
      </c>
      <c r="AF240">
        <v>119.77</v>
      </c>
      <c r="AG240">
        <v>22.85</v>
      </c>
      <c r="AH240">
        <v>0</v>
      </c>
      <c r="AI240">
        <v>1</v>
      </c>
      <c r="AJ240">
        <v>8.27</v>
      </c>
      <c r="AK240">
        <v>24.53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3</v>
      </c>
      <c r="AT240">
        <v>14.6</v>
      </c>
      <c r="AU240" t="s">
        <v>3</v>
      </c>
      <c r="AV240">
        <v>0</v>
      </c>
      <c r="AW240">
        <v>2</v>
      </c>
      <c r="AX240">
        <v>33992536</v>
      </c>
      <c r="AY240">
        <v>1</v>
      </c>
      <c r="AZ240">
        <v>0</v>
      </c>
      <c r="BA240">
        <v>241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Y240*Source!I659</f>
        <v>26.332560000000001</v>
      </c>
      <c r="CY240">
        <f t="shared" si="22"/>
        <v>1037.05</v>
      </c>
      <c r="CZ240">
        <f t="shared" si="23"/>
        <v>119.77</v>
      </c>
      <c r="DA240">
        <f t="shared" si="24"/>
        <v>8.27</v>
      </c>
      <c r="DB240">
        <f t="shared" si="25"/>
        <v>1748.64</v>
      </c>
      <c r="DC240">
        <f t="shared" si="26"/>
        <v>333.61</v>
      </c>
    </row>
    <row r="241" spans="1:107" x14ac:dyDescent="0.2">
      <c r="A241">
        <f>ROW(Source!A659)</f>
        <v>659</v>
      </c>
      <c r="B241">
        <v>33989672</v>
      </c>
      <c r="C241">
        <v>33992522</v>
      </c>
      <c r="D241">
        <v>30063546</v>
      </c>
      <c r="E241">
        <v>1</v>
      </c>
      <c r="F241">
        <v>1</v>
      </c>
      <c r="G241">
        <v>29983435</v>
      </c>
      <c r="H241">
        <v>2</v>
      </c>
      <c r="I241" t="s">
        <v>671</v>
      </c>
      <c r="J241" t="s">
        <v>672</v>
      </c>
      <c r="K241" t="s">
        <v>673</v>
      </c>
      <c r="L241">
        <v>1367</v>
      </c>
      <c r="N241">
        <v>1011</v>
      </c>
      <c r="O241" t="s">
        <v>652</v>
      </c>
      <c r="P241" t="s">
        <v>652</v>
      </c>
      <c r="Q241">
        <v>1</v>
      </c>
      <c r="W241">
        <v>0</v>
      </c>
      <c r="X241">
        <v>856318566</v>
      </c>
      <c r="Y241">
        <v>1.79</v>
      </c>
      <c r="AA241">
        <v>0</v>
      </c>
      <c r="AB241">
        <v>1539.38</v>
      </c>
      <c r="AC241">
        <v>635.4</v>
      </c>
      <c r="AD241">
        <v>0</v>
      </c>
      <c r="AE241">
        <v>0</v>
      </c>
      <c r="AF241">
        <v>125.13</v>
      </c>
      <c r="AG241">
        <v>24.74</v>
      </c>
      <c r="AH241">
        <v>0</v>
      </c>
      <c r="AI241">
        <v>1</v>
      </c>
      <c r="AJ241">
        <v>11.75</v>
      </c>
      <c r="AK241">
        <v>24.53</v>
      </c>
      <c r="AL241">
        <v>1</v>
      </c>
      <c r="AN241">
        <v>0</v>
      </c>
      <c r="AO241">
        <v>1</v>
      </c>
      <c r="AP241">
        <v>0</v>
      </c>
      <c r="AQ241">
        <v>0</v>
      </c>
      <c r="AR241">
        <v>0</v>
      </c>
      <c r="AS241" t="s">
        <v>3</v>
      </c>
      <c r="AT241">
        <v>1.79</v>
      </c>
      <c r="AU241" t="s">
        <v>3</v>
      </c>
      <c r="AV241">
        <v>0</v>
      </c>
      <c r="AW241">
        <v>2</v>
      </c>
      <c r="AX241">
        <v>33992537</v>
      </c>
      <c r="AY241">
        <v>1</v>
      </c>
      <c r="AZ241">
        <v>0</v>
      </c>
      <c r="BA241">
        <v>242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Y241*Source!I659</f>
        <v>3.2284440000000001</v>
      </c>
      <c r="CY241">
        <f t="shared" si="22"/>
        <v>1539.38</v>
      </c>
      <c r="CZ241">
        <f t="shared" si="23"/>
        <v>125.13</v>
      </c>
      <c r="DA241">
        <f t="shared" si="24"/>
        <v>11.75</v>
      </c>
      <c r="DB241">
        <f t="shared" si="25"/>
        <v>223.98</v>
      </c>
      <c r="DC241">
        <f t="shared" si="26"/>
        <v>44.28</v>
      </c>
    </row>
    <row r="242" spans="1:107" x14ac:dyDescent="0.2">
      <c r="A242">
        <f>ROW(Source!A659)</f>
        <v>659</v>
      </c>
      <c r="B242">
        <v>33989672</v>
      </c>
      <c r="C242">
        <v>33992522</v>
      </c>
      <c r="D242">
        <v>30063508</v>
      </c>
      <c r="E242">
        <v>1</v>
      </c>
      <c r="F242">
        <v>1</v>
      </c>
      <c r="G242">
        <v>29983435</v>
      </c>
      <c r="H242">
        <v>2</v>
      </c>
      <c r="I242" t="s">
        <v>713</v>
      </c>
      <c r="J242" t="s">
        <v>728</v>
      </c>
      <c r="K242" t="s">
        <v>715</v>
      </c>
      <c r="L242">
        <v>1367</v>
      </c>
      <c r="N242">
        <v>1011</v>
      </c>
      <c r="O242" t="s">
        <v>652</v>
      </c>
      <c r="P242" t="s">
        <v>652</v>
      </c>
      <c r="Q242">
        <v>1</v>
      </c>
      <c r="W242">
        <v>0</v>
      </c>
      <c r="X242">
        <v>2023875219</v>
      </c>
      <c r="Y242">
        <v>0.52</v>
      </c>
      <c r="AA242">
        <v>0</v>
      </c>
      <c r="AB242">
        <v>1593.61</v>
      </c>
      <c r="AC242">
        <v>603.54999999999995</v>
      </c>
      <c r="AD242">
        <v>0</v>
      </c>
      <c r="AE242">
        <v>0</v>
      </c>
      <c r="AF242">
        <v>178.02</v>
      </c>
      <c r="AG242">
        <v>23.5</v>
      </c>
      <c r="AH242">
        <v>0</v>
      </c>
      <c r="AI242">
        <v>1</v>
      </c>
      <c r="AJ242">
        <v>8.5500000000000007</v>
      </c>
      <c r="AK242">
        <v>24.53</v>
      </c>
      <c r="AL242">
        <v>1</v>
      </c>
      <c r="AN242">
        <v>0</v>
      </c>
      <c r="AO242">
        <v>1</v>
      </c>
      <c r="AP242">
        <v>0</v>
      </c>
      <c r="AQ242">
        <v>0</v>
      </c>
      <c r="AR242">
        <v>0</v>
      </c>
      <c r="AS242" t="s">
        <v>3</v>
      </c>
      <c r="AT242">
        <v>0.52</v>
      </c>
      <c r="AU242" t="s">
        <v>3</v>
      </c>
      <c r="AV242">
        <v>0</v>
      </c>
      <c r="AW242">
        <v>2</v>
      </c>
      <c r="AX242">
        <v>33992538</v>
      </c>
      <c r="AY242">
        <v>1</v>
      </c>
      <c r="AZ242">
        <v>0</v>
      </c>
      <c r="BA242">
        <v>243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Y242*Source!I659</f>
        <v>0.93787200000000004</v>
      </c>
      <c r="CY242">
        <f t="shared" si="22"/>
        <v>1593.61</v>
      </c>
      <c r="CZ242">
        <f t="shared" si="23"/>
        <v>178.02</v>
      </c>
      <c r="DA242">
        <f t="shared" si="24"/>
        <v>8.5500000000000007</v>
      </c>
      <c r="DB242">
        <f t="shared" si="25"/>
        <v>92.57</v>
      </c>
      <c r="DC242">
        <f t="shared" si="26"/>
        <v>12.22</v>
      </c>
    </row>
    <row r="243" spans="1:107" x14ac:dyDescent="0.2">
      <c r="A243">
        <f>ROW(Source!A659)</f>
        <v>659</v>
      </c>
      <c r="B243">
        <v>33989672</v>
      </c>
      <c r="C243">
        <v>33992522</v>
      </c>
      <c r="D243">
        <v>30042537</v>
      </c>
      <c r="E243">
        <v>1</v>
      </c>
      <c r="F243">
        <v>1</v>
      </c>
      <c r="G243">
        <v>29983435</v>
      </c>
      <c r="H243">
        <v>3</v>
      </c>
      <c r="I243" t="s">
        <v>467</v>
      </c>
      <c r="J243" t="s">
        <v>469</v>
      </c>
      <c r="K243" t="s">
        <v>468</v>
      </c>
      <c r="L243">
        <v>1339</v>
      </c>
      <c r="N243">
        <v>1007</v>
      </c>
      <c r="O243" t="s">
        <v>66</v>
      </c>
      <c r="P243" t="s">
        <v>66</v>
      </c>
      <c r="Q243">
        <v>1</v>
      </c>
      <c r="W243">
        <v>0</v>
      </c>
      <c r="X243">
        <v>-862991314</v>
      </c>
      <c r="Y243">
        <v>7</v>
      </c>
      <c r="AA243">
        <v>35.35</v>
      </c>
      <c r="AB243">
        <v>0</v>
      </c>
      <c r="AC243">
        <v>0</v>
      </c>
      <c r="AD243">
        <v>0</v>
      </c>
      <c r="AE243">
        <v>7.07</v>
      </c>
      <c r="AF243">
        <v>0</v>
      </c>
      <c r="AG243">
        <v>0</v>
      </c>
      <c r="AH243">
        <v>0</v>
      </c>
      <c r="AI243">
        <v>4.99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0</v>
      </c>
      <c r="AQ243">
        <v>0</v>
      </c>
      <c r="AR243">
        <v>0</v>
      </c>
      <c r="AS243" t="s">
        <v>3</v>
      </c>
      <c r="AT243">
        <v>7</v>
      </c>
      <c r="AU243" t="s">
        <v>3</v>
      </c>
      <c r="AV243">
        <v>0</v>
      </c>
      <c r="AW243">
        <v>2</v>
      </c>
      <c r="AX243">
        <v>33992539</v>
      </c>
      <c r="AY243">
        <v>1</v>
      </c>
      <c r="AZ243">
        <v>0</v>
      </c>
      <c r="BA243">
        <v>244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Y243*Source!I659</f>
        <v>12.625200000000001</v>
      </c>
      <c r="CY243">
        <f>AA243</f>
        <v>35.35</v>
      </c>
      <c r="CZ243">
        <f>AE243</f>
        <v>7.07</v>
      </c>
      <c r="DA243">
        <f>AI243</f>
        <v>4.99</v>
      </c>
      <c r="DB243">
        <f t="shared" si="25"/>
        <v>49.49</v>
      </c>
      <c r="DC243">
        <f t="shared" si="26"/>
        <v>0</v>
      </c>
    </row>
    <row r="244" spans="1:107" x14ac:dyDescent="0.2">
      <c r="A244">
        <f>ROW(Source!A659)</f>
        <v>659</v>
      </c>
      <c r="B244">
        <v>33989672</v>
      </c>
      <c r="C244">
        <v>33992522</v>
      </c>
      <c r="D244">
        <v>30041241</v>
      </c>
      <c r="E244">
        <v>1</v>
      </c>
      <c r="F244">
        <v>1</v>
      </c>
      <c r="G244">
        <v>29983435</v>
      </c>
      <c r="H244">
        <v>3</v>
      </c>
      <c r="I244" t="s">
        <v>64</v>
      </c>
      <c r="J244" t="s">
        <v>67</v>
      </c>
      <c r="K244" t="s">
        <v>65</v>
      </c>
      <c r="L244">
        <v>1339</v>
      </c>
      <c r="N244">
        <v>1007</v>
      </c>
      <c r="O244" t="s">
        <v>66</v>
      </c>
      <c r="P244" t="s">
        <v>66</v>
      </c>
      <c r="Q244">
        <v>1</v>
      </c>
      <c r="W244">
        <v>0</v>
      </c>
      <c r="X244">
        <v>-820942871</v>
      </c>
      <c r="Y244">
        <v>126</v>
      </c>
      <c r="AA244">
        <v>1872.67</v>
      </c>
      <c r="AB244">
        <v>0</v>
      </c>
      <c r="AC244">
        <v>0</v>
      </c>
      <c r="AD244">
        <v>0</v>
      </c>
      <c r="AE244">
        <v>173.37</v>
      </c>
      <c r="AF244">
        <v>0</v>
      </c>
      <c r="AG244">
        <v>0</v>
      </c>
      <c r="AH244">
        <v>0</v>
      </c>
      <c r="AI244">
        <v>10.78</v>
      </c>
      <c r="AJ244">
        <v>1</v>
      </c>
      <c r="AK244">
        <v>1</v>
      </c>
      <c r="AL244">
        <v>1</v>
      </c>
      <c r="AN244">
        <v>0</v>
      </c>
      <c r="AO244">
        <v>0</v>
      </c>
      <c r="AP244">
        <v>0</v>
      </c>
      <c r="AQ244">
        <v>0</v>
      </c>
      <c r="AR244">
        <v>0</v>
      </c>
      <c r="AS244" t="s">
        <v>3</v>
      </c>
      <c r="AT244">
        <v>126</v>
      </c>
      <c r="AU244" t="s">
        <v>3</v>
      </c>
      <c r="AV244">
        <v>0</v>
      </c>
      <c r="AW244">
        <v>1</v>
      </c>
      <c r="AX244">
        <v>-1</v>
      </c>
      <c r="AY244">
        <v>0</v>
      </c>
      <c r="AZ244">
        <v>0</v>
      </c>
      <c r="BA244" t="s">
        <v>3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Y244*Source!I659</f>
        <v>227.25360000000001</v>
      </c>
      <c r="CY244">
        <f>AA244</f>
        <v>1872.67</v>
      </c>
      <c r="CZ244">
        <f>AE244</f>
        <v>173.37</v>
      </c>
      <c r="DA244">
        <f>AI244</f>
        <v>10.78</v>
      </c>
      <c r="DB244">
        <f t="shared" si="25"/>
        <v>21844.62</v>
      </c>
      <c r="DC244">
        <f t="shared" si="26"/>
        <v>0</v>
      </c>
    </row>
    <row r="245" spans="1:107" x14ac:dyDescent="0.2">
      <c r="A245">
        <f>ROW(Source!A661)</f>
        <v>661</v>
      </c>
      <c r="B245">
        <v>33989672</v>
      </c>
      <c r="C245">
        <v>33992542</v>
      </c>
      <c r="D245">
        <v>29983441</v>
      </c>
      <c r="E245">
        <v>29983435</v>
      </c>
      <c r="F245">
        <v>1</v>
      </c>
      <c r="G245">
        <v>29983435</v>
      </c>
      <c r="H245">
        <v>1</v>
      </c>
      <c r="I245" t="s">
        <v>646</v>
      </c>
      <c r="J245" t="s">
        <v>3</v>
      </c>
      <c r="K245" t="s">
        <v>647</v>
      </c>
      <c r="L245">
        <v>1191</v>
      </c>
      <c r="N245">
        <v>1013</v>
      </c>
      <c r="O245" t="s">
        <v>648</v>
      </c>
      <c r="P245" t="s">
        <v>648</v>
      </c>
      <c r="Q245">
        <v>1</v>
      </c>
      <c r="W245">
        <v>0</v>
      </c>
      <c r="X245">
        <v>476480486</v>
      </c>
      <c r="Y245">
        <v>116.59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1</v>
      </c>
      <c r="AJ245">
        <v>1</v>
      </c>
      <c r="AK245">
        <v>1</v>
      </c>
      <c r="AL245">
        <v>1</v>
      </c>
      <c r="AN245">
        <v>0</v>
      </c>
      <c r="AO245">
        <v>1</v>
      </c>
      <c r="AP245">
        <v>0</v>
      </c>
      <c r="AQ245">
        <v>0</v>
      </c>
      <c r="AR245">
        <v>0</v>
      </c>
      <c r="AS245" t="s">
        <v>3</v>
      </c>
      <c r="AT245">
        <v>116.59</v>
      </c>
      <c r="AU245" t="s">
        <v>3</v>
      </c>
      <c r="AV245">
        <v>1</v>
      </c>
      <c r="AW245">
        <v>2</v>
      </c>
      <c r="AX245">
        <v>33992553</v>
      </c>
      <c r="AY245">
        <v>1</v>
      </c>
      <c r="AZ245">
        <v>0</v>
      </c>
      <c r="BA245">
        <v>246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Y245*Source!I661</f>
        <v>1752.3477</v>
      </c>
      <c r="CY245">
        <f>AD245</f>
        <v>0</v>
      </c>
      <c r="CZ245">
        <f>AH245</f>
        <v>0</v>
      </c>
      <c r="DA245">
        <f>AL245</f>
        <v>1</v>
      </c>
      <c r="DB245">
        <f t="shared" si="25"/>
        <v>0</v>
      </c>
      <c r="DC245">
        <f t="shared" si="26"/>
        <v>0</v>
      </c>
    </row>
    <row r="246" spans="1:107" x14ac:dyDescent="0.2">
      <c r="A246">
        <f>ROW(Source!A661)</f>
        <v>661</v>
      </c>
      <c r="B246">
        <v>33989672</v>
      </c>
      <c r="C246">
        <v>33992542</v>
      </c>
      <c r="D246">
        <v>30063988</v>
      </c>
      <c r="E246">
        <v>1</v>
      </c>
      <c r="F246">
        <v>1</v>
      </c>
      <c r="G246">
        <v>29983435</v>
      </c>
      <c r="H246">
        <v>2</v>
      </c>
      <c r="I246" t="s">
        <v>778</v>
      </c>
      <c r="J246" t="s">
        <v>779</v>
      </c>
      <c r="K246" t="s">
        <v>780</v>
      </c>
      <c r="L246">
        <v>1367</v>
      </c>
      <c r="N246">
        <v>1011</v>
      </c>
      <c r="O246" t="s">
        <v>652</v>
      </c>
      <c r="P246" t="s">
        <v>652</v>
      </c>
      <c r="Q246">
        <v>1</v>
      </c>
      <c r="W246">
        <v>0</v>
      </c>
      <c r="X246">
        <v>-1049359691</v>
      </c>
      <c r="Y246">
        <v>3.28</v>
      </c>
      <c r="AA246">
        <v>0</v>
      </c>
      <c r="AB246">
        <v>94.59</v>
      </c>
      <c r="AC246">
        <v>3.68</v>
      </c>
      <c r="AD246">
        <v>0</v>
      </c>
      <c r="AE246">
        <v>0</v>
      </c>
      <c r="AF246">
        <v>17.420000000000002</v>
      </c>
      <c r="AG246">
        <v>0.15</v>
      </c>
      <c r="AH246">
        <v>0</v>
      </c>
      <c r="AI246">
        <v>1</v>
      </c>
      <c r="AJ246">
        <v>5.43</v>
      </c>
      <c r="AK246">
        <v>24.53</v>
      </c>
      <c r="AL246">
        <v>1</v>
      </c>
      <c r="AN246">
        <v>0</v>
      </c>
      <c r="AO246">
        <v>1</v>
      </c>
      <c r="AP246">
        <v>0</v>
      </c>
      <c r="AQ246">
        <v>0</v>
      </c>
      <c r="AR246">
        <v>0</v>
      </c>
      <c r="AS246" t="s">
        <v>3</v>
      </c>
      <c r="AT246">
        <v>3.28</v>
      </c>
      <c r="AU246" t="s">
        <v>3</v>
      </c>
      <c r="AV246">
        <v>0</v>
      </c>
      <c r="AW246">
        <v>2</v>
      </c>
      <c r="AX246">
        <v>33992554</v>
      </c>
      <c r="AY246">
        <v>1</v>
      </c>
      <c r="AZ246">
        <v>0</v>
      </c>
      <c r="BA246">
        <v>247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Y246*Source!I661</f>
        <v>49.298399999999994</v>
      </c>
      <c r="CY246">
        <f>AB246</f>
        <v>94.59</v>
      </c>
      <c r="CZ246">
        <f>AF246</f>
        <v>17.420000000000002</v>
      </c>
      <c r="DA246">
        <f>AJ246</f>
        <v>5.43</v>
      </c>
      <c r="DB246">
        <f t="shared" si="25"/>
        <v>57.14</v>
      </c>
      <c r="DC246">
        <f t="shared" si="26"/>
        <v>0.49</v>
      </c>
    </row>
    <row r="247" spans="1:107" x14ac:dyDescent="0.2">
      <c r="A247">
        <f>ROW(Source!A661)</f>
        <v>661</v>
      </c>
      <c r="B247">
        <v>33989672</v>
      </c>
      <c r="C247">
        <v>33992542</v>
      </c>
      <c r="D247">
        <v>30064095</v>
      </c>
      <c r="E247">
        <v>1</v>
      </c>
      <c r="F247">
        <v>1</v>
      </c>
      <c r="G247">
        <v>29983435</v>
      </c>
      <c r="H247">
        <v>2</v>
      </c>
      <c r="I247" t="s">
        <v>680</v>
      </c>
      <c r="J247" t="s">
        <v>681</v>
      </c>
      <c r="K247" t="s">
        <v>682</v>
      </c>
      <c r="L247">
        <v>1367</v>
      </c>
      <c r="N247">
        <v>1011</v>
      </c>
      <c r="O247" t="s">
        <v>652</v>
      </c>
      <c r="P247" t="s">
        <v>652</v>
      </c>
      <c r="Q247">
        <v>1</v>
      </c>
      <c r="W247">
        <v>0</v>
      </c>
      <c r="X247">
        <v>-628430174</v>
      </c>
      <c r="Y247">
        <v>0.81</v>
      </c>
      <c r="AA247">
        <v>0</v>
      </c>
      <c r="AB247">
        <v>721.25</v>
      </c>
      <c r="AC247">
        <v>352.25</v>
      </c>
      <c r="AD247">
        <v>0</v>
      </c>
      <c r="AE247">
        <v>0</v>
      </c>
      <c r="AF247">
        <v>76.81</v>
      </c>
      <c r="AG247">
        <v>14.36</v>
      </c>
      <c r="AH247">
        <v>0</v>
      </c>
      <c r="AI247">
        <v>1</v>
      </c>
      <c r="AJ247">
        <v>9.39</v>
      </c>
      <c r="AK247">
        <v>24.53</v>
      </c>
      <c r="AL247">
        <v>1</v>
      </c>
      <c r="AN247">
        <v>0</v>
      </c>
      <c r="AO247">
        <v>1</v>
      </c>
      <c r="AP247">
        <v>0</v>
      </c>
      <c r="AQ247">
        <v>0</v>
      </c>
      <c r="AR247">
        <v>0</v>
      </c>
      <c r="AS247" t="s">
        <v>3</v>
      </c>
      <c r="AT247">
        <v>0.81</v>
      </c>
      <c r="AU247" t="s">
        <v>3</v>
      </c>
      <c r="AV247">
        <v>0</v>
      </c>
      <c r="AW247">
        <v>2</v>
      </c>
      <c r="AX247">
        <v>33992555</v>
      </c>
      <c r="AY247">
        <v>1</v>
      </c>
      <c r="AZ247">
        <v>0</v>
      </c>
      <c r="BA247">
        <v>248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Y247*Source!I661</f>
        <v>12.174300000000001</v>
      </c>
      <c r="CY247">
        <f>AB247</f>
        <v>721.25</v>
      </c>
      <c r="CZ247">
        <f>AF247</f>
        <v>76.81</v>
      </c>
      <c r="DA247">
        <f>AJ247</f>
        <v>9.39</v>
      </c>
      <c r="DB247">
        <f t="shared" si="25"/>
        <v>62.22</v>
      </c>
      <c r="DC247">
        <f t="shared" si="26"/>
        <v>11.63</v>
      </c>
    </row>
    <row r="248" spans="1:107" x14ac:dyDescent="0.2">
      <c r="A248">
        <f>ROW(Source!A661)</f>
        <v>661</v>
      </c>
      <c r="B248">
        <v>33989672</v>
      </c>
      <c r="C248">
        <v>33992542</v>
      </c>
      <c r="D248">
        <v>30064155</v>
      </c>
      <c r="E248">
        <v>1</v>
      </c>
      <c r="F248">
        <v>1</v>
      </c>
      <c r="G248">
        <v>29983435</v>
      </c>
      <c r="H248">
        <v>2</v>
      </c>
      <c r="I248" t="s">
        <v>781</v>
      </c>
      <c r="J248" t="s">
        <v>782</v>
      </c>
      <c r="K248" t="s">
        <v>783</v>
      </c>
      <c r="L248">
        <v>1367</v>
      </c>
      <c r="N248">
        <v>1011</v>
      </c>
      <c r="O248" t="s">
        <v>652</v>
      </c>
      <c r="P248" t="s">
        <v>652</v>
      </c>
      <c r="Q248">
        <v>1</v>
      </c>
      <c r="W248">
        <v>0</v>
      </c>
      <c r="X248">
        <v>2073069139</v>
      </c>
      <c r="Y248">
        <v>1.74</v>
      </c>
      <c r="AA248">
        <v>0</v>
      </c>
      <c r="AB248">
        <v>4.57</v>
      </c>
      <c r="AC248">
        <v>0.74</v>
      </c>
      <c r="AD248">
        <v>0</v>
      </c>
      <c r="AE248">
        <v>0</v>
      </c>
      <c r="AF248">
        <v>0.81</v>
      </c>
      <c r="AG248">
        <v>0.03</v>
      </c>
      <c r="AH248">
        <v>0</v>
      </c>
      <c r="AI248">
        <v>1</v>
      </c>
      <c r="AJ248">
        <v>5.64</v>
      </c>
      <c r="AK248">
        <v>24.53</v>
      </c>
      <c r="AL248">
        <v>1</v>
      </c>
      <c r="AN248">
        <v>0</v>
      </c>
      <c r="AO248">
        <v>1</v>
      </c>
      <c r="AP248">
        <v>0</v>
      </c>
      <c r="AQ248">
        <v>0</v>
      </c>
      <c r="AR248">
        <v>0</v>
      </c>
      <c r="AS248" t="s">
        <v>3</v>
      </c>
      <c r="AT248">
        <v>1.74</v>
      </c>
      <c r="AU248" t="s">
        <v>3</v>
      </c>
      <c r="AV248">
        <v>0</v>
      </c>
      <c r="AW248">
        <v>2</v>
      </c>
      <c r="AX248">
        <v>33992557</v>
      </c>
      <c r="AY248">
        <v>1</v>
      </c>
      <c r="AZ248">
        <v>0</v>
      </c>
      <c r="BA248">
        <v>249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Y248*Source!I661</f>
        <v>26.152199999999997</v>
      </c>
      <c r="CY248">
        <f>AB248</f>
        <v>4.57</v>
      </c>
      <c r="CZ248">
        <f>AF248</f>
        <v>0.81</v>
      </c>
      <c r="DA248">
        <f>AJ248</f>
        <v>5.64</v>
      </c>
      <c r="DB248">
        <f t="shared" si="25"/>
        <v>1.41</v>
      </c>
      <c r="DC248">
        <f t="shared" si="26"/>
        <v>0.05</v>
      </c>
    </row>
    <row r="249" spans="1:107" x14ac:dyDescent="0.2">
      <c r="A249">
        <f>ROW(Source!A661)</f>
        <v>661</v>
      </c>
      <c r="B249">
        <v>33989672</v>
      </c>
      <c r="C249">
        <v>33992542</v>
      </c>
      <c r="D249">
        <v>30063337</v>
      </c>
      <c r="E249">
        <v>1</v>
      </c>
      <c r="F249">
        <v>1</v>
      </c>
      <c r="G249">
        <v>29983435</v>
      </c>
      <c r="H249">
        <v>2</v>
      </c>
      <c r="I249" t="s">
        <v>729</v>
      </c>
      <c r="J249" t="s">
        <v>730</v>
      </c>
      <c r="K249" t="s">
        <v>731</v>
      </c>
      <c r="L249">
        <v>1367</v>
      </c>
      <c r="N249">
        <v>1011</v>
      </c>
      <c r="O249" t="s">
        <v>652</v>
      </c>
      <c r="P249" t="s">
        <v>652</v>
      </c>
      <c r="Q249">
        <v>1</v>
      </c>
      <c r="W249">
        <v>0</v>
      </c>
      <c r="X249">
        <v>-266174272</v>
      </c>
      <c r="Y249">
        <v>0.81</v>
      </c>
      <c r="AA249">
        <v>0</v>
      </c>
      <c r="AB249">
        <v>1580.9</v>
      </c>
      <c r="AC249">
        <v>445.22</v>
      </c>
      <c r="AD249">
        <v>0</v>
      </c>
      <c r="AE249">
        <v>0</v>
      </c>
      <c r="AF249">
        <v>190.93</v>
      </c>
      <c r="AG249">
        <v>18.149999999999999</v>
      </c>
      <c r="AH249">
        <v>0</v>
      </c>
      <c r="AI249">
        <v>1</v>
      </c>
      <c r="AJ249">
        <v>8.2799999999999994</v>
      </c>
      <c r="AK249">
        <v>24.53</v>
      </c>
      <c r="AL249">
        <v>1</v>
      </c>
      <c r="AN249">
        <v>0</v>
      </c>
      <c r="AO249">
        <v>1</v>
      </c>
      <c r="AP249">
        <v>0</v>
      </c>
      <c r="AQ249">
        <v>0</v>
      </c>
      <c r="AR249">
        <v>0</v>
      </c>
      <c r="AS249" t="s">
        <v>3</v>
      </c>
      <c r="AT249">
        <v>0.81</v>
      </c>
      <c r="AU249" t="s">
        <v>3</v>
      </c>
      <c r="AV249">
        <v>0</v>
      </c>
      <c r="AW249">
        <v>2</v>
      </c>
      <c r="AX249">
        <v>33992556</v>
      </c>
      <c r="AY249">
        <v>1</v>
      </c>
      <c r="AZ249">
        <v>0</v>
      </c>
      <c r="BA249">
        <v>250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Y249*Source!I661</f>
        <v>12.174300000000001</v>
      </c>
      <c r="CY249">
        <f>AB249</f>
        <v>1580.9</v>
      </c>
      <c r="CZ249">
        <f>AF249</f>
        <v>190.93</v>
      </c>
      <c r="DA249">
        <f>AJ249</f>
        <v>8.2799999999999994</v>
      </c>
      <c r="DB249">
        <f t="shared" si="25"/>
        <v>154.65</v>
      </c>
      <c r="DC249">
        <f t="shared" si="26"/>
        <v>14.7</v>
      </c>
    </row>
    <row r="250" spans="1:107" x14ac:dyDescent="0.2">
      <c r="A250">
        <f>ROW(Source!A661)</f>
        <v>661</v>
      </c>
      <c r="B250">
        <v>33989672</v>
      </c>
      <c r="C250">
        <v>33992542</v>
      </c>
      <c r="D250">
        <v>29983439</v>
      </c>
      <c r="E250">
        <v>29983435</v>
      </c>
      <c r="F250">
        <v>1</v>
      </c>
      <c r="G250">
        <v>29983435</v>
      </c>
      <c r="H250">
        <v>2</v>
      </c>
      <c r="I250" t="s">
        <v>674</v>
      </c>
      <c r="J250" t="s">
        <v>3</v>
      </c>
      <c r="K250" t="s">
        <v>675</v>
      </c>
      <c r="L250">
        <v>1344</v>
      </c>
      <c r="N250">
        <v>1008</v>
      </c>
      <c r="O250" t="s">
        <v>676</v>
      </c>
      <c r="P250" t="s">
        <v>676</v>
      </c>
      <c r="Q250">
        <v>1</v>
      </c>
      <c r="W250">
        <v>0</v>
      </c>
      <c r="X250">
        <v>-1180195794</v>
      </c>
      <c r="Y250">
        <v>0.01</v>
      </c>
      <c r="AA250">
        <v>0</v>
      </c>
      <c r="AB250">
        <v>1</v>
      </c>
      <c r="AC250">
        <v>0</v>
      </c>
      <c r="AD250">
        <v>0</v>
      </c>
      <c r="AE250">
        <v>0</v>
      </c>
      <c r="AF250">
        <v>1</v>
      </c>
      <c r="AG250">
        <v>0</v>
      </c>
      <c r="AH250">
        <v>0</v>
      </c>
      <c r="AI250">
        <v>1</v>
      </c>
      <c r="AJ250">
        <v>1</v>
      </c>
      <c r="AK250">
        <v>1</v>
      </c>
      <c r="AL250">
        <v>1</v>
      </c>
      <c r="AN250">
        <v>0</v>
      </c>
      <c r="AO250">
        <v>1</v>
      </c>
      <c r="AP250">
        <v>0</v>
      </c>
      <c r="AQ250">
        <v>0</v>
      </c>
      <c r="AR250">
        <v>0</v>
      </c>
      <c r="AS250" t="s">
        <v>3</v>
      </c>
      <c r="AT250">
        <v>0.01</v>
      </c>
      <c r="AU250" t="s">
        <v>3</v>
      </c>
      <c r="AV250">
        <v>0</v>
      </c>
      <c r="AW250">
        <v>2</v>
      </c>
      <c r="AX250">
        <v>33992558</v>
      </c>
      <c r="AY250">
        <v>1</v>
      </c>
      <c r="AZ250">
        <v>0</v>
      </c>
      <c r="BA250">
        <v>251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Y250*Source!I661</f>
        <v>0.15029999999999999</v>
      </c>
      <c r="CY250">
        <f>AB250</f>
        <v>1</v>
      </c>
      <c r="CZ250">
        <f>AF250</f>
        <v>1</v>
      </c>
      <c r="DA250">
        <f>AJ250</f>
        <v>1</v>
      </c>
      <c r="DB250">
        <f t="shared" si="25"/>
        <v>0.01</v>
      </c>
      <c r="DC250">
        <f t="shared" si="26"/>
        <v>0</v>
      </c>
    </row>
    <row r="251" spans="1:107" x14ac:dyDescent="0.2">
      <c r="A251">
        <f>ROW(Source!A661)</f>
        <v>661</v>
      </c>
      <c r="B251">
        <v>33989672</v>
      </c>
      <c r="C251">
        <v>33992542</v>
      </c>
      <c r="D251">
        <v>30041978</v>
      </c>
      <c r="E251">
        <v>1</v>
      </c>
      <c r="F251">
        <v>1</v>
      </c>
      <c r="G251">
        <v>29983435</v>
      </c>
      <c r="H251">
        <v>3</v>
      </c>
      <c r="I251" t="s">
        <v>190</v>
      </c>
      <c r="J251" t="s">
        <v>192</v>
      </c>
      <c r="K251" t="s">
        <v>191</v>
      </c>
      <c r="L251">
        <v>1339</v>
      </c>
      <c r="N251">
        <v>1007</v>
      </c>
      <c r="O251" t="s">
        <v>66</v>
      </c>
      <c r="P251" t="s">
        <v>66</v>
      </c>
      <c r="Q251">
        <v>1</v>
      </c>
      <c r="W251">
        <v>0</v>
      </c>
      <c r="X251">
        <v>2069056849</v>
      </c>
      <c r="Y251">
        <v>0.21</v>
      </c>
      <c r="AA251">
        <v>552.25</v>
      </c>
      <c r="AB251">
        <v>0</v>
      </c>
      <c r="AC251">
        <v>0</v>
      </c>
      <c r="AD251">
        <v>0</v>
      </c>
      <c r="AE251">
        <v>104.99</v>
      </c>
      <c r="AF251">
        <v>0</v>
      </c>
      <c r="AG251">
        <v>0</v>
      </c>
      <c r="AH251">
        <v>0</v>
      </c>
      <c r="AI251">
        <v>5.26</v>
      </c>
      <c r="AJ251">
        <v>1</v>
      </c>
      <c r="AK251">
        <v>1</v>
      </c>
      <c r="AL251">
        <v>1</v>
      </c>
      <c r="AN251">
        <v>0</v>
      </c>
      <c r="AO251">
        <v>1</v>
      </c>
      <c r="AP251">
        <v>0</v>
      </c>
      <c r="AQ251">
        <v>0</v>
      </c>
      <c r="AR251">
        <v>0</v>
      </c>
      <c r="AS251" t="s">
        <v>3</v>
      </c>
      <c r="AT251">
        <v>0.21</v>
      </c>
      <c r="AU251" t="s">
        <v>3</v>
      </c>
      <c r="AV251">
        <v>0</v>
      </c>
      <c r="AW251">
        <v>2</v>
      </c>
      <c r="AX251">
        <v>33992559</v>
      </c>
      <c r="AY251">
        <v>1</v>
      </c>
      <c r="AZ251">
        <v>0</v>
      </c>
      <c r="BA251">
        <v>252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Y251*Source!I661</f>
        <v>3.1562999999999999</v>
      </c>
      <c r="CY251">
        <f>AA251</f>
        <v>552.25</v>
      </c>
      <c r="CZ251">
        <f>AE251</f>
        <v>104.99</v>
      </c>
      <c r="DA251">
        <f>AI251</f>
        <v>5.26</v>
      </c>
      <c r="DB251">
        <f t="shared" si="25"/>
        <v>22.05</v>
      </c>
      <c r="DC251">
        <f t="shared" si="26"/>
        <v>0</v>
      </c>
    </row>
    <row r="252" spans="1:107" x14ac:dyDescent="0.2">
      <c r="A252">
        <f>ROW(Source!A661)</f>
        <v>661</v>
      </c>
      <c r="B252">
        <v>33989672</v>
      </c>
      <c r="C252">
        <v>33992542</v>
      </c>
      <c r="D252">
        <v>30057556</v>
      </c>
      <c r="E252">
        <v>1</v>
      </c>
      <c r="F252">
        <v>1</v>
      </c>
      <c r="G252">
        <v>29983435</v>
      </c>
      <c r="H252">
        <v>3</v>
      </c>
      <c r="I252" t="s">
        <v>414</v>
      </c>
      <c r="J252" t="s">
        <v>416</v>
      </c>
      <c r="K252" t="s">
        <v>415</v>
      </c>
      <c r="L252">
        <v>1348</v>
      </c>
      <c r="N252">
        <v>1009</v>
      </c>
      <c r="O252" t="s">
        <v>51</v>
      </c>
      <c r="P252" t="s">
        <v>51</v>
      </c>
      <c r="Q252">
        <v>1000</v>
      </c>
      <c r="W252">
        <v>0</v>
      </c>
      <c r="X252">
        <v>2029920186</v>
      </c>
      <c r="Y252">
        <v>2.25</v>
      </c>
      <c r="AA252">
        <v>3186.95</v>
      </c>
      <c r="AB252">
        <v>0</v>
      </c>
      <c r="AC252">
        <v>0</v>
      </c>
      <c r="AD252">
        <v>0</v>
      </c>
      <c r="AE252">
        <v>438.37</v>
      </c>
      <c r="AF252">
        <v>0</v>
      </c>
      <c r="AG252">
        <v>0</v>
      </c>
      <c r="AH252">
        <v>0</v>
      </c>
      <c r="AI252">
        <v>7.27</v>
      </c>
      <c r="AJ252">
        <v>1</v>
      </c>
      <c r="AK252">
        <v>1</v>
      </c>
      <c r="AL252">
        <v>1</v>
      </c>
      <c r="AN252">
        <v>0</v>
      </c>
      <c r="AO252">
        <v>0</v>
      </c>
      <c r="AP252">
        <v>0</v>
      </c>
      <c r="AQ252">
        <v>0</v>
      </c>
      <c r="AR252">
        <v>0</v>
      </c>
      <c r="AS252" t="s">
        <v>3</v>
      </c>
      <c r="AT252">
        <v>2.25</v>
      </c>
      <c r="AU252" t="s">
        <v>3</v>
      </c>
      <c r="AV252">
        <v>0</v>
      </c>
      <c r="AW252">
        <v>1</v>
      </c>
      <c r="AX252">
        <v>-1</v>
      </c>
      <c r="AY252">
        <v>0</v>
      </c>
      <c r="AZ252">
        <v>0</v>
      </c>
      <c r="BA252" t="s">
        <v>3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Y252*Source!I661</f>
        <v>33.817499999999995</v>
      </c>
      <c r="CY252">
        <f>AA252</f>
        <v>3186.95</v>
      </c>
      <c r="CZ252">
        <f>AE252</f>
        <v>438.37</v>
      </c>
      <c r="DA252">
        <f>AI252</f>
        <v>7.27</v>
      </c>
      <c r="DB252">
        <f t="shared" si="25"/>
        <v>986.33</v>
      </c>
      <c r="DC252">
        <f t="shared" si="26"/>
        <v>0</v>
      </c>
    </row>
    <row r="253" spans="1:107" x14ac:dyDescent="0.2">
      <c r="A253">
        <f>ROW(Source!A661)</f>
        <v>661</v>
      </c>
      <c r="B253">
        <v>33989672</v>
      </c>
      <c r="C253">
        <v>33992542</v>
      </c>
      <c r="D253">
        <v>30059596</v>
      </c>
      <c r="E253">
        <v>1</v>
      </c>
      <c r="F253">
        <v>1</v>
      </c>
      <c r="G253">
        <v>29983435</v>
      </c>
      <c r="H253">
        <v>3</v>
      </c>
      <c r="I253" t="s">
        <v>409</v>
      </c>
      <c r="J253" t="s">
        <v>412</v>
      </c>
      <c r="K253" t="s">
        <v>410</v>
      </c>
      <c r="L253">
        <v>1327</v>
      </c>
      <c r="N253">
        <v>1005</v>
      </c>
      <c r="O253" t="s">
        <v>411</v>
      </c>
      <c r="P253" t="s">
        <v>411</v>
      </c>
      <c r="Q253">
        <v>1</v>
      </c>
      <c r="W253">
        <v>0</v>
      </c>
      <c r="X253">
        <v>-1129273364</v>
      </c>
      <c r="Y253">
        <v>100</v>
      </c>
      <c r="AA253">
        <v>915.48</v>
      </c>
      <c r="AB253">
        <v>0</v>
      </c>
      <c r="AC253">
        <v>0</v>
      </c>
      <c r="AD253">
        <v>0</v>
      </c>
      <c r="AE253">
        <v>283.43</v>
      </c>
      <c r="AF253">
        <v>0</v>
      </c>
      <c r="AG253">
        <v>0</v>
      </c>
      <c r="AH253">
        <v>0</v>
      </c>
      <c r="AI253">
        <v>3.23</v>
      </c>
      <c r="AJ253">
        <v>1</v>
      </c>
      <c r="AK253">
        <v>1</v>
      </c>
      <c r="AL253">
        <v>1</v>
      </c>
      <c r="AN253">
        <v>0</v>
      </c>
      <c r="AO253">
        <v>0</v>
      </c>
      <c r="AP253">
        <v>0</v>
      </c>
      <c r="AQ253">
        <v>0</v>
      </c>
      <c r="AR253">
        <v>0</v>
      </c>
      <c r="AS253" t="s">
        <v>3</v>
      </c>
      <c r="AT253">
        <v>100</v>
      </c>
      <c r="AU253" t="s">
        <v>3</v>
      </c>
      <c r="AV253">
        <v>0</v>
      </c>
      <c r="AW253">
        <v>1</v>
      </c>
      <c r="AX253">
        <v>-1</v>
      </c>
      <c r="AY253">
        <v>0</v>
      </c>
      <c r="AZ253">
        <v>0</v>
      </c>
      <c r="BA253" t="s">
        <v>3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Y253*Source!I661</f>
        <v>1503</v>
      </c>
      <c r="CY253">
        <f>AA253</f>
        <v>915.48</v>
      </c>
      <c r="CZ253">
        <f>AE253</f>
        <v>283.43</v>
      </c>
      <c r="DA253">
        <f>AI253</f>
        <v>3.23</v>
      </c>
      <c r="DB253">
        <f t="shared" si="25"/>
        <v>28343</v>
      </c>
      <c r="DC253">
        <f t="shared" si="26"/>
        <v>0</v>
      </c>
    </row>
    <row r="254" spans="1:107" x14ac:dyDescent="0.2">
      <c r="A254">
        <f>ROW(Source!A661)</f>
        <v>661</v>
      </c>
      <c r="B254">
        <v>33989672</v>
      </c>
      <c r="C254">
        <v>33992542</v>
      </c>
      <c r="D254">
        <v>30061881</v>
      </c>
      <c r="E254">
        <v>1</v>
      </c>
      <c r="F254">
        <v>1</v>
      </c>
      <c r="G254">
        <v>29983435</v>
      </c>
      <c r="H254">
        <v>3</v>
      </c>
      <c r="I254" t="s">
        <v>405</v>
      </c>
      <c r="J254" t="s">
        <v>407</v>
      </c>
      <c r="K254" t="s">
        <v>406</v>
      </c>
      <c r="L254">
        <v>1354</v>
      </c>
      <c r="N254">
        <v>1010</v>
      </c>
      <c r="O254" t="s">
        <v>328</v>
      </c>
      <c r="P254" t="s">
        <v>328</v>
      </c>
      <c r="Q254">
        <v>1</v>
      </c>
      <c r="W254">
        <v>0</v>
      </c>
      <c r="X254">
        <v>-1816805806</v>
      </c>
      <c r="Y254">
        <v>3.4</v>
      </c>
      <c r="AA254">
        <v>739.92</v>
      </c>
      <c r="AB254">
        <v>0</v>
      </c>
      <c r="AC254">
        <v>0</v>
      </c>
      <c r="AD254">
        <v>0</v>
      </c>
      <c r="AE254">
        <v>437.82</v>
      </c>
      <c r="AF254">
        <v>0</v>
      </c>
      <c r="AG254">
        <v>0</v>
      </c>
      <c r="AH254">
        <v>0</v>
      </c>
      <c r="AI254">
        <v>1.69</v>
      </c>
      <c r="AJ254">
        <v>1</v>
      </c>
      <c r="AK254">
        <v>1</v>
      </c>
      <c r="AL254">
        <v>1</v>
      </c>
      <c r="AN254">
        <v>0</v>
      </c>
      <c r="AO254">
        <v>0</v>
      </c>
      <c r="AP254">
        <v>0</v>
      </c>
      <c r="AQ254">
        <v>0</v>
      </c>
      <c r="AR254">
        <v>0</v>
      </c>
      <c r="AS254" t="s">
        <v>3</v>
      </c>
      <c r="AT254">
        <v>3.4</v>
      </c>
      <c r="AU254" t="s">
        <v>3</v>
      </c>
      <c r="AV254">
        <v>0</v>
      </c>
      <c r="AW254">
        <v>1</v>
      </c>
      <c r="AX254">
        <v>-1</v>
      </c>
      <c r="AY254">
        <v>0</v>
      </c>
      <c r="AZ254">
        <v>0</v>
      </c>
      <c r="BA254" t="s">
        <v>3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Y254*Source!I661</f>
        <v>51.101999999999997</v>
      </c>
      <c r="CY254">
        <f>AA254</f>
        <v>739.92</v>
      </c>
      <c r="CZ254">
        <f>AE254</f>
        <v>437.82</v>
      </c>
      <c r="DA254">
        <f>AI254</f>
        <v>1.69</v>
      </c>
      <c r="DB254">
        <f t="shared" si="25"/>
        <v>1488.59</v>
      </c>
      <c r="DC254">
        <f t="shared" si="26"/>
        <v>0</v>
      </c>
    </row>
    <row r="255" spans="1:107" x14ac:dyDescent="0.2">
      <c r="A255">
        <f>ROW(Source!A701)</f>
        <v>701</v>
      </c>
      <c r="B255">
        <v>33989672</v>
      </c>
      <c r="C255">
        <v>33992566</v>
      </c>
      <c r="D255">
        <v>29983441</v>
      </c>
      <c r="E255">
        <v>29983435</v>
      </c>
      <c r="F255">
        <v>1</v>
      </c>
      <c r="G255">
        <v>29983435</v>
      </c>
      <c r="H255">
        <v>1</v>
      </c>
      <c r="I255" t="s">
        <v>646</v>
      </c>
      <c r="J255" t="s">
        <v>3</v>
      </c>
      <c r="K255" t="s">
        <v>647</v>
      </c>
      <c r="L255">
        <v>1191</v>
      </c>
      <c r="N255">
        <v>1013</v>
      </c>
      <c r="O255" t="s">
        <v>648</v>
      </c>
      <c r="P255" t="s">
        <v>648</v>
      </c>
      <c r="Q255">
        <v>1</v>
      </c>
      <c r="W255">
        <v>0</v>
      </c>
      <c r="X255">
        <v>476480486</v>
      </c>
      <c r="Y255">
        <v>76.7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1</v>
      </c>
      <c r="AJ255">
        <v>1</v>
      </c>
      <c r="AK255">
        <v>1</v>
      </c>
      <c r="AL255">
        <v>1</v>
      </c>
      <c r="AN255">
        <v>0</v>
      </c>
      <c r="AO255">
        <v>1</v>
      </c>
      <c r="AP255">
        <v>0</v>
      </c>
      <c r="AQ255">
        <v>0</v>
      </c>
      <c r="AR255">
        <v>0</v>
      </c>
      <c r="AS255" t="s">
        <v>3</v>
      </c>
      <c r="AT255">
        <v>76.7</v>
      </c>
      <c r="AU255" t="s">
        <v>3</v>
      </c>
      <c r="AV255">
        <v>1</v>
      </c>
      <c r="AW255">
        <v>2</v>
      </c>
      <c r="AX255">
        <v>33992568</v>
      </c>
      <c r="AY255">
        <v>1</v>
      </c>
      <c r="AZ255">
        <v>0</v>
      </c>
      <c r="BA255">
        <v>256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Y255*Source!I701</f>
        <v>967.18700000000001</v>
      </c>
      <c r="CY255">
        <f>AD255</f>
        <v>0</v>
      </c>
      <c r="CZ255">
        <f>AH255</f>
        <v>0</v>
      </c>
      <c r="DA255">
        <f>AL255</f>
        <v>1</v>
      </c>
      <c r="DB255">
        <f t="shared" si="25"/>
        <v>0</v>
      </c>
      <c r="DC255">
        <f t="shared" si="26"/>
        <v>0</v>
      </c>
    </row>
    <row r="256" spans="1:107" x14ac:dyDescent="0.2">
      <c r="A256">
        <f>ROW(Source!A702)</f>
        <v>702</v>
      </c>
      <c r="B256">
        <v>33989672</v>
      </c>
      <c r="C256">
        <v>33992569</v>
      </c>
      <c r="D256">
        <v>29983441</v>
      </c>
      <c r="E256">
        <v>29983435</v>
      </c>
      <c r="F256">
        <v>1</v>
      </c>
      <c r="G256">
        <v>29983435</v>
      </c>
      <c r="H256">
        <v>1</v>
      </c>
      <c r="I256" t="s">
        <v>646</v>
      </c>
      <c r="J256" t="s">
        <v>3</v>
      </c>
      <c r="K256" t="s">
        <v>647</v>
      </c>
      <c r="L256">
        <v>1191</v>
      </c>
      <c r="N256">
        <v>1013</v>
      </c>
      <c r="O256" t="s">
        <v>648</v>
      </c>
      <c r="P256" t="s">
        <v>648</v>
      </c>
      <c r="Q256">
        <v>1</v>
      </c>
      <c r="W256">
        <v>0</v>
      </c>
      <c r="X256">
        <v>476480486</v>
      </c>
      <c r="Y256">
        <v>1.1200000000000001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1</v>
      </c>
      <c r="AJ256">
        <v>1</v>
      </c>
      <c r="AK256">
        <v>1</v>
      </c>
      <c r="AL256">
        <v>1</v>
      </c>
      <c r="AN256">
        <v>0</v>
      </c>
      <c r="AO256">
        <v>1</v>
      </c>
      <c r="AP256">
        <v>0</v>
      </c>
      <c r="AQ256">
        <v>0</v>
      </c>
      <c r="AR256">
        <v>0</v>
      </c>
      <c r="AS256" t="s">
        <v>3</v>
      </c>
      <c r="AT256">
        <v>1.1200000000000001</v>
      </c>
      <c r="AU256" t="s">
        <v>3</v>
      </c>
      <c r="AV256">
        <v>1</v>
      </c>
      <c r="AW256">
        <v>2</v>
      </c>
      <c r="AX256">
        <v>34039116</v>
      </c>
      <c r="AY256">
        <v>1</v>
      </c>
      <c r="AZ256">
        <v>0</v>
      </c>
      <c r="BA256">
        <v>257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Y256*Source!I702</f>
        <v>21.150908800000003</v>
      </c>
      <c r="CY256">
        <f>AD256</f>
        <v>0</v>
      </c>
      <c r="CZ256">
        <f>AH256</f>
        <v>0</v>
      </c>
      <c r="DA256">
        <f>AL256</f>
        <v>1</v>
      </c>
      <c r="DB256">
        <f t="shared" si="25"/>
        <v>0</v>
      </c>
      <c r="DC256">
        <f t="shared" si="26"/>
        <v>0</v>
      </c>
    </row>
    <row r="257" spans="1:107" x14ac:dyDescent="0.2">
      <c r="A257">
        <f>ROW(Source!A702)</f>
        <v>702</v>
      </c>
      <c r="B257">
        <v>33989672</v>
      </c>
      <c r="C257">
        <v>33992569</v>
      </c>
      <c r="D257">
        <v>30064109</v>
      </c>
      <c r="E257">
        <v>1</v>
      </c>
      <c r="F257">
        <v>1</v>
      </c>
      <c r="G257">
        <v>29983435</v>
      </c>
      <c r="H257">
        <v>2</v>
      </c>
      <c r="I257" t="s">
        <v>784</v>
      </c>
      <c r="J257" t="s">
        <v>785</v>
      </c>
      <c r="K257" t="s">
        <v>786</v>
      </c>
      <c r="L257">
        <v>1367</v>
      </c>
      <c r="N257">
        <v>1011</v>
      </c>
      <c r="O257" t="s">
        <v>652</v>
      </c>
      <c r="P257" t="s">
        <v>652</v>
      </c>
      <c r="Q257">
        <v>1</v>
      </c>
      <c r="W257">
        <v>0</v>
      </c>
      <c r="X257">
        <v>-646062659</v>
      </c>
      <c r="Y257">
        <v>0.38</v>
      </c>
      <c r="AA257">
        <v>0</v>
      </c>
      <c r="AB257">
        <v>577.04</v>
      </c>
      <c r="AC257">
        <v>472.05</v>
      </c>
      <c r="AD257">
        <v>0</v>
      </c>
      <c r="AE257">
        <v>0</v>
      </c>
      <c r="AF257">
        <v>42.2</v>
      </c>
      <c r="AG257">
        <v>18.38</v>
      </c>
      <c r="AH257">
        <v>0</v>
      </c>
      <c r="AI257">
        <v>1</v>
      </c>
      <c r="AJ257">
        <v>13.06</v>
      </c>
      <c r="AK257">
        <v>24.53</v>
      </c>
      <c r="AL257">
        <v>1</v>
      </c>
      <c r="AN257">
        <v>0</v>
      </c>
      <c r="AO257">
        <v>1</v>
      </c>
      <c r="AP257">
        <v>0</v>
      </c>
      <c r="AQ257">
        <v>0</v>
      </c>
      <c r="AR257">
        <v>0</v>
      </c>
      <c r="AS257" t="s">
        <v>3</v>
      </c>
      <c r="AT257">
        <v>0.38</v>
      </c>
      <c r="AU257" t="s">
        <v>3</v>
      </c>
      <c r="AV257">
        <v>0</v>
      </c>
      <c r="AW257">
        <v>2</v>
      </c>
      <c r="AX257">
        <v>34039117</v>
      </c>
      <c r="AY257">
        <v>1</v>
      </c>
      <c r="AZ257">
        <v>0</v>
      </c>
      <c r="BA257">
        <v>258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Y257*Source!I702</f>
        <v>7.1762012000000004</v>
      </c>
      <c r="CY257">
        <f>AB257</f>
        <v>577.04</v>
      </c>
      <c r="CZ257">
        <f>AF257</f>
        <v>42.2</v>
      </c>
      <c r="DA257">
        <f>AJ257</f>
        <v>13.06</v>
      </c>
      <c r="DB257">
        <f t="shared" si="25"/>
        <v>16.04</v>
      </c>
      <c r="DC257">
        <f t="shared" si="26"/>
        <v>6.98</v>
      </c>
    </row>
    <row r="258" spans="1:107" x14ac:dyDescent="0.2">
      <c r="A258">
        <f>ROW(Source!A703)</f>
        <v>703</v>
      </c>
      <c r="B258">
        <v>33989672</v>
      </c>
      <c r="C258">
        <v>33992572</v>
      </c>
      <c r="D258">
        <v>29983441</v>
      </c>
      <c r="E258">
        <v>29983435</v>
      </c>
      <c r="F258">
        <v>1</v>
      </c>
      <c r="G258">
        <v>29983435</v>
      </c>
      <c r="H258">
        <v>1</v>
      </c>
      <c r="I258" t="s">
        <v>646</v>
      </c>
      <c r="J258" t="s">
        <v>3</v>
      </c>
      <c r="K258" t="s">
        <v>647</v>
      </c>
      <c r="L258">
        <v>1191</v>
      </c>
      <c r="N258">
        <v>1013</v>
      </c>
      <c r="O258" t="s">
        <v>648</v>
      </c>
      <c r="P258" t="s">
        <v>648</v>
      </c>
      <c r="Q258">
        <v>1</v>
      </c>
      <c r="W258">
        <v>0</v>
      </c>
      <c r="X258">
        <v>476480486</v>
      </c>
      <c r="Y258">
        <v>1.02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1</v>
      </c>
      <c r="AJ258">
        <v>1</v>
      </c>
      <c r="AK258">
        <v>1</v>
      </c>
      <c r="AL258">
        <v>1</v>
      </c>
      <c r="AN258">
        <v>0</v>
      </c>
      <c r="AO258">
        <v>1</v>
      </c>
      <c r="AP258">
        <v>0</v>
      </c>
      <c r="AQ258">
        <v>0</v>
      </c>
      <c r="AR258">
        <v>0</v>
      </c>
      <c r="AS258" t="s">
        <v>3</v>
      </c>
      <c r="AT258">
        <v>1.02</v>
      </c>
      <c r="AU258" t="s">
        <v>3</v>
      </c>
      <c r="AV258">
        <v>1</v>
      </c>
      <c r="AW258">
        <v>2</v>
      </c>
      <c r="AX258">
        <v>34039118</v>
      </c>
      <c r="AY258">
        <v>1</v>
      </c>
      <c r="AZ258">
        <v>0</v>
      </c>
      <c r="BA258">
        <v>259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Y258*Source!I703</f>
        <v>173.36187239999998</v>
      </c>
      <c r="CY258">
        <f>AD258</f>
        <v>0</v>
      </c>
      <c r="CZ258">
        <f>AH258</f>
        <v>0</v>
      </c>
      <c r="DA258">
        <f>AL258</f>
        <v>1</v>
      </c>
      <c r="DB258">
        <f t="shared" si="25"/>
        <v>0</v>
      </c>
      <c r="DC258">
        <f t="shared" si="26"/>
        <v>0</v>
      </c>
    </row>
    <row r="259" spans="1:107" x14ac:dyDescent="0.2">
      <c r="A259">
        <f>ROW(Source!A704)</f>
        <v>704</v>
      </c>
      <c r="B259">
        <v>33989672</v>
      </c>
      <c r="C259">
        <v>33992575</v>
      </c>
      <c r="D259">
        <v>30064127</v>
      </c>
      <c r="E259">
        <v>1</v>
      </c>
      <c r="F259">
        <v>1</v>
      </c>
      <c r="G259">
        <v>29983435</v>
      </c>
      <c r="H259">
        <v>2</v>
      </c>
      <c r="I259" t="s">
        <v>677</v>
      </c>
      <c r="J259" t="s">
        <v>678</v>
      </c>
      <c r="K259" t="s">
        <v>679</v>
      </c>
      <c r="L259">
        <v>1367</v>
      </c>
      <c r="N259">
        <v>1011</v>
      </c>
      <c r="O259" t="s">
        <v>652</v>
      </c>
      <c r="P259" t="s">
        <v>652</v>
      </c>
      <c r="Q259">
        <v>1</v>
      </c>
      <c r="W259">
        <v>0</v>
      </c>
      <c r="X259">
        <v>-1191656485</v>
      </c>
      <c r="Y259">
        <v>1</v>
      </c>
      <c r="AA259">
        <v>0</v>
      </c>
      <c r="AB259">
        <v>1577.49</v>
      </c>
      <c r="AC259">
        <v>444.24</v>
      </c>
      <c r="AD259">
        <v>0</v>
      </c>
      <c r="AE259">
        <v>0</v>
      </c>
      <c r="AF259">
        <v>193.32</v>
      </c>
      <c r="AG259">
        <v>18.11</v>
      </c>
      <c r="AH259">
        <v>0</v>
      </c>
      <c r="AI259">
        <v>1</v>
      </c>
      <c r="AJ259">
        <v>8.16</v>
      </c>
      <c r="AK259">
        <v>24.53</v>
      </c>
      <c r="AL259">
        <v>1</v>
      </c>
      <c r="AN259">
        <v>0</v>
      </c>
      <c r="AO259">
        <v>1</v>
      </c>
      <c r="AP259">
        <v>0</v>
      </c>
      <c r="AQ259">
        <v>0</v>
      </c>
      <c r="AR259">
        <v>0</v>
      </c>
      <c r="AS259" t="s">
        <v>3</v>
      </c>
      <c r="AT259">
        <v>1</v>
      </c>
      <c r="AU259" t="s">
        <v>3</v>
      </c>
      <c r="AV259">
        <v>0</v>
      </c>
      <c r="AW259">
        <v>2</v>
      </c>
      <c r="AX259">
        <v>34039115</v>
      </c>
      <c r="AY259">
        <v>1</v>
      </c>
      <c r="AZ259">
        <v>0</v>
      </c>
      <c r="BA259">
        <v>260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Y259*Source!I704</f>
        <v>0</v>
      </c>
      <c r="CY259">
        <f>AB259</f>
        <v>1577.49</v>
      </c>
      <c r="CZ259">
        <f>AF259</f>
        <v>193.32</v>
      </c>
      <c r="DA259">
        <f>AJ259</f>
        <v>8.16</v>
      </c>
      <c r="DB259">
        <f t="shared" si="25"/>
        <v>193.32</v>
      </c>
      <c r="DC259">
        <f t="shared" si="26"/>
        <v>18.11</v>
      </c>
    </row>
    <row r="260" spans="1:107" x14ac:dyDescent="0.2">
      <c r="A260">
        <f>ROW(Source!A705)</f>
        <v>705</v>
      </c>
      <c r="B260">
        <v>33989672</v>
      </c>
      <c r="C260">
        <v>33992578</v>
      </c>
      <c r="D260">
        <v>29983439</v>
      </c>
      <c r="E260">
        <v>29983435</v>
      </c>
      <c r="F260">
        <v>1</v>
      </c>
      <c r="G260">
        <v>29983435</v>
      </c>
      <c r="H260">
        <v>2</v>
      </c>
      <c r="I260" t="s">
        <v>674</v>
      </c>
      <c r="J260" t="s">
        <v>3</v>
      </c>
      <c r="K260" t="s">
        <v>675</v>
      </c>
      <c r="L260">
        <v>1344</v>
      </c>
      <c r="N260">
        <v>1008</v>
      </c>
      <c r="O260" t="s">
        <v>676</v>
      </c>
      <c r="P260" t="s">
        <v>676</v>
      </c>
      <c r="Q260">
        <v>1</v>
      </c>
      <c r="W260">
        <v>0</v>
      </c>
      <c r="X260">
        <v>-1180195794</v>
      </c>
      <c r="Y260">
        <v>22.57</v>
      </c>
      <c r="AA260">
        <v>0</v>
      </c>
      <c r="AB260">
        <v>1</v>
      </c>
      <c r="AC260">
        <v>0</v>
      </c>
      <c r="AD260">
        <v>0</v>
      </c>
      <c r="AE260">
        <v>0</v>
      </c>
      <c r="AF260">
        <v>1</v>
      </c>
      <c r="AG260">
        <v>0</v>
      </c>
      <c r="AH260">
        <v>0</v>
      </c>
      <c r="AI260">
        <v>1</v>
      </c>
      <c r="AJ260">
        <v>1</v>
      </c>
      <c r="AK260">
        <v>1</v>
      </c>
      <c r="AL260">
        <v>1</v>
      </c>
      <c r="AN260">
        <v>0</v>
      </c>
      <c r="AO260">
        <v>1</v>
      </c>
      <c r="AP260">
        <v>0</v>
      </c>
      <c r="AQ260">
        <v>0</v>
      </c>
      <c r="AR260">
        <v>0</v>
      </c>
      <c r="AS260" t="s">
        <v>3</v>
      </c>
      <c r="AT260">
        <v>22.57</v>
      </c>
      <c r="AU260" t="s">
        <v>3</v>
      </c>
      <c r="AV260">
        <v>0</v>
      </c>
      <c r="AW260">
        <v>2</v>
      </c>
      <c r="AX260">
        <v>34039114</v>
      </c>
      <c r="AY260">
        <v>1</v>
      </c>
      <c r="AZ260">
        <v>0</v>
      </c>
      <c r="BA260">
        <v>261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Y260*Source!I705</f>
        <v>0</v>
      </c>
      <c r="CY260">
        <f>AB260</f>
        <v>1</v>
      </c>
      <c r="CZ260">
        <f>AF260</f>
        <v>1</v>
      </c>
      <c r="DA260">
        <f>AJ260</f>
        <v>1</v>
      </c>
      <c r="DB260">
        <f t="shared" si="25"/>
        <v>22.57</v>
      </c>
      <c r="DC260">
        <f t="shared" si="26"/>
        <v>0</v>
      </c>
    </row>
    <row r="261" spans="1:107" x14ac:dyDescent="0.2">
      <c r="A261">
        <f>ROW(Source!A706)</f>
        <v>706</v>
      </c>
      <c r="B261">
        <v>33989672</v>
      </c>
      <c r="C261">
        <v>33992581</v>
      </c>
      <c r="D261">
        <v>29983441</v>
      </c>
      <c r="E261">
        <v>29983435</v>
      </c>
      <c r="F261">
        <v>1</v>
      </c>
      <c r="G261">
        <v>29983435</v>
      </c>
      <c r="H261">
        <v>1</v>
      </c>
      <c r="I261" t="s">
        <v>646</v>
      </c>
      <c r="J261" t="s">
        <v>3</v>
      </c>
      <c r="K261" t="s">
        <v>647</v>
      </c>
      <c r="L261">
        <v>1191</v>
      </c>
      <c r="N261">
        <v>1013</v>
      </c>
      <c r="O261" t="s">
        <v>648</v>
      </c>
      <c r="P261" t="s">
        <v>648</v>
      </c>
      <c r="Q261">
        <v>1</v>
      </c>
      <c r="W261">
        <v>0</v>
      </c>
      <c r="X261">
        <v>476480486</v>
      </c>
      <c r="Y261">
        <v>14.4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1</v>
      </c>
      <c r="AJ261">
        <v>1</v>
      </c>
      <c r="AK261">
        <v>1</v>
      </c>
      <c r="AL261">
        <v>1</v>
      </c>
      <c r="AN261">
        <v>0</v>
      </c>
      <c r="AO261">
        <v>1</v>
      </c>
      <c r="AP261">
        <v>0</v>
      </c>
      <c r="AQ261">
        <v>0</v>
      </c>
      <c r="AR261">
        <v>0</v>
      </c>
      <c r="AS261" t="s">
        <v>3</v>
      </c>
      <c r="AT261">
        <v>14.4</v>
      </c>
      <c r="AU261" t="s">
        <v>3</v>
      </c>
      <c r="AV261">
        <v>1</v>
      </c>
      <c r="AW261">
        <v>2</v>
      </c>
      <c r="AX261">
        <v>33992590</v>
      </c>
      <c r="AY261">
        <v>1</v>
      </c>
      <c r="AZ261">
        <v>0</v>
      </c>
      <c r="BA261">
        <v>262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Y261*Source!I706</f>
        <v>3.6316799999999998</v>
      </c>
      <c r="CY261">
        <f>AD261</f>
        <v>0</v>
      </c>
      <c r="CZ261">
        <f>AH261</f>
        <v>0</v>
      </c>
      <c r="DA261">
        <f>AL261</f>
        <v>1</v>
      </c>
      <c r="DB261">
        <f t="shared" si="25"/>
        <v>0</v>
      </c>
      <c r="DC261">
        <f t="shared" si="26"/>
        <v>0</v>
      </c>
    </row>
    <row r="262" spans="1:107" x14ac:dyDescent="0.2">
      <c r="A262">
        <f>ROW(Source!A706)</f>
        <v>706</v>
      </c>
      <c r="B262">
        <v>33989672</v>
      </c>
      <c r="C262">
        <v>33992581</v>
      </c>
      <c r="D262">
        <v>30063290</v>
      </c>
      <c r="E262">
        <v>1</v>
      </c>
      <c r="F262">
        <v>1</v>
      </c>
      <c r="G262">
        <v>29983435</v>
      </c>
      <c r="H262">
        <v>2</v>
      </c>
      <c r="I262" t="s">
        <v>683</v>
      </c>
      <c r="J262" t="s">
        <v>684</v>
      </c>
      <c r="K262" t="s">
        <v>685</v>
      </c>
      <c r="L262">
        <v>1367</v>
      </c>
      <c r="N262">
        <v>1011</v>
      </c>
      <c r="O262" t="s">
        <v>652</v>
      </c>
      <c r="P262" t="s">
        <v>652</v>
      </c>
      <c r="Q262">
        <v>1</v>
      </c>
      <c r="W262">
        <v>0</v>
      </c>
      <c r="X262">
        <v>1928543733</v>
      </c>
      <c r="Y262">
        <v>1.66</v>
      </c>
      <c r="AA262">
        <v>0</v>
      </c>
      <c r="AB262">
        <v>1261.78</v>
      </c>
      <c r="AC262">
        <v>601.24</v>
      </c>
      <c r="AD262">
        <v>0</v>
      </c>
      <c r="AE262">
        <v>0</v>
      </c>
      <c r="AF262">
        <v>116.89</v>
      </c>
      <c r="AG262">
        <v>23.41</v>
      </c>
      <c r="AH262">
        <v>0</v>
      </c>
      <c r="AI262">
        <v>1</v>
      </c>
      <c r="AJ262">
        <v>10.31</v>
      </c>
      <c r="AK262">
        <v>24.53</v>
      </c>
      <c r="AL262">
        <v>1</v>
      </c>
      <c r="AN262">
        <v>0</v>
      </c>
      <c r="AO262">
        <v>1</v>
      </c>
      <c r="AP262">
        <v>0</v>
      </c>
      <c r="AQ262">
        <v>0</v>
      </c>
      <c r="AR262">
        <v>0</v>
      </c>
      <c r="AS262" t="s">
        <v>3</v>
      </c>
      <c r="AT262">
        <v>1.66</v>
      </c>
      <c r="AU262" t="s">
        <v>3</v>
      </c>
      <c r="AV262">
        <v>0</v>
      </c>
      <c r="AW262">
        <v>2</v>
      </c>
      <c r="AX262">
        <v>33992591</v>
      </c>
      <c r="AY262">
        <v>1</v>
      </c>
      <c r="AZ262">
        <v>0</v>
      </c>
      <c r="BA262">
        <v>263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>Y262*Source!I706</f>
        <v>0.41865199999999997</v>
      </c>
      <c r="CY262">
        <f>AB262</f>
        <v>1261.78</v>
      </c>
      <c r="CZ262">
        <f>AF262</f>
        <v>116.89</v>
      </c>
      <c r="DA262">
        <f>AJ262</f>
        <v>10.31</v>
      </c>
      <c r="DB262">
        <f t="shared" si="25"/>
        <v>194.04</v>
      </c>
      <c r="DC262">
        <f t="shared" si="26"/>
        <v>38.86</v>
      </c>
    </row>
    <row r="263" spans="1:107" x14ac:dyDescent="0.2">
      <c r="A263">
        <f>ROW(Source!A706)</f>
        <v>706</v>
      </c>
      <c r="B263">
        <v>33989672</v>
      </c>
      <c r="C263">
        <v>33992581</v>
      </c>
      <c r="D263">
        <v>30063515</v>
      </c>
      <c r="E263">
        <v>1</v>
      </c>
      <c r="F263">
        <v>1</v>
      </c>
      <c r="G263">
        <v>29983435</v>
      </c>
      <c r="H263">
        <v>2</v>
      </c>
      <c r="I263" t="s">
        <v>723</v>
      </c>
      <c r="J263" t="s">
        <v>724</v>
      </c>
      <c r="K263" t="s">
        <v>725</v>
      </c>
      <c r="L263">
        <v>1367</v>
      </c>
      <c r="N263">
        <v>1011</v>
      </c>
      <c r="O263" t="s">
        <v>652</v>
      </c>
      <c r="P263" t="s">
        <v>652</v>
      </c>
      <c r="Q263">
        <v>1</v>
      </c>
      <c r="W263">
        <v>0</v>
      </c>
      <c r="X263">
        <v>142191915</v>
      </c>
      <c r="Y263">
        <v>1.66</v>
      </c>
      <c r="AA263">
        <v>0</v>
      </c>
      <c r="AB263">
        <v>445.02</v>
      </c>
      <c r="AC263">
        <v>170.53</v>
      </c>
      <c r="AD263">
        <v>0</v>
      </c>
      <c r="AE263">
        <v>0</v>
      </c>
      <c r="AF263">
        <v>62.97</v>
      </c>
      <c r="AG263">
        <v>6.64</v>
      </c>
      <c r="AH263">
        <v>0</v>
      </c>
      <c r="AI263">
        <v>1</v>
      </c>
      <c r="AJ263">
        <v>6.75</v>
      </c>
      <c r="AK263">
        <v>24.53</v>
      </c>
      <c r="AL263">
        <v>1</v>
      </c>
      <c r="AN263">
        <v>0</v>
      </c>
      <c r="AO263">
        <v>1</v>
      </c>
      <c r="AP263">
        <v>0</v>
      </c>
      <c r="AQ263">
        <v>0</v>
      </c>
      <c r="AR263">
        <v>0</v>
      </c>
      <c r="AS263" t="s">
        <v>3</v>
      </c>
      <c r="AT263">
        <v>1.66</v>
      </c>
      <c r="AU263" t="s">
        <v>3</v>
      </c>
      <c r="AV263">
        <v>0</v>
      </c>
      <c r="AW263">
        <v>2</v>
      </c>
      <c r="AX263">
        <v>33992592</v>
      </c>
      <c r="AY263">
        <v>1</v>
      </c>
      <c r="AZ263">
        <v>0</v>
      </c>
      <c r="BA263">
        <v>264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>Y263*Source!I706</f>
        <v>0.41865199999999997</v>
      </c>
      <c r="CY263">
        <f>AB263</f>
        <v>445.02</v>
      </c>
      <c r="CZ263">
        <f>AF263</f>
        <v>62.97</v>
      </c>
      <c r="DA263">
        <f>AJ263</f>
        <v>6.75</v>
      </c>
      <c r="DB263">
        <f t="shared" si="25"/>
        <v>104.53</v>
      </c>
      <c r="DC263">
        <f t="shared" si="26"/>
        <v>11.02</v>
      </c>
    </row>
    <row r="264" spans="1:107" x14ac:dyDescent="0.2">
      <c r="A264">
        <f>ROW(Source!A706)</f>
        <v>706</v>
      </c>
      <c r="B264">
        <v>33989672</v>
      </c>
      <c r="C264">
        <v>33992581</v>
      </c>
      <c r="D264">
        <v>30063518</v>
      </c>
      <c r="E264">
        <v>1</v>
      </c>
      <c r="F264">
        <v>1</v>
      </c>
      <c r="G264">
        <v>29983435</v>
      </c>
      <c r="H264">
        <v>2</v>
      </c>
      <c r="I264" t="s">
        <v>686</v>
      </c>
      <c r="J264" t="s">
        <v>726</v>
      </c>
      <c r="K264" t="s">
        <v>727</v>
      </c>
      <c r="L264">
        <v>1367</v>
      </c>
      <c r="N264">
        <v>1011</v>
      </c>
      <c r="O264" t="s">
        <v>652</v>
      </c>
      <c r="P264" t="s">
        <v>652</v>
      </c>
      <c r="Q264">
        <v>1</v>
      </c>
      <c r="W264">
        <v>0</v>
      </c>
      <c r="X264">
        <v>378346098</v>
      </c>
      <c r="Y264">
        <v>0.65</v>
      </c>
      <c r="AA264">
        <v>0</v>
      </c>
      <c r="AB264">
        <v>1162.78</v>
      </c>
      <c r="AC264">
        <v>734.79</v>
      </c>
      <c r="AD264">
        <v>0</v>
      </c>
      <c r="AE264">
        <v>0</v>
      </c>
      <c r="AF264">
        <v>140.58000000000001</v>
      </c>
      <c r="AG264">
        <v>28.61</v>
      </c>
      <c r="AH264">
        <v>0</v>
      </c>
      <c r="AI264">
        <v>1</v>
      </c>
      <c r="AJ264">
        <v>7.9</v>
      </c>
      <c r="AK264">
        <v>24.53</v>
      </c>
      <c r="AL264">
        <v>1</v>
      </c>
      <c r="AN264">
        <v>0</v>
      </c>
      <c r="AO264">
        <v>1</v>
      </c>
      <c r="AP264">
        <v>0</v>
      </c>
      <c r="AQ264">
        <v>0</v>
      </c>
      <c r="AR264">
        <v>0</v>
      </c>
      <c r="AS264" t="s">
        <v>3</v>
      </c>
      <c r="AT264">
        <v>0.65</v>
      </c>
      <c r="AU264" t="s">
        <v>3</v>
      </c>
      <c r="AV264">
        <v>0</v>
      </c>
      <c r="AW264">
        <v>2</v>
      </c>
      <c r="AX264">
        <v>33992593</v>
      </c>
      <c r="AY264">
        <v>1</v>
      </c>
      <c r="AZ264">
        <v>0</v>
      </c>
      <c r="BA264">
        <v>265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>Y264*Source!I706</f>
        <v>0.16392999999999999</v>
      </c>
      <c r="CY264">
        <f>AB264</f>
        <v>1162.78</v>
      </c>
      <c r="CZ264">
        <f>AF264</f>
        <v>140.58000000000001</v>
      </c>
      <c r="DA264">
        <f>AJ264</f>
        <v>7.9</v>
      </c>
      <c r="DB264">
        <f t="shared" si="25"/>
        <v>91.38</v>
      </c>
      <c r="DC264">
        <f t="shared" si="26"/>
        <v>18.600000000000001</v>
      </c>
    </row>
    <row r="265" spans="1:107" x14ac:dyDescent="0.2">
      <c r="A265">
        <f>ROW(Source!A706)</f>
        <v>706</v>
      </c>
      <c r="B265">
        <v>33989672</v>
      </c>
      <c r="C265">
        <v>33992581</v>
      </c>
      <c r="D265">
        <v>30063546</v>
      </c>
      <c r="E265">
        <v>1</v>
      </c>
      <c r="F265">
        <v>1</v>
      </c>
      <c r="G265">
        <v>29983435</v>
      </c>
      <c r="H265">
        <v>2</v>
      </c>
      <c r="I265" t="s">
        <v>671</v>
      </c>
      <c r="J265" t="s">
        <v>672</v>
      </c>
      <c r="K265" t="s">
        <v>673</v>
      </c>
      <c r="L265">
        <v>1367</v>
      </c>
      <c r="N265">
        <v>1011</v>
      </c>
      <c r="O265" t="s">
        <v>652</v>
      </c>
      <c r="P265" t="s">
        <v>652</v>
      </c>
      <c r="Q265">
        <v>1</v>
      </c>
      <c r="W265">
        <v>0</v>
      </c>
      <c r="X265">
        <v>856318566</v>
      </c>
      <c r="Y265">
        <v>1.55</v>
      </c>
      <c r="AA265">
        <v>0</v>
      </c>
      <c r="AB265">
        <v>1539.38</v>
      </c>
      <c r="AC265">
        <v>635.4</v>
      </c>
      <c r="AD265">
        <v>0</v>
      </c>
      <c r="AE265">
        <v>0</v>
      </c>
      <c r="AF265">
        <v>125.13</v>
      </c>
      <c r="AG265">
        <v>24.74</v>
      </c>
      <c r="AH265">
        <v>0</v>
      </c>
      <c r="AI265">
        <v>1</v>
      </c>
      <c r="AJ265">
        <v>11.75</v>
      </c>
      <c r="AK265">
        <v>24.53</v>
      </c>
      <c r="AL265">
        <v>1</v>
      </c>
      <c r="AN265">
        <v>0</v>
      </c>
      <c r="AO265">
        <v>1</v>
      </c>
      <c r="AP265">
        <v>0</v>
      </c>
      <c r="AQ265">
        <v>0</v>
      </c>
      <c r="AR265">
        <v>0</v>
      </c>
      <c r="AS265" t="s">
        <v>3</v>
      </c>
      <c r="AT265">
        <v>1.55</v>
      </c>
      <c r="AU265" t="s">
        <v>3</v>
      </c>
      <c r="AV265">
        <v>0</v>
      </c>
      <c r="AW265">
        <v>2</v>
      </c>
      <c r="AX265">
        <v>33992594</v>
      </c>
      <c r="AY265">
        <v>1</v>
      </c>
      <c r="AZ265">
        <v>0</v>
      </c>
      <c r="BA265">
        <v>266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>Y265*Source!I706</f>
        <v>0.39090999999999998</v>
      </c>
      <c r="CY265">
        <f>AB265</f>
        <v>1539.38</v>
      </c>
      <c r="CZ265">
        <f>AF265</f>
        <v>125.13</v>
      </c>
      <c r="DA265">
        <f>AJ265</f>
        <v>11.75</v>
      </c>
      <c r="DB265">
        <f t="shared" si="25"/>
        <v>193.95</v>
      </c>
      <c r="DC265">
        <f t="shared" si="26"/>
        <v>38.35</v>
      </c>
    </row>
    <row r="266" spans="1:107" x14ac:dyDescent="0.2">
      <c r="A266">
        <f>ROW(Source!A706)</f>
        <v>706</v>
      </c>
      <c r="B266">
        <v>33989672</v>
      </c>
      <c r="C266">
        <v>33992581</v>
      </c>
      <c r="D266">
        <v>30063508</v>
      </c>
      <c r="E266">
        <v>1</v>
      </c>
      <c r="F266">
        <v>1</v>
      </c>
      <c r="G266">
        <v>29983435</v>
      </c>
      <c r="H266">
        <v>2</v>
      </c>
      <c r="I266" t="s">
        <v>713</v>
      </c>
      <c r="J266" t="s">
        <v>728</v>
      </c>
      <c r="K266" t="s">
        <v>715</v>
      </c>
      <c r="L266">
        <v>1367</v>
      </c>
      <c r="N266">
        <v>1011</v>
      </c>
      <c r="O266" t="s">
        <v>652</v>
      </c>
      <c r="P266" t="s">
        <v>652</v>
      </c>
      <c r="Q266">
        <v>1</v>
      </c>
      <c r="W266">
        <v>0</v>
      </c>
      <c r="X266">
        <v>2023875219</v>
      </c>
      <c r="Y266">
        <v>0.52</v>
      </c>
      <c r="AA266">
        <v>0</v>
      </c>
      <c r="AB266">
        <v>1593.61</v>
      </c>
      <c r="AC266">
        <v>603.54999999999995</v>
      </c>
      <c r="AD266">
        <v>0</v>
      </c>
      <c r="AE266">
        <v>0</v>
      </c>
      <c r="AF266">
        <v>178.02</v>
      </c>
      <c r="AG266">
        <v>23.5</v>
      </c>
      <c r="AH266">
        <v>0</v>
      </c>
      <c r="AI266">
        <v>1</v>
      </c>
      <c r="AJ266">
        <v>8.5500000000000007</v>
      </c>
      <c r="AK266">
        <v>24.53</v>
      </c>
      <c r="AL266">
        <v>1</v>
      </c>
      <c r="AN266">
        <v>0</v>
      </c>
      <c r="AO266">
        <v>1</v>
      </c>
      <c r="AP266">
        <v>0</v>
      </c>
      <c r="AQ266">
        <v>0</v>
      </c>
      <c r="AR266">
        <v>0</v>
      </c>
      <c r="AS266" t="s">
        <v>3</v>
      </c>
      <c r="AT266">
        <v>0.52</v>
      </c>
      <c r="AU266" t="s">
        <v>3</v>
      </c>
      <c r="AV266">
        <v>0</v>
      </c>
      <c r="AW266">
        <v>2</v>
      </c>
      <c r="AX266">
        <v>33992595</v>
      </c>
      <c r="AY266">
        <v>1</v>
      </c>
      <c r="AZ266">
        <v>0</v>
      </c>
      <c r="BA266">
        <v>267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>Y266*Source!I706</f>
        <v>0.13114399999999998</v>
      </c>
      <c r="CY266">
        <f>AB266</f>
        <v>1593.61</v>
      </c>
      <c r="CZ266">
        <f>AF266</f>
        <v>178.02</v>
      </c>
      <c r="DA266">
        <f>AJ266</f>
        <v>8.5500000000000007</v>
      </c>
      <c r="DB266">
        <f t="shared" si="25"/>
        <v>92.57</v>
      </c>
      <c r="DC266">
        <f t="shared" si="26"/>
        <v>12.22</v>
      </c>
    </row>
    <row r="267" spans="1:107" x14ac:dyDescent="0.2">
      <c r="A267">
        <f>ROW(Source!A706)</f>
        <v>706</v>
      </c>
      <c r="B267">
        <v>33989672</v>
      </c>
      <c r="C267">
        <v>33992581</v>
      </c>
      <c r="D267">
        <v>30042537</v>
      </c>
      <c r="E267">
        <v>1</v>
      </c>
      <c r="F267">
        <v>1</v>
      </c>
      <c r="G267">
        <v>29983435</v>
      </c>
      <c r="H267">
        <v>3</v>
      </c>
      <c r="I267" t="s">
        <v>467</v>
      </c>
      <c r="J267" t="s">
        <v>469</v>
      </c>
      <c r="K267" t="s">
        <v>468</v>
      </c>
      <c r="L267">
        <v>1339</v>
      </c>
      <c r="N267">
        <v>1007</v>
      </c>
      <c r="O267" t="s">
        <v>66</v>
      </c>
      <c r="P267" t="s">
        <v>66</v>
      </c>
      <c r="Q267">
        <v>1</v>
      </c>
      <c r="W267">
        <v>0</v>
      </c>
      <c r="X267">
        <v>-862991314</v>
      </c>
      <c r="Y267">
        <v>5</v>
      </c>
      <c r="AA267">
        <v>35.35</v>
      </c>
      <c r="AB267">
        <v>0</v>
      </c>
      <c r="AC267">
        <v>0</v>
      </c>
      <c r="AD267">
        <v>0</v>
      </c>
      <c r="AE267">
        <v>7.07</v>
      </c>
      <c r="AF267">
        <v>0</v>
      </c>
      <c r="AG267">
        <v>0</v>
      </c>
      <c r="AH267">
        <v>0</v>
      </c>
      <c r="AI267">
        <v>4.99</v>
      </c>
      <c r="AJ267">
        <v>1</v>
      </c>
      <c r="AK267">
        <v>1</v>
      </c>
      <c r="AL267">
        <v>1</v>
      </c>
      <c r="AN267">
        <v>0</v>
      </c>
      <c r="AO267">
        <v>1</v>
      </c>
      <c r="AP267">
        <v>0</v>
      </c>
      <c r="AQ267">
        <v>0</v>
      </c>
      <c r="AR267">
        <v>0</v>
      </c>
      <c r="AS267" t="s">
        <v>3</v>
      </c>
      <c r="AT267">
        <v>5</v>
      </c>
      <c r="AU267" t="s">
        <v>3</v>
      </c>
      <c r="AV267">
        <v>0</v>
      </c>
      <c r="AW267">
        <v>2</v>
      </c>
      <c r="AX267">
        <v>33992596</v>
      </c>
      <c r="AY267">
        <v>1</v>
      </c>
      <c r="AZ267">
        <v>0</v>
      </c>
      <c r="BA267">
        <v>268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CX267">
        <f>Y267*Source!I706</f>
        <v>1.2609999999999999</v>
      </c>
      <c r="CY267">
        <f>AA267</f>
        <v>35.35</v>
      </c>
      <c r="CZ267">
        <f>AE267</f>
        <v>7.07</v>
      </c>
      <c r="DA267">
        <f>AI267</f>
        <v>4.99</v>
      </c>
      <c r="DB267">
        <f t="shared" si="25"/>
        <v>35.35</v>
      </c>
      <c r="DC267">
        <f t="shared" si="26"/>
        <v>0</v>
      </c>
    </row>
    <row r="268" spans="1:107" x14ac:dyDescent="0.2">
      <c r="A268">
        <f>ROW(Source!A706)</f>
        <v>706</v>
      </c>
      <c r="B268">
        <v>33989672</v>
      </c>
      <c r="C268">
        <v>33992581</v>
      </c>
      <c r="D268">
        <v>30041978</v>
      </c>
      <c r="E268">
        <v>1</v>
      </c>
      <c r="F268">
        <v>1</v>
      </c>
      <c r="G268">
        <v>29983435</v>
      </c>
      <c r="H268">
        <v>3</v>
      </c>
      <c r="I268" t="s">
        <v>190</v>
      </c>
      <c r="J268" t="s">
        <v>192</v>
      </c>
      <c r="K268" t="s">
        <v>191</v>
      </c>
      <c r="L268">
        <v>1339</v>
      </c>
      <c r="N268">
        <v>1007</v>
      </c>
      <c r="O268" t="s">
        <v>66</v>
      </c>
      <c r="P268" t="s">
        <v>66</v>
      </c>
      <c r="Q268">
        <v>1</v>
      </c>
      <c r="W268">
        <v>0</v>
      </c>
      <c r="X268">
        <v>2069056849</v>
      </c>
      <c r="Y268">
        <v>110</v>
      </c>
      <c r="AA268">
        <v>553.35</v>
      </c>
      <c r="AB268">
        <v>0</v>
      </c>
      <c r="AC268">
        <v>0</v>
      </c>
      <c r="AD268">
        <v>0</v>
      </c>
      <c r="AE268">
        <v>104.99</v>
      </c>
      <c r="AF268">
        <v>0</v>
      </c>
      <c r="AG268">
        <v>0</v>
      </c>
      <c r="AH268">
        <v>0</v>
      </c>
      <c r="AI268">
        <v>5.26</v>
      </c>
      <c r="AJ268">
        <v>1</v>
      </c>
      <c r="AK268">
        <v>1</v>
      </c>
      <c r="AL268">
        <v>1</v>
      </c>
      <c r="AN268">
        <v>0</v>
      </c>
      <c r="AO268">
        <v>0</v>
      </c>
      <c r="AP268">
        <v>0</v>
      </c>
      <c r="AQ268">
        <v>0</v>
      </c>
      <c r="AR268">
        <v>0</v>
      </c>
      <c r="AS268" t="s">
        <v>3</v>
      </c>
      <c r="AT268">
        <v>110</v>
      </c>
      <c r="AU268" t="s">
        <v>3</v>
      </c>
      <c r="AV268">
        <v>0</v>
      </c>
      <c r="AW268">
        <v>1</v>
      </c>
      <c r="AX268">
        <v>-1</v>
      </c>
      <c r="AY268">
        <v>0</v>
      </c>
      <c r="AZ268">
        <v>0</v>
      </c>
      <c r="BA268" t="s">
        <v>3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CX268">
        <f>Y268*Source!I706</f>
        <v>27.741999999999997</v>
      </c>
      <c r="CY268">
        <f>AA268</f>
        <v>553.35</v>
      </c>
      <c r="CZ268">
        <f>AE268</f>
        <v>104.99</v>
      </c>
      <c r="DA268">
        <f>AI268</f>
        <v>5.26</v>
      </c>
      <c r="DB268">
        <f t="shared" si="25"/>
        <v>11548.9</v>
      </c>
      <c r="DC268">
        <f t="shared" si="26"/>
        <v>0</v>
      </c>
    </row>
    <row r="269" spans="1:107" x14ac:dyDescent="0.2">
      <c r="A269">
        <f>ROW(Source!A708)</f>
        <v>708</v>
      </c>
      <c r="B269">
        <v>33989672</v>
      </c>
      <c r="C269">
        <v>33992599</v>
      </c>
      <c r="D269">
        <v>29983441</v>
      </c>
      <c r="E269">
        <v>29983435</v>
      </c>
      <c r="F269">
        <v>1</v>
      </c>
      <c r="G269">
        <v>29983435</v>
      </c>
      <c r="H269">
        <v>1</v>
      </c>
      <c r="I269" t="s">
        <v>646</v>
      </c>
      <c r="J269" t="s">
        <v>3</v>
      </c>
      <c r="K269" t="s">
        <v>647</v>
      </c>
      <c r="L269">
        <v>1191</v>
      </c>
      <c r="N269">
        <v>1013</v>
      </c>
      <c r="O269" t="s">
        <v>648</v>
      </c>
      <c r="P269" t="s">
        <v>648</v>
      </c>
      <c r="Q269">
        <v>1</v>
      </c>
      <c r="W269">
        <v>0</v>
      </c>
      <c r="X269">
        <v>476480486</v>
      </c>
      <c r="Y269">
        <v>63.44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1</v>
      </c>
      <c r="AJ269">
        <v>1</v>
      </c>
      <c r="AK269">
        <v>1</v>
      </c>
      <c r="AL269">
        <v>1</v>
      </c>
      <c r="AN269">
        <v>0</v>
      </c>
      <c r="AO269">
        <v>1</v>
      </c>
      <c r="AP269">
        <v>0</v>
      </c>
      <c r="AQ269">
        <v>0</v>
      </c>
      <c r="AR269">
        <v>0</v>
      </c>
      <c r="AS269" t="s">
        <v>3</v>
      </c>
      <c r="AT269">
        <v>63.44</v>
      </c>
      <c r="AU269" t="s">
        <v>3</v>
      </c>
      <c r="AV269">
        <v>1</v>
      </c>
      <c r="AW269">
        <v>2</v>
      </c>
      <c r="AX269">
        <v>33992609</v>
      </c>
      <c r="AY269">
        <v>1</v>
      </c>
      <c r="AZ269">
        <v>0</v>
      </c>
      <c r="BA269">
        <v>270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CX269">
        <f>Y269*Source!I708</f>
        <v>799.97839999999997</v>
      </c>
      <c r="CY269">
        <f>AD269</f>
        <v>0</v>
      </c>
      <c r="CZ269">
        <f>AH269</f>
        <v>0</v>
      </c>
      <c r="DA269">
        <f>AL269</f>
        <v>1</v>
      </c>
      <c r="DB269">
        <f t="shared" ref="DB269:DB300" si="27">ROUND(ROUND(AT269*CZ269,2),6)</f>
        <v>0</v>
      </c>
      <c r="DC269">
        <f t="shared" ref="DC269:DC300" si="28">ROUND(ROUND(AT269*AG269,2),6)</f>
        <v>0</v>
      </c>
    </row>
    <row r="270" spans="1:107" x14ac:dyDescent="0.2">
      <c r="A270">
        <f>ROW(Source!A708)</f>
        <v>708</v>
      </c>
      <c r="B270">
        <v>33989672</v>
      </c>
      <c r="C270">
        <v>33992599</v>
      </c>
      <c r="D270">
        <v>30064095</v>
      </c>
      <c r="E270">
        <v>1</v>
      </c>
      <c r="F270">
        <v>1</v>
      </c>
      <c r="G270">
        <v>29983435</v>
      </c>
      <c r="H270">
        <v>2</v>
      </c>
      <c r="I270" t="s">
        <v>680</v>
      </c>
      <c r="J270" t="s">
        <v>681</v>
      </c>
      <c r="K270" t="s">
        <v>682</v>
      </c>
      <c r="L270">
        <v>1367</v>
      </c>
      <c r="N270">
        <v>1011</v>
      </c>
      <c r="O270" t="s">
        <v>652</v>
      </c>
      <c r="P270" t="s">
        <v>652</v>
      </c>
      <c r="Q270">
        <v>1</v>
      </c>
      <c r="W270">
        <v>0</v>
      </c>
      <c r="X270">
        <v>-628430174</v>
      </c>
      <c r="Y270">
        <v>0.14000000000000001</v>
      </c>
      <c r="AA270">
        <v>0</v>
      </c>
      <c r="AB270">
        <v>755.14</v>
      </c>
      <c r="AC270">
        <v>368.81</v>
      </c>
      <c r="AD270">
        <v>0</v>
      </c>
      <c r="AE270">
        <v>0</v>
      </c>
      <c r="AF270">
        <v>76.81</v>
      </c>
      <c r="AG270">
        <v>14.36</v>
      </c>
      <c r="AH270">
        <v>0</v>
      </c>
      <c r="AI270">
        <v>1</v>
      </c>
      <c r="AJ270">
        <v>9.39</v>
      </c>
      <c r="AK270">
        <v>24.53</v>
      </c>
      <c r="AL270">
        <v>1</v>
      </c>
      <c r="AN270">
        <v>0</v>
      </c>
      <c r="AO270">
        <v>1</v>
      </c>
      <c r="AP270">
        <v>0</v>
      </c>
      <c r="AQ270">
        <v>0</v>
      </c>
      <c r="AR270">
        <v>0</v>
      </c>
      <c r="AS270" t="s">
        <v>3</v>
      </c>
      <c r="AT270">
        <v>0.14000000000000001</v>
      </c>
      <c r="AU270" t="s">
        <v>3</v>
      </c>
      <c r="AV270">
        <v>0</v>
      </c>
      <c r="AW270">
        <v>2</v>
      </c>
      <c r="AX270">
        <v>33992610</v>
      </c>
      <c r="AY270">
        <v>1</v>
      </c>
      <c r="AZ270">
        <v>0</v>
      </c>
      <c r="BA270">
        <v>271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CX270">
        <f>Y270*Source!I708</f>
        <v>1.7654000000000001</v>
      </c>
      <c r="CY270">
        <f>AB270</f>
        <v>755.14</v>
      </c>
      <c r="CZ270">
        <f>AF270</f>
        <v>76.81</v>
      </c>
      <c r="DA270">
        <f>AJ270</f>
        <v>9.39</v>
      </c>
      <c r="DB270">
        <f t="shared" si="27"/>
        <v>10.75</v>
      </c>
      <c r="DC270">
        <f t="shared" si="28"/>
        <v>2.0099999999999998</v>
      </c>
    </row>
    <row r="271" spans="1:107" x14ac:dyDescent="0.2">
      <c r="A271">
        <f>ROW(Source!A708)</f>
        <v>708</v>
      </c>
      <c r="B271">
        <v>33989672</v>
      </c>
      <c r="C271">
        <v>33992599</v>
      </c>
      <c r="D271">
        <v>30063337</v>
      </c>
      <c r="E271">
        <v>1</v>
      </c>
      <c r="F271">
        <v>1</v>
      </c>
      <c r="G271">
        <v>29983435</v>
      </c>
      <c r="H271">
        <v>2</v>
      </c>
      <c r="I271" t="s">
        <v>729</v>
      </c>
      <c r="J271" t="s">
        <v>730</v>
      </c>
      <c r="K271" t="s">
        <v>731</v>
      </c>
      <c r="L271">
        <v>1367</v>
      </c>
      <c r="N271">
        <v>1011</v>
      </c>
      <c r="O271" t="s">
        <v>652</v>
      </c>
      <c r="P271" t="s">
        <v>652</v>
      </c>
      <c r="Q271">
        <v>1</v>
      </c>
      <c r="W271">
        <v>0</v>
      </c>
      <c r="X271">
        <v>-266174272</v>
      </c>
      <c r="Y271">
        <v>0.14000000000000001</v>
      </c>
      <c r="AA271">
        <v>0</v>
      </c>
      <c r="AB271">
        <v>1655.2</v>
      </c>
      <c r="AC271">
        <v>466.14</v>
      </c>
      <c r="AD271">
        <v>0</v>
      </c>
      <c r="AE271">
        <v>0</v>
      </c>
      <c r="AF271">
        <v>190.93</v>
      </c>
      <c r="AG271">
        <v>18.149999999999999</v>
      </c>
      <c r="AH271">
        <v>0</v>
      </c>
      <c r="AI271">
        <v>1</v>
      </c>
      <c r="AJ271">
        <v>8.2799999999999994</v>
      </c>
      <c r="AK271">
        <v>24.53</v>
      </c>
      <c r="AL271">
        <v>1</v>
      </c>
      <c r="AN271">
        <v>0</v>
      </c>
      <c r="AO271">
        <v>1</v>
      </c>
      <c r="AP271">
        <v>0</v>
      </c>
      <c r="AQ271">
        <v>0</v>
      </c>
      <c r="AR271">
        <v>0</v>
      </c>
      <c r="AS271" t="s">
        <v>3</v>
      </c>
      <c r="AT271">
        <v>0.14000000000000001</v>
      </c>
      <c r="AU271" t="s">
        <v>3</v>
      </c>
      <c r="AV271">
        <v>0</v>
      </c>
      <c r="AW271">
        <v>2</v>
      </c>
      <c r="AX271">
        <v>33992611</v>
      </c>
      <c r="AY271">
        <v>1</v>
      </c>
      <c r="AZ271">
        <v>0</v>
      </c>
      <c r="BA271">
        <v>272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CX271">
        <f>Y271*Source!I708</f>
        <v>1.7654000000000001</v>
      </c>
      <c r="CY271">
        <f>AB271</f>
        <v>1655.2</v>
      </c>
      <c r="CZ271">
        <f>AF271</f>
        <v>190.93</v>
      </c>
      <c r="DA271">
        <f>AJ271</f>
        <v>8.2799999999999994</v>
      </c>
      <c r="DB271">
        <f t="shared" si="27"/>
        <v>26.73</v>
      </c>
      <c r="DC271">
        <f t="shared" si="28"/>
        <v>2.54</v>
      </c>
    </row>
    <row r="272" spans="1:107" x14ac:dyDescent="0.2">
      <c r="A272">
        <f>ROW(Source!A708)</f>
        <v>708</v>
      </c>
      <c r="B272">
        <v>33989672</v>
      </c>
      <c r="C272">
        <v>33992599</v>
      </c>
      <c r="D272">
        <v>30063432</v>
      </c>
      <c r="E272">
        <v>1</v>
      </c>
      <c r="F272">
        <v>1</v>
      </c>
      <c r="G272">
        <v>29983435</v>
      </c>
      <c r="H272">
        <v>2</v>
      </c>
      <c r="I272" t="s">
        <v>754</v>
      </c>
      <c r="J272" t="s">
        <v>755</v>
      </c>
      <c r="K272" t="s">
        <v>756</v>
      </c>
      <c r="L272">
        <v>1367</v>
      </c>
      <c r="N272">
        <v>1011</v>
      </c>
      <c r="O272" t="s">
        <v>652</v>
      </c>
      <c r="P272" t="s">
        <v>652</v>
      </c>
      <c r="Q272">
        <v>1</v>
      </c>
      <c r="W272">
        <v>0</v>
      </c>
      <c r="X272">
        <v>482200787</v>
      </c>
      <c r="Y272">
        <v>0.22</v>
      </c>
      <c r="AA272">
        <v>0</v>
      </c>
      <c r="AB272">
        <v>742.91</v>
      </c>
      <c r="AC272">
        <v>434.04</v>
      </c>
      <c r="AD272">
        <v>0</v>
      </c>
      <c r="AE272">
        <v>0</v>
      </c>
      <c r="AF272">
        <v>73</v>
      </c>
      <c r="AG272">
        <v>16.899999999999999</v>
      </c>
      <c r="AH272">
        <v>0</v>
      </c>
      <c r="AI272">
        <v>1</v>
      </c>
      <c r="AJ272">
        <v>9.7200000000000006</v>
      </c>
      <c r="AK272">
        <v>24.53</v>
      </c>
      <c r="AL272">
        <v>1</v>
      </c>
      <c r="AN272">
        <v>0</v>
      </c>
      <c r="AO272">
        <v>1</v>
      </c>
      <c r="AP272">
        <v>0</v>
      </c>
      <c r="AQ272">
        <v>0</v>
      </c>
      <c r="AR272">
        <v>0</v>
      </c>
      <c r="AS272" t="s">
        <v>3</v>
      </c>
      <c r="AT272">
        <v>0.22</v>
      </c>
      <c r="AU272" t="s">
        <v>3</v>
      </c>
      <c r="AV272">
        <v>0</v>
      </c>
      <c r="AW272">
        <v>2</v>
      </c>
      <c r="AX272">
        <v>33992612</v>
      </c>
      <c r="AY272">
        <v>1</v>
      </c>
      <c r="AZ272">
        <v>0</v>
      </c>
      <c r="BA272">
        <v>273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CX272">
        <f>Y272*Source!I708</f>
        <v>2.7742</v>
      </c>
      <c r="CY272">
        <f>AB272</f>
        <v>742.91</v>
      </c>
      <c r="CZ272">
        <f>AF272</f>
        <v>73</v>
      </c>
      <c r="DA272">
        <f>AJ272</f>
        <v>9.7200000000000006</v>
      </c>
      <c r="DB272">
        <f t="shared" si="27"/>
        <v>16.059999999999999</v>
      </c>
      <c r="DC272">
        <f t="shared" si="28"/>
        <v>3.72</v>
      </c>
    </row>
    <row r="273" spans="1:107" x14ac:dyDescent="0.2">
      <c r="A273">
        <f>ROW(Source!A708)</f>
        <v>708</v>
      </c>
      <c r="B273">
        <v>33989672</v>
      </c>
      <c r="C273">
        <v>33992599</v>
      </c>
      <c r="D273">
        <v>30042524</v>
      </c>
      <c r="E273">
        <v>1</v>
      </c>
      <c r="F273">
        <v>1</v>
      </c>
      <c r="G273">
        <v>29983435</v>
      </c>
      <c r="H273">
        <v>3</v>
      </c>
      <c r="I273" t="s">
        <v>757</v>
      </c>
      <c r="J273" t="s">
        <v>758</v>
      </c>
      <c r="K273" t="s">
        <v>759</v>
      </c>
      <c r="L273">
        <v>1348</v>
      </c>
      <c r="N273">
        <v>1009</v>
      </c>
      <c r="O273" t="s">
        <v>51</v>
      </c>
      <c r="P273" t="s">
        <v>51</v>
      </c>
      <c r="Q273">
        <v>1000</v>
      </c>
      <c r="W273">
        <v>0</v>
      </c>
      <c r="X273">
        <v>563176784</v>
      </c>
      <c r="Y273">
        <v>1E-3</v>
      </c>
      <c r="AA273">
        <v>52258.75</v>
      </c>
      <c r="AB273">
        <v>0</v>
      </c>
      <c r="AC273">
        <v>0</v>
      </c>
      <c r="AD273">
        <v>0</v>
      </c>
      <c r="AE273">
        <v>6521.42</v>
      </c>
      <c r="AF273">
        <v>0</v>
      </c>
      <c r="AG273">
        <v>0</v>
      </c>
      <c r="AH273">
        <v>0</v>
      </c>
      <c r="AI273">
        <v>7.78</v>
      </c>
      <c r="AJ273">
        <v>1</v>
      </c>
      <c r="AK273">
        <v>1</v>
      </c>
      <c r="AL273">
        <v>1</v>
      </c>
      <c r="AN273">
        <v>0</v>
      </c>
      <c r="AO273">
        <v>1</v>
      </c>
      <c r="AP273">
        <v>0</v>
      </c>
      <c r="AQ273">
        <v>0</v>
      </c>
      <c r="AR273">
        <v>0</v>
      </c>
      <c r="AS273" t="s">
        <v>3</v>
      </c>
      <c r="AT273">
        <v>1E-3</v>
      </c>
      <c r="AU273" t="s">
        <v>3</v>
      </c>
      <c r="AV273">
        <v>0</v>
      </c>
      <c r="AW273">
        <v>2</v>
      </c>
      <c r="AX273">
        <v>33992613</v>
      </c>
      <c r="AY273">
        <v>1</v>
      </c>
      <c r="AZ273">
        <v>0</v>
      </c>
      <c r="BA273">
        <v>274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CX273">
        <f>Y273*Source!I708</f>
        <v>1.261E-2</v>
      </c>
      <c r="CY273">
        <f>AA273</f>
        <v>52258.75</v>
      </c>
      <c r="CZ273">
        <f>AE273</f>
        <v>6521.42</v>
      </c>
      <c r="DA273">
        <f>AI273</f>
        <v>7.78</v>
      </c>
      <c r="DB273">
        <f t="shared" si="27"/>
        <v>6.52</v>
      </c>
      <c r="DC273">
        <f t="shared" si="28"/>
        <v>0</v>
      </c>
    </row>
    <row r="274" spans="1:107" x14ac:dyDescent="0.2">
      <c r="A274">
        <f>ROW(Source!A708)</f>
        <v>708</v>
      </c>
      <c r="B274">
        <v>33989672</v>
      </c>
      <c r="C274">
        <v>33992599</v>
      </c>
      <c r="D274">
        <v>30042430</v>
      </c>
      <c r="E274">
        <v>1</v>
      </c>
      <c r="F274">
        <v>1</v>
      </c>
      <c r="G274">
        <v>29983435</v>
      </c>
      <c r="H274">
        <v>3</v>
      </c>
      <c r="I274" t="s">
        <v>760</v>
      </c>
      <c r="J274" t="s">
        <v>761</v>
      </c>
      <c r="K274" t="s">
        <v>762</v>
      </c>
      <c r="L274">
        <v>1339</v>
      </c>
      <c r="N274">
        <v>1007</v>
      </c>
      <c r="O274" t="s">
        <v>66</v>
      </c>
      <c r="P274" t="s">
        <v>66</v>
      </c>
      <c r="Q274">
        <v>1</v>
      </c>
      <c r="W274">
        <v>0</v>
      </c>
      <c r="X274">
        <v>-164923881</v>
      </c>
      <c r="Y274">
        <v>0.17</v>
      </c>
      <c r="AA274">
        <v>3126.47</v>
      </c>
      <c r="AB274">
        <v>0</v>
      </c>
      <c r="AC274">
        <v>0</v>
      </c>
      <c r="AD274">
        <v>0</v>
      </c>
      <c r="AE274">
        <v>1828.56</v>
      </c>
      <c r="AF274">
        <v>0</v>
      </c>
      <c r="AG274">
        <v>0</v>
      </c>
      <c r="AH274">
        <v>0</v>
      </c>
      <c r="AI274">
        <v>1.66</v>
      </c>
      <c r="AJ274">
        <v>1</v>
      </c>
      <c r="AK274">
        <v>1</v>
      </c>
      <c r="AL274">
        <v>1</v>
      </c>
      <c r="AN274">
        <v>0</v>
      </c>
      <c r="AO274">
        <v>1</v>
      </c>
      <c r="AP274">
        <v>0</v>
      </c>
      <c r="AQ274">
        <v>0</v>
      </c>
      <c r="AR274">
        <v>0</v>
      </c>
      <c r="AS274" t="s">
        <v>3</v>
      </c>
      <c r="AT274">
        <v>0.17</v>
      </c>
      <c r="AU274" t="s">
        <v>3</v>
      </c>
      <c r="AV274">
        <v>0</v>
      </c>
      <c r="AW274">
        <v>2</v>
      </c>
      <c r="AX274">
        <v>33992614</v>
      </c>
      <c r="AY274">
        <v>1</v>
      </c>
      <c r="AZ274">
        <v>0</v>
      </c>
      <c r="BA274">
        <v>275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CX274">
        <f>Y274*Source!I708</f>
        <v>2.1436999999999999</v>
      </c>
      <c r="CY274">
        <f>AA274</f>
        <v>3126.47</v>
      </c>
      <c r="CZ274">
        <f>AE274</f>
        <v>1828.56</v>
      </c>
      <c r="DA274">
        <f>AI274</f>
        <v>1.66</v>
      </c>
      <c r="DB274">
        <f t="shared" si="27"/>
        <v>310.86</v>
      </c>
      <c r="DC274">
        <f t="shared" si="28"/>
        <v>0</v>
      </c>
    </row>
    <row r="275" spans="1:107" x14ac:dyDescent="0.2">
      <c r="A275">
        <f>ROW(Source!A708)</f>
        <v>708</v>
      </c>
      <c r="B275">
        <v>33989672</v>
      </c>
      <c r="C275">
        <v>33992599</v>
      </c>
      <c r="D275">
        <v>30057410</v>
      </c>
      <c r="E275">
        <v>1</v>
      </c>
      <c r="F275">
        <v>1</v>
      </c>
      <c r="G275">
        <v>29983435</v>
      </c>
      <c r="H275">
        <v>3</v>
      </c>
      <c r="I275" t="s">
        <v>732</v>
      </c>
      <c r="J275" t="s">
        <v>733</v>
      </c>
      <c r="K275" t="s">
        <v>734</v>
      </c>
      <c r="L275">
        <v>1339</v>
      </c>
      <c r="N275">
        <v>1007</v>
      </c>
      <c r="O275" t="s">
        <v>66</v>
      </c>
      <c r="P275" t="s">
        <v>66</v>
      </c>
      <c r="Q275">
        <v>1</v>
      </c>
      <c r="W275">
        <v>0</v>
      </c>
      <c r="X275">
        <v>-758282629</v>
      </c>
      <c r="Y275">
        <v>4.8</v>
      </c>
      <c r="AA275">
        <v>4334.4399999999996</v>
      </c>
      <c r="AB275">
        <v>0</v>
      </c>
      <c r="AC275">
        <v>0</v>
      </c>
      <c r="AD275">
        <v>0</v>
      </c>
      <c r="AE275">
        <v>704.89</v>
      </c>
      <c r="AF275">
        <v>0</v>
      </c>
      <c r="AG275">
        <v>0</v>
      </c>
      <c r="AH275">
        <v>0</v>
      </c>
      <c r="AI275">
        <v>5.97</v>
      </c>
      <c r="AJ275">
        <v>1</v>
      </c>
      <c r="AK275">
        <v>1</v>
      </c>
      <c r="AL275">
        <v>1</v>
      </c>
      <c r="AN275">
        <v>0</v>
      </c>
      <c r="AO275">
        <v>1</v>
      </c>
      <c r="AP275">
        <v>0</v>
      </c>
      <c r="AQ275">
        <v>0</v>
      </c>
      <c r="AR275">
        <v>0</v>
      </c>
      <c r="AS275" t="s">
        <v>3</v>
      </c>
      <c r="AT275">
        <v>4.8</v>
      </c>
      <c r="AU275" t="s">
        <v>3</v>
      </c>
      <c r="AV275">
        <v>0</v>
      </c>
      <c r="AW275">
        <v>2</v>
      </c>
      <c r="AX275">
        <v>33992615</v>
      </c>
      <c r="AY275">
        <v>1</v>
      </c>
      <c r="AZ275">
        <v>0</v>
      </c>
      <c r="BA275">
        <v>276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CX275">
        <f>Y275*Source!I708</f>
        <v>60.527999999999992</v>
      </c>
      <c r="CY275">
        <f>AA275</f>
        <v>4334.4399999999996</v>
      </c>
      <c r="CZ275">
        <f>AE275</f>
        <v>704.89</v>
      </c>
      <c r="DA275">
        <f>AI275</f>
        <v>5.97</v>
      </c>
      <c r="DB275">
        <f t="shared" si="27"/>
        <v>3383.47</v>
      </c>
      <c r="DC275">
        <f t="shared" si="28"/>
        <v>0</v>
      </c>
    </row>
    <row r="276" spans="1:107" x14ac:dyDescent="0.2">
      <c r="A276">
        <f>ROW(Source!A708)</f>
        <v>708</v>
      </c>
      <c r="B276">
        <v>33989672</v>
      </c>
      <c r="C276">
        <v>33992599</v>
      </c>
      <c r="D276">
        <v>30057544</v>
      </c>
      <c r="E276">
        <v>1</v>
      </c>
      <c r="F276">
        <v>1</v>
      </c>
      <c r="G276">
        <v>29983435</v>
      </c>
      <c r="H276">
        <v>3</v>
      </c>
      <c r="I276" t="s">
        <v>735</v>
      </c>
      <c r="J276" t="s">
        <v>736</v>
      </c>
      <c r="K276" t="s">
        <v>737</v>
      </c>
      <c r="L276">
        <v>1339</v>
      </c>
      <c r="N276">
        <v>1007</v>
      </c>
      <c r="O276" t="s">
        <v>66</v>
      </c>
      <c r="P276" t="s">
        <v>66</v>
      </c>
      <c r="Q276">
        <v>1</v>
      </c>
      <c r="W276">
        <v>0</v>
      </c>
      <c r="X276">
        <v>-718781615</v>
      </c>
      <c r="Y276">
        <v>0.02</v>
      </c>
      <c r="AA276">
        <v>3406.06</v>
      </c>
      <c r="AB276">
        <v>0</v>
      </c>
      <c r="AC276">
        <v>0</v>
      </c>
      <c r="AD276">
        <v>0</v>
      </c>
      <c r="AE276">
        <v>451.14</v>
      </c>
      <c r="AF276">
        <v>0</v>
      </c>
      <c r="AG276">
        <v>0</v>
      </c>
      <c r="AH276">
        <v>0</v>
      </c>
      <c r="AI276">
        <v>7.33</v>
      </c>
      <c r="AJ276">
        <v>1</v>
      </c>
      <c r="AK276">
        <v>1</v>
      </c>
      <c r="AL276">
        <v>1</v>
      </c>
      <c r="AN276">
        <v>0</v>
      </c>
      <c r="AO276">
        <v>1</v>
      </c>
      <c r="AP276">
        <v>0</v>
      </c>
      <c r="AQ276">
        <v>0</v>
      </c>
      <c r="AR276">
        <v>0</v>
      </c>
      <c r="AS276" t="s">
        <v>3</v>
      </c>
      <c r="AT276">
        <v>0.02</v>
      </c>
      <c r="AU276" t="s">
        <v>3</v>
      </c>
      <c r="AV276">
        <v>0</v>
      </c>
      <c r="AW276">
        <v>2</v>
      </c>
      <c r="AX276">
        <v>33992616</v>
      </c>
      <c r="AY276">
        <v>1</v>
      </c>
      <c r="AZ276">
        <v>0</v>
      </c>
      <c r="BA276">
        <v>277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CX276">
        <f>Y276*Source!I708</f>
        <v>0.25219999999999998</v>
      </c>
      <c r="CY276">
        <f>AA276</f>
        <v>3406.06</v>
      </c>
      <c r="CZ276">
        <f>AE276</f>
        <v>451.14</v>
      </c>
      <c r="DA276">
        <f>AI276</f>
        <v>7.33</v>
      </c>
      <c r="DB276">
        <f t="shared" si="27"/>
        <v>9.02</v>
      </c>
      <c r="DC276">
        <f t="shared" si="28"/>
        <v>0</v>
      </c>
    </row>
    <row r="277" spans="1:107" x14ac:dyDescent="0.2">
      <c r="A277">
        <f>ROW(Source!A708)</f>
        <v>708</v>
      </c>
      <c r="B277">
        <v>33989672</v>
      </c>
      <c r="C277">
        <v>33992599</v>
      </c>
      <c r="D277">
        <v>30059518</v>
      </c>
      <c r="E277">
        <v>1</v>
      </c>
      <c r="F277">
        <v>1</v>
      </c>
      <c r="G277">
        <v>29983435</v>
      </c>
      <c r="H277">
        <v>3</v>
      </c>
      <c r="I277" t="s">
        <v>255</v>
      </c>
      <c r="J277" t="s">
        <v>257</v>
      </c>
      <c r="K277" t="s">
        <v>256</v>
      </c>
      <c r="L277">
        <v>1339</v>
      </c>
      <c r="N277">
        <v>1007</v>
      </c>
      <c r="O277" t="s">
        <v>66</v>
      </c>
      <c r="P277" t="s">
        <v>66</v>
      </c>
      <c r="Q277">
        <v>1</v>
      </c>
      <c r="W277">
        <v>0</v>
      </c>
      <c r="X277">
        <v>889553512</v>
      </c>
      <c r="Y277">
        <v>1.6</v>
      </c>
      <c r="AA277">
        <v>8772.49</v>
      </c>
      <c r="AB277">
        <v>0</v>
      </c>
      <c r="AC277">
        <v>0</v>
      </c>
      <c r="AD277">
        <v>0</v>
      </c>
      <c r="AE277">
        <v>2385.71</v>
      </c>
      <c r="AF277">
        <v>0</v>
      </c>
      <c r="AG277">
        <v>0</v>
      </c>
      <c r="AH277">
        <v>0</v>
      </c>
      <c r="AI277">
        <v>3.57</v>
      </c>
      <c r="AJ277">
        <v>1</v>
      </c>
      <c r="AK277">
        <v>1</v>
      </c>
      <c r="AL277">
        <v>1</v>
      </c>
      <c r="AN277">
        <v>0</v>
      </c>
      <c r="AO277">
        <v>0</v>
      </c>
      <c r="AP277">
        <v>0</v>
      </c>
      <c r="AQ277">
        <v>0</v>
      </c>
      <c r="AR277">
        <v>0</v>
      </c>
      <c r="AS277" t="s">
        <v>3</v>
      </c>
      <c r="AT277">
        <v>1.6</v>
      </c>
      <c r="AU277" t="s">
        <v>3</v>
      </c>
      <c r="AV277">
        <v>0</v>
      </c>
      <c r="AW277">
        <v>1</v>
      </c>
      <c r="AX277">
        <v>-1</v>
      </c>
      <c r="AY277">
        <v>0</v>
      </c>
      <c r="AZ277">
        <v>0</v>
      </c>
      <c r="BA277" t="s">
        <v>3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CX277">
        <f>Y277*Source!I708</f>
        <v>20.176000000000002</v>
      </c>
      <c r="CY277">
        <f>AA277</f>
        <v>8772.49</v>
      </c>
      <c r="CZ277">
        <f>AE277</f>
        <v>2385.71</v>
      </c>
      <c r="DA277">
        <f>AI277</f>
        <v>3.57</v>
      </c>
      <c r="DB277">
        <f t="shared" si="27"/>
        <v>3817.14</v>
      </c>
      <c r="DC277">
        <f t="shared" si="28"/>
        <v>0</v>
      </c>
    </row>
    <row r="278" spans="1:107" x14ac:dyDescent="0.2">
      <c r="A278">
        <f>ROW(Source!A780)</f>
        <v>780</v>
      </c>
      <c r="B278">
        <v>33989672</v>
      </c>
      <c r="C278">
        <v>33992619</v>
      </c>
      <c r="D278">
        <v>29983441</v>
      </c>
      <c r="E278">
        <v>29983435</v>
      </c>
      <c r="F278">
        <v>1</v>
      </c>
      <c r="G278">
        <v>29983435</v>
      </c>
      <c r="H278">
        <v>1</v>
      </c>
      <c r="I278" t="s">
        <v>646</v>
      </c>
      <c r="J278" t="s">
        <v>3</v>
      </c>
      <c r="K278" t="s">
        <v>647</v>
      </c>
      <c r="L278">
        <v>1191</v>
      </c>
      <c r="N278">
        <v>1013</v>
      </c>
      <c r="O278" t="s">
        <v>648</v>
      </c>
      <c r="P278" t="s">
        <v>648</v>
      </c>
      <c r="Q278">
        <v>1</v>
      </c>
      <c r="W278">
        <v>0</v>
      </c>
      <c r="X278">
        <v>476480486</v>
      </c>
      <c r="Y278">
        <v>57.5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1</v>
      </c>
      <c r="AJ278">
        <v>1</v>
      </c>
      <c r="AK278">
        <v>1</v>
      </c>
      <c r="AL278">
        <v>1</v>
      </c>
      <c r="AN278">
        <v>0</v>
      </c>
      <c r="AO278">
        <v>1</v>
      </c>
      <c r="AP278">
        <v>0</v>
      </c>
      <c r="AQ278">
        <v>0</v>
      </c>
      <c r="AR278">
        <v>0</v>
      </c>
      <c r="AS278" t="s">
        <v>3</v>
      </c>
      <c r="AT278">
        <v>57.5</v>
      </c>
      <c r="AU278" t="s">
        <v>3</v>
      </c>
      <c r="AV278">
        <v>1</v>
      </c>
      <c r="AW278">
        <v>2</v>
      </c>
      <c r="AX278">
        <v>33992622</v>
      </c>
      <c r="AY278">
        <v>1</v>
      </c>
      <c r="AZ278">
        <v>0</v>
      </c>
      <c r="BA278">
        <v>279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CX278">
        <f>Y278*Source!I780</f>
        <v>17.25</v>
      </c>
      <c r="CY278">
        <f>AD278</f>
        <v>0</v>
      </c>
      <c r="CZ278">
        <f>AH278</f>
        <v>0</v>
      </c>
      <c r="DA278">
        <f>AL278</f>
        <v>1</v>
      </c>
      <c r="DB278">
        <f t="shared" si="27"/>
        <v>0</v>
      </c>
      <c r="DC278">
        <f t="shared" si="28"/>
        <v>0</v>
      </c>
    </row>
    <row r="279" spans="1:107" x14ac:dyDescent="0.2">
      <c r="A279">
        <f>ROW(Source!A780)</f>
        <v>780</v>
      </c>
      <c r="B279">
        <v>33989672</v>
      </c>
      <c r="C279">
        <v>33992619</v>
      </c>
      <c r="D279">
        <v>29983458</v>
      </c>
      <c r="E279">
        <v>29983435</v>
      </c>
      <c r="F279">
        <v>1</v>
      </c>
      <c r="G279">
        <v>29983435</v>
      </c>
      <c r="H279">
        <v>3</v>
      </c>
      <c r="I279" t="s">
        <v>787</v>
      </c>
      <c r="J279" t="s">
        <v>3</v>
      </c>
      <c r="K279" t="s">
        <v>788</v>
      </c>
      <c r="L279">
        <v>1348</v>
      </c>
      <c r="N279">
        <v>1009</v>
      </c>
      <c r="O279" t="s">
        <v>51</v>
      </c>
      <c r="P279" t="s">
        <v>51</v>
      </c>
      <c r="Q279">
        <v>1000</v>
      </c>
      <c r="W279">
        <v>0</v>
      </c>
      <c r="X279">
        <v>1489638031</v>
      </c>
      <c r="Y279">
        <v>4.5999999999999996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1</v>
      </c>
      <c r="AJ279">
        <v>1</v>
      </c>
      <c r="AK279">
        <v>1</v>
      </c>
      <c r="AL279">
        <v>1</v>
      </c>
      <c r="AN279">
        <v>0</v>
      </c>
      <c r="AO279">
        <v>1</v>
      </c>
      <c r="AP279">
        <v>0</v>
      </c>
      <c r="AQ279">
        <v>0</v>
      </c>
      <c r="AR279">
        <v>0</v>
      </c>
      <c r="AS279" t="s">
        <v>3</v>
      </c>
      <c r="AT279">
        <v>4.5999999999999996</v>
      </c>
      <c r="AU279" t="s">
        <v>3</v>
      </c>
      <c r="AV279">
        <v>0</v>
      </c>
      <c r="AW279">
        <v>2</v>
      </c>
      <c r="AX279">
        <v>33992623</v>
      </c>
      <c r="AY279">
        <v>1</v>
      </c>
      <c r="AZ279">
        <v>0</v>
      </c>
      <c r="BA279">
        <v>280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CX279">
        <f>Y279*Source!I780</f>
        <v>1.38</v>
      </c>
      <c r="CY279">
        <f>AA279</f>
        <v>0</v>
      </c>
      <c r="CZ279">
        <f>AE279</f>
        <v>0</v>
      </c>
      <c r="DA279">
        <f>AI279</f>
        <v>1</v>
      </c>
      <c r="DB279">
        <f t="shared" si="27"/>
        <v>0</v>
      </c>
      <c r="DC279">
        <f t="shared" si="28"/>
        <v>0</v>
      </c>
    </row>
    <row r="280" spans="1:107" x14ac:dyDescent="0.2">
      <c r="A280">
        <f>ROW(Source!A781)</f>
        <v>781</v>
      </c>
      <c r="B280">
        <v>33989672</v>
      </c>
      <c r="C280">
        <v>33992624</v>
      </c>
      <c r="D280">
        <v>29983441</v>
      </c>
      <c r="E280">
        <v>29983435</v>
      </c>
      <c r="F280">
        <v>1</v>
      </c>
      <c r="G280">
        <v>29983435</v>
      </c>
      <c r="H280">
        <v>1</v>
      </c>
      <c r="I280" t="s">
        <v>646</v>
      </c>
      <c r="J280" t="s">
        <v>3</v>
      </c>
      <c r="K280" t="s">
        <v>647</v>
      </c>
      <c r="L280">
        <v>1191</v>
      </c>
      <c r="N280">
        <v>1013</v>
      </c>
      <c r="O280" t="s">
        <v>648</v>
      </c>
      <c r="P280" t="s">
        <v>648</v>
      </c>
      <c r="Q280">
        <v>1</v>
      </c>
      <c r="W280">
        <v>0</v>
      </c>
      <c r="X280">
        <v>476480486</v>
      </c>
      <c r="Y280">
        <v>1.02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1</v>
      </c>
      <c r="AJ280">
        <v>1</v>
      </c>
      <c r="AK280">
        <v>1</v>
      </c>
      <c r="AL280">
        <v>1</v>
      </c>
      <c r="AN280">
        <v>0</v>
      </c>
      <c r="AO280">
        <v>1</v>
      </c>
      <c r="AP280">
        <v>0</v>
      </c>
      <c r="AQ280">
        <v>0</v>
      </c>
      <c r="AR280">
        <v>0</v>
      </c>
      <c r="AS280" t="s">
        <v>3</v>
      </c>
      <c r="AT280">
        <v>1.02</v>
      </c>
      <c r="AU280" t="s">
        <v>3</v>
      </c>
      <c r="AV280">
        <v>1</v>
      </c>
      <c r="AW280">
        <v>2</v>
      </c>
      <c r="AX280">
        <v>34039119</v>
      </c>
      <c r="AY280">
        <v>1</v>
      </c>
      <c r="AZ280">
        <v>0</v>
      </c>
      <c r="BA280">
        <v>281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CX280">
        <f>Y280*Source!I781</f>
        <v>1.4076</v>
      </c>
      <c r="CY280">
        <f>AD280</f>
        <v>0</v>
      </c>
      <c r="CZ280">
        <f>AH280</f>
        <v>0</v>
      </c>
      <c r="DA280">
        <f>AL280</f>
        <v>1</v>
      </c>
      <c r="DB280">
        <f t="shared" si="27"/>
        <v>0</v>
      </c>
      <c r="DC280">
        <f t="shared" si="28"/>
        <v>0</v>
      </c>
    </row>
    <row r="281" spans="1:107" x14ac:dyDescent="0.2">
      <c r="A281">
        <f>ROW(Source!A782)</f>
        <v>782</v>
      </c>
      <c r="B281">
        <v>33989672</v>
      </c>
      <c r="C281">
        <v>33992627</v>
      </c>
      <c r="D281">
        <v>29983439</v>
      </c>
      <c r="E281">
        <v>29983435</v>
      </c>
      <c r="F281">
        <v>1</v>
      </c>
      <c r="G281">
        <v>29983435</v>
      </c>
      <c r="H281">
        <v>2</v>
      </c>
      <c r="I281" t="s">
        <v>674</v>
      </c>
      <c r="J281" t="s">
        <v>3</v>
      </c>
      <c r="K281" t="s">
        <v>675</v>
      </c>
      <c r="L281">
        <v>1344</v>
      </c>
      <c r="N281">
        <v>1008</v>
      </c>
      <c r="O281" t="s">
        <v>676</v>
      </c>
      <c r="P281" t="s">
        <v>676</v>
      </c>
      <c r="Q281">
        <v>1</v>
      </c>
      <c r="W281">
        <v>0</v>
      </c>
      <c r="X281">
        <v>-1180195794</v>
      </c>
      <c r="Y281">
        <v>32.270000000000003</v>
      </c>
      <c r="AA281">
        <v>0</v>
      </c>
      <c r="AB281">
        <v>1</v>
      </c>
      <c r="AC281">
        <v>0</v>
      </c>
      <c r="AD281">
        <v>0</v>
      </c>
      <c r="AE281">
        <v>0</v>
      </c>
      <c r="AF281">
        <v>1</v>
      </c>
      <c r="AG281">
        <v>0</v>
      </c>
      <c r="AH281">
        <v>0</v>
      </c>
      <c r="AI281">
        <v>1</v>
      </c>
      <c r="AJ281">
        <v>1</v>
      </c>
      <c r="AK281">
        <v>1</v>
      </c>
      <c r="AL281">
        <v>1</v>
      </c>
      <c r="AN281">
        <v>0</v>
      </c>
      <c r="AO281">
        <v>1</v>
      </c>
      <c r="AP281">
        <v>0</v>
      </c>
      <c r="AQ281">
        <v>0</v>
      </c>
      <c r="AR281">
        <v>0</v>
      </c>
      <c r="AS281" t="s">
        <v>3</v>
      </c>
      <c r="AT281">
        <v>32.270000000000003</v>
      </c>
      <c r="AU281" t="s">
        <v>3</v>
      </c>
      <c r="AV281">
        <v>0</v>
      </c>
      <c r="AW281">
        <v>2</v>
      </c>
      <c r="AX281">
        <v>33992629</v>
      </c>
      <c r="AY281">
        <v>1</v>
      </c>
      <c r="AZ281">
        <v>0</v>
      </c>
      <c r="BA281">
        <v>282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CX281">
        <f>Y281*Source!I782</f>
        <v>0</v>
      </c>
      <c r="CY281">
        <f>AB281</f>
        <v>1</v>
      </c>
      <c r="CZ281">
        <f>AF281</f>
        <v>1</v>
      </c>
      <c r="DA281">
        <f>AJ281</f>
        <v>1</v>
      </c>
      <c r="DB281">
        <f t="shared" si="27"/>
        <v>32.270000000000003</v>
      </c>
      <c r="DC281">
        <f t="shared" si="28"/>
        <v>0</v>
      </c>
    </row>
    <row r="282" spans="1:107" x14ac:dyDescent="0.2">
      <c r="A282">
        <f>ROW(Source!A783)</f>
        <v>783</v>
      </c>
      <c r="B282">
        <v>33989672</v>
      </c>
      <c r="C282">
        <v>33992630</v>
      </c>
      <c r="D282">
        <v>29983439</v>
      </c>
      <c r="E282">
        <v>29983435</v>
      </c>
      <c r="F282">
        <v>1</v>
      </c>
      <c r="G282">
        <v>29983435</v>
      </c>
      <c r="H282">
        <v>2</v>
      </c>
      <c r="I282" t="s">
        <v>674</v>
      </c>
      <c r="J282" t="s">
        <v>3</v>
      </c>
      <c r="K282" t="s">
        <v>675</v>
      </c>
      <c r="L282">
        <v>1344</v>
      </c>
      <c r="N282">
        <v>1008</v>
      </c>
      <c r="O282" t="s">
        <v>676</v>
      </c>
      <c r="P282" t="s">
        <v>676</v>
      </c>
      <c r="Q282">
        <v>1</v>
      </c>
      <c r="W282">
        <v>0</v>
      </c>
      <c r="X282">
        <v>-1180195794</v>
      </c>
      <c r="Y282">
        <v>21.71</v>
      </c>
      <c r="AA282">
        <v>0</v>
      </c>
      <c r="AB282">
        <v>1</v>
      </c>
      <c r="AC282">
        <v>0</v>
      </c>
      <c r="AD282">
        <v>0</v>
      </c>
      <c r="AE282">
        <v>0</v>
      </c>
      <c r="AF282">
        <v>1</v>
      </c>
      <c r="AG282">
        <v>0</v>
      </c>
      <c r="AH282">
        <v>0</v>
      </c>
      <c r="AI282">
        <v>1</v>
      </c>
      <c r="AJ282">
        <v>1</v>
      </c>
      <c r="AK282">
        <v>1</v>
      </c>
      <c r="AL282">
        <v>1</v>
      </c>
      <c r="AN282">
        <v>0</v>
      </c>
      <c r="AO282">
        <v>1</v>
      </c>
      <c r="AP282">
        <v>0</v>
      </c>
      <c r="AQ282">
        <v>0</v>
      </c>
      <c r="AR282">
        <v>0</v>
      </c>
      <c r="AS282" t="s">
        <v>3</v>
      </c>
      <c r="AT282">
        <v>21.71</v>
      </c>
      <c r="AU282" t="s">
        <v>3</v>
      </c>
      <c r="AV282">
        <v>0</v>
      </c>
      <c r="AW282">
        <v>2</v>
      </c>
      <c r="AX282">
        <v>34039120</v>
      </c>
      <c r="AY282">
        <v>1</v>
      </c>
      <c r="AZ282">
        <v>0</v>
      </c>
      <c r="BA282">
        <v>283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CX282">
        <f>Y282*Source!I783</f>
        <v>0</v>
      </c>
      <c r="CY282">
        <f>AB282</f>
        <v>1</v>
      </c>
      <c r="CZ282">
        <f>AF282</f>
        <v>1</v>
      </c>
      <c r="DA282">
        <f>AJ282</f>
        <v>1</v>
      </c>
      <c r="DB282">
        <f t="shared" si="27"/>
        <v>21.71</v>
      </c>
      <c r="DC282">
        <f t="shared" si="28"/>
        <v>0</v>
      </c>
    </row>
    <row r="283" spans="1:107" x14ac:dyDescent="0.2">
      <c r="A283">
        <f>ROW(Source!A784)</f>
        <v>784</v>
      </c>
      <c r="B283">
        <v>33989672</v>
      </c>
      <c r="C283">
        <v>33992633</v>
      </c>
      <c r="D283">
        <v>29983441</v>
      </c>
      <c r="E283">
        <v>29983435</v>
      </c>
      <c r="F283">
        <v>1</v>
      </c>
      <c r="G283">
        <v>29983435</v>
      </c>
      <c r="H283">
        <v>1</v>
      </c>
      <c r="I283" t="s">
        <v>646</v>
      </c>
      <c r="J283" t="s">
        <v>3</v>
      </c>
      <c r="K283" t="s">
        <v>647</v>
      </c>
      <c r="L283">
        <v>1191</v>
      </c>
      <c r="N283">
        <v>1013</v>
      </c>
      <c r="O283" t="s">
        <v>648</v>
      </c>
      <c r="P283" t="s">
        <v>648</v>
      </c>
      <c r="Q283">
        <v>1</v>
      </c>
      <c r="W283">
        <v>0</v>
      </c>
      <c r="X283">
        <v>476480486</v>
      </c>
      <c r="Y283">
        <v>0.6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1</v>
      </c>
      <c r="AJ283">
        <v>1</v>
      </c>
      <c r="AK283">
        <v>1</v>
      </c>
      <c r="AL283">
        <v>1</v>
      </c>
      <c r="AN283">
        <v>0</v>
      </c>
      <c r="AO283">
        <v>1</v>
      </c>
      <c r="AP283">
        <v>0</v>
      </c>
      <c r="AQ283">
        <v>0</v>
      </c>
      <c r="AR283">
        <v>0</v>
      </c>
      <c r="AS283" t="s">
        <v>3</v>
      </c>
      <c r="AT283">
        <v>0.6</v>
      </c>
      <c r="AU283" t="s">
        <v>3</v>
      </c>
      <c r="AV283">
        <v>1</v>
      </c>
      <c r="AW283">
        <v>2</v>
      </c>
      <c r="AX283">
        <v>33992635</v>
      </c>
      <c r="AY283">
        <v>1</v>
      </c>
      <c r="AZ283">
        <v>0</v>
      </c>
      <c r="BA283">
        <v>284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CX283">
        <f>Y283*Source!I784</f>
        <v>36</v>
      </c>
      <c r="CY283">
        <f>AD283</f>
        <v>0</v>
      </c>
      <c r="CZ283">
        <f>AH283</f>
        <v>0</v>
      </c>
      <c r="DA283">
        <f>AL283</f>
        <v>1</v>
      </c>
      <c r="DB283">
        <f t="shared" si="27"/>
        <v>0</v>
      </c>
      <c r="DC283">
        <f t="shared" si="28"/>
        <v>0</v>
      </c>
    </row>
    <row r="284" spans="1:107" x14ac:dyDescent="0.2">
      <c r="A284">
        <f>ROW(Source!A785)</f>
        <v>785</v>
      </c>
      <c r="B284">
        <v>33989672</v>
      </c>
      <c r="C284">
        <v>33992636</v>
      </c>
      <c r="D284">
        <v>29983441</v>
      </c>
      <c r="E284">
        <v>29983435</v>
      </c>
      <c r="F284">
        <v>1</v>
      </c>
      <c r="G284">
        <v>29983435</v>
      </c>
      <c r="H284">
        <v>1</v>
      </c>
      <c r="I284" t="s">
        <v>646</v>
      </c>
      <c r="J284" t="s">
        <v>3</v>
      </c>
      <c r="K284" t="s">
        <v>647</v>
      </c>
      <c r="L284">
        <v>1191</v>
      </c>
      <c r="N284">
        <v>1013</v>
      </c>
      <c r="O284" t="s">
        <v>648</v>
      </c>
      <c r="P284" t="s">
        <v>648</v>
      </c>
      <c r="Q284">
        <v>1</v>
      </c>
      <c r="W284">
        <v>0</v>
      </c>
      <c r="X284">
        <v>476480486</v>
      </c>
      <c r="Y284">
        <v>61.1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1</v>
      </c>
      <c r="AJ284">
        <v>1</v>
      </c>
      <c r="AK284">
        <v>1</v>
      </c>
      <c r="AL284">
        <v>1</v>
      </c>
      <c r="AN284">
        <v>0</v>
      </c>
      <c r="AO284">
        <v>1</v>
      </c>
      <c r="AP284">
        <v>0</v>
      </c>
      <c r="AQ284">
        <v>0</v>
      </c>
      <c r="AR284">
        <v>0</v>
      </c>
      <c r="AS284" t="s">
        <v>3</v>
      </c>
      <c r="AT284">
        <v>61.1</v>
      </c>
      <c r="AU284" t="s">
        <v>3</v>
      </c>
      <c r="AV284">
        <v>1</v>
      </c>
      <c r="AW284">
        <v>2</v>
      </c>
      <c r="AX284">
        <v>33992644</v>
      </c>
      <c r="AY284">
        <v>1</v>
      </c>
      <c r="AZ284">
        <v>0</v>
      </c>
      <c r="BA284">
        <v>285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CX284">
        <f>Y284*Source!I785</f>
        <v>18.329999999999998</v>
      </c>
      <c r="CY284">
        <f>AD284</f>
        <v>0</v>
      </c>
      <c r="CZ284">
        <f>AH284</f>
        <v>0</v>
      </c>
      <c r="DA284">
        <f>AL284</f>
        <v>1</v>
      </c>
      <c r="DB284">
        <f t="shared" si="27"/>
        <v>0</v>
      </c>
      <c r="DC284">
        <f t="shared" si="28"/>
        <v>0</v>
      </c>
    </row>
    <row r="285" spans="1:107" x14ac:dyDescent="0.2">
      <c r="A285">
        <f>ROW(Source!A785)</f>
        <v>785</v>
      </c>
      <c r="B285">
        <v>33989672</v>
      </c>
      <c r="C285">
        <v>33992636</v>
      </c>
      <c r="D285">
        <v>30063609</v>
      </c>
      <c r="E285">
        <v>1</v>
      </c>
      <c r="F285">
        <v>1</v>
      </c>
      <c r="G285">
        <v>29983435</v>
      </c>
      <c r="H285">
        <v>2</v>
      </c>
      <c r="I285" t="s">
        <v>789</v>
      </c>
      <c r="J285" t="s">
        <v>790</v>
      </c>
      <c r="K285" t="s">
        <v>791</v>
      </c>
      <c r="L285">
        <v>1367</v>
      </c>
      <c r="N285">
        <v>1011</v>
      </c>
      <c r="O285" t="s">
        <v>652</v>
      </c>
      <c r="P285" t="s">
        <v>652</v>
      </c>
      <c r="Q285">
        <v>1</v>
      </c>
      <c r="W285">
        <v>0</v>
      </c>
      <c r="X285">
        <v>-888321550</v>
      </c>
      <c r="Y285">
        <v>2.4</v>
      </c>
      <c r="AA285">
        <v>0</v>
      </c>
      <c r="AB285">
        <v>655.48</v>
      </c>
      <c r="AC285">
        <v>343.64</v>
      </c>
      <c r="AD285">
        <v>0</v>
      </c>
      <c r="AE285">
        <v>0</v>
      </c>
      <c r="AF285">
        <v>58.51</v>
      </c>
      <c r="AG285">
        <v>13.38</v>
      </c>
      <c r="AH285">
        <v>0</v>
      </c>
      <c r="AI285">
        <v>1</v>
      </c>
      <c r="AJ285">
        <v>10.7</v>
      </c>
      <c r="AK285">
        <v>24.53</v>
      </c>
      <c r="AL285">
        <v>1</v>
      </c>
      <c r="AN285">
        <v>0</v>
      </c>
      <c r="AO285">
        <v>1</v>
      </c>
      <c r="AP285">
        <v>0</v>
      </c>
      <c r="AQ285">
        <v>0</v>
      </c>
      <c r="AR285">
        <v>0</v>
      </c>
      <c r="AS285" t="s">
        <v>3</v>
      </c>
      <c r="AT285">
        <v>2.4</v>
      </c>
      <c r="AU285" t="s">
        <v>3</v>
      </c>
      <c r="AV285">
        <v>0</v>
      </c>
      <c r="AW285">
        <v>2</v>
      </c>
      <c r="AX285">
        <v>33992645</v>
      </c>
      <c r="AY285">
        <v>1</v>
      </c>
      <c r="AZ285">
        <v>0</v>
      </c>
      <c r="BA285">
        <v>286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CX285">
        <f>Y285*Source!I785</f>
        <v>0.72</v>
      </c>
      <c r="CY285">
        <f>AB285</f>
        <v>655.48</v>
      </c>
      <c r="CZ285">
        <f>AF285</f>
        <v>58.51</v>
      </c>
      <c r="DA285">
        <f>AJ285</f>
        <v>10.7</v>
      </c>
      <c r="DB285">
        <f t="shared" si="27"/>
        <v>140.41999999999999</v>
      </c>
      <c r="DC285">
        <f t="shared" si="28"/>
        <v>32.11</v>
      </c>
    </row>
    <row r="286" spans="1:107" x14ac:dyDescent="0.2">
      <c r="A286">
        <f>ROW(Source!A785)</f>
        <v>785</v>
      </c>
      <c r="B286">
        <v>33989672</v>
      </c>
      <c r="C286">
        <v>33992636</v>
      </c>
      <c r="D286">
        <v>29983439</v>
      </c>
      <c r="E286">
        <v>29983435</v>
      </c>
      <c r="F286">
        <v>1</v>
      </c>
      <c r="G286">
        <v>29983435</v>
      </c>
      <c r="H286">
        <v>2</v>
      </c>
      <c r="I286" t="s">
        <v>674</v>
      </c>
      <c r="J286" t="s">
        <v>3</v>
      </c>
      <c r="K286" t="s">
        <v>675</v>
      </c>
      <c r="L286">
        <v>1344</v>
      </c>
      <c r="N286">
        <v>1008</v>
      </c>
      <c r="O286" t="s">
        <v>676</v>
      </c>
      <c r="P286" t="s">
        <v>676</v>
      </c>
      <c r="Q286">
        <v>1</v>
      </c>
      <c r="W286">
        <v>0</v>
      </c>
      <c r="X286">
        <v>-1180195794</v>
      </c>
      <c r="Y286">
        <v>16.38</v>
      </c>
      <c r="AA286">
        <v>0</v>
      </c>
      <c r="AB286">
        <v>1.05</v>
      </c>
      <c r="AC286">
        <v>0</v>
      </c>
      <c r="AD286">
        <v>0</v>
      </c>
      <c r="AE286">
        <v>0</v>
      </c>
      <c r="AF286">
        <v>1</v>
      </c>
      <c r="AG286">
        <v>0</v>
      </c>
      <c r="AH286">
        <v>0</v>
      </c>
      <c r="AI286">
        <v>1</v>
      </c>
      <c r="AJ286">
        <v>1</v>
      </c>
      <c r="AK286">
        <v>1</v>
      </c>
      <c r="AL286">
        <v>1</v>
      </c>
      <c r="AN286">
        <v>0</v>
      </c>
      <c r="AO286">
        <v>1</v>
      </c>
      <c r="AP286">
        <v>0</v>
      </c>
      <c r="AQ286">
        <v>0</v>
      </c>
      <c r="AR286">
        <v>0</v>
      </c>
      <c r="AS286" t="s">
        <v>3</v>
      </c>
      <c r="AT286">
        <v>16.38</v>
      </c>
      <c r="AU286" t="s">
        <v>3</v>
      </c>
      <c r="AV286">
        <v>0</v>
      </c>
      <c r="AW286">
        <v>2</v>
      </c>
      <c r="AX286">
        <v>33992646</v>
      </c>
      <c r="AY286">
        <v>1</v>
      </c>
      <c r="AZ286">
        <v>0</v>
      </c>
      <c r="BA286">
        <v>287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CX286">
        <f>Y286*Source!I785</f>
        <v>4.9139999999999997</v>
      </c>
      <c r="CY286">
        <f>AB286</f>
        <v>1.05</v>
      </c>
      <c r="CZ286">
        <f>AF286</f>
        <v>1</v>
      </c>
      <c r="DA286">
        <f>AJ286</f>
        <v>1</v>
      </c>
      <c r="DB286">
        <f t="shared" si="27"/>
        <v>16.38</v>
      </c>
      <c r="DC286">
        <f t="shared" si="28"/>
        <v>0</v>
      </c>
    </row>
    <row r="287" spans="1:107" x14ac:dyDescent="0.2">
      <c r="A287">
        <f>ROW(Source!A785)</f>
        <v>785</v>
      </c>
      <c r="B287">
        <v>33989672</v>
      </c>
      <c r="C287">
        <v>33992636</v>
      </c>
      <c r="D287">
        <v>30042537</v>
      </c>
      <c r="E287">
        <v>1</v>
      </c>
      <c r="F287">
        <v>1</v>
      </c>
      <c r="G287">
        <v>29983435</v>
      </c>
      <c r="H287">
        <v>3</v>
      </c>
      <c r="I287" t="s">
        <v>467</v>
      </c>
      <c r="J287" t="s">
        <v>469</v>
      </c>
      <c r="K287" t="s">
        <v>468</v>
      </c>
      <c r="L287">
        <v>1339</v>
      </c>
      <c r="N287">
        <v>1007</v>
      </c>
      <c r="O287" t="s">
        <v>66</v>
      </c>
      <c r="P287" t="s">
        <v>66</v>
      </c>
      <c r="Q287">
        <v>1</v>
      </c>
      <c r="W287">
        <v>0</v>
      </c>
      <c r="X287">
        <v>-862991314</v>
      </c>
      <c r="Y287">
        <v>0.10584</v>
      </c>
      <c r="AA287">
        <v>35.39</v>
      </c>
      <c r="AB287">
        <v>0</v>
      </c>
      <c r="AC287">
        <v>0</v>
      </c>
      <c r="AD287">
        <v>0</v>
      </c>
      <c r="AE287">
        <v>7.07</v>
      </c>
      <c r="AF287">
        <v>0</v>
      </c>
      <c r="AG287">
        <v>0</v>
      </c>
      <c r="AH287">
        <v>0</v>
      </c>
      <c r="AI287">
        <v>4.99</v>
      </c>
      <c r="AJ287">
        <v>1</v>
      </c>
      <c r="AK287">
        <v>1</v>
      </c>
      <c r="AL287">
        <v>1</v>
      </c>
      <c r="AN287">
        <v>0</v>
      </c>
      <c r="AO287">
        <v>0</v>
      </c>
      <c r="AP287">
        <v>0</v>
      </c>
      <c r="AQ287">
        <v>0</v>
      </c>
      <c r="AR287">
        <v>0</v>
      </c>
      <c r="AS287" t="s">
        <v>3</v>
      </c>
      <c r="AT287">
        <v>0.10584</v>
      </c>
      <c r="AU287" t="s">
        <v>3</v>
      </c>
      <c r="AV287">
        <v>0</v>
      </c>
      <c r="AW287">
        <v>1</v>
      </c>
      <c r="AX287">
        <v>-1</v>
      </c>
      <c r="AY287">
        <v>0</v>
      </c>
      <c r="AZ287">
        <v>0</v>
      </c>
      <c r="BA287" t="s">
        <v>3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CX287">
        <f>Y287*Source!I785</f>
        <v>3.1752000000000002E-2</v>
      </c>
      <c r="CY287">
        <f>AA287</f>
        <v>35.39</v>
      </c>
      <c r="CZ287">
        <f>AE287</f>
        <v>7.07</v>
      </c>
      <c r="DA287">
        <f>AI287</f>
        <v>4.99</v>
      </c>
      <c r="DB287">
        <f t="shared" si="27"/>
        <v>0.75</v>
      </c>
      <c r="DC287">
        <f t="shared" si="28"/>
        <v>0</v>
      </c>
    </row>
    <row r="288" spans="1:107" x14ac:dyDescent="0.2">
      <c r="A288">
        <f>ROW(Source!A785)</f>
        <v>785</v>
      </c>
      <c r="B288">
        <v>33989672</v>
      </c>
      <c r="C288">
        <v>33992636</v>
      </c>
      <c r="D288">
        <v>30057552</v>
      </c>
      <c r="E288">
        <v>1</v>
      </c>
      <c r="F288">
        <v>1</v>
      </c>
      <c r="G288">
        <v>29983435</v>
      </c>
      <c r="H288">
        <v>3</v>
      </c>
      <c r="I288" t="s">
        <v>475</v>
      </c>
      <c r="J288" t="s">
        <v>477</v>
      </c>
      <c r="K288" t="s">
        <v>476</v>
      </c>
      <c r="L288">
        <v>1339</v>
      </c>
      <c r="N288">
        <v>1007</v>
      </c>
      <c r="O288" t="s">
        <v>66</v>
      </c>
      <c r="P288" t="s">
        <v>66</v>
      </c>
      <c r="Q288">
        <v>1</v>
      </c>
      <c r="W288">
        <v>0</v>
      </c>
      <c r="X288">
        <v>202608499</v>
      </c>
      <c r="Y288">
        <v>1.512</v>
      </c>
      <c r="AA288">
        <v>3232.17</v>
      </c>
      <c r="AB288">
        <v>0</v>
      </c>
      <c r="AC288">
        <v>0</v>
      </c>
      <c r="AD288">
        <v>0</v>
      </c>
      <c r="AE288">
        <v>481.69</v>
      </c>
      <c r="AF288">
        <v>0</v>
      </c>
      <c r="AG288">
        <v>0</v>
      </c>
      <c r="AH288">
        <v>0</v>
      </c>
      <c r="AI288">
        <v>6.69</v>
      </c>
      <c r="AJ288">
        <v>1</v>
      </c>
      <c r="AK288">
        <v>1</v>
      </c>
      <c r="AL288">
        <v>1</v>
      </c>
      <c r="AN288">
        <v>0</v>
      </c>
      <c r="AO288">
        <v>0</v>
      </c>
      <c r="AP288">
        <v>0</v>
      </c>
      <c r="AQ288">
        <v>0</v>
      </c>
      <c r="AR288">
        <v>0</v>
      </c>
      <c r="AS288" t="s">
        <v>3</v>
      </c>
      <c r="AT288">
        <v>1.512</v>
      </c>
      <c r="AU288" t="s">
        <v>3</v>
      </c>
      <c r="AV288">
        <v>0</v>
      </c>
      <c r="AW288">
        <v>1</v>
      </c>
      <c r="AX288">
        <v>-1</v>
      </c>
      <c r="AY288">
        <v>0</v>
      </c>
      <c r="AZ288">
        <v>0</v>
      </c>
      <c r="BA288" t="s">
        <v>3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CX288">
        <f>Y288*Source!I785</f>
        <v>0.4536</v>
      </c>
      <c r="CY288">
        <f>AA288</f>
        <v>3232.17</v>
      </c>
      <c r="CZ288">
        <f>AE288</f>
        <v>481.69</v>
      </c>
      <c r="DA288">
        <f>AI288</f>
        <v>6.69</v>
      </c>
      <c r="DB288">
        <f t="shared" si="27"/>
        <v>728.32</v>
      </c>
      <c r="DC288">
        <f t="shared" si="28"/>
        <v>0</v>
      </c>
    </row>
    <row r="289" spans="1:107" x14ac:dyDescent="0.2">
      <c r="A289">
        <f>ROW(Source!A785)</f>
        <v>785</v>
      </c>
      <c r="B289">
        <v>33989672</v>
      </c>
      <c r="C289">
        <v>33992636</v>
      </c>
      <c r="D289">
        <v>30057562</v>
      </c>
      <c r="E289">
        <v>1</v>
      </c>
      <c r="F289">
        <v>1</v>
      </c>
      <c r="G289">
        <v>29983435</v>
      </c>
      <c r="H289">
        <v>3</v>
      </c>
      <c r="I289" t="s">
        <v>471</v>
      </c>
      <c r="J289" t="s">
        <v>473</v>
      </c>
      <c r="K289" t="s">
        <v>472</v>
      </c>
      <c r="L289">
        <v>1348</v>
      </c>
      <c r="N289">
        <v>1009</v>
      </c>
      <c r="O289" t="s">
        <v>51</v>
      </c>
      <c r="P289" t="s">
        <v>51</v>
      </c>
      <c r="Q289">
        <v>1000</v>
      </c>
      <c r="W289">
        <v>0</v>
      </c>
      <c r="X289">
        <v>-224782797</v>
      </c>
      <c r="Y289">
        <v>0.6048</v>
      </c>
      <c r="AA289">
        <v>4954.7299999999996</v>
      </c>
      <c r="AB289">
        <v>0</v>
      </c>
      <c r="AC289">
        <v>0</v>
      </c>
      <c r="AD289">
        <v>0</v>
      </c>
      <c r="AE289">
        <v>796.76</v>
      </c>
      <c r="AF289">
        <v>0</v>
      </c>
      <c r="AG289">
        <v>0</v>
      </c>
      <c r="AH289">
        <v>0</v>
      </c>
      <c r="AI289">
        <v>6.2</v>
      </c>
      <c r="AJ289">
        <v>1</v>
      </c>
      <c r="AK289">
        <v>1</v>
      </c>
      <c r="AL289">
        <v>1</v>
      </c>
      <c r="AN289">
        <v>0</v>
      </c>
      <c r="AO289">
        <v>0</v>
      </c>
      <c r="AP289">
        <v>0</v>
      </c>
      <c r="AQ289">
        <v>0</v>
      </c>
      <c r="AR289">
        <v>0</v>
      </c>
      <c r="AS289" t="s">
        <v>3</v>
      </c>
      <c r="AT289">
        <v>0.6048</v>
      </c>
      <c r="AU289" t="s">
        <v>3</v>
      </c>
      <c r="AV289">
        <v>0</v>
      </c>
      <c r="AW289">
        <v>1</v>
      </c>
      <c r="AX289">
        <v>-1</v>
      </c>
      <c r="AY289">
        <v>0</v>
      </c>
      <c r="AZ289">
        <v>0</v>
      </c>
      <c r="BA289" t="s">
        <v>3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CX289">
        <f>Y289*Source!I785</f>
        <v>0.18143999999999999</v>
      </c>
      <c r="CY289">
        <f>AA289</f>
        <v>4954.7299999999996</v>
      </c>
      <c r="CZ289">
        <f>AE289</f>
        <v>796.76</v>
      </c>
      <c r="DA289">
        <f>AI289</f>
        <v>6.2</v>
      </c>
      <c r="DB289">
        <f t="shared" si="27"/>
        <v>481.88</v>
      </c>
      <c r="DC289">
        <f t="shared" si="28"/>
        <v>0</v>
      </c>
    </row>
    <row r="290" spans="1:107" x14ac:dyDescent="0.2">
      <c r="A290">
        <f>ROW(Source!A785)</f>
        <v>785</v>
      </c>
      <c r="B290">
        <v>33989672</v>
      </c>
      <c r="C290">
        <v>33992636</v>
      </c>
      <c r="D290">
        <v>29983437</v>
      </c>
      <c r="E290">
        <v>29983435</v>
      </c>
      <c r="F290">
        <v>1</v>
      </c>
      <c r="G290">
        <v>29983435</v>
      </c>
      <c r="H290">
        <v>3</v>
      </c>
      <c r="I290" t="s">
        <v>738</v>
      </c>
      <c r="J290" t="s">
        <v>3</v>
      </c>
      <c r="K290" t="s">
        <v>739</v>
      </c>
      <c r="L290">
        <v>1344</v>
      </c>
      <c r="N290">
        <v>1008</v>
      </c>
      <c r="O290" t="s">
        <v>676</v>
      </c>
      <c r="P290" t="s">
        <v>676</v>
      </c>
      <c r="Q290">
        <v>1</v>
      </c>
      <c r="W290">
        <v>0</v>
      </c>
      <c r="X290">
        <v>-94250534</v>
      </c>
      <c r="Y290">
        <v>1.41</v>
      </c>
      <c r="AA290">
        <v>1</v>
      </c>
      <c r="AB290">
        <v>0</v>
      </c>
      <c r="AC290">
        <v>0</v>
      </c>
      <c r="AD290">
        <v>0</v>
      </c>
      <c r="AE290">
        <v>1</v>
      </c>
      <c r="AF290">
        <v>0</v>
      </c>
      <c r="AG290">
        <v>0</v>
      </c>
      <c r="AH290">
        <v>0</v>
      </c>
      <c r="AI290">
        <v>1</v>
      </c>
      <c r="AJ290">
        <v>1</v>
      </c>
      <c r="AK290">
        <v>1</v>
      </c>
      <c r="AL290">
        <v>1</v>
      </c>
      <c r="AN290">
        <v>0</v>
      </c>
      <c r="AO290">
        <v>1</v>
      </c>
      <c r="AP290">
        <v>0</v>
      </c>
      <c r="AQ290">
        <v>0</v>
      </c>
      <c r="AR290">
        <v>0</v>
      </c>
      <c r="AS290" t="s">
        <v>3</v>
      </c>
      <c r="AT290">
        <v>1.41</v>
      </c>
      <c r="AU290" t="s">
        <v>3</v>
      </c>
      <c r="AV290">
        <v>0</v>
      </c>
      <c r="AW290">
        <v>2</v>
      </c>
      <c r="AX290">
        <v>33992650</v>
      </c>
      <c r="AY290">
        <v>1</v>
      </c>
      <c r="AZ290">
        <v>0</v>
      </c>
      <c r="BA290">
        <v>291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CX290">
        <f>Y290*Source!I785</f>
        <v>0.42299999999999999</v>
      </c>
      <c r="CY290">
        <f>AA290</f>
        <v>1</v>
      </c>
      <c r="CZ290">
        <f>AE290</f>
        <v>1</v>
      </c>
      <c r="DA290">
        <f>AI290</f>
        <v>1</v>
      </c>
      <c r="DB290">
        <f t="shared" si="27"/>
        <v>1.41</v>
      </c>
      <c r="DC290">
        <f t="shared" si="28"/>
        <v>0</v>
      </c>
    </row>
    <row r="291" spans="1:107" x14ac:dyDescent="0.2">
      <c r="A291">
        <f>ROW(Source!A789)</f>
        <v>789</v>
      </c>
      <c r="B291">
        <v>33989672</v>
      </c>
      <c r="C291">
        <v>33992654</v>
      </c>
      <c r="D291">
        <v>29983441</v>
      </c>
      <c r="E291">
        <v>29983435</v>
      </c>
      <c r="F291">
        <v>1</v>
      </c>
      <c r="G291">
        <v>29983435</v>
      </c>
      <c r="H291">
        <v>1</v>
      </c>
      <c r="I291" t="s">
        <v>646</v>
      </c>
      <c r="J291" t="s">
        <v>3</v>
      </c>
      <c r="K291" t="s">
        <v>647</v>
      </c>
      <c r="L291">
        <v>1191</v>
      </c>
      <c r="N291">
        <v>1013</v>
      </c>
      <c r="O291" t="s">
        <v>648</v>
      </c>
      <c r="P291" t="s">
        <v>648</v>
      </c>
      <c r="Q291">
        <v>1</v>
      </c>
      <c r="W291">
        <v>0</v>
      </c>
      <c r="X291">
        <v>476480486</v>
      </c>
      <c r="Y291">
        <v>13.2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1</v>
      </c>
      <c r="AJ291">
        <v>1</v>
      </c>
      <c r="AK291">
        <v>1</v>
      </c>
      <c r="AL291">
        <v>1</v>
      </c>
      <c r="AN291">
        <v>0</v>
      </c>
      <c r="AO291">
        <v>1</v>
      </c>
      <c r="AP291">
        <v>0</v>
      </c>
      <c r="AQ291">
        <v>0</v>
      </c>
      <c r="AR291">
        <v>0</v>
      </c>
      <c r="AS291" t="s">
        <v>3</v>
      </c>
      <c r="AT291">
        <v>13.2</v>
      </c>
      <c r="AU291" t="s">
        <v>3</v>
      </c>
      <c r="AV291">
        <v>1</v>
      </c>
      <c r="AW291">
        <v>2</v>
      </c>
      <c r="AX291">
        <v>33992664</v>
      </c>
      <c r="AY291">
        <v>1</v>
      </c>
      <c r="AZ291">
        <v>0</v>
      </c>
      <c r="BA291">
        <v>292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CX291">
        <f>Y291*Source!I789</f>
        <v>26.4</v>
      </c>
      <c r="CY291">
        <f>AD291</f>
        <v>0</v>
      </c>
      <c r="CZ291">
        <f>AH291</f>
        <v>0</v>
      </c>
      <c r="DA291">
        <f>AL291</f>
        <v>1</v>
      </c>
      <c r="DB291">
        <f t="shared" si="27"/>
        <v>0</v>
      </c>
      <c r="DC291">
        <f t="shared" si="28"/>
        <v>0</v>
      </c>
    </row>
    <row r="292" spans="1:107" x14ac:dyDescent="0.2">
      <c r="A292">
        <f>ROW(Source!A789)</f>
        <v>789</v>
      </c>
      <c r="B292">
        <v>33989672</v>
      </c>
      <c r="C292">
        <v>33992654</v>
      </c>
      <c r="D292">
        <v>30064095</v>
      </c>
      <c r="E292">
        <v>1</v>
      </c>
      <c r="F292">
        <v>1</v>
      </c>
      <c r="G292">
        <v>29983435</v>
      </c>
      <c r="H292">
        <v>2</v>
      </c>
      <c r="I292" t="s">
        <v>680</v>
      </c>
      <c r="J292" t="s">
        <v>681</v>
      </c>
      <c r="K292" t="s">
        <v>682</v>
      </c>
      <c r="L292">
        <v>1367</v>
      </c>
      <c r="N292">
        <v>1011</v>
      </c>
      <c r="O292" t="s">
        <v>652</v>
      </c>
      <c r="P292" t="s">
        <v>652</v>
      </c>
      <c r="Q292">
        <v>1</v>
      </c>
      <c r="W292">
        <v>0</v>
      </c>
      <c r="X292">
        <v>-628430174</v>
      </c>
      <c r="Y292">
        <v>0.11</v>
      </c>
      <c r="AA292">
        <v>0</v>
      </c>
      <c r="AB292">
        <v>755.14</v>
      </c>
      <c r="AC292">
        <v>368.81</v>
      </c>
      <c r="AD292">
        <v>0</v>
      </c>
      <c r="AE292">
        <v>0</v>
      </c>
      <c r="AF292">
        <v>76.81</v>
      </c>
      <c r="AG292">
        <v>14.36</v>
      </c>
      <c r="AH292">
        <v>0</v>
      </c>
      <c r="AI292">
        <v>1</v>
      </c>
      <c r="AJ292">
        <v>9.39</v>
      </c>
      <c r="AK292">
        <v>24.53</v>
      </c>
      <c r="AL292">
        <v>1</v>
      </c>
      <c r="AN292">
        <v>0</v>
      </c>
      <c r="AO292">
        <v>1</v>
      </c>
      <c r="AP292">
        <v>0</v>
      </c>
      <c r="AQ292">
        <v>0</v>
      </c>
      <c r="AR292">
        <v>0</v>
      </c>
      <c r="AS292" t="s">
        <v>3</v>
      </c>
      <c r="AT292">
        <v>0.11</v>
      </c>
      <c r="AU292" t="s">
        <v>3</v>
      </c>
      <c r="AV292">
        <v>0</v>
      </c>
      <c r="AW292">
        <v>2</v>
      </c>
      <c r="AX292">
        <v>33992665</v>
      </c>
      <c r="AY292">
        <v>1</v>
      </c>
      <c r="AZ292">
        <v>0</v>
      </c>
      <c r="BA292">
        <v>293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CX292">
        <f>Y292*Source!I789</f>
        <v>0.22</v>
      </c>
      <c r="CY292">
        <f>AB292</f>
        <v>755.14</v>
      </c>
      <c r="CZ292">
        <f>AF292</f>
        <v>76.81</v>
      </c>
      <c r="DA292">
        <f>AJ292</f>
        <v>9.39</v>
      </c>
      <c r="DB292">
        <f t="shared" si="27"/>
        <v>8.4499999999999993</v>
      </c>
      <c r="DC292">
        <f t="shared" si="28"/>
        <v>1.58</v>
      </c>
    </row>
    <row r="293" spans="1:107" x14ac:dyDescent="0.2">
      <c r="A293">
        <f>ROW(Source!A789)</f>
        <v>789</v>
      </c>
      <c r="B293">
        <v>33989672</v>
      </c>
      <c r="C293">
        <v>33992654</v>
      </c>
      <c r="D293">
        <v>30063446</v>
      </c>
      <c r="E293">
        <v>1</v>
      </c>
      <c r="F293">
        <v>1</v>
      </c>
      <c r="G293">
        <v>29983435</v>
      </c>
      <c r="H293">
        <v>2</v>
      </c>
      <c r="I293" t="s">
        <v>792</v>
      </c>
      <c r="J293" t="s">
        <v>793</v>
      </c>
      <c r="K293" t="s">
        <v>794</v>
      </c>
      <c r="L293">
        <v>1367</v>
      </c>
      <c r="N293">
        <v>1011</v>
      </c>
      <c r="O293" t="s">
        <v>652</v>
      </c>
      <c r="P293" t="s">
        <v>652</v>
      </c>
      <c r="Q293">
        <v>1</v>
      </c>
      <c r="W293">
        <v>0</v>
      </c>
      <c r="X293">
        <v>-1812649094</v>
      </c>
      <c r="Y293">
        <v>0.21</v>
      </c>
      <c r="AA293">
        <v>0</v>
      </c>
      <c r="AB293">
        <v>20.5</v>
      </c>
      <c r="AC293">
        <v>17.21</v>
      </c>
      <c r="AD293">
        <v>0</v>
      </c>
      <c r="AE293">
        <v>0</v>
      </c>
      <c r="AF293">
        <v>1.28</v>
      </c>
      <c r="AG293">
        <v>0.67</v>
      </c>
      <c r="AH293">
        <v>0</v>
      </c>
      <c r="AI293">
        <v>1</v>
      </c>
      <c r="AJ293">
        <v>15.3</v>
      </c>
      <c r="AK293">
        <v>24.53</v>
      </c>
      <c r="AL293">
        <v>1</v>
      </c>
      <c r="AN293">
        <v>0</v>
      </c>
      <c r="AO293">
        <v>1</v>
      </c>
      <c r="AP293">
        <v>0</v>
      </c>
      <c r="AQ293">
        <v>0</v>
      </c>
      <c r="AR293">
        <v>0</v>
      </c>
      <c r="AS293" t="s">
        <v>3</v>
      </c>
      <c r="AT293">
        <v>0.21</v>
      </c>
      <c r="AU293" t="s">
        <v>3</v>
      </c>
      <c r="AV293">
        <v>0</v>
      </c>
      <c r="AW293">
        <v>2</v>
      </c>
      <c r="AX293">
        <v>33992666</v>
      </c>
      <c r="AY293">
        <v>1</v>
      </c>
      <c r="AZ293">
        <v>0</v>
      </c>
      <c r="BA293">
        <v>294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CX293">
        <f>Y293*Source!I789</f>
        <v>0.42</v>
      </c>
      <c r="CY293">
        <f>AB293</f>
        <v>20.5</v>
      </c>
      <c r="CZ293">
        <f>AF293</f>
        <v>1.28</v>
      </c>
      <c r="DA293">
        <f>AJ293</f>
        <v>15.3</v>
      </c>
      <c r="DB293">
        <f t="shared" si="27"/>
        <v>0.27</v>
      </c>
      <c r="DC293">
        <f t="shared" si="28"/>
        <v>0.14000000000000001</v>
      </c>
    </row>
    <row r="294" spans="1:107" x14ac:dyDescent="0.2">
      <c r="A294">
        <f>ROW(Source!A789)</f>
        <v>789</v>
      </c>
      <c r="B294">
        <v>33989672</v>
      </c>
      <c r="C294">
        <v>33992654</v>
      </c>
      <c r="D294">
        <v>30042540</v>
      </c>
      <c r="E294">
        <v>1</v>
      </c>
      <c r="F294">
        <v>1</v>
      </c>
      <c r="G294">
        <v>29983435</v>
      </c>
      <c r="H294">
        <v>3</v>
      </c>
      <c r="I294" t="s">
        <v>795</v>
      </c>
      <c r="J294" t="s">
        <v>796</v>
      </c>
      <c r="K294" t="s">
        <v>797</v>
      </c>
      <c r="L294">
        <v>1346</v>
      </c>
      <c r="N294">
        <v>1009</v>
      </c>
      <c r="O294" t="s">
        <v>300</v>
      </c>
      <c r="P294" t="s">
        <v>300</v>
      </c>
      <c r="Q294">
        <v>1</v>
      </c>
      <c r="W294">
        <v>0</v>
      </c>
      <c r="X294">
        <v>622621594</v>
      </c>
      <c r="Y294">
        <v>0.41</v>
      </c>
      <c r="AA294">
        <v>51</v>
      </c>
      <c r="AB294">
        <v>0</v>
      </c>
      <c r="AC294">
        <v>0</v>
      </c>
      <c r="AD294">
        <v>0</v>
      </c>
      <c r="AE294">
        <v>1.61</v>
      </c>
      <c r="AF294">
        <v>0</v>
      </c>
      <c r="AG294">
        <v>0</v>
      </c>
      <c r="AH294">
        <v>0</v>
      </c>
      <c r="AI294">
        <v>31.58</v>
      </c>
      <c r="AJ294">
        <v>1</v>
      </c>
      <c r="AK294">
        <v>1</v>
      </c>
      <c r="AL294">
        <v>1</v>
      </c>
      <c r="AN294">
        <v>0</v>
      </c>
      <c r="AO294">
        <v>1</v>
      </c>
      <c r="AP294">
        <v>0</v>
      </c>
      <c r="AQ294">
        <v>0</v>
      </c>
      <c r="AR294">
        <v>0</v>
      </c>
      <c r="AS294" t="s">
        <v>3</v>
      </c>
      <c r="AT294">
        <v>0.41</v>
      </c>
      <c r="AU294" t="s">
        <v>3</v>
      </c>
      <c r="AV294">
        <v>0</v>
      </c>
      <c r="AW294">
        <v>2</v>
      </c>
      <c r="AX294">
        <v>33992667</v>
      </c>
      <c r="AY294">
        <v>1</v>
      </c>
      <c r="AZ294">
        <v>0</v>
      </c>
      <c r="BA294">
        <v>295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CX294">
        <f>Y294*Source!I789</f>
        <v>0.82</v>
      </c>
      <c r="CY294">
        <f t="shared" ref="CY294:CY299" si="29">AA294</f>
        <v>51</v>
      </c>
      <c r="CZ294">
        <f t="shared" ref="CZ294:CZ299" si="30">AE294</f>
        <v>1.61</v>
      </c>
      <c r="DA294">
        <f t="shared" ref="DA294:DA299" si="31">AI294</f>
        <v>31.58</v>
      </c>
      <c r="DB294">
        <f t="shared" si="27"/>
        <v>0.66</v>
      </c>
      <c r="DC294">
        <f t="shared" si="28"/>
        <v>0</v>
      </c>
    </row>
    <row r="295" spans="1:107" x14ac:dyDescent="0.2">
      <c r="A295">
        <f>ROW(Source!A789)</f>
        <v>789</v>
      </c>
      <c r="B295">
        <v>33989672</v>
      </c>
      <c r="C295">
        <v>33992654</v>
      </c>
      <c r="D295">
        <v>30041305</v>
      </c>
      <c r="E295">
        <v>1</v>
      </c>
      <c r="F295">
        <v>1</v>
      </c>
      <c r="G295">
        <v>29983435</v>
      </c>
      <c r="H295">
        <v>3</v>
      </c>
      <c r="I295" t="s">
        <v>798</v>
      </c>
      <c r="J295" t="s">
        <v>799</v>
      </c>
      <c r="K295" t="s">
        <v>800</v>
      </c>
      <c r="L295">
        <v>1348</v>
      </c>
      <c r="N295">
        <v>1009</v>
      </c>
      <c r="O295" t="s">
        <v>51</v>
      </c>
      <c r="P295" t="s">
        <v>51</v>
      </c>
      <c r="Q295">
        <v>1000</v>
      </c>
      <c r="W295">
        <v>0</v>
      </c>
      <c r="X295">
        <v>-1088841279</v>
      </c>
      <c r="Y295">
        <v>1.2E-2</v>
      </c>
      <c r="AA295">
        <v>107405.83</v>
      </c>
      <c r="AB295">
        <v>0</v>
      </c>
      <c r="AC295">
        <v>0</v>
      </c>
      <c r="AD295">
        <v>0</v>
      </c>
      <c r="AE295">
        <v>10697.76</v>
      </c>
      <c r="AF295">
        <v>0</v>
      </c>
      <c r="AG295">
        <v>0</v>
      </c>
      <c r="AH295">
        <v>0</v>
      </c>
      <c r="AI295">
        <v>10.01</v>
      </c>
      <c r="AJ295">
        <v>1</v>
      </c>
      <c r="AK295">
        <v>1</v>
      </c>
      <c r="AL295">
        <v>1</v>
      </c>
      <c r="AN295">
        <v>0</v>
      </c>
      <c r="AO295">
        <v>1</v>
      </c>
      <c r="AP295">
        <v>0</v>
      </c>
      <c r="AQ295">
        <v>0</v>
      </c>
      <c r="AR295">
        <v>0</v>
      </c>
      <c r="AS295" t="s">
        <v>3</v>
      </c>
      <c r="AT295">
        <v>1.2E-2</v>
      </c>
      <c r="AU295" t="s">
        <v>3</v>
      </c>
      <c r="AV295">
        <v>0</v>
      </c>
      <c r="AW295">
        <v>2</v>
      </c>
      <c r="AX295">
        <v>33992668</v>
      </c>
      <c r="AY295">
        <v>1</v>
      </c>
      <c r="AZ295">
        <v>0</v>
      </c>
      <c r="BA295">
        <v>296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CX295">
        <f>Y295*Source!I789</f>
        <v>2.4E-2</v>
      </c>
      <c r="CY295">
        <f t="shared" si="29"/>
        <v>107405.83</v>
      </c>
      <c r="CZ295">
        <f t="shared" si="30"/>
        <v>10697.76</v>
      </c>
      <c r="DA295">
        <f t="shared" si="31"/>
        <v>10.01</v>
      </c>
      <c r="DB295">
        <f t="shared" si="27"/>
        <v>128.37</v>
      </c>
      <c r="DC295">
        <f t="shared" si="28"/>
        <v>0</v>
      </c>
    </row>
    <row r="296" spans="1:107" x14ac:dyDescent="0.2">
      <c r="A296">
        <f>ROW(Source!A789)</f>
        <v>789</v>
      </c>
      <c r="B296">
        <v>33989672</v>
      </c>
      <c r="C296">
        <v>33992654</v>
      </c>
      <c r="D296">
        <v>30042491</v>
      </c>
      <c r="E296">
        <v>1</v>
      </c>
      <c r="F296">
        <v>1</v>
      </c>
      <c r="G296">
        <v>29983435</v>
      </c>
      <c r="H296">
        <v>3</v>
      </c>
      <c r="I296" t="s">
        <v>801</v>
      </c>
      <c r="J296" t="s">
        <v>802</v>
      </c>
      <c r="K296" t="s">
        <v>803</v>
      </c>
      <c r="L296">
        <v>1348</v>
      </c>
      <c r="N296">
        <v>1009</v>
      </c>
      <c r="O296" t="s">
        <v>51</v>
      </c>
      <c r="P296" t="s">
        <v>51</v>
      </c>
      <c r="Q296">
        <v>1000</v>
      </c>
      <c r="W296">
        <v>0</v>
      </c>
      <c r="X296">
        <v>-2007815717</v>
      </c>
      <c r="Y296">
        <v>1.4999999999999999E-2</v>
      </c>
      <c r="AA296">
        <v>98764.12</v>
      </c>
      <c r="AB296">
        <v>0</v>
      </c>
      <c r="AC296">
        <v>0</v>
      </c>
      <c r="AD296">
        <v>0</v>
      </c>
      <c r="AE296">
        <v>11449.85</v>
      </c>
      <c r="AF296">
        <v>0</v>
      </c>
      <c r="AG296">
        <v>0</v>
      </c>
      <c r="AH296">
        <v>0</v>
      </c>
      <c r="AI296">
        <v>8.6</v>
      </c>
      <c r="AJ296">
        <v>1</v>
      </c>
      <c r="AK296">
        <v>1</v>
      </c>
      <c r="AL296">
        <v>1</v>
      </c>
      <c r="AN296">
        <v>0</v>
      </c>
      <c r="AO296">
        <v>1</v>
      </c>
      <c r="AP296">
        <v>0</v>
      </c>
      <c r="AQ296">
        <v>0</v>
      </c>
      <c r="AR296">
        <v>0</v>
      </c>
      <c r="AS296" t="s">
        <v>3</v>
      </c>
      <c r="AT296">
        <v>1.4999999999999999E-2</v>
      </c>
      <c r="AU296" t="s">
        <v>3</v>
      </c>
      <c r="AV296">
        <v>0</v>
      </c>
      <c r="AW296">
        <v>2</v>
      </c>
      <c r="AX296">
        <v>33992669</v>
      </c>
      <c r="AY296">
        <v>1</v>
      </c>
      <c r="AZ296">
        <v>0</v>
      </c>
      <c r="BA296">
        <v>297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CX296">
        <f>Y296*Source!I789</f>
        <v>0.03</v>
      </c>
      <c r="CY296">
        <f t="shared" si="29"/>
        <v>98764.12</v>
      </c>
      <c r="CZ296">
        <f t="shared" si="30"/>
        <v>11449.85</v>
      </c>
      <c r="DA296">
        <f t="shared" si="31"/>
        <v>8.6</v>
      </c>
      <c r="DB296">
        <f t="shared" si="27"/>
        <v>171.75</v>
      </c>
      <c r="DC296">
        <f t="shared" si="28"/>
        <v>0</v>
      </c>
    </row>
    <row r="297" spans="1:107" x14ac:dyDescent="0.2">
      <c r="A297">
        <f>ROW(Source!A789)</f>
        <v>789</v>
      </c>
      <c r="B297">
        <v>33989672</v>
      </c>
      <c r="C297">
        <v>33992654</v>
      </c>
      <c r="D297">
        <v>30042223</v>
      </c>
      <c r="E297">
        <v>1</v>
      </c>
      <c r="F297">
        <v>1</v>
      </c>
      <c r="G297">
        <v>29983435</v>
      </c>
      <c r="H297">
        <v>3</v>
      </c>
      <c r="I297" t="s">
        <v>486</v>
      </c>
      <c r="J297" t="s">
        <v>488</v>
      </c>
      <c r="K297" t="s">
        <v>487</v>
      </c>
      <c r="L297">
        <v>1348</v>
      </c>
      <c r="N297">
        <v>1009</v>
      </c>
      <c r="O297" t="s">
        <v>51</v>
      </c>
      <c r="P297" t="s">
        <v>51</v>
      </c>
      <c r="Q297">
        <v>1000</v>
      </c>
      <c r="W297">
        <v>0</v>
      </c>
      <c r="X297">
        <v>-448116312</v>
      </c>
      <c r="Y297">
        <v>5.8999999999999997E-2</v>
      </c>
      <c r="AA297">
        <v>85789.48</v>
      </c>
      <c r="AB297">
        <v>0</v>
      </c>
      <c r="AC297">
        <v>0</v>
      </c>
      <c r="AD297">
        <v>0</v>
      </c>
      <c r="AE297">
        <v>16138.28</v>
      </c>
      <c r="AF297">
        <v>0</v>
      </c>
      <c r="AG297">
        <v>0</v>
      </c>
      <c r="AH297">
        <v>0</v>
      </c>
      <c r="AI297">
        <v>5.3</v>
      </c>
      <c r="AJ297">
        <v>1</v>
      </c>
      <c r="AK297">
        <v>1</v>
      </c>
      <c r="AL297">
        <v>1</v>
      </c>
      <c r="AN297">
        <v>0</v>
      </c>
      <c r="AO297">
        <v>0</v>
      </c>
      <c r="AP297">
        <v>0</v>
      </c>
      <c r="AQ297">
        <v>0</v>
      </c>
      <c r="AR297">
        <v>0</v>
      </c>
      <c r="AS297" t="s">
        <v>3</v>
      </c>
      <c r="AT297">
        <v>5.8999999999999997E-2</v>
      </c>
      <c r="AU297" t="s">
        <v>3</v>
      </c>
      <c r="AV297">
        <v>0</v>
      </c>
      <c r="AW297">
        <v>1</v>
      </c>
      <c r="AX297">
        <v>-1</v>
      </c>
      <c r="AY297">
        <v>0</v>
      </c>
      <c r="AZ297">
        <v>0</v>
      </c>
      <c r="BA297" t="s">
        <v>3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CX297">
        <f>Y297*Source!I789</f>
        <v>0.11799999999999999</v>
      </c>
      <c r="CY297">
        <f t="shared" si="29"/>
        <v>85789.48</v>
      </c>
      <c r="CZ297">
        <f t="shared" si="30"/>
        <v>16138.28</v>
      </c>
      <c r="DA297">
        <f t="shared" si="31"/>
        <v>5.3</v>
      </c>
      <c r="DB297">
        <f t="shared" si="27"/>
        <v>952.16</v>
      </c>
      <c r="DC297">
        <f t="shared" si="28"/>
        <v>0</v>
      </c>
    </row>
    <row r="298" spans="1:107" x14ac:dyDescent="0.2">
      <c r="A298">
        <f>ROW(Source!A789)</f>
        <v>789</v>
      </c>
      <c r="B298">
        <v>33989672</v>
      </c>
      <c r="C298">
        <v>33992654</v>
      </c>
      <c r="D298">
        <v>30041984</v>
      </c>
      <c r="E298">
        <v>1</v>
      </c>
      <c r="F298">
        <v>1</v>
      </c>
      <c r="G298">
        <v>29983435</v>
      </c>
      <c r="H298">
        <v>3</v>
      </c>
      <c r="I298" t="s">
        <v>804</v>
      </c>
      <c r="J298" t="s">
        <v>805</v>
      </c>
      <c r="K298" t="s">
        <v>806</v>
      </c>
      <c r="L298">
        <v>1348</v>
      </c>
      <c r="N298">
        <v>1009</v>
      </c>
      <c r="O298" t="s">
        <v>51</v>
      </c>
      <c r="P298" t="s">
        <v>51</v>
      </c>
      <c r="Q298">
        <v>1000</v>
      </c>
      <c r="W298">
        <v>0</v>
      </c>
      <c r="X298">
        <v>-1802904755</v>
      </c>
      <c r="Y298">
        <v>2.4000000000000001E-4</v>
      </c>
      <c r="AA298">
        <v>1826.94</v>
      </c>
      <c r="AB298">
        <v>0</v>
      </c>
      <c r="AC298">
        <v>0</v>
      </c>
      <c r="AD298">
        <v>0</v>
      </c>
      <c r="AE298">
        <v>176.5</v>
      </c>
      <c r="AF298">
        <v>0</v>
      </c>
      <c r="AG298">
        <v>0</v>
      </c>
      <c r="AH298">
        <v>0</v>
      </c>
      <c r="AI298">
        <v>10.32</v>
      </c>
      <c r="AJ298">
        <v>1</v>
      </c>
      <c r="AK298">
        <v>1</v>
      </c>
      <c r="AL298">
        <v>1</v>
      </c>
      <c r="AN298">
        <v>0</v>
      </c>
      <c r="AO298">
        <v>1</v>
      </c>
      <c r="AP298">
        <v>0</v>
      </c>
      <c r="AQ298">
        <v>0</v>
      </c>
      <c r="AR298">
        <v>0</v>
      </c>
      <c r="AS298" t="s">
        <v>3</v>
      </c>
      <c r="AT298">
        <v>2.4000000000000001E-4</v>
      </c>
      <c r="AU298" t="s">
        <v>3</v>
      </c>
      <c r="AV298">
        <v>0</v>
      </c>
      <c r="AW298">
        <v>2</v>
      </c>
      <c r="AX298">
        <v>33992670</v>
      </c>
      <c r="AY298">
        <v>1</v>
      </c>
      <c r="AZ298">
        <v>0</v>
      </c>
      <c r="BA298">
        <v>298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CX298">
        <f>Y298*Source!I789</f>
        <v>4.8000000000000001E-4</v>
      </c>
      <c r="CY298">
        <f t="shared" si="29"/>
        <v>1826.94</v>
      </c>
      <c r="CZ298">
        <f t="shared" si="30"/>
        <v>176.5</v>
      </c>
      <c r="DA298">
        <f t="shared" si="31"/>
        <v>10.32</v>
      </c>
      <c r="DB298">
        <f t="shared" si="27"/>
        <v>0.04</v>
      </c>
      <c r="DC298">
        <f t="shared" si="28"/>
        <v>0</v>
      </c>
    </row>
    <row r="299" spans="1:107" x14ac:dyDescent="0.2">
      <c r="A299">
        <f>ROW(Source!A789)</f>
        <v>789</v>
      </c>
      <c r="B299">
        <v>33989672</v>
      </c>
      <c r="C299">
        <v>33992654</v>
      </c>
      <c r="D299">
        <v>30041767</v>
      </c>
      <c r="E299">
        <v>1</v>
      </c>
      <c r="F299">
        <v>1</v>
      </c>
      <c r="G299">
        <v>29983435</v>
      </c>
      <c r="H299">
        <v>3</v>
      </c>
      <c r="I299" t="s">
        <v>807</v>
      </c>
      <c r="J299" t="s">
        <v>808</v>
      </c>
      <c r="K299" t="s">
        <v>809</v>
      </c>
      <c r="L299">
        <v>1348</v>
      </c>
      <c r="N299">
        <v>1009</v>
      </c>
      <c r="O299" t="s">
        <v>51</v>
      </c>
      <c r="P299" t="s">
        <v>51</v>
      </c>
      <c r="Q299">
        <v>1000</v>
      </c>
      <c r="W299">
        <v>0</v>
      </c>
      <c r="X299">
        <v>1320659850</v>
      </c>
      <c r="Y299">
        <v>0.01</v>
      </c>
      <c r="AA299">
        <v>38849.29</v>
      </c>
      <c r="AB299">
        <v>0</v>
      </c>
      <c r="AC299">
        <v>0</v>
      </c>
      <c r="AD299">
        <v>0</v>
      </c>
      <c r="AE299">
        <v>12534.98</v>
      </c>
      <c r="AF299">
        <v>0</v>
      </c>
      <c r="AG299">
        <v>0</v>
      </c>
      <c r="AH299">
        <v>0</v>
      </c>
      <c r="AI299">
        <v>3.09</v>
      </c>
      <c r="AJ299">
        <v>1</v>
      </c>
      <c r="AK299">
        <v>1</v>
      </c>
      <c r="AL299">
        <v>1</v>
      </c>
      <c r="AN299">
        <v>0</v>
      </c>
      <c r="AO299">
        <v>1</v>
      </c>
      <c r="AP299">
        <v>0</v>
      </c>
      <c r="AQ299">
        <v>0</v>
      </c>
      <c r="AR299">
        <v>0</v>
      </c>
      <c r="AS299" t="s">
        <v>3</v>
      </c>
      <c r="AT299">
        <v>0.01</v>
      </c>
      <c r="AU299" t="s">
        <v>3</v>
      </c>
      <c r="AV299">
        <v>0</v>
      </c>
      <c r="AW299">
        <v>2</v>
      </c>
      <c r="AX299">
        <v>33992671</v>
      </c>
      <c r="AY299">
        <v>1</v>
      </c>
      <c r="AZ299">
        <v>0</v>
      </c>
      <c r="BA299">
        <v>299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CX299">
        <f>Y299*Source!I789</f>
        <v>0.02</v>
      </c>
      <c r="CY299">
        <f t="shared" si="29"/>
        <v>38849.29</v>
      </c>
      <c r="CZ299">
        <f t="shared" si="30"/>
        <v>12534.98</v>
      </c>
      <c r="DA299">
        <f t="shared" si="31"/>
        <v>3.09</v>
      </c>
      <c r="DB299">
        <f t="shared" si="27"/>
        <v>125.35</v>
      </c>
      <c r="DC299">
        <f t="shared" si="28"/>
        <v>0</v>
      </c>
    </row>
    <row r="300" spans="1:107" x14ac:dyDescent="0.2">
      <c r="A300">
        <f>ROW(Source!A861)</f>
        <v>861</v>
      </c>
      <c r="B300">
        <v>33989672</v>
      </c>
      <c r="C300">
        <v>33992674</v>
      </c>
      <c r="D300">
        <v>29983441</v>
      </c>
      <c r="E300">
        <v>29983435</v>
      </c>
      <c r="F300">
        <v>1</v>
      </c>
      <c r="G300">
        <v>29983435</v>
      </c>
      <c r="H300">
        <v>1</v>
      </c>
      <c r="I300" t="s">
        <v>646</v>
      </c>
      <c r="J300" t="s">
        <v>3</v>
      </c>
      <c r="K300" t="s">
        <v>647</v>
      </c>
      <c r="L300">
        <v>1191</v>
      </c>
      <c r="N300">
        <v>1013</v>
      </c>
      <c r="O300" t="s">
        <v>648</v>
      </c>
      <c r="P300" t="s">
        <v>648</v>
      </c>
      <c r="Q300">
        <v>1</v>
      </c>
      <c r="W300">
        <v>0</v>
      </c>
      <c r="X300">
        <v>476480486</v>
      </c>
      <c r="Y300">
        <v>72.599999999999994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1</v>
      </c>
      <c r="AJ300">
        <v>1</v>
      </c>
      <c r="AK300">
        <v>1</v>
      </c>
      <c r="AL300">
        <v>1</v>
      </c>
      <c r="AN300">
        <v>0</v>
      </c>
      <c r="AO300">
        <v>1</v>
      </c>
      <c r="AP300">
        <v>0</v>
      </c>
      <c r="AQ300">
        <v>0</v>
      </c>
      <c r="AR300">
        <v>0</v>
      </c>
      <c r="AS300" t="s">
        <v>3</v>
      </c>
      <c r="AT300">
        <v>72.599999999999994</v>
      </c>
      <c r="AU300" t="s">
        <v>3</v>
      </c>
      <c r="AV300">
        <v>1</v>
      </c>
      <c r="AW300">
        <v>2</v>
      </c>
      <c r="AX300">
        <v>33992680</v>
      </c>
      <c r="AY300">
        <v>1</v>
      </c>
      <c r="AZ300">
        <v>0</v>
      </c>
      <c r="BA300">
        <v>301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CX300">
        <f>Y300*Source!I861</f>
        <v>29.04</v>
      </c>
      <c r="CY300">
        <f>AD300</f>
        <v>0</v>
      </c>
      <c r="CZ300">
        <f>AH300</f>
        <v>0</v>
      </c>
      <c r="DA300">
        <f>AL300</f>
        <v>1</v>
      </c>
      <c r="DB300">
        <f t="shared" si="27"/>
        <v>0</v>
      </c>
      <c r="DC300">
        <f t="shared" si="28"/>
        <v>0</v>
      </c>
    </row>
    <row r="301" spans="1:107" x14ac:dyDescent="0.2">
      <c r="A301">
        <f>ROW(Source!A861)</f>
        <v>861</v>
      </c>
      <c r="B301">
        <v>33989672</v>
      </c>
      <c r="C301">
        <v>33992674</v>
      </c>
      <c r="D301">
        <v>29983439</v>
      </c>
      <c r="E301">
        <v>29983435</v>
      </c>
      <c r="F301">
        <v>1</v>
      </c>
      <c r="G301">
        <v>29983435</v>
      </c>
      <c r="H301">
        <v>2</v>
      </c>
      <c r="I301" t="s">
        <v>674</v>
      </c>
      <c r="J301" t="s">
        <v>3</v>
      </c>
      <c r="K301" t="s">
        <v>675</v>
      </c>
      <c r="L301">
        <v>1344</v>
      </c>
      <c r="N301">
        <v>1008</v>
      </c>
      <c r="O301" t="s">
        <v>676</v>
      </c>
      <c r="P301" t="s">
        <v>676</v>
      </c>
      <c r="Q301">
        <v>1</v>
      </c>
      <c r="W301">
        <v>0</v>
      </c>
      <c r="X301">
        <v>-1180195794</v>
      </c>
      <c r="Y301">
        <v>228.62</v>
      </c>
      <c r="AA301">
        <v>0</v>
      </c>
      <c r="AB301">
        <v>1.05</v>
      </c>
      <c r="AC301">
        <v>0</v>
      </c>
      <c r="AD301">
        <v>0</v>
      </c>
      <c r="AE301">
        <v>0</v>
      </c>
      <c r="AF301">
        <v>1</v>
      </c>
      <c r="AG301">
        <v>0</v>
      </c>
      <c r="AH301">
        <v>0</v>
      </c>
      <c r="AI301">
        <v>1</v>
      </c>
      <c r="AJ301">
        <v>1</v>
      </c>
      <c r="AK301">
        <v>1</v>
      </c>
      <c r="AL301">
        <v>1</v>
      </c>
      <c r="AN301">
        <v>0</v>
      </c>
      <c r="AO301">
        <v>1</v>
      </c>
      <c r="AP301">
        <v>0</v>
      </c>
      <c r="AQ301">
        <v>0</v>
      </c>
      <c r="AR301">
        <v>0</v>
      </c>
      <c r="AS301" t="s">
        <v>3</v>
      </c>
      <c r="AT301">
        <v>228.62</v>
      </c>
      <c r="AU301" t="s">
        <v>3</v>
      </c>
      <c r="AV301">
        <v>0</v>
      </c>
      <c r="AW301">
        <v>2</v>
      </c>
      <c r="AX301">
        <v>33992681</v>
      </c>
      <c r="AY301">
        <v>1</v>
      </c>
      <c r="AZ301">
        <v>0</v>
      </c>
      <c r="BA301">
        <v>302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CX301">
        <f>Y301*Source!I861</f>
        <v>91.448000000000008</v>
      </c>
      <c r="CY301">
        <f>AB301</f>
        <v>1.05</v>
      </c>
      <c r="CZ301">
        <f>AF301</f>
        <v>1</v>
      </c>
      <c r="DA301">
        <f>AJ301</f>
        <v>1</v>
      </c>
      <c r="DB301">
        <f t="shared" ref="DB301:DB332" si="32">ROUND(ROUND(AT301*CZ301,2),6)</f>
        <v>228.62</v>
      </c>
      <c r="DC301">
        <f t="shared" ref="DC301:DC332" si="33">ROUND(ROUND(AT301*AG301,2),6)</f>
        <v>0</v>
      </c>
    </row>
    <row r="302" spans="1:107" x14ac:dyDescent="0.2">
      <c r="A302">
        <f>ROW(Source!A861)</f>
        <v>861</v>
      </c>
      <c r="B302">
        <v>33989672</v>
      </c>
      <c r="C302">
        <v>33992674</v>
      </c>
      <c r="D302">
        <v>30042838</v>
      </c>
      <c r="E302">
        <v>1</v>
      </c>
      <c r="F302">
        <v>1</v>
      </c>
      <c r="G302">
        <v>29983435</v>
      </c>
      <c r="H302">
        <v>3</v>
      </c>
      <c r="I302" t="s">
        <v>498</v>
      </c>
      <c r="J302" t="s">
        <v>500</v>
      </c>
      <c r="K302" t="s">
        <v>499</v>
      </c>
      <c r="L302">
        <v>1327</v>
      </c>
      <c r="N302">
        <v>1005</v>
      </c>
      <c r="O302" t="s">
        <v>411</v>
      </c>
      <c r="P302" t="s">
        <v>411</v>
      </c>
      <c r="Q302">
        <v>1</v>
      </c>
      <c r="W302">
        <v>0</v>
      </c>
      <c r="X302">
        <v>321713354</v>
      </c>
      <c r="Y302">
        <v>100</v>
      </c>
      <c r="AA302">
        <v>4198.2</v>
      </c>
      <c r="AB302">
        <v>0</v>
      </c>
      <c r="AC302">
        <v>0</v>
      </c>
      <c r="AD302">
        <v>0</v>
      </c>
      <c r="AE302">
        <v>1206.3800000000001</v>
      </c>
      <c r="AF302">
        <v>0</v>
      </c>
      <c r="AG302">
        <v>0</v>
      </c>
      <c r="AH302">
        <v>0</v>
      </c>
      <c r="AI302">
        <v>3.48</v>
      </c>
      <c r="AJ302">
        <v>1</v>
      </c>
      <c r="AK302">
        <v>1</v>
      </c>
      <c r="AL302">
        <v>1</v>
      </c>
      <c r="AN302">
        <v>0</v>
      </c>
      <c r="AO302">
        <v>0</v>
      </c>
      <c r="AP302">
        <v>0</v>
      </c>
      <c r="AQ302">
        <v>0</v>
      </c>
      <c r="AR302">
        <v>0</v>
      </c>
      <c r="AS302" t="s">
        <v>3</v>
      </c>
      <c r="AT302">
        <v>100</v>
      </c>
      <c r="AU302" t="s">
        <v>3</v>
      </c>
      <c r="AV302">
        <v>0</v>
      </c>
      <c r="AW302">
        <v>1</v>
      </c>
      <c r="AX302">
        <v>-1</v>
      </c>
      <c r="AY302">
        <v>0</v>
      </c>
      <c r="AZ302">
        <v>0</v>
      </c>
      <c r="BA302" t="s">
        <v>3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CX302">
        <f>Y302*Source!I861</f>
        <v>40</v>
      </c>
      <c r="CY302">
        <f>AA302</f>
        <v>4198.2</v>
      </c>
      <c r="CZ302">
        <f>AE302</f>
        <v>1206.3800000000001</v>
      </c>
      <c r="DA302">
        <f>AI302</f>
        <v>3.48</v>
      </c>
      <c r="DB302">
        <f t="shared" si="32"/>
        <v>120638</v>
      </c>
      <c r="DC302">
        <f t="shared" si="33"/>
        <v>0</v>
      </c>
    </row>
    <row r="303" spans="1:107" x14ac:dyDescent="0.2">
      <c r="A303">
        <f>ROW(Source!A861)</f>
        <v>861</v>
      </c>
      <c r="B303">
        <v>33989672</v>
      </c>
      <c r="C303">
        <v>33992674</v>
      </c>
      <c r="D303">
        <v>30057545</v>
      </c>
      <c r="E303">
        <v>1</v>
      </c>
      <c r="F303">
        <v>1</v>
      </c>
      <c r="G303">
        <v>29983435</v>
      </c>
      <c r="H303">
        <v>3</v>
      </c>
      <c r="I303" t="s">
        <v>810</v>
      </c>
      <c r="J303" t="s">
        <v>811</v>
      </c>
      <c r="K303" t="s">
        <v>812</v>
      </c>
      <c r="L303">
        <v>1339</v>
      </c>
      <c r="N303">
        <v>1007</v>
      </c>
      <c r="O303" t="s">
        <v>66</v>
      </c>
      <c r="P303" t="s">
        <v>66</v>
      </c>
      <c r="Q303">
        <v>1</v>
      </c>
      <c r="W303">
        <v>0</v>
      </c>
      <c r="X303">
        <v>-1161195218</v>
      </c>
      <c r="Y303">
        <v>2.11</v>
      </c>
      <c r="AA303">
        <v>3410.2</v>
      </c>
      <c r="AB303">
        <v>0</v>
      </c>
      <c r="AC303">
        <v>0</v>
      </c>
      <c r="AD303">
        <v>0</v>
      </c>
      <c r="AE303">
        <v>478.96</v>
      </c>
      <c r="AF303">
        <v>0</v>
      </c>
      <c r="AG303">
        <v>0</v>
      </c>
      <c r="AH303">
        <v>0</v>
      </c>
      <c r="AI303">
        <v>7.12</v>
      </c>
      <c r="AJ303">
        <v>1</v>
      </c>
      <c r="AK303">
        <v>1</v>
      </c>
      <c r="AL303">
        <v>1</v>
      </c>
      <c r="AN303">
        <v>0</v>
      </c>
      <c r="AO303">
        <v>1</v>
      </c>
      <c r="AP303">
        <v>0</v>
      </c>
      <c r="AQ303">
        <v>0</v>
      </c>
      <c r="AR303">
        <v>0</v>
      </c>
      <c r="AS303" t="s">
        <v>3</v>
      </c>
      <c r="AT303">
        <v>2.11</v>
      </c>
      <c r="AU303" t="s">
        <v>3</v>
      </c>
      <c r="AV303">
        <v>0</v>
      </c>
      <c r="AW303">
        <v>2</v>
      </c>
      <c r="AX303">
        <v>33992682</v>
      </c>
      <c r="AY303">
        <v>1</v>
      </c>
      <c r="AZ303">
        <v>0</v>
      </c>
      <c r="BA303">
        <v>303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CX303">
        <f>Y303*Source!I861</f>
        <v>0.84399999999999997</v>
      </c>
      <c r="CY303">
        <f>AA303</f>
        <v>3410.2</v>
      </c>
      <c r="CZ303">
        <f>AE303</f>
        <v>478.96</v>
      </c>
      <c r="DA303">
        <f>AI303</f>
        <v>7.12</v>
      </c>
      <c r="DB303">
        <f t="shared" si="32"/>
        <v>1010.61</v>
      </c>
      <c r="DC303">
        <f t="shared" si="33"/>
        <v>0</v>
      </c>
    </row>
    <row r="304" spans="1:107" x14ac:dyDescent="0.2">
      <c r="A304">
        <f>ROW(Source!A861)</f>
        <v>861</v>
      </c>
      <c r="B304">
        <v>33989672</v>
      </c>
      <c r="C304">
        <v>33992674</v>
      </c>
      <c r="D304">
        <v>29983437</v>
      </c>
      <c r="E304">
        <v>29983435</v>
      </c>
      <c r="F304">
        <v>1</v>
      </c>
      <c r="G304">
        <v>29983435</v>
      </c>
      <c r="H304">
        <v>3</v>
      </c>
      <c r="I304" t="s">
        <v>738</v>
      </c>
      <c r="J304" t="s">
        <v>3</v>
      </c>
      <c r="K304" t="s">
        <v>739</v>
      </c>
      <c r="L304">
        <v>1344</v>
      </c>
      <c r="N304">
        <v>1008</v>
      </c>
      <c r="O304" t="s">
        <v>676</v>
      </c>
      <c r="P304" t="s">
        <v>676</v>
      </c>
      <c r="Q304">
        <v>1</v>
      </c>
      <c r="W304">
        <v>0</v>
      </c>
      <c r="X304">
        <v>-94250534</v>
      </c>
      <c r="Y304">
        <v>5.67</v>
      </c>
      <c r="AA304">
        <v>1</v>
      </c>
      <c r="AB304">
        <v>0</v>
      </c>
      <c r="AC304">
        <v>0</v>
      </c>
      <c r="AD304">
        <v>0</v>
      </c>
      <c r="AE304">
        <v>1</v>
      </c>
      <c r="AF304">
        <v>0</v>
      </c>
      <c r="AG304">
        <v>0</v>
      </c>
      <c r="AH304">
        <v>0</v>
      </c>
      <c r="AI304">
        <v>1</v>
      </c>
      <c r="AJ304">
        <v>1</v>
      </c>
      <c r="AK304">
        <v>1</v>
      </c>
      <c r="AL304">
        <v>1</v>
      </c>
      <c r="AN304">
        <v>0</v>
      </c>
      <c r="AO304">
        <v>1</v>
      </c>
      <c r="AP304">
        <v>0</v>
      </c>
      <c r="AQ304">
        <v>0</v>
      </c>
      <c r="AR304">
        <v>0</v>
      </c>
      <c r="AS304" t="s">
        <v>3</v>
      </c>
      <c r="AT304">
        <v>5.67</v>
      </c>
      <c r="AU304" t="s">
        <v>3</v>
      </c>
      <c r="AV304">
        <v>0</v>
      </c>
      <c r="AW304">
        <v>2</v>
      </c>
      <c r="AX304">
        <v>33992684</v>
      </c>
      <c r="AY304">
        <v>1</v>
      </c>
      <c r="AZ304">
        <v>0</v>
      </c>
      <c r="BA304">
        <v>305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CX304">
        <f>Y304*Source!I861</f>
        <v>2.2680000000000002</v>
      </c>
      <c r="CY304">
        <f>AA304</f>
        <v>1</v>
      </c>
      <c r="CZ304">
        <f>AE304</f>
        <v>1</v>
      </c>
      <c r="DA304">
        <f>AI304</f>
        <v>1</v>
      </c>
      <c r="DB304">
        <f t="shared" si="32"/>
        <v>5.67</v>
      </c>
      <c r="DC304">
        <f t="shared" si="33"/>
        <v>0</v>
      </c>
    </row>
    <row r="305" spans="1:107" x14ac:dyDescent="0.2">
      <c r="A305">
        <f>ROW(Source!A1001)</f>
        <v>1001</v>
      </c>
      <c r="B305">
        <v>33989672</v>
      </c>
      <c r="C305">
        <v>33992686</v>
      </c>
      <c r="D305">
        <v>29983441</v>
      </c>
      <c r="E305">
        <v>29983435</v>
      </c>
      <c r="F305">
        <v>1</v>
      </c>
      <c r="G305">
        <v>29983435</v>
      </c>
      <c r="H305">
        <v>1</v>
      </c>
      <c r="I305" t="s">
        <v>646</v>
      </c>
      <c r="J305" t="s">
        <v>3</v>
      </c>
      <c r="K305" t="s">
        <v>647</v>
      </c>
      <c r="L305">
        <v>1191</v>
      </c>
      <c r="N305">
        <v>1013</v>
      </c>
      <c r="O305" t="s">
        <v>648</v>
      </c>
      <c r="P305" t="s">
        <v>648</v>
      </c>
      <c r="Q305">
        <v>1</v>
      </c>
      <c r="W305">
        <v>0</v>
      </c>
      <c r="X305">
        <v>476480486</v>
      </c>
      <c r="Y305">
        <v>2.66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1</v>
      </c>
      <c r="AJ305">
        <v>1</v>
      </c>
      <c r="AK305">
        <v>1</v>
      </c>
      <c r="AL305">
        <v>1</v>
      </c>
      <c r="AN305">
        <v>0</v>
      </c>
      <c r="AO305">
        <v>1</v>
      </c>
      <c r="AP305">
        <v>0</v>
      </c>
      <c r="AQ305">
        <v>0</v>
      </c>
      <c r="AR305">
        <v>0</v>
      </c>
      <c r="AS305" t="s">
        <v>3</v>
      </c>
      <c r="AT305">
        <v>2.66</v>
      </c>
      <c r="AU305" t="s">
        <v>3</v>
      </c>
      <c r="AV305">
        <v>1</v>
      </c>
      <c r="AW305">
        <v>2</v>
      </c>
      <c r="AX305">
        <v>33992694</v>
      </c>
      <c r="AY305">
        <v>1</v>
      </c>
      <c r="AZ305">
        <v>0</v>
      </c>
      <c r="BA305">
        <v>306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CX305">
        <f>Y305*Source!I1001</f>
        <v>93.897999999999996</v>
      </c>
      <c r="CY305">
        <f>AD305</f>
        <v>0</v>
      </c>
      <c r="CZ305">
        <f>AH305</f>
        <v>0</v>
      </c>
      <c r="DA305">
        <f>AL305</f>
        <v>1</v>
      </c>
      <c r="DB305">
        <f t="shared" si="32"/>
        <v>0</v>
      </c>
      <c r="DC305">
        <f t="shared" si="33"/>
        <v>0</v>
      </c>
    </row>
    <row r="306" spans="1:107" x14ac:dyDescent="0.2">
      <c r="A306">
        <f>ROW(Source!A1001)</f>
        <v>1001</v>
      </c>
      <c r="B306">
        <v>33989672</v>
      </c>
      <c r="C306">
        <v>33992686</v>
      </c>
      <c r="D306">
        <v>30063812</v>
      </c>
      <c r="E306">
        <v>1</v>
      </c>
      <c r="F306">
        <v>1</v>
      </c>
      <c r="G306">
        <v>29983435</v>
      </c>
      <c r="H306">
        <v>2</v>
      </c>
      <c r="I306" t="s">
        <v>813</v>
      </c>
      <c r="J306" t="s">
        <v>814</v>
      </c>
      <c r="K306" t="s">
        <v>815</v>
      </c>
      <c r="L306">
        <v>1367</v>
      </c>
      <c r="N306">
        <v>1011</v>
      </c>
      <c r="O306" t="s">
        <v>652</v>
      </c>
      <c r="P306" t="s">
        <v>652</v>
      </c>
      <c r="Q306">
        <v>1</v>
      </c>
      <c r="W306">
        <v>0</v>
      </c>
      <c r="X306">
        <v>-869219575</v>
      </c>
      <c r="Y306">
        <v>0.45</v>
      </c>
      <c r="AA306">
        <v>0</v>
      </c>
      <c r="AB306">
        <v>351.7</v>
      </c>
      <c r="AC306">
        <v>68.83</v>
      </c>
      <c r="AD306">
        <v>0</v>
      </c>
      <c r="AE306">
        <v>0</v>
      </c>
      <c r="AF306">
        <v>43.4</v>
      </c>
      <c r="AG306">
        <v>2.68</v>
      </c>
      <c r="AH306">
        <v>0</v>
      </c>
      <c r="AI306">
        <v>1</v>
      </c>
      <c r="AJ306">
        <v>7.74</v>
      </c>
      <c r="AK306">
        <v>24.53</v>
      </c>
      <c r="AL306">
        <v>1</v>
      </c>
      <c r="AN306">
        <v>0</v>
      </c>
      <c r="AO306">
        <v>1</v>
      </c>
      <c r="AP306">
        <v>0</v>
      </c>
      <c r="AQ306">
        <v>0</v>
      </c>
      <c r="AR306">
        <v>0</v>
      </c>
      <c r="AS306" t="s">
        <v>3</v>
      </c>
      <c r="AT306">
        <v>0.45</v>
      </c>
      <c r="AU306" t="s">
        <v>3</v>
      </c>
      <c r="AV306">
        <v>0</v>
      </c>
      <c r="AW306">
        <v>2</v>
      </c>
      <c r="AX306">
        <v>33992695</v>
      </c>
      <c r="AY306">
        <v>1</v>
      </c>
      <c r="AZ306">
        <v>0</v>
      </c>
      <c r="BA306">
        <v>307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CX306">
        <f>Y306*Source!I1001</f>
        <v>15.885</v>
      </c>
      <c r="CY306">
        <f>AB306</f>
        <v>351.7</v>
      </c>
      <c r="CZ306">
        <f>AF306</f>
        <v>43.4</v>
      </c>
      <c r="DA306">
        <f>AJ306</f>
        <v>7.74</v>
      </c>
      <c r="DB306">
        <f t="shared" si="32"/>
        <v>19.53</v>
      </c>
      <c r="DC306">
        <f t="shared" si="33"/>
        <v>1.21</v>
      </c>
    </row>
    <row r="307" spans="1:107" x14ac:dyDescent="0.2">
      <c r="A307">
        <f>ROW(Source!A1001)</f>
        <v>1001</v>
      </c>
      <c r="B307">
        <v>33989672</v>
      </c>
      <c r="C307">
        <v>33992686</v>
      </c>
      <c r="D307">
        <v>30063813</v>
      </c>
      <c r="E307">
        <v>1</v>
      </c>
      <c r="F307">
        <v>1</v>
      </c>
      <c r="G307">
        <v>29983435</v>
      </c>
      <c r="H307">
        <v>2</v>
      </c>
      <c r="I307" t="s">
        <v>816</v>
      </c>
      <c r="J307" t="s">
        <v>817</v>
      </c>
      <c r="K307" t="s">
        <v>818</v>
      </c>
      <c r="L307">
        <v>1367</v>
      </c>
      <c r="N307">
        <v>1011</v>
      </c>
      <c r="O307" t="s">
        <v>652</v>
      </c>
      <c r="P307" t="s">
        <v>652</v>
      </c>
      <c r="Q307">
        <v>1</v>
      </c>
      <c r="W307">
        <v>0</v>
      </c>
      <c r="X307">
        <v>-157737218</v>
      </c>
      <c r="Y307">
        <v>0.05</v>
      </c>
      <c r="AA307">
        <v>0</v>
      </c>
      <c r="AB307">
        <v>6.74</v>
      </c>
      <c r="AC307">
        <v>2.31</v>
      </c>
      <c r="AD307">
        <v>0</v>
      </c>
      <c r="AE307">
        <v>0</v>
      </c>
      <c r="AF307">
        <v>1.0900000000000001</v>
      </c>
      <c r="AG307">
        <v>0.09</v>
      </c>
      <c r="AH307">
        <v>0</v>
      </c>
      <c r="AI307">
        <v>1</v>
      </c>
      <c r="AJ307">
        <v>5.91</v>
      </c>
      <c r="AK307">
        <v>24.53</v>
      </c>
      <c r="AL307">
        <v>1</v>
      </c>
      <c r="AN307">
        <v>0</v>
      </c>
      <c r="AO307">
        <v>1</v>
      </c>
      <c r="AP307">
        <v>0</v>
      </c>
      <c r="AQ307">
        <v>0</v>
      </c>
      <c r="AR307">
        <v>0</v>
      </c>
      <c r="AS307" t="s">
        <v>3</v>
      </c>
      <c r="AT307">
        <v>0.05</v>
      </c>
      <c r="AU307" t="s">
        <v>3</v>
      </c>
      <c r="AV307">
        <v>0</v>
      </c>
      <c r="AW307">
        <v>2</v>
      </c>
      <c r="AX307">
        <v>33992696</v>
      </c>
      <c r="AY307">
        <v>1</v>
      </c>
      <c r="AZ307">
        <v>0</v>
      </c>
      <c r="BA307">
        <v>308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CX307">
        <f>Y307*Source!I1001</f>
        <v>1.7649999999999999</v>
      </c>
      <c r="CY307">
        <f>AB307</f>
        <v>6.74</v>
      </c>
      <c r="CZ307">
        <f>AF307</f>
        <v>1.0900000000000001</v>
      </c>
      <c r="DA307">
        <f>AJ307</f>
        <v>5.91</v>
      </c>
      <c r="DB307">
        <f t="shared" si="32"/>
        <v>0.05</v>
      </c>
      <c r="DC307">
        <f t="shared" si="33"/>
        <v>0</v>
      </c>
    </row>
    <row r="308" spans="1:107" x14ac:dyDescent="0.2">
      <c r="A308">
        <f>ROW(Source!A1001)</f>
        <v>1001</v>
      </c>
      <c r="B308">
        <v>33989672</v>
      </c>
      <c r="C308">
        <v>33992686</v>
      </c>
      <c r="D308">
        <v>30064147</v>
      </c>
      <c r="E308">
        <v>1</v>
      </c>
      <c r="F308">
        <v>1</v>
      </c>
      <c r="G308">
        <v>29983435</v>
      </c>
      <c r="H308">
        <v>2</v>
      </c>
      <c r="I308" t="s">
        <v>819</v>
      </c>
      <c r="J308" t="s">
        <v>820</v>
      </c>
      <c r="K308" t="s">
        <v>821</v>
      </c>
      <c r="L308">
        <v>1367</v>
      </c>
      <c r="N308">
        <v>1011</v>
      </c>
      <c r="O308" t="s">
        <v>652</v>
      </c>
      <c r="P308" t="s">
        <v>652</v>
      </c>
      <c r="Q308">
        <v>1</v>
      </c>
      <c r="W308">
        <v>0</v>
      </c>
      <c r="X308">
        <v>-875577540</v>
      </c>
      <c r="Y308">
        <v>0.05</v>
      </c>
      <c r="AA308">
        <v>0</v>
      </c>
      <c r="AB308">
        <v>6.17</v>
      </c>
      <c r="AC308">
        <v>1.03</v>
      </c>
      <c r="AD308">
        <v>0</v>
      </c>
      <c r="AE308">
        <v>0</v>
      </c>
      <c r="AF308">
        <v>0.68</v>
      </c>
      <c r="AG308">
        <v>0.04</v>
      </c>
      <c r="AH308">
        <v>0</v>
      </c>
      <c r="AI308">
        <v>1</v>
      </c>
      <c r="AJ308">
        <v>8.66</v>
      </c>
      <c r="AK308">
        <v>24.53</v>
      </c>
      <c r="AL308">
        <v>1</v>
      </c>
      <c r="AN308">
        <v>0</v>
      </c>
      <c r="AO308">
        <v>1</v>
      </c>
      <c r="AP308">
        <v>0</v>
      </c>
      <c r="AQ308">
        <v>0</v>
      </c>
      <c r="AR308">
        <v>0</v>
      </c>
      <c r="AS308" t="s">
        <v>3</v>
      </c>
      <c r="AT308">
        <v>0.05</v>
      </c>
      <c r="AU308" t="s">
        <v>3</v>
      </c>
      <c r="AV308">
        <v>0</v>
      </c>
      <c r="AW308">
        <v>2</v>
      </c>
      <c r="AX308">
        <v>33992697</v>
      </c>
      <c r="AY308">
        <v>1</v>
      </c>
      <c r="AZ308">
        <v>0</v>
      </c>
      <c r="BA308">
        <v>309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CX308">
        <f>Y308*Source!I1001</f>
        <v>1.7649999999999999</v>
      </c>
      <c r="CY308">
        <f>AB308</f>
        <v>6.17</v>
      </c>
      <c r="CZ308">
        <f>AF308</f>
        <v>0.68</v>
      </c>
      <c r="DA308">
        <f>AJ308</f>
        <v>8.66</v>
      </c>
      <c r="DB308">
        <f t="shared" si="32"/>
        <v>0.03</v>
      </c>
      <c r="DC308">
        <f t="shared" si="33"/>
        <v>0</v>
      </c>
    </row>
    <row r="309" spans="1:107" x14ac:dyDescent="0.2">
      <c r="A309">
        <f>ROW(Source!A1001)</f>
        <v>1001</v>
      </c>
      <c r="B309">
        <v>33989672</v>
      </c>
      <c r="C309">
        <v>33992686</v>
      </c>
      <c r="D309">
        <v>30040534</v>
      </c>
      <c r="E309">
        <v>1</v>
      </c>
      <c r="F309">
        <v>1</v>
      </c>
      <c r="G309">
        <v>29983435</v>
      </c>
      <c r="H309">
        <v>3</v>
      </c>
      <c r="I309" t="s">
        <v>513</v>
      </c>
      <c r="J309" t="s">
        <v>515</v>
      </c>
      <c r="K309" t="s">
        <v>514</v>
      </c>
      <c r="L309">
        <v>1348</v>
      </c>
      <c r="N309">
        <v>1009</v>
      </c>
      <c r="O309" t="s">
        <v>51</v>
      </c>
      <c r="P309" t="s">
        <v>51</v>
      </c>
      <c r="Q309">
        <v>1000</v>
      </c>
      <c r="W309">
        <v>0</v>
      </c>
      <c r="X309">
        <v>-1570911069</v>
      </c>
      <c r="Y309">
        <v>0.1087</v>
      </c>
      <c r="AA309">
        <v>35955.01</v>
      </c>
      <c r="AB309">
        <v>0</v>
      </c>
      <c r="AC309">
        <v>0</v>
      </c>
      <c r="AD309">
        <v>0</v>
      </c>
      <c r="AE309">
        <v>11726.55</v>
      </c>
      <c r="AF309">
        <v>0</v>
      </c>
      <c r="AG309">
        <v>0</v>
      </c>
      <c r="AH309">
        <v>0</v>
      </c>
      <c r="AI309">
        <v>3.06</v>
      </c>
      <c r="AJ309">
        <v>1</v>
      </c>
      <c r="AK309">
        <v>1</v>
      </c>
      <c r="AL309">
        <v>1</v>
      </c>
      <c r="AN309">
        <v>0</v>
      </c>
      <c r="AO309">
        <v>0</v>
      </c>
      <c r="AP309">
        <v>0</v>
      </c>
      <c r="AQ309">
        <v>0</v>
      </c>
      <c r="AR309">
        <v>0</v>
      </c>
      <c r="AS309" t="s">
        <v>3</v>
      </c>
      <c r="AT309">
        <v>0.1087</v>
      </c>
      <c r="AU309" t="s">
        <v>3</v>
      </c>
      <c r="AV309">
        <v>0</v>
      </c>
      <c r="AW309">
        <v>1</v>
      </c>
      <c r="AX309">
        <v>-1</v>
      </c>
      <c r="AY309">
        <v>0</v>
      </c>
      <c r="AZ309">
        <v>0</v>
      </c>
      <c r="BA309" t="s">
        <v>3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CX309">
        <f>Y309*Source!I1001</f>
        <v>3.83711</v>
      </c>
      <c r="CY309">
        <f>AA309</f>
        <v>35955.01</v>
      </c>
      <c r="CZ309">
        <f>AE309</f>
        <v>11726.55</v>
      </c>
      <c r="DA309">
        <f>AI309</f>
        <v>3.06</v>
      </c>
      <c r="DB309">
        <f t="shared" si="32"/>
        <v>1274.68</v>
      </c>
      <c r="DC309">
        <f t="shared" si="33"/>
        <v>0</v>
      </c>
    </row>
    <row r="310" spans="1:107" x14ac:dyDescent="0.2">
      <c r="A310">
        <f>ROW(Source!A1001)</f>
        <v>1001</v>
      </c>
      <c r="B310">
        <v>33989672</v>
      </c>
      <c r="C310">
        <v>33992686</v>
      </c>
      <c r="D310">
        <v>30042290</v>
      </c>
      <c r="E310">
        <v>1</v>
      </c>
      <c r="F310">
        <v>1</v>
      </c>
      <c r="G310">
        <v>29983435</v>
      </c>
      <c r="H310">
        <v>3</v>
      </c>
      <c r="I310" t="s">
        <v>822</v>
      </c>
      <c r="J310" t="s">
        <v>823</v>
      </c>
      <c r="K310" t="s">
        <v>824</v>
      </c>
      <c r="L310">
        <v>1339</v>
      </c>
      <c r="N310">
        <v>1007</v>
      </c>
      <c r="O310" t="s">
        <v>66</v>
      </c>
      <c r="P310" t="s">
        <v>66</v>
      </c>
      <c r="Q310">
        <v>1</v>
      </c>
      <c r="W310">
        <v>0</v>
      </c>
      <c r="X310">
        <v>-1236741395</v>
      </c>
      <c r="Y310">
        <v>6.7200000000000003E-3</v>
      </c>
      <c r="AA310">
        <v>48.8</v>
      </c>
      <c r="AB310">
        <v>0</v>
      </c>
      <c r="AC310">
        <v>0</v>
      </c>
      <c r="AD310">
        <v>0</v>
      </c>
      <c r="AE310">
        <v>5.91</v>
      </c>
      <c r="AF310">
        <v>0</v>
      </c>
      <c r="AG310">
        <v>0</v>
      </c>
      <c r="AH310">
        <v>0</v>
      </c>
      <c r="AI310">
        <v>8.24</v>
      </c>
      <c r="AJ310">
        <v>1</v>
      </c>
      <c r="AK310">
        <v>1</v>
      </c>
      <c r="AL310">
        <v>1</v>
      </c>
      <c r="AN310">
        <v>0</v>
      </c>
      <c r="AO310">
        <v>1</v>
      </c>
      <c r="AP310">
        <v>0</v>
      </c>
      <c r="AQ310">
        <v>0</v>
      </c>
      <c r="AR310">
        <v>0</v>
      </c>
      <c r="AS310" t="s">
        <v>3</v>
      </c>
      <c r="AT310">
        <v>6.7200000000000003E-3</v>
      </c>
      <c r="AU310" t="s">
        <v>3</v>
      </c>
      <c r="AV310">
        <v>0</v>
      </c>
      <c r="AW310">
        <v>2</v>
      </c>
      <c r="AX310">
        <v>33992698</v>
      </c>
      <c r="AY310">
        <v>1</v>
      </c>
      <c r="AZ310">
        <v>0</v>
      </c>
      <c r="BA310">
        <v>310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CX310">
        <f>Y310*Source!I1001</f>
        <v>0.23721599999999998</v>
      </c>
      <c r="CY310">
        <f>AA310</f>
        <v>48.8</v>
      </c>
      <c r="CZ310">
        <f>AE310</f>
        <v>5.91</v>
      </c>
      <c r="DA310">
        <f>AI310</f>
        <v>8.24</v>
      </c>
      <c r="DB310">
        <f t="shared" si="32"/>
        <v>0.04</v>
      </c>
      <c r="DC310">
        <f t="shared" si="33"/>
        <v>0</v>
      </c>
    </row>
    <row r="311" spans="1:107" x14ac:dyDescent="0.2">
      <c r="A311">
        <f>ROW(Source!A1001)</f>
        <v>1001</v>
      </c>
      <c r="B311">
        <v>33989672</v>
      </c>
      <c r="C311">
        <v>33992686</v>
      </c>
      <c r="D311">
        <v>30041778</v>
      </c>
      <c r="E311">
        <v>1</v>
      </c>
      <c r="F311">
        <v>1</v>
      </c>
      <c r="G311">
        <v>29983435</v>
      </c>
      <c r="H311">
        <v>3</v>
      </c>
      <c r="I311" t="s">
        <v>825</v>
      </c>
      <c r="J311" t="s">
        <v>826</v>
      </c>
      <c r="K311" t="s">
        <v>827</v>
      </c>
      <c r="L311">
        <v>1339</v>
      </c>
      <c r="N311">
        <v>1007</v>
      </c>
      <c r="O311" t="s">
        <v>66</v>
      </c>
      <c r="P311" t="s">
        <v>66</v>
      </c>
      <c r="Q311">
        <v>1</v>
      </c>
      <c r="W311">
        <v>0</v>
      </c>
      <c r="X311">
        <v>138241181</v>
      </c>
      <c r="Y311">
        <v>3.32E-3</v>
      </c>
      <c r="AA311">
        <v>90.39</v>
      </c>
      <c r="AB311">
        <v>0</v>
      </c>
      <c r="AC311">
        <v>0</v>
      </c>
      <c r="AD311">
        <v>0</v>
      </c>
      <c r="AE311">
        <v>5.67</v>
      </c>
      <c r="AF311">
        <v>0</v>
      </c>
      <c r="AG311">
        <v>0</v>
      </c>
      <c r="AH311">
        <v>0</v>
      </c>
      <c r="AI311">
        <v>15.91</v>
      </c>
      <c r="AJ311">
        <v>1</v>
      </c>
      <c r="AK311">
        <v>1</v>
      </c>
      <c r="AL311">
        <v>1</v>
      </c>
      <c r="AN311">
        <v>0</v>
      </c>
      <c r="AO311">
        <v>1</v>
      </c>
      <c r="AP311">
        <v>0</v>
      </c>
      <c r="AQ311">
        <v>0</v>
      </c>
      <c r="AR311">
        <v>0</v>
      </c>
      <c r="AS311" t="s">
        <v>3</v>
      </c>
      <c r="AT311">
        <v>3.32E-3</v>
      </c>
      <c r="AU311" t="s">
        <v>3</v>
      </c>
      <c r="AV311">
        <v>0</v>
      </c>
      <c r="AW311">
        <v>2</v>
      </c>
      <c r="AX311">
        <v>33992699</v>
      </c>
      <c r="AY311">
        <v>1</v>
      </c>
      <c r="AZ311">
        <v>0</v>
      </c>
      <c r="BA311">
        <v>311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CX311">
        <f>Y311*Source!I1001</f>
        <v>0.11719599999999999</v>
      </c>
      <c r="CY311">
        <f>AA311</f>
        <v>90.39</v>
      </c>
      <c r="CZ311">
        <f>AE311</f>
        <v>5.67</v>
      </c>
      <c r="DA311">
        <f>AI311</f>
        <v>15.91</v>
      </c>
      <c r="DB311">
        <f t="shared" si="32"/>
        <v>0.02</v>
      </c>
      <c r="DC311">
        <f t="shared" si="33"/>
        <v>0</v>
      </c>
    </row>
    <row r="312" spans="1:107" x14ac:dyDescent="0.2">
      <c r="A312">
        <f>ROW(Source!A1003)</f>
        <v>1003</v>
      </c>
      <c r="B312">
        <v>33989672</v>
      </c>
      <c r="C312">
        <v>33992702</v>
      </c>
      <c r="D312">
        <v>29983441</v>
      </c>
      <c r="E312">
        <v>29983435</v>
      </c>
      <c r="F312">
        <v>1</v>
      </c>
      <c r="G312">
        <v>29983435</v>
      </c>
      <c r="H312">
        <v>1</v>
      </c>
      <c r="I312" t="s">
        <v>646</v>
      </c>
      <c r="J312" t="s">
        <v>3</v>
      </c>
      <c r="K312" t="s">
        <v>647</v>
      </c>
      <c r="L312">
        <v>1191</v>
      </c>
      <c r="N312">
        <v>1013</v>
      </c>
      <c r="O312" t="s">
        <v>648</v>
      </c>
      <c r="P312" t="s">
        <v>648</v>
      </c>
      <c r="Q312">
        <v>1</v>
      </c>
      <c r="W312">
        <v>0</v>
      </c>
      <c r="X312">
        <v>476480486</v>
      </c>
      <c r="Y312">
        <v>6.22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1</v>
      </c>
      <c r="AJ312">
        <v>1</v>
      </c>
      <c r="AK312">
        <v>1</v>
      </c>
      <c r="AL312">
        <v>1</v>
      </c>
      <c r="AN312">
        <v>0</v>
      </c>
      <c r="AO312">
        <v>1</v>
      </c>
      <c r="AP312">
        <v>0</v>
      </c>
      <c r="AQ312">
        <v>0</v>
      </c>
      <c r="AR312">
        <v>0</v>
      </c>
      <c r="AS312" t="s">
        <v>3</v>
      </c>
      <c r="AT312">
        <v>6.22</v>
      </c>
      <c r="AU312" t="s">
        <v>3</v>
      </c>
      <c r="AV312">
        <v>1</v>
      </c>
      <c r="AW312">
        <v>2</v>
      </c>
      <c r="AX312">
        <v>33992708</v>
      </c>
      <c r="AY312">
        <v>1</v>
      </c>
      <c r="AZ312">
        <v>0</v>
      </c>
      <c r="BA312">
        <v>313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CX312">
        <f>Y312*Source!I1003</f>
        <v>219.56599999999997</v>
      </c>
      <c r="CY312">
        <f>AD312</f>
        <v>0</v>
      </c>
      <c r="CZ312">
        <f>AH312</f>
        <v>0</v>
      </c>
      <c r="DA312">
        <f>AL312</f>
        <v>1</v>
      </c>
      <c r="DB312">
        <f t="shared" si="32"/>
        <v>0</v>
      </c>
      <c r="DC312">
        <f t="shared" si="33"/>
        <v>0</v>
      </c>
    </row>
    <row r="313" spans="1:107" x14ac:dyDescent="0.2">
      <c r="A313">
        <f>ROW(Source!A1003)</f>
        <v>1003</v>
      </c>
      <c r="B313">
        <v>33989672</v>
      </c>
      <c r="C313">
        <v>33992702</v>
      </c>
      <c r="D313">
        <v>30064095</v>
      </c>
      <c r="E313">
        <v>1</v>
      </c>
      <c r="F313">
        <v>1</v>
      </c>
      <c r="G313">
        <v>29983435</v>
      </c>
      <c r="H313">
        <v>2</v>
      </c>
      <c r="I313" t="s">
        <v>680</v>
      </c>
      <c r="J313" t="s">
        <v>681</v>
      </c>
      <c r="K313" t="s">
        <v>682</v>
      </c>
      <c r="L313">
        <v>1367</v>
      </c>
      <c r="N313">
        <v>1011</v>
      </c>
      <c r="O313" t="s">
        <v>652</v>
      </c>
      <c r="P313" t="s">
        <v>652</v>
      </c>
      <c r="Q313">
        <v>1</v>
      </c>
      <c r="W313">
        <v>0</v>
      </c>
      <c r="X313">
        <v>-628430174</v>
      </c>
      <c r="Y313">
        <v>0.02</v>
      </c>
      <c r="AA313">
        <v>0</v>
      </c>
      <c r="AB313">
        <v>755.14</v>
      </c>
      <c r="AC313">
        <v>368.81</v>
      </c>
      <c r="AD313">
        <v>0</v>
      </c>
      <c r="AE313">
        <v>0</v>
      </c>
      <c r="AF313">
        <v>76.81</v>
      </c>
      <c r="AG313">
        <v>14.36</v>
      </c>
      <c r="AH313">
        <v>0</v>
      </c>
      <c r="AI313">
        <v>1</v>
      </c>
      <c r="AJ313">
        <v>9.39</v>
      </c>
      <c r="AK313">
        <v>24.53</v>
      </c>
      <c r="AL313">
        <v>1</v>
      </c>
      <c r="AN313">
        <v>0</v>
      </c>
      <c r="AO313">
        <v>1</v>
      </c>
      <c r="AP313">
        <v>0</v>
      </c>
      <c r="AQ313">
        <v>0</v>
      </c>
      <c r="AR313">
        <v>0</v>
      </c>
      <c r="AS313" t="s">
        <v>3</v>
      </c>
      <c r="AT313">
        <v>0.02</v>
      </c>
      <c r="AU313" t="s">
        <v>3</v>
      </c>
      <c r="AV313">
        <v>0</v>
      </c>
      <c r="AW313">
        <v>2</v>
      </c>
      <c r="AX313">
        <v>33992709</v>
      </c>
      <c r="AY313">
        <v>1</v>
      </c>
      <c r="AZ313">
        <v>0</v>
      </c>
      <c r="BA313">
        <v>314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CX313">
        <f>Y313*Source!I1003</f>
        <v>0.70599999999999996</v>
      </c>
      <c r="CY313">
        <f>AB313</f>
        <v>755.14</v>
      </c>
      <c r="CZ313">
        <f>AF313</f>
        <v>76.81</v>
      </c>
      <c r="DA313">
        <f>AJ313</f>
        <v>9.39</v>
      </c>
      <c r="DB313">
        <f t="shared" si="32"/>
        <v>1.54</v>
      </c>
      <c r="DC313">
        <f t="shared" si="33"/>
        <v>0.28999999999999998</v>
      </c>
    </row>
    <row r="314" spans="1:107" x14ac:dyDescent="0.2">
      <c r="A314">
        <f>ROW(Source!A1003)</f>
        <v>1003</v>
      </c>
      <c r="B314">
        <v>33989672</v>
      </c>
      <c r="C314">
        <v>33992702</v>
      </c>
      <c r="D314">
        <v>30042537</v>
      </c>
      <c r="E314">
        <v>1</v>
      </c>
      <c r="F314">
        <v>1</v>
      </c>
      <c r="G314">
        <v>29983435</v>
      </c>
      <c r="H314">
        <v>3</v>
      </c>
      <c r="I314" t="s">
        <v>467</v>
      </c>
      <c r="J314" t="s">
        <v>469</v>
      </c>
      <c r="K314" t="s">
        <v>468</v>
      </c>
      <c r="L314">
        <v>1339</v>
      </c>
      <c r="N314">
        <v>1007</v>
      </c>
      <c r="O314" t="s">
        <v>66</v>
      </c>
      <c r="P314" t="s">
        <v>66</v>
      </c>
      <c r="Q314">
        <v>1</v>
      </c>
      <c r="W314">
        <v>0</v>
      </c>
      <c r="X314">
        <v>-862991314</v>
      </c>
      <c r="Y314">
        <v>7.6999999999999999E-2</v>
      </c>
      <c r="AA314">
        <v>35.35</v>
      </c>
      <c r="AB314">
        <v>0</v>
      </c>
      <c r="AC314">
        <v>0</v>
      </c>
      <c r="AD314">
        <v>0</v>
      </c>
      <c r="AE314">
        <v>7.07</v>
      </c>
      <c r="AF314">
        <v>0</v>
      </c>
      <c r="AG314">
        <v>0</v>
      </c>
      <c r="AH314">
        <v>0</v>
      </c>
      <c r="AI314">
        <v>4.99</v>
      </c>
      <c r="AJ314">
        <v>1</v>
      </c>
      <c r="AK314">
        <v>1</v>
      </c>
      <c r="AL314">
        <v>1</v>
      </c>
      <c r="AN314">
        <v>0</v>
      </c>
      <c r="AO314">
        <v>1</v>
      </c>
      <c r="AP314">
        <v>0</v>
      </c>
      <c r="AQ314">
        <v>0</v>
      </c>
      <c r="AR314">
        <v>0</v>
      </c>
      <c r="AS314" t="s">
        <v>3</v>
      </c>
      <c r="AT314">
        <v>7.6999999999999999E-2</v>
      </c>
      <c r="AU314" t="s">
        <v>3</v>
      </c>
      <c r="AV314">
        <v>0</v>
      </c>
      <c r="AW314">
        <v>2</v>
      </c>
      <c r="AX314">
        <v>33992710</v>
      </c>
      <c r="AY314">
        <v>1</v>
      </c>
      <c r="AZ314">
        <v>0</v>
      </c>
      <c r="BA314">
        <v>315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CX314">
        <f>Y314*Source!I1003</f>
        <v>2.7180999999999997</v>
      </c>
      <c r="CY314">
        <f>AA314</f>
        <v>35.35</v>
      </c>
      <c r="CZ314">
        <f>AE314</f>
        <v>7.07</v>
      </c>
      <c r="DA314">
        <f>AI314</f>
        <v>4.99</v>
      </c>
      <c r="DB314">
        <f t="shared" si="32"/>
        <v>0.54</v>
      </c>
      <c r="DC314">
        <f t="shared" si="33"/>
        <v>0</v>
      </c>
    </row>
    <row r="315" spans="1:107" x14ac:dyDescent="0.2">
      <c r="A315">
        <f>ROW(Source!A1003)</f>
        <v>1003</v>
      </c>
      <c r="B315">
        <v>33989672</v>
      </c>
      <c r="C315">
        <v>33992702</v>
      </c>
      <c r="D315">
        <v>30041457</v>
      </c>
      <c r="E315">
        <v>1</v>
      </c>
      <c r="F315">
        <v>1</v>
      </c>
      <c r="G315">
        <v>29983435</v>
      </c>
      <c r="H315">
        <v>3</v>
      </c>
      <c r="I315" t="s">
        <v>828</v>
      </c>
      <c r="J315" t="s">
        <v>829</v>
      </c>
      <c r="K315" t="s">
        <v>830</v>
      </c>
      <c r="L315">
        <v>1348</v>
      </c>
      <c r="N315">
        <v>1009</v>
      </c>
      <c r="O315" t="s">
        <v>51</v>
      </c>
      <c r="P315" t="s">
        <v>51</v>
      </c>
      <c r="Q315">
        <v>1000</v>
      </c>
      <c r="W315">
        <v>0</v>
      </c>
      <c r="X315">
        <v>-318432533</v>
      </c>
      <c r="Y315">
        <v>0.107</v>
      </c>
      <c r="AA315">
        <v>4327.6000000000004</v>
      </c>
      <c r="AB315">
        <v>0</v>
      </c>
      <c r="AC315">
        <v>0</v>
      </c>
      <c r="AD315">
        <v>0</v>
      </c>
      <c r="AE315">
        <v>332.74</v>
      </c>
      <c r="AF315">
        <v>0</v>
      </c>
      <c r="AG315">
        <v>0</v>
      </c>
      <c r="AH315">
        <v>0</v>
      </c>
      <c r="AI315">
        <v>12.98</v>
      </c>
      <c r="AJ315">
        <v>1</v>
      </c>
      <c r="AK315">
        <v>1</v>
      </c>
      <c r="AL315">
        <v>1</v>
      </c>
      <c r="AN315">
        <v>0</v>
      </c>
      <c r="AO315">
        <v>1</v>
      </c>
      <c r="AP315">
        <v>0</v>
      </c>
      <c r="AQ315">
        <v>0</v>
      </c>
      <c r="AR315">
        <v>0</v>
      </c>
      <c r="AS315" t="s">
        <v>3</v>
      </c>
      <c r="AT315">
        <v>0.107</v>
      </c>
      <c r="AU315" t="s">
        <v>3</v>
      </c>
      <c r="AV315">
        <v>0</v>
      </c>
      <c r="AW315">
        <v>2</v>
      </c>
      <c r="AX315">
        <v>33992711</v>
      </c>
      <c r="AY315">
        <v>1</v>
      </c>
      <c r="AZ315">
        <v>0</v>
      </c>
      <c r="BA315">
        <v>316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CX315">
        <f>Y315*Source!I1003</f>
        <v>3.7770999999999995</v>
      </c>
      <c r="CY315">
        <f>AA315</f>
        <v>4327.6000000000004</v>
      </c>
      <c r="CZ315">
        <f>AE315</f>
        <v>332.74</v>
      </c>
      <c r="DA315">
        <f>AI315</f>
        <v>12.98</v>
      </c>
      <c r="DB315">
        <f t="shared" si="32"/>
        <v>35.6</v>
      </c>
      <c r="DC315">
        <f t="shared" si="33"/>
        <v>0</v>
      </c>
    </row>
    <row r="316" spans="1:107" x14ac:dyDescent="0.2">
      <c r="A316">
        <f>ROW(Source!A1003)</f>
        <v>1003</v>
      </c>
      <c r="B316">
        <v>33989672</v>
      </c>
      <c r="C316">
        <v>33992702</v>
      </c>
      <c r="D316">
        <v>30041978</v>
      </c>
      <c r="E316">
        <v>1</v>
      </c>
      <c r="F316">
        <v>1</v>
      </c>
      <c r="G316">
        <v>29983435</v>
      </c>
      <c r="H316">
        <v>3</v>
      </c>
      <c r="I316" t="s">
        <v>190</v>
      </c>
      <c r="J316" t="s">
        <v>192</v>
      </c>
      <c r="K316" t="s">
        <v>191</v>
      </c>
      <c r="L316">
        <v>1339</v>
      </c>
      <c r="N316">
        <v>1007</v>
      </c>
      <c r="O316" t="s">
        <v>66</v>
      </c>
      <c r="P316" t="s">
        <v>66</v>
      </c>
      <c r="Q316">
        <v>1</v>
      </c>
      <c r="W316">
        <v>0</v>
      </c>
      <c r="X316">
        <v>2069056849</v>
      </c>
      <c r="Y316">
        <v>0.29899999999999999</v>
      </c>
      <c r="AA316">
        <v>553.35</v>
      </c>
      <c r="AB316">
        <v>0</v>
      </c>
      <c r="AC316">
        <v>0</v>
      </c>
      <c r="AD316">
        <v>0</v>
      </c>
      <c r="AE316">
        <v>104.99</v>
      </c>
      <c r="AF316">
        <v>0</v>
      </c>
      <c r="AG316">
        <v>0</v>
      </c>
      <c r="AH316">
        <v>0</v>
      </c>
      <c r="AI316">
        <v>5.26</v>
      </c>
      <c r="AJ316">
        <v>1</v>
      </c>
      <c r="AK316">
        <v>1</v>
      </c>
      <c r="AL316">
        <v>1</v>
      </c>
      <c r="AN316">
        <v>0</v>
      </c>
      <c r="AO316">
        <v>1</v>
      </c>
      <c r="AP316">
        <v>0</v>
      </c>
      <c r="AQ316">
        <v>0</v>
      </c>
      <c r="AR316">
        <v>0</v>
      </c>
      <c r="AS316" t="s">
        <v>3</v>
      </c>
      <c r="AT316">
        <v>0.29899999999999999</v>
      </c>
      <c r="AU316" t="s">
        <v>3</v>
      </c>
      <c r="AV316">
        <v>0</v>
      </c>
      <c r="AW316">
        <v>2</v>
      </c>
      <c r="AX316">
        <v>33992712</v>
      </c>
      <c r="AY316">
        <v>1</v>
      </c>
      <c r="AZ316">
        <v>0</v>
      </c>
      <c r="BA316">
        <v>317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CX316">
        <f>Y316*Source!I1003</f>
        <v>10.554699999999999</v>
      </c>
      <c r="CY316">
        <f>AA316</f>
        <v>553.35</v>
      </c>
      <c r="CZ316">
        <f>AE316</f>
        <v>104.99</v>
      </c>
      <c r="DA316">
        <f>AI316</f>
        <v>5.26</v>
      </c>
      <c r="DB316">
        <f t="shared" si="32"/>
        <v>31.39</v>
      </c>
      <c r="DC316">
        <f t="shared" si="33"/>
        <v>0</v>
      </c>
    </row>
    <row r="317" spans="1:107" x14ac:dyDescent="0.2">
      <c r="A317">
        <f>ROW(Source!A1004)</f>
        <v>1004</v>
      </c>
      <c r="B317">
        <v>33989672</v>
      </c>
      <c r="C317">
        <v>33992714</v>
      </c>
      <c r="D317">
        <v>29983441</v>
      </c>
      <c r="E317">
        <v>29983435</v>
      </c>
      <c r="F317">
        <v>1</v>
      </c>
      <c r="G317">
        <v>29983435</v>
      </c>
      <c r="H317">
        <v>1</v>
      </c>
      <c r="I317" t="s">
        <v>646</v>
      </c>
      <c r="J317" t="s">
        <v>3</v>
      </c>
      <c r="K317" t="s">
        <v>647</v>
      </c>
      <c r="L317">
        <v>1191</v>
      </c>
      <c r="N317">
        <v>1013</v>
      </c>
      <c r="O317" t="s">
        <v>648</v>
      </c>
      <c r="P317" t="s">
        <v>648</v>
      </c>
      <c r="Q317">
        <v>1</v>
      </c>
      <c r="W317">
        <v>0</v>
      </c>
      <c r="X317">
        <v>476480486</v>
      </c>
      <c r="Y317">
        <v>1.83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1</v>
      </c>
      <c r="AJ317">
        <v>1</v>
      </c>
      <c r="AK317">
        <v>1</v>
      </c>
      <c r="AL317">
        <v>1</v>
      </c>
      <c r="AN317">
        <v>0</v>
      </c>
      <c r="AO317">
        <v>1</v>
      </c>
      <c r="AP317">
        <v>0</v>
      </c>
      <c r="AQ317">
        <v>0</v>
      </c>
      <c r="AR317">
        <v>0</v>
      </c>
      <c r="AS317" t="s">
        <v>3</v>
      </c>
      <c r="AT317">
        <v>1.83</v>
      </c>
      <c r="AU317" t="s">
        <v>3</v>
      </c>
      <c r="AV317">
        <v>1</v>
      </c>
      <c r="AW317">
        <v>2</v>
      </c>
      <c r="AX317">
        <v>33992723</v>
      </c>
      <c r="AY317">
        <v>1</v>
      </c>
      <c r="AZ317">
        <v>0</v>
      </c>
      <c r="BA317">
        <v>319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CX317">
        <f>Y317*Source!I1004</f>
        <v>1550.3760000000002</v>
      </c>
      <c r="CY317">
        <f>AD317</f>
        <v>0</v>
      </c>
      <c r="CZ317">
        <f>AH317</f>
        <v>0</v>
      </c>
      <c r="DA317">
        <f>AL317</f>
        <v>1</v>
      </c>
      <c r="DB317">
        <f t="shared" si="32"/>
        <v>0</v>
      </c>
      <c r="DC317">
        <f t="shared" si="33"/>
        <v>0</v>
      </c>
    </row>
    <row r="318" spans="1:107" x14ac:dyDescent="0.2">
      <c r="A318">
        <f>ROW(Source!A1004)</f>
        <v>1004</v>
      </c>
      <c r="B318">
        <v>33989672</v>
      </c>
      <c r="C318">
        <v>33992714</v>
      </c>
      <c r="D318">
        <v>30063812</v>
      </c>
      <c r="E318">
        <v>1</v>
      </c>
      <c r="F318">
        <v>1</v>
      </c>
      <c r="G318">
        <v>29983435</v>
      </c>
      <c r="H318">
        <v>2</v>
      </c>
      <c r="I318" t="s">
        <v>813</v>
      </c>
      <c r="J318" t="s">
        <v>814</v>
      </c>
      <c r="K318" t="s">
        <v>815</v>
      </c>
      <c r="L318">
        <v>1367</v>
      </c>
      <c r="N318">
        <v>1011</v>
      </c>
      <c r="O318" t="s">
        <v>652</v>
      </c>
      <c r="P318" t="s">
        <v>652</v>
      </c>
      <c r="Q318">
        <v>1</v>
      </c>
      <c r="W318">
        <v>0</v>
      </c>
      <c r="X318">
        <v>-869219575</v>
      </c>
      <c r="Y318">
        <v>4.7E-2</v>
      </c>
      <c r="AA318">
        <v>0</v>
      </c>
      <c r="AB318">
        <v>351.7</v>
      </c>
      <c r="AC318">
        <v>68.83</v>
      </c>
      <c r="AD318">
        <v>0</v>
      </c>
      <c r="AE318">
        <v>0</v>
      </c>
      <c r="AF318">
        <v>43.4</v>
      </c>
      <c r="AG318">
        <v>2.68</v>
      </c>
      <c r="AH318">
        <v>0</v>
      </c>
      <c r="AI318">
        <v>1</v>
      </c>
      <c r="AJ318">
        <v>7.74</v>
      </c>
      <c r="AK318">
        <v>24.53</v>
      </c>
      <c r="AL318">
        <v>1</v>
      </c>
      <c r="AN318">
        <v>0</v>
      </c>
      <c r="AO318">
        <v>1</v>
      </c>
      <c r="AP318">
        <v>0</v>
      </c>
      <c r="AQ318">
        <v>0</v>
      </c>
      <c r="AR318">
        <v>0</v>
      </c>
      <c r="AS318" t="s">
        <v>3</v>
      </c>
      <c r="AT318">
        <v>4.7E-2</v>
      </c>
      <c r="AU318" t="s">
        <v>3</v>
      </c>
      <c r="AV318">
        <v>0</v>
      </c>
      <c r="AW318">
        <v>2</v>
      </c>
      <c r="AX318">
        <v>33992724</v>
      </c>
      <c r="AY318">
        <v>1</v>
      </c>
      <c r="AZ318">
        <v>0</v>
      </c>
      <c r="BA318">
        <v>320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CX318">
        <f>Y318*Source!I1004</f>
        <v>39.818400000000004</v>
      </c>
      <c r="CY318">
        <f>AB318</f>
        <v>351.7</v>
      </c>
      <c r="CZ318">
        <f>AF318</f>
        <v>43.4</v>
      </c>
      <c r="DA318">
        <f>AJ318</f>
        <v>7.74</v>
      </c>
      <c r="DB318">
        <f t="shared" si="32"/>
        <v>2.04</v>
      </c>
      <c r="DC318">
        <f t="shared" si="33"/>
        <v>0.13</v>
      </c>
    </row>
    <row r="319" spans="1:107" x14ac:dyDescent="0.2">
      <c r="A319">
        <f>ROW(Source!A1004)</f>
        <v>1004</v>
      </c>
      <c r="B319">
        <v>33989672</v>
      </c>
      <c r="C319">
        <v>33992714</v>
      </c>
      <c r="D319">
        <v>30064147</v>
      </c>
      <c r="E319">
        <v>1</v>
      </c>
      <c r="F319">
        <v>1</v>
      </c>
      <c r="G319">
        <v>29983435</v>
      </c>
      <c r="H319">
        <v>2</v>
      </c>
      <c r="I319" t="s">
        <v>819</v>
      </c>
      <c r="J319" t="s">
        <v>820</v>
      </c>
      <c r="K319" t="s">
        <v>821</v>
      </c>
      <c r="L319">
        <v>1367</v>
      </c>
      <c r="N319">
        <v>1011</v>
      </c>
      <c r="O319" t="s">
        <v>652</v>
      </c>
      <c r="P319" t="s">
        <v>652</v>
      </c>
      <c r="Q319">
        <v>1</v>
      </c>
      <c r="W319">
        <v>0</v>
      </c>
      <c r="X319">
        <v>-875577540</v>
      </c>
      <c r="Y319">
        <v>0.04</v>
      </c>
      <c r="AA319">
        <v>0</v>
      </c>
      <c r="AB319">
        <v>6.17</v>
      </c>
      <c r="AC319">
        <v>1.03</v>
      </c>
      <c r="AD319">
        <v>0</v>
      </c>
      <c r="AE319">
        <v>0</v>
      </c>
      <c r="AF319">
        <v>0.68</v>
      </c>
      <c r="AG319">
        <v>0.04</v>
      </c>
      <c r="AH319">
        <v>0</v>
      </c>
      <c r="AI319">
        <v>1</v>
      </c>
      <c r="AJ319">
        <v>8.66</v>
      </c>
      <c r="AK319">
        <v>24.53</v>
      </c>
      <c r="AL319">
        <v>1</v>
      </c>
      <c r="AN319">
        <v>0</v>
      </c>
      <c r="AO319">
        <v>1</v>
      </c>
      <c r="AP319">
        <v>0</v>
      </c>
      <c r="AQ319">
        <v>0</v>
      </c>
      <c r="AR319">
        <v>0</v>
      </c>
      <c r="AS319" t="s">
        <v>3</v>
      </c>
      <c r="AT319">
        <v>0.04</v>
      </c>
      <c r="AU319" t="s">
        <v>3</v>
      </c>
      <c r="AV319">
        <v>0</v>
      </c>
      <c r="AW319">
        <v>2</v>
      </c>
      <c r="AX319">
        <v>33992725</v>
      </c>
      <c r="AY319">
        <v>1</v>
      </c>
      <c r="AZ319">
        <v>0</v>
      </c>
      <c r="BA319">
        <v>321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CX319">
        <f>Y319*Source!I1004</f>
        <v>33.888000000000005</v>
      </c>
      <c r="CY319">
        <f>AB319</f>
        <v>6.17</v>
      </c>
      <c r="CZ319">
        <f>AF319</f>
        <v>0.68</v>
      </c>
      <c r="DA319">
        <f>AJ319</f>
        <v>8.66</v>
      </c>
      <c r="DB319">
        <f t="shared" si="32"/>
        <v>0.03</v>
      </c>
      <c r="DC319">
        <f t="shared" si="33"/>
        <v>0</v>
      </c>
    </row>
    <row r="320" spans="1:107" x14ac:dyDescent="0.2">
      <c r="A320">
        <f>ROW(Source!A1004)</f>
        <v>1004</v>
      </c>
      <c r="B320">
        <v>33989672</v>
      </c>
      <c r="C320">
        <v>33992714</v>
      </c>
      <c r="D320">
        <v>30064170</v>
      </c>
      <c r="E320">
        <v>1</v>
      </c>
      <c r="F320">
        <v>1</v>
      </c>
      <c r="G320">
        <v>29983435</v>
      </c>
      <c r="H320">
        <v>2</v>
      </c>
      <c r="I320" t="s">
        <v>831</v>
      </c>
      <c r="J320" t="s">
        <v>832</v>
      </c>
      <c r="K320" t="s">
        <v>833</v>
      </c>
      <c r="L320">
        <v>1367</v>
      </c>
      <c r="N320">
        <v>1011</v>
      </c>
      <c r="O320" t="s">
        <v>652</v>
      </c>
      <c r="P320" t="s">
        <v>652</v>
      </c>
      <c r="Q320">
        <v>1</v>
      </c>
      <c r="W320">
        <v>0</v>
      </c>
      <c r="X320">
        <v>-1245574031</v>
      </c>
      <c r="Y320">
        <v>6.8000000000000005E-2</v>
      </c>
      <c r="AA320">
        <v>0</v>
      </c>
      <c r="AB320">
        <v>688.11</v>
      </c>
      <c r="AC320">
        <v>530.1</v>
      </c>
      <c r="AD320">
        <v>0</v>
      </c>
      <c r="AE320">
        <v>0</v>
      </c>
      <c r="AF320">
        <v>61.48</v>
      </c>
      <c r="AG320">
        <v>20.64</v>
      </c>
      <c r="AH320">
        <v>0</v>
      </c>
      <c r="AI320">
        <v>1</v>
      </c>
      <c r="AJ320">
        <v>10.69</v>
      </c>
      <c r="AK320">
        <v>24.53</v>
      </c>
      <c r="AL320">
        <v>1</v>
      </c>
      <c r="AN320">
        <v>0</v>
      </c>
      <c r="AO320">
        <v>1</v>
      </c>
      <c r="AP320">
        <v>0</v>
      </c>
      <c r="AQ320">
        <v>0</v>
      </c>
      <c r="AR320">
        <v>0</v>
      </c>
      <c r="AS320" t="s">
        <v>3</v>
      </c>
      <c r="AT320">
        <v>6.8000000000000005E-2</v>
      </c>
      <c r="AU320" t="s">
        <v>3</v>
      </c>
      <c r="AV320">
        <v>0</v>
      </c>
      <c r="AW320">
        <v>2</v>
      </c>
      <c r="AX320">
        <v>33992726</v>
      </c>
      <c r="AY320">
        <v>1</v>
      </c>
      <c r="AZ320">
        <v>0</v>
      </c>
      <c r="BA320">
        <v>322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CX320">
        <f>Y320*Source!I1004</f>
        <v>57.609600000000007</v>
      </c>
      <c r="CY320">
        <f>AB320</f>
        <v>688.11</v>
      </c>
      <c r="CZ320">
        <f>AF320</f>
        <v>61.48</v>
      </c>
      <c r="DA320">
        <f>AJ320</f>
        <v>10.69</v>
      </c>
      <c r="DB320">
        <f t="shared" si="32"/>
        <v>4.18</v>
      </c>
      <c r="DC320">
        <f t="shared" si="33"/>
        <v>1.4</v>
      </c>
    </row>
    <row r="321" spans="1:107" x14ac:dyDescent="0.2">
      <c r="A321">
        <f>ROW(Source!A1004)</f>
        <v>1004</v>
      </c>
      <c r="B321">
        <v>33989672</v>
      </c>
      <c r="C321">
        <v>33992714</v>
      </c>
      <c r="D321">
        <v>30041693</v>
      </c>
      <c r="E321">
        <v>1</v>
      </c>
      <c r="F321">
        <v>1</v>
      </c>
      <c r="G321">
        <v>29983435</v>
      </c>
      <c r="H321">
        <v>3</v>
      </c>
      <c r="I321" t="s">
        <v>530</v>
      </c>
      <c r="J321" t="s">
        <v>532</v>
      </c>
      <c r="K321" t="s">
        <v>531</v>
      </c>
      <c r="L321">
        <v>1348</v>
      </c>
      <c r="N321">
        <v>1009</v>
      </c>
      <c r="O321" t="s">
        <v>51</v>
      </c>
      <c r="P321" t="s">
        <v>51</v>
      </c>
      <c r="Q321">
        <v>1000</v>
      </c>
      <c r="W321">
        <v>0</v>
      </c>
      <c r="X321">
        <v>925217899</v>
      </c>
      <c r="Y321">
        <v>6.9899999999999997E-3</v>
      </c>
      <c r="AA321">
        <v>24998.080000000002</v>
      </c>
      <c r="AB321">
        <v>0</v>
      </c>
      <c r="AC321">
        <v>0</v>
      </c>
      <c r="AD321">
        <v>0</v>
      </c>
      <c r="AE321">
        <v>6446.56</v>
      </c>
      <c r="AF321">
        <v>0</v>
      </c>
      <c r="AG321">
        <v>0</v>
      </c>
      <c r="AH321">
        <v>0</v>
      </c>
      <c r="AI321">
        <v>3.87</v>
      </c>
      <c r="AJ321">
        <v>1</v>
      </c>
      <c r="AK321">
        <v>1</v>
      </c>
      <c r="AL321">
        <v>1</v>
      </c>
      <c r="AN321">
        <v>0</v>
      </c>
      <c r="AO321">
        <v>0</v>
      </c>
      <c r="AP321">
        <v>0</v>
      </c>
      <c r="AQ321">
        <v>0</v>
      </c>
      <c r="AR321">
        <v>0</v>
      </c>
      <c r="AS321" t="s">
        <v>3</v>
      </c>
      <c r="AT321">
        <v>6.9899999999999997E-3</v>
      </c>
      <c r="AU321" t="s">
        <v>3</v>
      </c>
      <c r="AV321">
        <v>0</v>
      </c>
      <c r="AW321">
        <v>1</v>
      </c>
      <c r="AX321">
        <v>-1</v>
      </c>
      <c r="AY321">
        <v>0</v>
      </c>
      <c r="AZ321">
        <v>0</v>
      </c>
      <c r="BA321" t="s">
        <v>3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CX321">
        <f>Y321*Source!I1004</f>
        <v>5.9219280000000003</v>
      </c>
      <c r="CY321">
        <f>AA321</f>
        <v>24998.080000000002</v>
      </c>
      <c r="CZ321">
        <f>AE321</f>
        <v>6446.56</v>
      </c>
      <c r="DA321">
        <f>AI321</f>
        <v>3.87</v>
      </c>
      <c r="DB321">
        <f t="shared" si="32"/>
        <v>45.06</v>
      </c>
      <c r="DC321">
        <f t="shared" si="33"/>
        <v>0</v>
      </c>
    </row>
    <row r="322" spans="1:107" x14ac:dyDescent="0.2">
      <c r="A322">
        <f>ROW(Source!A1004)</f>
        <v>1004</v>
      </c>
      <c r="B322">
        <v>33989672</v>
      </c>
      <c r="C322">
        <v>33992714</v>
      </c>
      <c r="D322">
        <v>30041225</v>
      </c>
      <c r="E322">
        <v>1</v>
      </c>
      <c r="F322">
        <v>1</v>
      </c>
      <c r="G322">
        <v>29983435</v>
      </c>
      <c r="H322">
        <v>3</v>
      </c>
      <c r="I322" t="s">
        <v>834</v>
      </c>
      <c r="J322" t="s">
        <v>835</v>
      </c>
      <c r="K322" t="s">
        <v>836</v>
      </c>
      <c r="L322">
        <v>1348</v>
      </c>
      <c r="N322">
        <v>1009</v>
      </c>
      <c r="O322" t="s">
        <v>51</v>
      </c>
      <c r="P322" t="s">
        <v>51</v>
      </c>
      <c r="Q322">
        <v>1000</v>
      </c>
      <c r="W322">
        <v>0</v>
      </c>
      <c r="X322">
        <v>1310716689</v>
      </c>
      <c r="Y322">
        <v>2.7E-4</v>
      </c>
      <c r="AA322">
        <v>87987.62</v>
      </c>
      <c r="AB322">
        <v>0</v>
      </c>
      <c r="AC322">
        <v>0</v>
      </c>
      <c r="AD322">
        <v>0</v>
      </c>
      <c r="AE322">
        <v>7191.81</v>
      </c>
      <c r="AF322">
        <v>0</v>
      </c>
      <c r="AG322">
        <v>0</v>
      </c>
      <c r="AH322">
        <v>0</v>
      </c>
      <c r="AI322">
        <v>12.21</v>
      </c>
      <c r="AJ322">
        <v>1</v>
      </c>
      <c r="AK322">
        <v>1</v>
      </c>
      <c r="AL322">
        <v>1</v>
      </c>
      <c r="AN322">
        <v>0</v>
      </c>
      <c r="AO322">
        <v>1</v>
      </c>
      <c r="AP322">
        <v>0</v>
      </c>
      <c r="AQ322">
        <v>0</v>
      </c>
      <c r="AR322">
        <v>0</v>
      </c>
      <c r="AS322" t="s">
        <v>3</v>
      </c>
      <c r="AT322">
        <v>2.7E-4</v>
      </c>
      <c r="AU322" t="s">
        <v>3</v>
      </c>
      <c r="AV322">
        <v>0</v>
      </c>
      <c r="AW322">
        <v>2</v>
      </c>
      <c r="AX322">
        <v>33992727</v>
      </c>
      <c r="AY322">
        <v>1</v>
      </c>
      <c r="AZ322">
        <v>0</v>
      </c>
      <c r="BA322">
        <v>323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CX322">
        <f>Y322*Source!I1004</f>
        <v>0.228744</v>
      </c>
      <c r="CY322">
        <f>AA322</f>
        <v>87987.62</v>
      </c>
      <c r="CZ322">
        <f>AE322</f>
        <v>7191.81</v>
      </c>
      <c r="DA322">
        <f>AI322</f>
        <v>12.21</v>
      </c>
      <c r="DB322">
        <f t="shared" si="32"/>
        <v>1.94</v>
      </c>
      <c r="DC322">
        <f t="shared" si="33"/>
        <v>0</v>
      </c>
    </row>
    <row r="323" spans="1:107" x14ac:dyDescent="0.2">
      <c r="A323">
        <f>ROW(Source!A1004)</f>
        <v>1004</v>
      </c>
      <c r="B323">
        <v>33989672</v>
      </c>
      <c r="C323">
        <v>33992714</v>
      </c>
      <c r="D323">
        <v>30040581</v>
      </c>
      <c r="E323">
        <v>1</v>
      </c>
      <c r="F323">
        <v>1</v>
      </c>
      <c r="G323">
        <v>29983435</v>
      </c>
      <c r="H323">
        <v>3</v>
      </c>
      <c r="I323" t="s">
        <v>526</v>
      </c>
      <c r="J323" t="s">
        <v>528</v>
      </c>
      <c r="K323" t="s">
        <v>527</v>
      </c>
      <c r="L323">
        <v>1348</v>
      </c>
      <c r="N323">
        <v>1009</v>
      </c>
      <c r="O323" t="s">
        <v>51</v>
      </c>
      <c r="P323" t="s">
        <v>51</v>
      </c>
      <c r="Q323">
        <v>1000</v>
      </c>
      <c r="W323">
        <v>0</v>
      </c>
      <c r="X323">
        <v>1437067085</v>
      </c>
      <c r="Y323">
        <v>5.1000000000000004E-3</v>
      </c>
      <c r="AA323">
        <v>42250.34</v>
      </c>
      <c r="AB323">
        <v>0</v>
      </c>
      <c r="AC323">
        <v>0</v>
      </c>
      <c r="AD323">
        <v>0</v>
      </c>
      <c r="AE323">
        <v>11978.98</v>
      </c>
      <c r="AF323">
        <v>0</v>
      </c>
      <c r="AG323">
        <v>0</v>
      </c>
      <c r="AH323">
        <v>0</v>
      </c>
      <c r="AI323">
        <v>3.52</v>
      </c>
      <c r="AJ323">
        <v>1</v>
      </c>
      <c r="AK323">
        <v>1</v>
      </c>
      <c r="AL323">
        <v>1</v>
      </c>
      <c r="AN323">
        <v>0</v>
      </c>
      <c r="AO323">
        <v>0</v>
      </c>
      <c r="AP323">
        <v>0</v>
      </c>
      <c r="AQ323">
        <v>0</v>
      </c>
      <c r="AR323">
        <v>0</v>
      </c>
      <c r="AS323" t="s">
        <v>3</v>
      </c>
      <c r="AT323">
        <v>5.1000000000000004E-3</v>
      </c>
      <c r="AU323" t="s">
        <v>3</v>
      </c>
      <c r="AV323">
        <v>0</v>
      </c>
      <c r="AW323">
        <v>1</v>
      </c>
      <c r="AX323">
        <v>-1</v>
      </c>
      <c r="AY323">
        <v>0</v>
      </c>
      <c r="AZ323">
        <v>0</v>
      </c>
      <c r="BA323" t="s">
        <v>3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CX323">
        <f>Y323*Source!I1004</f>
        <v>4.3207200000000006</v>
      </c>
      <c r="CY323">
        <f>AA323</f>
        <v>42250.34</v>
      </c>
      <c r="CZ323">
        <f>AE323</f>
        <v>11978.98</v>
      </c>
      <c r="DA323">
        <f>AI323</f>
        <v>3.52</v>
      </c>
      <c r="DB323">
        <f t="shared" si="32"/>
        <v>61.09</v>
      </c>
      <c r="DC323">
        <f t="shared" si="33"/>
        <v>0</v>
      </c>
    </row>
    <row r="324" spans="1:107" x14ac:dyDescent="0.2">
      <c r="A324">
        <f>ROW(Source!A1004)</f>
        <v>1004</v>
      </c>
      <c r="B324">
        <v>33989672</v>
      </c>
      <c r="C324">
        <v>33992714</v>
      </c>
      <c r="D324">
        <v>30061902</v>
      </c>
      <c r="E324">
        <v>1</v>
      </c>
      <c r="F324">
        <v>1</v>
      </c>
      <c r="G324">
        <v>29983435</v>
      </c>
      <c r="H324">
        <v>3</v>
      </c>
      <c r="I324" t="s">
        <v>837</v>
      </c>
      <c r="J324" t="s">
        <v>838</v>
      </c>
      <c r="K324" t="s">
        <v>839</v>
      </c>
      <c r="L324">
        <v>1354</v>
      </c>
      <c r="N324">
        <v>1010</v>
      </c>
      <c r="O324" t="s">
        <v>328</v>
      </c>
      <c r="P324" t="s">
        <v>328</v>
      </c>
      <c r="Q324">
        <v>1</v>
      </c>
      <c r="W324">
        <v>0</v>
      </c>
      <c r="X324">
        <v>-2023618709</v>
      </c>
      <c r="Y324">
        <v>8.0000000000000002E-3</v>
      </c>
      <c r="AA324">
        <v>42.83</v>
      </c>
      <c r="AB324">
        <v>0</v>
      </c>
      <c r="AC324">
        <v>0</v>
      </c>
      <c r="AD324">
        <v>0</v>
      </c>
      <c r="AE324">
        <v>10.4</v>
      </c>
      <c r="AF324">
        <v>0</v>
      </c>
      <c r="AG324">
        <v>0</v>
      </c>
      <c r="AH324">
        <v>0</v>
      </c>
      <c r="AI324">
        <v>4.1100000000000003</v>
      </c>
      <c r="AJ324">
        <v>1</v>
      </c>
      <c r="AK324">
        <v>1</v>
      </c>
      <c r="AL324">
        <v>1</v>
      </c>
      <c r="AN324">
        <v>0</v>
      </c>
      <c r="AO324">
        <v>1</v>
      </c>
      <c r="AP324">
        <v>0</v>
      </c>
      <c r="AQ324">
        <v>0</v>
      </c>
      <c r="AR324">
        <v>0</v>
      </c>
      <c r="AS324" t="s">
        <v>3</v>
      </c>
      <c r="AT324">
        <v>8.0000000000000002E-3</v>
      </c>
      <c r="AU324" t="s">
        <v>3</v>
      </c>
      <c r="AV324">
        <v>0</v>
      </c>
      <c r="AW324">
        <v>2</v>
      </c>
      <c r="AX324">
        <v>33992728</v>
      </c>
      <c r="AY324">
        <v>1</v>
      </c>
      <c r="AZ324">
        <v>0</v>
      </c>
      <c r="BA324">
        <v>324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CX324">
        <f>Y324*Source!I1004</f>
        <v>6.7776000000000005</v>
      </c>
      <c r="CY324">
        <f>AA324</f>
        <v>42.83</v>
      </c>
      <c r="CZ324">
        <f>AE324</f>
        <v>10.4</v>
      </c>
      <c r="DA324">
        <f>AI324</f>
        <v>4.1100000000000003</v>
      </c>
      <c r="DB324">
        <f t="shared" si="32"/>
        <v>0.08</v>
      </c>
      <c r="DC324">
        <f t="shared" si="33"/>
        <v>0</v>
      </c>
    </row>
    <row r="325" spans="1:107" x14ac:dyDescent="0.2">
      <c r="A325">
        <f>ROW(Source!A1007)</f>
        <v>1007</v>
      </c>
      <c r="B325">
        <v>33989672</v>
      </c>
      <c r="C325">
        <v>33992732</v>
      </c>
      <c r="D325">
        <v>29983441</v>
      </c>
      <c r="E325">
        <v>29983435</v>
      </c>
      <c r="F325">
        <v>1</v>
      </c>
      <c r="G325">
        <v>29983435</v>
      </c>
      <c r="H325">
        <v>1</v>
      </c>
      <c r="I325" t="s">
        <v>646</v>
      </c>
      <c r="J325" t="s">
        <v>3</v>
      </c>
      <c r="K325" t="s">
        <v>647</v>
      </c>
      <c r="L325">
        <v>1191</v>
      </c>
      <c r="N325">
        <v>1013</v>
      </c>
      <c r="O325" t="s">
        <v>648</v>
      </c>
      <c r="P325" t="s">
        <v>648</v>
      </c>
      <c r="Q325">
        <v>1</v>
      </c>
      <c r="W325">
        <v>0</v>
      </c>
      <c r="X325">
        <v>476480486</v>
      </c>
      <c r="Y325">
        <v>0.12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1</v>
      </c>
      <c r="AJ325">
        <v>1</v>
      </c>
      <c r="AK325">
        <v>1</v>
      </c>
      <c r="AL325">
        <v>1</v>
      </c>
      <c r="AN325">
        <v>0</v>
      </c>
      <c r="AO325">
        <v>1</v>
      </c>
      <c r="AP325">
        <v>0</v>
      </c>
      <c r="AQ325">
        <v>0</v>
      </c>
      <c r="AR325">
        <v>0</v>
      </c>
      <c r="AS325" t="s">
        <v>3</v>
      </c>
      <c r="AT325">
        <v>0.12</v>
      </c>
      <c r="AU325" t="s">
        <v>3</v>
      </c>
      <c r="AV325">
        <v>1</v>
      </c>
      <c r="AW325">
        <v>2</v>
      </c>
      <c r="AX325">
        <v>33992739</v>
      </c>
      <c r="AY325">
        <v>1</v>
      </c>
      <c r="AZ325">
        <v>0</v>
      </c>
      <c r="BA325">
        <v>326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CX325">
        <f>Y325*Source!I1007</f>
        <v>101.664</v>
      </c>
      <c r="CY325">
        <f>AD325</f>
        <v>0</v>
      </c>
      <c r="CZ325">
        <f>AH325</f>
        <v>0</v>
      </c>
      <c r="DA325">
        <f>AL325</f>
        <v>1</v>
      </c>
      <c r="DB325">
        <f t="shared" si="32"/>
        <v>0</v>
      </c>
      <c r="DC325">
        <f t="shared" si="33"/>
        <v>0</v>
      </c>
    </row>
    <row r="326" spans="1:107" x14ac:dyDescent="0.2">
      <c r="A326">
        <f>ROW(Source!A1007)</f>
        <v>1007</v>
      </c>
      <c r="B326">
        <v>33989672</v>
      </c>
      <c r="C326">
        <v>33992732</v>
      </c>
      <c r="D326">
        <v>30063812</v>
      </c>
      <c r="E326">
        <v>1</v>
      </c>
      <c r="F326">
        <v>1</v>
      </c>
      <c r="G326">
        <v>29983435</v>
      </c>
      <c r="H326">
        <v>2</v>
      </c>
      <c r="I326" t="s">
        <v>813</v>
      </c>
      <c r="J326" t="s">
        <v>814</v>
      </c>
      <c r="K326" t="s">
        <v>815</v>
      </c>
      <c r="L326">
        <v>1367</v>
      </c>
      <c r="N326">
        <v>1011</v>
      </c>
      <c r="O326" t="s">
        <v>652</v>
      </c>
      <c r="P326" t="s">
        <v>652</v>
      </c>
      <c r="Q326">
        <v>1</v>
      </c>
      <c r="W326">
        <v>0</v>
      </c>
      <c r="X326">
        <v>-869219575</v>
      </c>
      <c r="Y326">
        <v>0.02</v>
      </c>
      <c r="AA326">
        <v>0</v>
      </c>
      <c r="AB326">
        <v>351.7</v>
      </c>
      <c r="AC326">
        <v>68.83</v>
      </c>
      <c r="AD326">
        <v>0</v>
      </c>
      <c r="AE326">
        <v>0</v>
      </c>
      <c r="AF326">
        <v>43.4</v>
      </c>
      <c r="AG326">
        <v>2.68</v>
      </c>
      <c r="AH326">
        <v>0</v>
      </c>
      <c r="AI326">
        <v>1</v>
      </c>
      <c r="AJ326">
        <v>7.74</v>
      </c>
      <c r="AK326">
        <v>24.53</v>
      </c>
      <c r="AL326">
        <v>1</v>
      </c>
      <c r="AN326">
        <v>0</v>
      </c>
      <c r="AO326">
        <v>1</v>
      </c>
      <c r="AP326">
        <v>0</v>
      </c>
      <c r="AQ326">
        <v>0</v>
      </c>
      <c r="AR326">
        <v>0</v>
      </c>
      <c r="AS326" t="s">
        <v>3</v>
      </c>
      <c r="AT326">
        <v>0.02</v>
      </c>
      <c r="AU326" t="s">
        <v>3</v>
      </c>
      <c r="AV326">
        <v>0</v>
      </c>
      <c r="AW326">
        <v>2</v>
      </c>
      <c r="AX326">
        <v>33992740</v>
      </c>
      <c r="AY326">
        <v>1</v>
      </c>
      <c r="AZ326">
        <v>0</v>
      </c>
      <c r="BA326">
        <v>327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CX326">
        <f>Y326*Source!I1007</f>
        <v>16.944000000000003</v>
      </c>
      <c r="CY326">
        <f>AB326</f>
        <v>351.7</v>
      </c>
      <c r="CZ326">
        <f>AF326</f>
        <v>43.4</v>
      </c>
      <c r="DA326">
        <f>AJ326</f>
        <v>7.74</v>
      </c>
      <c r="DB326">
        <f t="shared" si="32"/>
        <v>0.87</v>
      </c>
      <c r="DC326">
        <f t="shared" si="33"/>
        <v>0.05</v>
      </c>
    </row>
    <row r="327" spans="1:107" x14ac:dyDescent="0.2">
      <c r="A327">
        <f>ROW(Source!A1007)</f>
        <v>1007</v>
      </c>
      <c r="B327">
        <v>33989672</v>
      </c>
      <c r="C327">
        <v>33992732</v>
      </c>
      <c r="D327">
        <v>30064095</v>
      </c>
      <c r="E327">
        <v>1</v>
      </c>
      <c r="F327">
        <v>1</v>
      </c>
      <c r="G327">
        <v>29983435</v>
      </c>
      <c r="H327">
        <v>2</v>
      </c>
      <c r="I327" t="s">
        <v>680</v>
      </c>
      <c r="J327" t="s">
        <v>681</v>
      </c>
      <c r="K327" t="s">
        <v>682</v>
      </c>
      <c r="L327">
        <v>1367</v>
      </c>
      <c r="N327">
        <v>1011</v>
      </c>
      <c r="O327" t="s">
        <v>652</v>
      </c>
      <c r="P327" t="s">
        <v>652</v>
      </c>
      <c r="Q327">
        <v>1</v>
      </c>
      <c r="W327">
        <v>0</v>
      </c>
      <c r="X327">
        <v>-628430174</v>
      </c>
      <c r="Y327">
        <v>0.01</v>
      </c>
      <c r="AA327">
        <v>0</v>
      </c>
      <c r="AB327">
        <v>755.14</v>
      </c>
      <c r="AC327">
        <v>368.81</v>
      </c>
      <c r="AD327">
        <v>0</v>
      </c>
      <c r="AE327">
        <v>0</v>
      </c>
      <c r="AF327">
        <v>76.81</v>
      </c>
      <c r="AG327">
        <v>14.36</v>
      </c>
      <c r="AH327">
        <v>0</v>
      </c>
      <c r="AI327">
        <v>1</v>
      </c>
      <c r="AJ327">
        <v>9.39</v>
      </c>
      <c r="AK327">
        <v>24.53</v>
      </c>
      <c r="AL327">
        <v>1</v>
      </c>
      <c r="AN327">
        <v>0</v>
      </c>
      <c r="AO327">
        <v>1</v>
      </c>
      <c r="AP327">
        <v>0</v>
      </c>
      <c r="AQ327">
        <v>0</v>
      </c>
      <c r="AR327">
        <v>0</v>
      </c>
      <c r="AS327" t="s">
        <v>3</v>
      </c>
      <c r="AT327">
        <v>0.01</v>
      </c>
      <c r="AU327" t="s">
        <v>3</v>
      </c>
      <c r="AV327">
        <v>0</v>
      </c>
      <c r="AW327">
        <v>2</v>
      </c>
      <c r="AX327">
        <v>33992741</v>
      </c>
      <c r="AY327">
        <v>1</v>
      </c>
      <c r="AZ327">
        <v>0</v>
      </c>
      <c r="BA327">
        <v>328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CX327">
        <f>Y327*Source!I1007</f>
        <v>8.4720000000000013</v>
      </c>
      <c r="CY327">
        <f>AB327</f>
        <v>755.14</v>
      </c>
      <c r="CZ327">
        <f>AF327</f>
        <v>76.81</v>
      </c>
      <c r="DA327">
        <f>AJ327</f>
        <v>9.39</v>
      </c>
      <c r="DB327">
        <f t="shared" si="32"/>
        <v>0.77</v>
      </c>
      <c r="DC327">
        <f t="shared" si="33"/>
        <v>0.14000000000000001</v>
      </c>
    </row>
    <row r="328" spans="1:107" x14ac:dyDescent="0.2">
      <c r="A328">
        <f>ROW(Source!A1007)</f>
        <v>1007</v>
      </c>
      <c r="B328">
        <v>33989672</v>
      </c>
      <c r="C328">
        <v>33992732</v>
      </c>
      <c r="D328">
        <v>30064147</v>
      </c>
      <c r="E328">
        <v>1</v>
      </c>
      <c r="F328">
        <v>1</v>
      </c>
      <c r="G328">
        <v>29983435</v>
      </c>
      <c r="H328">
        <v>2</v>
      </c>
      <c r="I328" t="s">
        <v>819</v>
      </c>
      <c r="J328" t="s">
        <v>820</v>
      </c>
      <c r="K328" t="s">
        <v>821</v>
      </c>
      <c r="L328">
        <v>1367</v>
      </c>
      <c r="N328">
        <v>1011</v>
      </c>
      <c r="O328" t="s">
        <v>652</v>
      </c>
      <c r="P328" t="s">
        <v>652</v>
      </c>
      <c r="Q328">
        <v>1</v>
      </c>
      <c r="W328">
        <v>0</v>
      </c>
      <c r="X328">
        <v>-875577540</v>
      </c>
      <c r="Y328">
        <v>0.01</v>
      </c>
      <c r="AA328">
        <v>0</v>
      </c>
      <c r="AB328">
        <v>6.17</v>
      </c>
      <c r="AC328">
        <v>1.03</v>
      </c>
      <c r="AD328">
        <v>0</v>
      </c>
      <c r="AE328">
        <v>0</v>
      </c>
      <c r="AF328">
        <v>0.68</v>
      </c>
      <c r="AG328">
        <v>0.04</v>
      </c>
      <c r="AH328">
        <v>0</v>
      </c>
      <c r="AI328">
        <v>1</v>
      </c>
      <c r="AJ328">
        <v>8.66</v>
      </c>
      <c r="AK328">
        <v>24.53</v>
      </c>
      <c r="AL328">
        <v>1</v>
      </c>
      <c r="AN328">
        <v>0</v>
      </c>
      <c r="AO328">
        <v>1</v>
      </c>
      <c r="AP328">
        <v>0</v>
      </c>
      <c r="AQ328">
        <v>0</v>
      </c>
      <c r="AR328">
        <v>0</v>
      </c>
      <c r="AS328" t="s">
        <v>3</v>
      </c>
      <c r="AT328">
        <v>0.01</v>
      </c>
      <c r="AU328" t="s">
        <v>3</v>
      </c>
      <c r="AV328">
        <v>0</v>
      </c>
      <c r="AW328">
        <v>2</v>
      </c>
      <c r="AX328">
        <v>33992742</v>
      </c>
      <c r="AY328">
        <v>1</v>
      </c>
      <c r="AZ328">
        <v>0</v>
      </c>
      <c r="BA328">
        <v>329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CX328">
        <f>Y328*Source!I1007</f>
        <v>8.4720000000000013</v>
      </c>
      <c r="CY328">
        <f>AB328</f>
        <v>6.17</v>
      </c>
      <c r="CZ328">
        <f>AF328</f>
        <v>0.68</v>
      </c>
      <c r="DA328">
        <f>AJ328</f>
        <v>8.66</v>
      </c>
      <c r="DB328">
        <f t="shared" si="32"/>
        <v>0.01</v>
      </c>
      <c r="DC328">
        <f t="shared" si="33"/>
        <v>0</v>
      </c>
    </row>
    <row r="329" spans="1:107" x14ac:dyDescent="0.2">
      <c r="A329">
        <f>ROW(Source!A1007)</f>
        <v>1007</v>
      </c>
      <c r="B329">
        <v>33989672</v>
      </c>
      <c r="C329">
        <v>33992732</v>
      </c>
      <c r="D329">
        <v>29983439</v>
      </c>
      <c r="E329">
        <v>29983435</v>
      </c>
      <c r="F329">
        <v>1</v>
      </c>
      <c r="G329">
        <v>29983435</v>
      </c>
      <c r="H329">
        <v>2</v>
      </c>
      <c r="I329" t="s">
        <v>674</v>
      </c>
      <c r="J329" t="s">
        <v>3</v>
      </c>
      <c r="K329" t="s">
        <v>675</v>
      </c>
      <c r="L329">
        <v>1344</v>
      </c>
      <c r="N329">
        <v>1008</v>
      </c>
      <c r="O329" t="s">
        <v>676</v>
      </c>
      <c r="P329" t="s">
        <v>676</v>
      </c>
      <c r="Q329">
        <v>1</v>
      </c>
      <c r="W329">
        <v>0</v>
      </c>
      <c r="X329">
        <v>-1180195794</v>
      </c>
      <c r="Y329">
        <v>0.01</v>
      </c>
      <c r="AA329">
        <v>0</v>
      </c>
      <c r="AB329">
        <v>1.05</v>
      </c>
      <c r="AC329">
        <v>0</v>
      </c>
      <c r="AD329">
        <v>0</v>
      </c>
      <c r="AE329">
        <v>0</v>
      </c>
      <c r="AF329">
        <v>1</v>
      </c>
      <c r="AG329">
        <v>0</v>
      </c>
      <c r="AH329">
        <v>0</v>
      </c>
      <c r="AI329">
        <v>1</v>
      </c>
      <c r="AJ329">
        <v>1</v>
      </c>
      <c r="AK329">
        <v>1</v>
      </c>
      <c r="AL329">
        <v>1</v>
      </c>
      <c r="AN329">
        <v>0</v>
      </c>
      <c r="AO329">
        <v>1</v>
      </c>
      <c r="AP329">
        <v>0</v>
      </c>
      <c r="AQ329">
        <v>0</v>
      </c>
      <c r="AR329">
        <v>0</v>
      </c>
      <c r="AS329" t="s">
        <v>3</v>
      </c>
      <c r="AT329">
        <v>0.01</v>
      </c>
      <c r="AU329" t="s">
        <v>3</v>
      </c>
      <c r="AV329">
        <v>0</v>
      </c>
      <c r="AW329">
        <v>2</v>
      </c>
      <c r="AX329">
        <v>33992743</v>
      </c>
      <c r="AY329">
        <v>1</v>
      </c>
      <c r="AZ329">
        <v>0</v>
      </c>
      <c r="BA329">
        <v>330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CX329">
        <f>Y329*Source!I1007</f>
        <v>8.4720000000000013</v>
      </c>
      <c r="CY329">
        <f>AB329</f>
        <v>1.05</v>
      </c>
      <c r="CZ329">
        <f>AF329</f>
        <v>1</v>
      </c>
      <c r="DA329">
        <f>AJ329</f>
        <v>1</v>
      </c>
      <c r="DB329">
        <f t="shared" si="32"/>
        <v>0.01</v>
      </c>
      <c r="DC329">
        <f t="shared" si="33"/>
        <v>0</v>
      </c>
    </row>
    <row r="330" spans="1:107" x14ac:dyDescent="0.2">
      <c r="A330">
        <f>ROW(Source!A1007)</f>
        <v>1007</v>
      </c>
      <c r="B330">
        <v>33989672</v>
      </c>
      <c r="C330">
        <v>33992732</v>
      </c>
      <c r="D330">
        <v>30041225</v>
      </c>
      <c r="E330">
        <v>1</v>
      </c>
      <c r="F330">
        <v>1</v>
      </c>
      <c r="G330">
        <v>29983435</v>
      </c>
      <c r="H330">
        <v>3</v>
      </c>
      <c r="I330" t="s">
        <v>834</v>
      </c>
      <c r="J330" t="s">
        <v>835</v>
      </c>
      <c r="K330" t="s">
        <v>836</v>
      </c>
      <c r="L330">
        <v>1348</v>
      </c>
      <c r="N330">
        <v>1009</v>
      </c>
      <c r="O330" t="s">
        <v>51</v>
      </c>
      <c r="P330" t="s">
        <v>51</v>
      </c>
      <c r="Q330">
        <v>1000</v>
      </c>
      <c r="W330">
        <v>0</v>
      </c>
      <c r="X330">
        <v>1310716689</v>
      </c>
      <c r="Y330">
        <v>3.0000000000000001E-5</v>
      </c>
      <c r="AA330">
        <v>87987.62</v>
      </c>
      <c r="AB330">
        <v>0</v>
      </c>
      <c r="AC330">
        <v>0</v>
      </c>
      <c r="AD330">
        <v>0</v>
      </c>
      <c r="AE330">
        <v>7191.81</v>
      </c>
      <c r="AF330">
        <v>0</v>
      </c>
      <c r="AG330">
        <v>0</v>
      </c>
      <c r="AH330">
        <v>0</v>
      </c>
      <c r="AI330">
        <v>12.21</v>
      </c>
      <c r="AJ330">
        <v>1</v>
      </c>
      <c r="AK330">
        <v>1</v>
      </c>
      <c r="AL330">
        <v>1</v>
      </c>
      <c r="AN330">
        <v>0</v>
      </c>
      <c r="AO330">
        <v>1</v>
      </c>
      <c r="AP330">
        <v>0</v>
      </c>
      <c r="AQ330">
        <v>0</v>
      </c>
      <c r="AR330">
        <v>0</v>
      </c>
      <c r="AS330" t="s">
        <v>3</v>
      </c>
      <c r="AT330">
        <v>3.0000000000000001E-5</v>
      </c>
      <c r="AU330" t="s">
        <v>3</v>
      </c>
      <c r="AV330">
        <v>0</v>
      </c>
      <c r="AW330">
        <v>2</v>
      </c>
      <c r="AX330">
        <v>33992744</v>
      </c>
      <c r="AY330">
        <v>1</v>
      </c>
      <c r="AZ330">
        <v>0</v>
      </c>
      <c r="BA330">
        <v>331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CX330">
        <f>Y330*Source!I1007</f>
        <v>2.5416000000000001E-2</v>
      </c>
      <c r="CY330">
        <f>AA330</f>
        <v>87987.62</v>
      </c>
      <c r="CZ330">
        <f>AE330</f>
        <v>7191.81</v>
      </c>
      <c r="DA330">
        <f>AI330</f>
        <v>12.21</v>
      </c>
      <c r="DB330">
        <f t="shared" si="32"/>
        <v>0.22</v>
      </c>
      <c r="DC330">
        <f t="shared" si="33"/>
        <v>0</v>
      </c>
    </row>
    <row r="331" spans="1:107" x14ac:dyDescent="0.2">
      <c r="A331">
        <f>ROW(Source!A1008)</f>
        <v>1008</v>
      </c>
      <c r="B331">
        <v>33989672</v>
      </c>
      <c r="C331">
        <v>33992746</v>
      </c>
      <c r="D331">
        <v>29983441</v>
      </c>
      <c r="E331">
        <v>29983435</v>
      </c>
      <c r="F331">
        <v>1</v>
      </c>
      <c r="G331">
        <v>29983435</v>
      </c>
      <c r="H331">
        <v>1</v>
      </c>
      <c r="I331" t="s">
        <v>646</v>
      </c>
      <c r="J331" t="s">
        <v>3</v>
      </c>
      <c r="K331" t="s">
        <v>647</v>
      </c>
      <c r="L331">
        <v>1191</v>
      </c>
      <c r="N331">
        <v>1013</v>
      </c>
      <c r="O331" t="s">
        <v>648</v>
      </c>
      <c r="P331" t="s">
        <v>648</v>
      </c>
      <c r="Q331">
        <v>1</v>
      </c>
      <c r="W331">
        <v>0</v>
      </c>
      <c r="X331">
        <v>476480486</v>
      </c>
      <c r="Y331">
        <v>5.31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1</v>
      </c>
      <c r="AJ331">
        <v>1</v>
      </c>
      <c r="AK331">
        <v>1</v>
      </c>
      <c r="AL331">
        <v>1</v>
      </c>
      <c r="AN331">
        <v>0</v>
      </c>
      <c r="AO331">
        <v>1</v>
      </c>
      <c r="AP331">
        <v>0</v>
      </c>
      <c r="AQ331">
        <v>0</v>
      </c>
      <c r="AR331">
        <v>0</v>
      </c>
      <c r="AS331" t="s">
        <v>3</v>
      </c>
      <c r="AT331">
        <v>5.31</v>
      </c>
      <c r="AU331" t="s">
        <v>3</v>
      </c>
      <c r="AV331">
        <v>1</v>
      </c>
      <c r="AW331">
        <v>2</v>
      </c>
      <c r="AX331">
        <v>33992752</v>
      </c>
      <c r="AY331">
        <v>1</v>
      </c>
      <c r="AZ331">
        <v>0</v>
      </c>
      <c r="BA331">
        <v>333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CX331">
        <f>Y331*Source!I1008</f>
        <v>48.745811766959996</v>
      </c>
      <c r="CY331">
        <f>AD331</f>
        <v>0</v>
      </c>
      <c r="CZ331">
        <f>AH331</f>
        <v>0</v>
      </c>
      <c r="DA331">
        <f>AL331</f>
        <v>1</v>
      </c>
      <c r="DB331">
        <f t="shared" si="32"/>
        <v>0</v>
      </c>
      <c r="DC331">
        <f t="shared" si="33"/>
        <v>0</v>
      </c>
    </row>
    <row r="332" spans="1:107" x14ac:dyDescent="0.2">
      <c r="A332">
        <f>ROW(Source!A1008)</f>
        <v>1008</v>
      </c>
      <c r="B332">
        <v>33989672</v>
      </c>
      <c r="C332">
        <v>33992746</v>
      </c>
      <c r="D332">
        <v>30063720</v>
      </c>
      <c r="E332">
        <v>1</v>
      </c>
      <c r="F332">
        <v>1</v>
      </c>
      <c r="G332">
        <v>29983435</v>
      </c>
      <c r="H332">
        <v>2</v>
      </c>
      <c r="I332" t="s">
        <v>840</v>
      </c>
      <c r="J332" t="s">
        <v>841</v>
      </c>
      <c r="K332" t="s">
        <v>842</v>
      </c>
      <c r="L332">
        <v>1367</v>
      </c>
      <c r="N332">
        <v>1011</v>
      </c>
      <c r="O332" t="s">
        <v>652</v>
      </c>
      <c r="P332" t="s">
        <v>652</v>
      </c>
      <c r="Q332">
        <v>1</v>
      </c>
      <c r="W332">
        <v>0</v>
      </c>
      <c r="X332">
        <v>-421688854</v>
      </c>
      <c r="Y332">
        <v>1.1200000000000001</v>
      </c>
      <c r="AA332">
        <v>0</v>
      </c>
      <c r="AB332">
        <v>111.89</v>
      </c>
      <c r="AC332">
        <v>34.93</v>
      </c>
      <c r="AD332">
        <v>0</v>
      </c>
      <c r="AE332">
        <v>0</v>
      </c>
      <c r="AF332">
        <v>17.32</v>
      </c>
      <c r="AG332">
        <v>1.36</v>
      </c>
      <c r="AH332">
        <v>0</v>
      </c>
      <c r="AI332">
        <v>1</v>
      </c>
      <c r="AJ332">
        <v>6.17</v>
      </c>
      <c r="AK332">
        <v>24.53</v>
      </c>
      <c r="AL332">
        <v>1</v>
      </c>
      <c r="AN332">
        <v>0</v>
      </c>
      <c r="AO332">
        <v>1</v>
      </c>
      <c r="AP332">
        <v>0</v>
      </c>
      <c r="AQ332">
        <v>0</v>
      </c>
      <c r="AR332">
        <v>0</v>
      </c>
      <c r="AS332" t="s">
        <v>3</v>
      </c>
      <c r="AT332">
        <v>1.1200000000000001</v>
      </c>
      <c r="AU332" t="s">
        <v>3</v>
      </c>
      <c r="AV332">
        <v>0</v>
      </c>
      <c r="AW332">
        <v>2</v>
      </c>
      <c r="AX332">
        <v>33992753</v>
      </c>
      <c r="AY332">
        <v>1</v>
      </c>
      <c r="AZ332">
        <v>0</v>
      </c>
      <c r="BA332">
        <v>334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CX332">
        <f>Y332*Source!I1008</f>
        <v>10.28160248192</v>
      </c>
      <c r="CY332">
        <f>AB332</f>
        <v>111.89</v>
      </c>
      <c r="CZ332">
        <f>AF332</f>
        <v>17.32</v>
      </c>
      <c r="DA332">
        <f>AJ332</f>
        <v>6.17</v>
      </c>
      <c r="DB332">
        <f t="shared" si="32"/>
        <v>19.399999999999999</v>
      </c>
      <c r="DC332">
        <f t="shared" si="33"/>
        <v>1.52</v>
      </c>
    </row>
    <row r="333" spans="1:107" x14ac:dyDescent="0.2">
      <c r="A333">
        <f>ROW(Source!A1008)</f>
        <v>1008</v>
      </c>
      <c r="B333">
        <v>33989672</v>
      </c>
      <c r="C333">
        <v>33992746</v>
      </c>
      <c r="D333">
        <v>29983439</v>
      </c>
      <c r="E333">
        <v>29983435</v>
      </c>
      <c r="F333">
        <v>1</v>
      </c>
      <c r="G333">
        <v>29983435</v>
      </c>
      <c r="H333">
        <v>2</v>
      </c>
      <c r="I333" t="s">
        <v>674</v>
      </c>
      <c r="J333" t="s">
        <v>3</v>
      </c>
      <c r="K333" t="s">
        <v>675</v>
      </c>
      <c r="L333">
        <v>1344</v>
      </c>
      <c r="N333">
        <v>1008</v>
      </c>
      <c r="O333" t="s">
        <v>676</v>
      </c>
      <c r="P333" t="s">
        <v>676</v>
      </c>
      <c r="Q333">
        <v>1</v>
      </c>
      <c r="W333">
        <v>0</v>
      </c>
      <c r="X333">
        <v>-1180195794</v>
      </c>
      <c r="Y333">
        <v>1.49</v>
      </c>
      <c r="AA333">
        <v>0</v>
      </c>
      <c r="AB333">
        <v>1.05</v>
      </c>
      <c r="AC333">
        <v>0</v>
      </c>
      <c r="AD333">
        <v>0</v>
      </c>
      <c r="AE333">
        <v>0</v>
      </c>
      <c r="AF333">
        <v>1</v>
      </c>
      <c r="AG333">
        <v>0</v>
      </c>
      <c r="AH333">
        <v>0</v>
      </c>
      <c r="AI333">
        <v>1</v>
      </c>
      <c r="AJ333">
        <v>1</v>
      </c>
      <c r="AK333">
        <v>1</v>
      </c>
      <c r="AL333">
        <v>1</v>
      </c>
      <c r="AN333">
        <v>0</v>
      </c>
      <c r="AO333">
        <v>1</v>
      </c>
      <c r="AP333">
        <v>0</v>
      </c>
      <c r="AQ333">
        <v>0</v>
      </c>
      <c r="AR333">
        <v>0</v>
      </c>
      <c r="AS333" t="s">
        <v>3</v>
      </c>
      <c r="AT333">
        <v>1.49</v>
      </c>
      <c r="AU333" t="s">
        <v>3</v>
      </c>
      <c r="AV333">
        <v>0</v>
      </c>
      <c r="AW333">
        <v>2</v>
      </c>
      <c r="AX333">
        <v>33992754</v>
      </c>
      <c r="AY333">
        <v>1</v>
      </c>
      <c r="AZ333">
        <v>0</v>
      </c>
      <c r="BA333">
        <v>335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CX333">
        <f>Y333*Source!I1008</f>
        <v>13.67820330184</v>
      </c>
      <c r="CY333">
        <f>AB333</f>
        <v>1.05</v>
      </c>
      <c r="CZ333">
        <f>AF333</f>
        <v>1</v>
      </c>
      <c r="DA333">
        <f>AJ333</f>
        <v>1</v>
      </c>
      <c r="DB333">
        <f t="shared" ref="DB333:DB364" si="34">ROUND(ROUND(AT333*CZ333,2),6)</f>
        <v>1.49</v>
      </c>
      <c r="DC333">
        <f t="shared" ref="DC333:DC364" si="35">ROUND(ROUND(AT333*AG333,2),6)</f>
        <v>0</v>
      </c>
    </row>
    <row r="334" spans="1:107" x14ac:dyDescent="0.2">
      <c r="A334">
        <f>ROW(Source!A1008)</f>
        <v>1008</v>
      </c>
      <c r="B334">
        <v>33989672</v>
      </c>
      <c r="C334">
        <v>33992746</v>
      </c>
      <c r="D334">
        <v>30039832</v>
      </c>
      <c r="E334">
        <v>1</v>
      </c>
      <c r="F334">
        <v>1</v>
      </c>
      <c r="G334">
        <v>29983435</v>
      </c>
      <c r="H334">
        <v>3</v>
      </c>
      <c r="I334" t="s">
        <v>544</v>
      </c>
      <c r="J334" t="s">
        <v>546</v>
      </c>
      <c r="K334" t="s">
        <v>545</v>
      </c>
      <c r="L334">
        <v>1346</v>
      </c>
      <c r="N334">
        <v>1009</v>
      </c>
      <c r="O334" t="s">
        <v>300</v>
      </c>
      <c r="P334" t="s">
        <v>300</v>
      </c>
      <c r="Q334">
        <v>1</v>
      </c>
      <c r="W334">
        <v>0</v>
      </c>
      <c r="X334">
        <v>-1866386001</v>
      </c>
      <c r="Y334">
        <v>9</v>
      </c>
      <c r="AA334">
        <v>82.44</v>
      </c>
      <c r="AB334">
        <v>0</v>
      </c>
      <c r="AC334">
        <v>0</v>
      </c>
      <c r="AD334">
        <v>0</v>
      </c>
      <c r="AE334">
        <v>48.21</v>
      </c>
      <c r="AF334">
        <v>0</v>
      </c>
      <c r="AG334">
        <v>0</v>
      </c>
      <c r="AH334">
        <v>0</v>
      </c>
      <c r="AI334">
        <v>1.71</v>
      </c>
      <c r="AJ334">
        <v>1</v>
      </c>
      <c r="AK334">
        <v>1</v>
      </c>
      <c r="AL334">
        <v>1</v>
      </c>
      <c r="AN334">
        <v>0</v>
      </c>
      <c r="AO334">
        <v>0</v>
      </c>
      <c r="AP334">
        <v>0</v>
      </c>
      <c r="AQ334">
        <v>0</v>
      </c>
      <c r="AR334">
        <v>0</v>
      </c>
      <c r="AS334" t="s">
        <v>3</v>
      </c>
      <c r="AT334">
        <v>9</v>
      </c>
      <c r="AU334" t="s">
        <v>3</v>
      </c>
      <c r="AV334">
        <v>0</v>
      </c>
      <c r="AW334">
        <v>1</v>
      </c>
      <c r="AX334">
        <v>-1</v>
      </c>
      <c r="AY334">
        <v>0</v>
      </c>
      <c r="AZ334">
        <v>0</v>
      </c>
      <c r="BA334" t="s">
        <v>3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CX334">
        <f>Y334*Source!I1008</f>
        <v>82.620019944000006</v>
      </c>
      <c r="CY334">
        <f>AA334</f>
        <v>82.44</v>
      </c>
      <c r="CZ334">
        <f>AE334</f>
        <v>48.21</v>
      </c>
      <c r="DA334">
        <f>AI334</f>
        <v>1.71</v>
      </c>
      <c r="DB334">
        <f t="shared" si="34"/>
        <v>433.89</v>
      </c>
      <c r="DC334">
        <f t="shared" si="35"/>
        <v>0</v>
      </c>
    </row>
    <row r="335" spans="1:107" x14ac:dyDescent="0.2">
      <c r="A335">
        <f>ROW(Source!A1008)</f>
        <v>1008</v>
      </c>
      <c r="B335">
        <v>33989672</v>
      </c>
      <c r="C335">
        <v>33992746</v>
      </c>
      <c r="D335">
        <v>30042195</v>
      </c>
      <c r="E335">
        <v>1</v>
      </c>
      <c r="F335">
        <v>1</v>
      </c>
      <c r="G335">
        <v>29983435</v>
      </c>
      <c r="H335">
        <v>3</v>
      </c>
      <c r="I335" t="s">
        <v>843</v>
      </c>
      <c r="J335" t="s">
        <v>844</v>
      </c>
      <c r="K335" t="s">
        <v>845</v>
      </c>
      <c r="L335">
        <v>1348</v>
      </c>
      <c r="N335">
        <v>1009</v>
      </c>
      <c r="O335" t="s">
        <v>51</v>
      </c>
      <c r="P335" t="s">
        <v>51</v>
      </c>
      <c r="Q335">
        <v>1000</v>
      </c>
      <c r="W335">
        <v>0</v>
      </c>
      <c r="X335">
        <v>-904493642</v>
      </c>
      <c r="Y335">
        <v>1.5E-3</v>
      </c>
      <c r="AA335">
        <v>38388.92</v>
      </c>
      <c r="AB335">
        <v>0</v>
      </c>
      <c r="AC335">
        <v>0</v>
      </c>
      <c r="AD335">
        <v>0</v>
      </c>
      <c r="AE335">
        <v>6303.6</v>
      </c>
      <c r="AF335">
        <v>0</v>
      </c>
      <c r="AG335">
        <v>0</v>
      </c>
      <c r="AH335">
        <v>0</v>
      </c>
      <c r="AI335">
        <v>6.09</v>
      </c>
      <c r="AJ335">
        <v>1</v>
      </c>
      <c r="AK335">
        <v>1</v>
      </c>
      <c r="AL335">
        <v>1</v>
      </c>
      <c r="AN335">
        <v>0</v>
      </c>
      <c r="AO335">
        <v>1</v>
      </c>
      <c r="AP335">
        <v>0</v>
      </c>
      <c r="AQ335">
        <v>0</v>
      </c>
      <c r="AR335">
        <v>0</v>
      </c>
      <c r="AS335" t="s">
        <v>3</v>
      </c>
      <c r="AT335">
        <v>1.5E-3</v>
      </c>
      <c r="AU335" t="s">
        <v>3</v>
      </c>
      <c r="AV335">
        <v>0</v>
      </c>
      <c r="AW335">
        <v>2</v>
      </c>
      <c r="AX335">
        <v>33992755</v>
      </c>
      <c r="AY335">
        <v>1</v>
      </c>
      <c r="AZ335">
        <v>0</v>
      </c>
      <c r="BA335">
        <v>336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CX335">
        <f>Y335*Source!I1008</f>
        <v>1.3770003324E-2</v>
      </c>
      <c r="CY335">
        <f>AA335</f>
        <v>38388.92</v>
      </c>
      <c r="CZ335">
        <f>AE335</f>
        <v>6303.6</v>
      </c>
      <c r="DA335">
        <f>AI335</f>
        <v>6.09</v>
      </c>
      <c r="DB335">
        <f t="shared" si="34"/>
        <v>9.4600000000000009</v>
      </c>
      <c r="DC335">
        <f t="shared" si="35"/>
        <v>0</v>
      </c>
    </row>
    <row r="336" spans="1:107" x14ac:dyDescent="0.2">
      <c r="A336">
        <f>ROW(Source!A1010)</f>
        <v>1010</v>
      </c>
      <c r="B336">
        <v>33989672</v>
      </c>
      <c r="C336">
        <v>33992758</v>
      </c>
      <c r="D336">
        <v>29983441</v>
      </c>
      <c r="E336">
        <v>29983435</v>
      </c>
      <c r="F336">
        <v>1</v>
      </c>
      <c r="G336">
        <v>29983435</v>
      </c>
      <c r="H336">
        <v>1</v>
      </c>
      <c r="I336" t="s">
        <v>646</v>
      </c>
      <c r="J336" t="s">
        <v>3</v>
      </c>
      <c r="K336" t="s">
        <v>647</v>
      </c>
      <c r="L336">
        <v>1191</v>
      </c>
      <c r="N336">
        <v>1013</v>
      </c>
      <c r="O336" t="s">
        <v>648</v>
      </c>
      <c r="P336" t="s">
        <v>648</v>
      </c>
      <c r="Q336">
        <v>1</v>
      </c>
      <c r="W336">
        <v>0</v>
      </c>
      <c r="X336">
        <v>476480486</v>
      </c>
      <c r="Y336">
        <v>2.13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1</v>
      </c>
      <c r="AJ336">
        <v>1</v>
      </c>
      <c r="AK336">
        <v>1</v>
      </c>
      <c r="AL336">
        <v>1</v>
      </c>
      <c r="AN336">
        <v>0</v>
      </c>
      <c r="AO336">
        <v>1</v>
      </c>
      <c r="AP336">
        <v>0</v>
      </c>
      <c r="AQ336">
        <v>0</v>
      </c>
      <c r="AR336">
        <v>0</v>
      </c>
      <c r="AS336" t="s">
        <v>3</v>
      </c>
      <c r="AT336">
        <v>2.13</v>
      </c>
      <c r="AU336" t="s">
        <v>3</v>
      </c>
      <c r="AV336">
        <v>1</v>
      </c>
      <c r="AW336">
        <v>2</v>
      </c>
      <c r="AX336">
        <v>33992764</v>
      </c>
      <c r="AY336">
        <v>1</v>
      </c>
      <c r="AZ336">
        <v>0</v>
      </c>
      <c r="BA336">
        <v>338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CX336">
        <f>Y336*Source!I1010</f>
        <v>0.19553400000000001</v>
      </c>
      <c r="CY336">
        <f>AD336</f>
        <v>0</v>
      </c>
      <c r="CZ336">
        <f>AH336</f>
        <v>0</v>
      </c>
      <c r="DA336">
        <f>AL336</f>
        <v>1</v>
      </c>
      <c r="DB336">
        <f t="shared" si="34"/>
        <v>0</v>
      </c>
      <c r="DC336">
        <f t="shared" si="35"/>
        <v>0</v>
      </c>
    </row>
    <row r="337" spans="1:107" x14ac:dyDescent="0.2">
      <c r="A337">
        <f>ROW(Source!A1010)</f>
        <v>1010</v>
      </c>
      <c r="B337">
        <v>33989672</v>
      </c>
      <c r="C337">
        <v>33992758</v>
      </c>
      <c r="D337">
        <v>30064095</v>
      </c>
      <c r="E337">
        <v>1</v>
      </c>
      <c r="F337">
        <v>1</v>
      </c>
      <c r="G337">
        <v>29983435</v>
      </c>
      <c r="H337">
        <v>2</v>
      </c>
      <c r="I337" t="s">
        <v>680</v>
      </c>
      <c r="J337" t="s">
        <v>681</v>
      </c>
      <c r="K337" t="s">
        <v>682</v>
      </c>
      <c r="L337">
        <v>1367</v>
      </c>
      <c r="N337">
        <v>1011</v>
      </c>
      <c r="O337" t="s">
        <v>652</v>
      </c>
      <c r="P337" t="s">
        <v>652</v>
      </c>
      <c r="Q337">
        <v>1</v>
      </c>
      <c r="W337">
        <v>0</v>
      </c>
      <c r="X337">
        <v>-628430174</v>
      </c>
      <c r="Y337">
        <v>0.01</v>
      </c>
      <c r="AA337">
        <v>0</v>
      </c>
      <c r="AB337">
        <v>755.14</v>
      </c>
      <c r="AC337">
        <v>368.81</v>
      </c>
      <c r="AD337">
        <v>0</v>
      </c>
      <c r="AE337">
        <v>0</v>
      </c>
      <c r="AF337">
        <v>76.81</v>
      </c>
      <c r="AG337">
        <v>14.36</v>
      </c>
      <c r="AH337">
        <v>0</v>
      </c>
      <c r="AI337">
        <v>1</v>
      </c>
      <c r="AJ337">
        <v>9.39</v>
      </c>
      <c r="AK337">
        <v>24.53</v>
      </c>
      <c r="AL337">
        <v>1</v>
      </c>
      <c r="AN337">
        <v>0</v>
      </c>
      <c r="AO337">
        <v>1</v>
      </c>
      <c r="AP337">
        <v>0</v>
      </c>
      <c r="AQ337">
        <v>0</v>
      </c>
      <c r="AR337">
        <v>0</v>
      </c>
      <c r="AS337" t="s">
        <v>3</v>
      </c>
      <c r="AT337">
        <v>0.01</v>
      </c>
      <c r="AU337" t="s">
        <v>3</v>
      </c>
      <c r="AV337">
        <v>0</v>
      </c>
      <c r="AW337">
        <v>2</v>
      </c>
      <c r="AX337">
        <v>33992765</v>
      </c>
      <c r="AY337">
        <v>1</v>
      </c>
      <c r="AZ337">
        <v>0</v>
      </c>
      <c r="BA337">
        <v>339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CX337">
        <f>Y337*Source!I1010</f>
        <v>9.1800000000000009E-4</v>
      </c>
      <c r="CY337">
        <f>AB337</f>
        <v>755.14</v>
      </c>
      <c r="CZ337">
        <f>AF337</f>
        <v>76.81</v>
      </c>
      <c r="DA337">
        <f>AJ337</f>
        <v>9.39</v>
      </c>
      <c r="DB337">
        <f t="shared" si="34"/>
        <v>0.77</v>
      </c>
      <c r="DC337">
        <f t="shared" si="35"/>
        <v>0.14000000000000001</v>
      </c>
    </row>
    <row r="338" spans="1:107" x14ac:dyDescent="0.2">
      <c r="A338">
        <f>ROW(Source!A1010)</f>
        <v>1010</v>
      </c>
      <c r="B338">
        <v>33989672</v>
      </c>
      <c r="C338">
        <v>33992758</v>
      </c>
      <c r="D338">
        <v>30063432</v>
      </c>
      <c r="E338">
        <v>1</v>
      </c>
      <c r="F338">
        <v>1</v>
      </c>
      <c r="G338">
        <v>29983435</v>
      </c>
      <c r="H338">
        <v>2</v>
      </c>
      <c r="I338" t="s">
        <v>754</v>
      </c>
      <c r="J338" t="s">
        <v>755</v>
      </c>
      <c r="K338" t="s">
        <v>756</v>
      </c>
      <c r="L338">
        <v>1367</v>
      </c>
      <c r="N338">
        <v>1011</v>
      </c>
      <c r="O338" t="s">
        <v>652</v>
      </c>
      <c r="P338" t="s">
        <v>652</v>
      </c>
      <c r="Q338">
        <v>1</v>
      </c>
      <c r="W338">
        <v>0</v>
      </c>
      <c r="X338">
        <v>482200787</v>
      </c>
      <c r="Y338">
        <v>0.01</v>
      </c>
      <c r="AA338">
        <v>0</v>
      </c>
      <c r="AB338">
        <v>742.91</v>
      </c>
      <c r="AC338">
        <v>434.04</v>
      </c>
      <c r="AD338">
        <v>0</v>
      </c>
      <c r="AE338">
        <v>0</v>
      </c>
      <c r="AF338">
        <v>73</v>
      </c>
      <c r="AG338">
        <v>16.899999999999999</v>
      </c>
      <c r="AH338">
        <v>0</v>
      </c>
      <c r="AI338">
        <v>1</v>
      </c>
      <c r="AJ338">
        <v>9.7200000000000006</v>
      </c>
      <c r="AK338">
        <v>24.53</v>
      </c>
      <c r="AL338">
        <v>1</v>
      </c>
      <c r="AN338">
        <v>0</v>
      </c>
      <c r="AO338">
        <v>1</v>
      </c>
      <c r="AP338">
        <v>0</v>
      </c>
      <c r="AQ338">
        <v>0</v>
      </c>
      <c r="AR338">
        <v>0</v>
      </c>
      <c r="AS338" t="s">
        <v>3</v>
      </c>
      <c r="AT338">
        <v>0.01</v>
      </c>
      <c r="AU338" t="s">
        <v>3</v>
      </c>
      <c r="AV338">
        <v>0</v>
      </c>
      <c r="AW338">
        <v>2</v>
      </c>
      <c r="AX338">
        <v>33992766</v>
      </c>
      <c r="AY338">
        <v>1</v>
      </c>
      <c r="AZ338">
        <v>0</v>
      </c>
      <c r="BA338">
        <v>340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CX338">
        <f>Y338*Source!I1010</f>
        <v>9.1800000000000009E-4</v>
      </c>
      <c r="CY338">
        <f>AB338</f>
        <v>742.91</v>
      </c>
      <c r="CZ338">
        <f>AF338</f>
        <v>73</v>
      </c>
      <c r="DA338">
        <f>AJ338</f>
        <v>9.7200000000000006</v>
      </c>
      <c r="DB338">
        <f t="shared" si="34"/>
        <v>0.73</v>
      </c>
      <c r="DC338">
        <f t="shared" si="35"/>
        <v>0.17</v>
      </c>
    </row>
    <row r="339" spans="1:107" x14ac:dyDescent="0.2">
      <c r="A339">
        <f>ROW(Source!A1010)</f>
        <v>1010</v>
      </c>
      <c r="B339">
        <v>33989672</v>
      </c>
      <c r="C339">
        <v>33992758</v>
      </c>
      <c r="D339">
        <v>30041214</v>
      </c>
      <c r="E339">
        <v>1</v>
      </c>
      <c r="F339">
        <v>1</v>
      </c>
      <c r="G339">
        <v>29983435</v>
      </c>
      <c r="H339">
        <v>3</v>
      </c>
      <c r="I339" t="s">
        <v>846</v>
      </c>
      <c r="J339" t="s">
        <v>847</v>
      </c>
      <c r="K339" t="s">
        <v>848</v>
      </c>
      <c r="L339">
        <v>1346</v>
      </c>
      <c r="N339">
        <v>1009</v>
      </c>
      <c r="O339" t="s">
        <v>300</v>
      </c>
      <c r="P339" t="s">
        <v>300</v>
      </c>
      <c r="Q339">
        <v>1</v>
      </c>
      <c r="W339">
        <v>0</v>
      </c>
      <c r="X339">
        <v>1751843284</v>
      </c>
      <c r="Y339">
        <v>9</v>
      </c>
      <c r="AA339">
        <v>50.23</v>
      </c>
      <c r="AB339">
        <v>0</v>
      </c>
      <c r="AC339">
        <v>0</v>
      </c>
      <c r="AD339">
        <v>0</v>
      </c>
      <c r="AE339">
        <v>29.9</v>
      </c>
      <c r="AF339">
        <v>0</v>
      </c>
      <c r="AG339">
        <v>0</v>
      </c>
      <c r="AH339">
        <v>0</v>
      </c>
      <c r="AI339">
        <v>1.68</v>
      </c>
      <c r="AJ339">
        <v>1</v>
      </c>
      <c r="AK339">
        <v>1</v>
      </c>
      <c r="AL339">
        <v>1</v>
      </c>
      <c r="AN339">
        <v>0</v>
      </c>
      <c r="AO339">
        <v>1</v>
      </c>
      <c r="AP339">
        <v>0</v>
      </c>
      <c r="AQ339">
        <v>0</v>
      </c>
      <c r="AR339">
        <v>0</v>
      </c>
      <c r="AS339" t="s">
        <v>3</v>
      </c>
      <c r="AT339">
        <v>9</v>
      </c>
      <c r="AU339" t="s">
        <v>3</v>
      </c>
      <c r="AV339">
        <v>0</v>
      </c>
      <c r="AW339">
        <v>2</v>
      </c>
      <c r="AX339">
        <v>33992767</v>
      </c>
      <c r="AY339">
        <v>1</v>
      </c>
      <c r="AZ339">
        <v>0</v>
      </c>
      <c r="BA339">
        <v>341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CX339">
        <f>Y339*Source!I1010</f>
        <v>0.82620000000000005</v>
      </c>
      <c r="CY339">
        <f>AA339</f>
        <v>50.23</v>
      </c>
      <c r="CZ339">
        <f>AE339</f>
        <v>29.9</v>
      </c>
      <c r="DA339">
        <f>AI339</f>
        <v>1.68</v>
      </c>
      <c r="DB339">
        <f t="shared" si="34"/>
        <v>269.10000000000002</v>
      </c>
      <c r="DC339">
        <f t="shared" si="35"/>
        <v>0</v>
      </c>
    </row>
    <row r="340" spans="1:107" x14ac:dyDescent="0.2">
      <c r="A340">
        <f>ROW(Source!A1010)</f>
        <v>1010</v>
      </c>
      <c r="B340">
        <v>33989672</v>
      </c>
      <c r="C340">
        <v>33992758</v>
      </c>
      <c r="D340">
        <v>30041767</v>
      </c>
      <c r="E340">
        <v>1</v>
      </c>
      <c r="F340">
        <v>1</v>
      </c>
      <c r="G340">
        <v>29983435</v>
      </c>
      <c r="H340">
        <v>3</v>
      </c>
      <c r="I340" t="s">
        <v>807</v>
      </c>
      <c r="J340" t="s">
        <v>808</v>
      </c>
      <c r="K340" t="s">
        <v>809</v>
      </c>
      <c r="L340">
        <v>1348</v>
      </c>
      <c r="N340">
        <v>1009</v>
      </c>
      <c r="O340" t="s">
        <v>51</v>
      </c>
      <c r="P340" t="s">
        <v>51</v>
      </c>
      <c r="Q340">
        <v>1000</v>
      </c>
      <c r="W340">
        <v>0</v>
      </c>
      <c r="X340">
        <v>1320659850</v>
      </c>
      <c r="Y340">
        <v>1.48E-3</v>
      </c>
      <c r="AA340">
        <v>38733.089999999997</v>
      </c>
      <c r="AB340">
        <v>0</v>
      </c>
      <c r="AC340">
        <v>0</v>
      </c>
      <c r="AD340">
        <v>0</v>
      </c>
      <c r="AE340">
        <v>12534.98</v>
      </c>
      <c r="AF340">
        <v>0</v>
      </c>
      <c r="AG340">
        <v>0</v>
      </c>
      <c r="AH340">
        <v>0</v>
      </c>
      <c r="AI340">
        <v>3.09</v>
      </c>
      <c r="AJ340">
        <v>1</v>
      </c>
      <c r="AK340">
        <v>1</v>
      </c>
      <c r="AL340">
        <v>1</v>
      </c>
      <c r="AN340">
        <v>0</v>
      </c>
      <c r="AO340">
        <v>1</v>
      </c>
      <c r="AP340">
        <v>0</v>
      </c>
      <c r="AQ340">
        <v>0</v>
      </c>
      <c r="AR340">
        <v>0</v>
      </c>
      <c r="AS340" t="s">
        <v>3</v>
      </c>
      <c r="AT340">
        <v>1.48E-3</v>
      </c>
      <c r="AU340" t="s">
        <v>3</v>
      </c>
      <c r="AV340">
        <v>0</v>
      </c>
      <c r="AW340">
        <v>2</v>
      </c>
      <c r="AX340">
        <v>33992768</v>
      </c>
      <c r="AY340">
        <v>1</v>
      </c>
      <c r="AZ340">
        <v>0</v>
      </c>
      <c r="BA340">
        <v>342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CX340">
        <f>Y340*Source!I1010</f>
        <v>1.35864E-4</v>
      </c>
      <c r="CY340">
        <f>AA340</f>
        <v>38733.089999999997</v>
      </c>
      <c r="CZ340">
        <f>AE340</f>
        <v>12534.98</v>
      </c>
      <c r="DA340">
        <f>AI340</f>
        <v>3.09</v>
      </c>
      <c r="DB340">
        <f t="shared" si="34"/>
        <v>18.55</v>
      </c>
      <c r="DC340">
        <f t="shared" si="35"/>
        <v>0</v>
      </c>
    </row>
    <row r="341" spans="1:107" x14ac:dyDescent="0.2">
      <c r="A341">
        <f>ROW(Source!A1149)</f>
        <v>1149</v>
      </c>
      <c r="B341">
        <v>33989672</v>
      </c>
      <c r="C341">
        <v>33992769</v>
      </c>
      <c r="D341">
        <v>29983441</v>
      </c>
      <c r="E341">
        <v>29983435</v>
      </c>
      <c r="F341">
        <v>1</v>
      </c>
      <c r="G341">
        <v>29983435</v>
      </c>
      <c r="H341">
        <v>1</v>
      </c>
      <c r="I341" t="s">
        <v>646</v>
      </c>
      <c r="J341" t="s">
        <v>3</v>
      </c>
      <c r="K341" t="s">
        <v>647</v>
      </c>
      <c r="L341">
        <v>1191</v>
      </c>
      <c r="N341">
        <v>1013</v>
      </c>
      <c r="O341" t="s">
        <v>648</v>
      </c>
      <c r="P341" t="s">
        <v>648</v>
      </c>
      <c r="Q341">
        <v>1</v>
      </c>
      <c r="W341">
        <v>0</v>
      </c>
      <c r="X341">
        <v>476480486</v>
      </c>
      <c r="Y341">
        <v>297.86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1</v>
      </c>
      <c r="AJ341">
        <v>1</v>
      </c>
      <c r="AK341">
        <v>1</v>
      </c>
      <c r="AL341">
        <v>1</v>
      </c>
      <c r="AN341">
        <v>0</v>
      </c>
      <c r="AO341">
        <v>1</v>
      </c>
      <c r="AP341">
        <v>0</v>
      </c>
      <c r="AQ341">
        <v>0</v>
      </c>
      <c r="AR341">
        <v>0</v>
      </c>
      <c r="AS341" t="s">
        <v>3</v>
      </c>
      <c r="AT341">
        <v>297.86</v>
      </c>
      <c r="AU341" t="s">
        <v>3</v>
      </c>
      <c r="AV341">
        <v>1</v>
      </c>
      <c r="AW341">
        <v>2</v>
      </c>
      <c r="AX341">
        <v>33992776</v>
      </c>
      <c r="AY341">
        <v>1</v>
      </c>
      <c r="AZ341">
        <v>0</v>
      </c>
      <c r="BA341">
        <v>343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CX341">
        <f>Y341*Source!I1149</f>
        <v>59.572000000000003</v>
      </c>
      <c r="CY341">
        <f>AD341</f>
        <v>0</v>
      </c>
      <c r="CZ341">
        <f>AH341</f>
        <v>0</v>
      </c>
      <c r="DA341">
        <f>AL341</f>
        <v>1</v>
      </c>
      <c r="DB341">
        <f t="shared" si="34"/>
        <v>0</v>
      </c>
      <c r="DC341">
        <f t="shared" si="35"/>
        <v>0</v>
      </c>
    </row>
    <row r="342" spans="1:107" x14ac:dyDescent="0.2">
      <c r="A342">
        <f>ROW(Source!A1149)</f>
        <v>1149</v>
      </c>
      <c r="B342">
        <v>33989672</v>
      </c>
      <c r="C342">
        <v>33992769</v>
      </c>
      <c r="D342">
        <v>30063679</v>
      </c>
      <c r="E342">
        <v>1</v>
      </c>
      <c r="F342">
        <v>1</v>
      </c>
      <c r="G342">
        <v>29983435</v>
      </c>
      <c r="H342">
        <v>2</v>
      </c>
      <c r="I342" t="s">
        <v>849</v>
      </c>
      <c r="J342" t="s">
        <v>850</v>
      </c>
      <c r="K342" t="s">
        <v>851</v>
      </c>
      <c r="L342">
        <v>1367</v>
      </c>
      <c r="N342">
        <v>1011</v>
      </c>
      <c r="O342" t="s">
        <v>652</v>
      </c>
      <c r="P342" t="s">
        <v>652</v>
      </c>
      <c r="Q342">
        <v>1</v>
      </c>
      <c r="W342">
        <v>0</v>
      </c>
      <c r="X342">
        <v>-1376231497</v>
      </c>
      <c r="Y342">
        <v>11</v>
      </c>
      <c r="AA342">
        <v>0</v>
      </c>
      <c r="AB342">
        <v>1342.86</v>
      </c>
      <c r="AC342">
        <v>578.89</v>
      </c>
      <c r="AD342">
        <v>0</v>
      </c>
      <c r="AE342">
        <v>0</v>
      </c>
      <c r="AF342">
        <v>101.39</v>
      </c>
      <c r="AG342">
        <v>22.54</v>
      </c>
      <c r="AH342">
        <v>0</v>
      </c>
      <c r="AI342">
        <v>1</v>
      </c>
      <c r="AJ342">
        <v>12.65</v>
      </c>
      <c r="AK342">
        <v>24.53</v>
      </c>
      <c r="AL342">
        <v>1</v>
      </c>
      <c r="AN342">
        <v>0</v>
      </c>
      <c r="AO342">
        <v>1</v>
      </c>
      <c r="AP342">
        <v>0</v>
      </c>
      <c r="AQ342">
        <v>0</v>
      </c>
      <c r="AR342">
        <v>0</v>
      </c>
      <c r="AS342" t="s">
        <v>3</v>
      </c>
      <c r="AT342">
        <v>11</v>
      </c>
      <c r="AU342" t="s">
        <v>3</v>
      </c>
      <c r="AV342">
        <v>0</v>
      </c>
      <c r="AW342">
        <v>2</v>
      </c>
      <c r="AX342">
        <v>33992777</v>
      </c>
      <c r="AY342">
        <v>1</v>
      </c>
      <c r="AZ342">
        <v>0</v>
      </c>
      <c r="BA342">
        <v>344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CX342">
        <f>Y342*Source!I1149</f>
        <v>2.2000000000000002</v>
      </c>
      <c r="CY342">
        <f>AB342</f>
        <v>1342.86</v>
      </c>
      <c r="CZ342">
        <f>AF342</f>
        <v>101.39</v>
      </c>
      <c r="DA342">
        <f>AJ342</f>
        <v>12.65</v>
      </c>
      <c r="DB342">
        <f t="shared" si="34"/>
        <v>1115.29</v>
      </c>
      <c r="DC342">
        <f t="shared" si="35"/>
        <v>247.94</v>
      </c>
    </row>
    <row r="343" spans="1:107" x14ac:dyDescent="0.2">
      <c r="A343">
        <f>ROW(Source!A1149)</f>
        <v>1149</v>
      </c>
      <c r="B343">
        <v>33989672</v>
      </c>
      <c r="C343">
        <v>33992769</v>
      </c>
      <c r="D343">
        <v>30042590</v>
      </c>
      <c r="E343">
        <v>1</v>
      </c>
      <c r="F343">
        <v>1</v>
      </c>
      <c r="G343">
        <v>29983435</v>
      </c>
      <c r="H343">
        <v>3</v>
      </c>
      <c r="I343" t="s">
        <v>852</v>
      </c>
      <c r="J343" t="s">
        <v>853</v>
      </c>
      <c r="K343" t="s">
        <v>854</v>
      </c>
      <c r="L343">
        <v>1348</v>
      </c>
      <c r="N343">
        <v>1009</v>
      </c>
      <c r="O343" t="s">
        <v>51</v>
      </c>
      <c r="P343" t="s">
        <v>51</v>
      </c>
      <c r="Q343">
        <v>1000</v>
      </c>
      <c r="W343">
        <v>0</v>
      </c>
      <c r="X343">
        <v>238444175</v>
      </c>
      <c r="Y343">
        <v>4.8000000000000001E-2</v>
      </c>
      <c r="AA343">
        <v>94042.25</v>
      </c>
      <c r="AB343">
        <v>0</v>
      </c>
      <c r="AC343">
        <v>0</v>
      </c>
      <c r="AD343">
        <v>0</v>
      </c>
      <c r="AE343">
        <v>24618.39</v>
      </c>
      <c r="AF343">
        <v>0</v>
      </c>
      <c r="AG343">
        <v>0</v>
      </c>
      <c r="AH343">
        <v>0</v>
      </c>
      <c r="AI343">
        <v>3.82</v>
      </c>
      <c r="AJ343">
        <v>1</v>
      </c>
      <c r="AK343">
        <v>1</v>
      </c>
      <c r="AL343">
        <v>1</v>
      </c>
      <c r="AN343">
        <v>0</v>
      </c>
      <c r="AO343">
        <v>1</v>
      </c>
      <c r="AP343">
        <v>0</v>
      </c>
      <c r="AQ343">
        <v>0</v>
      </c>
      <c r="AR343">
        <v>0</v>
      </c>
      <c r="AS343" t="s">
        <v>3</v>
      </c>
      <c r="AT343">
        <v>4.8000000000000001E-2</v>
      </c>
      <c r="AU343" t="s">
        <v>3</v>
      </c>
      <c r="AV343">
        <v>0</v>
      </c>
      <c r="AW343">
        <v>2</v>
      </c>
      <c r="AX343">
        <v>33992778</v>
      </c>
      <c r="AY343">
        <v>1</v>
      </c>
      <c r="AZ343">
        <v>0</v>
      </c>
      <c r="BA343">
        <v>345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CX343">
        <f>Y343*Source!I1149</f>
        <v>9.6000000000000009E-3</v>
      </c>
      <c r="CY343">
        <f>AA343</f>
        <v>94042.25</v>
      </c>
      <c r="CZ343">
        <f>AE343</f>
        <v>24618.39</v>
      </c>
      <c r="DA343">
        <f>AI343</f>
        <v>3.82</v>
      </c>
      <c r="DB343">
        <f t="shared" si="34"/>
        <v>1181.68</v>
      </c>
      <c r="DC343">
        <f t="shared" si="35"/>
        <v>0</v>
      </c>
    </row>
    <row r="344" spans="1:107" x14ac:dyDescent="0.2">
      <c r="A344">
        <f>ROW(Source!A1149)</f>
        <v>1149</v>
      </c>
      <c r="B344">
        <v>33989672</v>
      </c>
      <c r="C344">
        <v>33992769</v>
      </c>
      <c r="D344">
        <v>30060914</v>
      </c>
      <c r="E344">
        <v>1</v>
      </c>
      <c r="F344">
        <v>1</v>
      </c>
      <c r="G344">
        <v>29983435</v>
      </c>
      <c r="H344">
        <v>3</v>
      </c>
      <c r="I344" t="s">
        <v>567</v>
      </c>
      <c r="J344" t="s">
        <v>570</v>
      </c>
      <c r="K344" t="s">
        <v>568</v>
      </c>
      <c r="L344">
        <v>1301</v>
      </c>
      <c r="N344">
        <v>1003</v>
      </c>
      <c r="O344" t="s">
        <v>569</v>
      </c>
      <c r="P344" t="s">
        <v>569</v>
      </c>
      <c r="Q344">
        <v>1</v>
      </c>
      <c r="W344">
        <v>0</v>
      </c>
      <c r="X344">
        <v>1643840078</v>
      </c>
      <c r="Y344">
        <v>150</v>
      </c>
      <c r="AA344">
        <v>513.16999999999996</v>
      </c>
      <c r="AB344">
        <v>0</v>
      </c>
      <c r="AC344">
        <v>0</v>
      </c>
      <c r="AD344">
        <v>0</v>
      </c>
      <c r="AE344">
        <v>191.48</v>
      </c>
      <c r="AF344">
        <v>0</v>
      </c>
      <c r="AG344">
        <v>0</v>
      </c>
      <c r="AH344">
        <v>0</v>
      </c>
      <c r="AI344">
        <v>2.68</v>
      </c>
      <c r="AJ344">
        <v>1</v>
      </c>
      <c r="AK344">
        <v>1</v>
      </c>
      <c r="AL344">
        <v>1</v>
      </c>
      <c r="AN344">
        <v>0</v>
      </c>
      <c r="AO344">
        <v>0</v>
      </c>
      <c r="AP344">
        <v>0</v>
      </c>
      <c r="AQ344">
        <v>0</v>
      </c>
      <c r="AR344">
        <v>0</v>
      </c>
      <c r="AS344" t="s">
        <v>3</v>
      </c>
      <c r="AT344">
        <v>150</v>
      </c>
      <c r="AU344" t="s">
        <v>3</v>
      </c>
      <c r="AV344">
        <v>0</v>
      </c>
      <c r="AW344">
        <v>1</v>
      </c>
      <c r="AX344">
        <v>-1</v>
      </c>
      <c r="AY344">
        <v>0</v>
      </c>
      <c r="AZ344">
        <v>0</v>
      </c>
      <c r="BA344" t="s">
        <v>3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CX344">
        <f>Y344*Source!I1149</f>
        <v>30</v>
      </c>
      <c r="CY344">
        <f>AA344</f>
        <v>513.16999999999996</v>
      </c>
      <c r="CZ344">
        <f>AE344</f>
        <v>191.48</v>
      </c>
      <c r="DA344">
        <f>AI344</f>
        <v>2.68</v>
      </c>
      <c r="DB344">
        <f t="shared" si="34"/>
        <v>28722</v>
      </c>
      <c r="DC344">
        <f t="shared" si="35"/>
        <v>0</v>
      </c>
    </row>
    <row r="345" spans="1:107" x14ac:dyDescent="0.2">
      <c r="A345">
        <f>ROW(Source!A1149)</f>
        <v>1149</v>
      </c>
      <c r="B345">
        <v>33989672</v>
      </c>
      <c r="C345">
        <v>33992769</v>
      </c>
      <c r="D345">
        <v>30060913</v>
      </c>
      <c r="E345">
        <v>1</v>
      </c>
      <c r="F345">
        <v>1</v>
      </c>
      <c r="G345">
        <v>29983435</v>
      </c>
      <c r="H345">
        <v>3</v>
      </c>
      <c r="I345" t="s">
        <v>572</v>
      </c>
      <c r="J345" t="s">
        <v>574</v>
      </c>
      <c r="K345" t="s">
        <v>573</v>
      </c>
      <c r="L345">
        <v>1354</v>
      </c>
      <c r="N345">
        <v>1010</v>
      </c>
      <c r="O345" t="s">
        <v>328</v>
      </c>
      <c r="P345" t="s">
        <v>328</v>
      </c>
      <c r="Q345">
        <v>1</v>
      </c>
      <c r="W345">
        <v>0</v>
      </c>
      <c r="X345">
        <v>645346249</v>
      </c>
      <c r="Y345">
        <v>100</v>
      </c>
      <c r="AA345">
        <v>55.32</v>
      </c>
      <c r="AB345">
        <v>0</v>
      </c>
      <c r="AC345">
        <v>0</v>
      </c>
      <c r="AD345">
        <v>0</v>
      </c>
      <c r="AE345">
        <v>47.28</v>
      </c>
      <c r="AF345">
        <v>0</v>
      </c>
      <c r="AG345">
        <v>0</v>
      </c>
      <c r="AH345">
        <v>0</v>
      </c>
      <c r="AI345">
        <v>1.17</v>
      </c>
      <c r="AJ345">
        <v>1</v>
      </c>
      <c r="AK345">
        <v>1</v>
      </c>
      <c r="AL345">
        <v>1</v>
      </c>
      <c r="AN345">
        <v>0</v>
      </c>
      <c r="AO345">
        <v>0</v>
      </c>
      <c r="AP345">
        <v>0</v>
      </c>
      <c r="AQ345">
        <v>0</v>
      </c>
      <c r="AR345">
        <v>0</v>
      </c>
      <c r="AS345" t="s">
        <v>3</v>
      </c>
      <c r="AT345">
        <v>100</v>
      </c>
      <c r="AU345" t="s">
        <v>3</v>
      </c>
      <c r="AV345">
        <v>0</v>
      </c>
      <c r="AW345">
        <v>1</v>
      </c>
      <c r="AX345">
        <v>-1</v>
      </c>
      <c r="AY345">
        <v>0</v>
      </c>
      <c r="AZ345">
        <v>0</v>
      </c>
      <c r="BA345" t="s">
        <v>3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CX345">
        <f>Y345*Source!I1149</f>
        <v>20</v>
      </c>
      <c r="CY345">
        <f>AA345</f>
        <v>55.32</v>
      </c>
      <c r="CZ345">
        <f>AE345</f>
        <v>47.28</v>
      </c>
      <c r="DA345">
        <f>AI345</f>
        <v>1.17</v>
      </c>
      <c r="DB345">
        <f t="shared" si="34"/>
        <v>4728</v>
      </c>
      <c r="DC345">
        <f t="shared" si="35"/>
        <v>0</v>
      </c>
    </row>
    <row r="346" spans="1:107" x14ac:dyDescent="0.2">
      <c r="A346">
        <f>ROW(Source!A1149)</f>
        <v>1149</v>
      </c>
      <c r="B346">
        <v>33989672</v>
      </c>
      <c r="C346">
        <v>33992769</v>
      </c>
      <c r="D346">
        <v>30060943</v>
      </c>
      <c r="E346">
        <v>1</v>
      </c>
      <c r="F346">
        <v>1</v>
      </c>
      <c r="G346">
        <v>29983435</v>
      </c>
      <c r="H346">
        <v>3</v>
      </c>
      <c r="I346" t="s">
        <v>563</v>
      </c>
      <c r="J346" t="s">
        <v>565</v>
      </c>
      <c r="K346" t="s">
        <v>564</v>
      </c>
      <c r="L346">
        <v>1354</v>
      </c>
      <c r="N346">
        <v>1010</v>
      </c>
      <c r="O346" t="s">
        <v>328</v>
      </c>
      <c r="P346" t="s">
        <v>328</v>
      </c>
      <c r="Q346">
        <v>1</v>
      </c>
      <c r="W346">
        <v>0</v>
      </c>
      <c r="X346">
        <v>-1951501916</v>
      </c>
      <c r="Y346">
        <v>100</v>
      </c>
      <c r="AA346">
        <v>814.92</v>
      </c>
      <c r="AB346">
        <v>0</v>
      </c>
      <c r="AC346">
        <v>0</v>
      </c>
      <c r="AD346">
        <v>0</v>
      </c>
      <c r="AE346">
        <v>636.66</v>
      </c>
      <c r="AF346">
        <v>0</v>
      </c>
      <c r="AG346">
        <v>0</v>
      </c>
      <c r="AH346">
        <v>0</v>
      </c>
      <c r="AI346">
        <v>1.28</v>
      </c>
      <c r="AJ346">
        <v>1</v>
      </c>
      <c r="AK346">
        <v>1</v>
      </c>
      <c r="AL346">
        <v>1</v>
      </c>
      <c r="AN346">
        <v>0</v>
      </c>
      <c r="AO346">
        <v>0</v>
      </c>
      <c r="AP346">
        <v>0</v>
      </c>
      <c r="AQ346">
        <v>0</v>
      </c>
      <c r="AR346">
        <v>0</v>
      </c>
      <c r="AS346" t="s">
        <v>3</v>
      </c>
      <c r="AT346">
        <v>100</v>
      </c>
      <c r="AU346" t="s">
        <v>3</v>
      </c>
      <c r="AV346">
        <v>0</v>
      </c>
      <c r="AW346">
        <v>1</v>
      </c>
      <c r="AX346">
        <v>-1</v>
      </c>
      <c r="AY346">
        <v>0</v>
      </c>
      <c r="AZ346">
        <v>0</v>
      </c>
      <c r="BA346" t="s">
        <v>3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CX346">
        <f>Y346*Source!I1149</f>
        <v>20</v>
      </c>
      <c r="CY346">
        <f>AA346</f>
        <v>814.92</v>
      </c>
      <c r="CZ346">
        <f>AE346</f>
        <v>636.66</v>
      </c>
      <c r="DA346">
        <f>AI346</f>
        <v>1.28</v>
      </c>
      <c r="DB346">
        <f t="shared" si="34"/>
        <v>63666</v>
      </c>
      <c r="DC346">
        <f t="shared" si="35"/>
        <v>0</v>
      </c>
    </row>
    <row r="347" spans="1:107" x14ac:dyDescent="0.2">
      <c r="A347">
        <f>ROW(Source!A1153)</f>
        <v>1153</v>
      </c>
      <c r="B347">
        <v>33989672</v>
      </c>
      <c r="C347">
        <v>33992784</v>
      </c>
      <c r="D347">
        <v>29983441</v>
      </c>
      <c r="E347">
        <v>29983435</v>
      </c>
      <c r="F347">
        <v>1</v>
      </c>
      <c r="G347">
        <v>29983435</v>
      </c>
      <c r="H347">
        <v>1</v>
      </c>
      <c r="I347" t="s">
        <v>646</v>
      </c>
      <c r="J347" t="s">
        <v>3</v>
      </c>
      <c r="K347" t="s">
        <v>647</v>
      </c>
      <c r="L347">
        <v>1191</v>
      </c>
      <c r="N347">
        <v>1013</v>
      </c>
      <c r="O347" t="s">
        <v>648</v>
      </c>
      <c r="P347" t="s">
        <v>648</v>
      </c>
      <c r="Q347">
        <v>1</v>
      </c>
      <c r="W347">
        <v>0</v>
      </c>
      <c r="X347">
        <v>476480486</v>
      </c>
      <c r="Y347">
        <v>69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1</v>
      </c>
      <c r="AJ347">
        <v>1</v>
      </c>
      <c r="AK347">
        <v>1</v>
      </c>
      <c r="AL347">
        <v>1</v>
      </c>
      <c r="AN347">
        <v>0</v>
      </c>
      <c r="AO347">
        <v>1</v>
      </c>
      <c r="AP347">
        <v>0</v>
      </c>
      <c r="AQ347">
        <v>0</v>
      </c>
      <c r="AR347">
        <v>0</v>
      </c>
      <c r="AS347" t="s">
        <v>3</v>
      </c>
      <c r="AT347">
        <v>69</v>
      </c>
      <c r="AU347" t="s">
        <v>3</v>
      </c>
      <c r="AV347">
        <v>1</v>
      </c>
      <c r="AW347">
        <v>2</v>
      </c>
      <c r="AX347">
        <v>33992789</v>
      </c>
      <c r="AY347">
        <v>1</v>
      </c>
      <c r="AZ347">
        <v>0</v>
      </c>
      <c r="BA347">
        <v>348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CX347">
        <f>Y347*Source!I1153</f>
        <v>13.8</v>
      </c>
      <c r="CY347">
        <f>AD347</f>
        <v>0</v>
      </c>
      <c r="CZ347">
        <f>AH347</f>
        <v>0</v>
      </c>
      <c r="DA347">
        <f>AL347</f>
        <v>1</v>
      </c>
      <c r="DB347">
        <f t="shared" si="34"/>
        <v>0</v>
      </c>
      <c r="DC347">
        <f t="shared" si="35"/>
        <v>0</v>
      </c>
    </row>
    <row r="348" spans="1:107" x14ac:dyDescent="0.2">
      <c r="A348">
        <f>ROW(Source!A1153)</f>
        <v>1153</v>
      </c>
      <c r="B348">
        <v>33989672</v>
      </c>
      <c r="C348">
        <v>33992784</v>
      </c>
      <c r="D348">
        <v>30060913</v>
      </c>
      <c r="E348">
        <v>1</v>
      </c>
      <c r="F348">
        <v>1</v>
      </c>
      <c r="G348">
        <v>29983435</v>
      </c>
      <c r="H348">
        <v>3</v>
      </c>
      <c r="I348" t="s">
        <v>572</v>
      </c>
      <c r="J348" t="s">
        <v>574</v>
      </c>
      <c r="K348" t="s">
        <v>573</v>
      </c>
      <c r="L348">
        <v>1354</v>
      </c>
      <c r="N348">
        <v>1010</v>
      </c>
      <c r="O348" t="s">
        <v>328</v>
      </c>
      <c r="P348" t="s">
        <v>328</v>
      </c>
      <c r="Q348">
        <v>1</v>
      </c>
      <c r="W348">
        <v>0</v>
      </c>
      <c r="X348">
        <v>645346249</v>
      </c>
      <c r="Y348">
        <v>100</v>
      </c>
      <c r="AA348">
        <v>55.32</v>
      </c>
      <c r="AB348">
        <v>0</v>
      </c>
      <c r="AC348">
        <v>0</v>
      </c>
      <c r="AD348">
        <v>0</v>
      </c>
      <c r="AE348">
        <v>47.28</v>
      </c>
      <c r="AF348">
        <v>0</v>
      </c>
      <c r="AG348">
        <v>0</v>
      </c>
      <c r="AH348">
        <v>0</v>
      </c>
      <c r="AI348">
        <v>1.17</v>
      </c>
      <c r="AJ348">
        <v>1</v>
      </c>
      <c r="AK348">
        <v>1</v>
      </c>
      <c r="AL348">
        <v>1</v>
      </c>
      <c r="AN348">
        <v>0</v>
      </c>
      <c r="AO348">
        <v>1</v>
      </c>
      <c r="AP348">
        <v>0</v>
      </c>
      <c r="AQ348">
        <v>0</v>
      </c>
      <c r="AR348">
        <v>0</v>
      </c>
      <c r="AS348" t="s">
        <v>3</v>
      </c>
      <c r="AT348">
        <v>100</v>
      </c>
      <c r="AU348" t="s">
        <v>3</v>
      </c>
      <c r="AV348">
        <v>0</v>
      </c>
      <c r="AW348">
        <v>2</v>
      </c>
      <c r="AX348">
        <v>33992790</v>
      </c>
      <c r="AY348">
        <v>1</v>
      </c>
      <c r="AZ348">
        <v>0</v>
      </c>
      <c r="BA348">
        <v>349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CX348">
        <f>Y348*Source!I1153</f>
        <v>20</v>
      </c>
      <c r="CY348">
        <f>AA348</f>
        <v>55.32</v>
      </c>
      <c r="CZ348">
        <f>AE348</f>
        <v>47.28</v>
      </c>
      <c r="DA348">
        <f>AI348</f>
        <v>1.17</v>
      </c>
      <c r="DB348">
        <f t="shared" si="34"/>
        <v>4728</v>
      </c>
      <c r="DC348">
        <f t="shared" si="35"/>
        <v>0</v>
      </c>
    </row>
    <row r="349" spans="1:107" x14ac:dyDescent="0.2">
      <c r="A349">
        <f>ROW(Source!A1153)</f>
        <v>1153</v>
      </c>
      <c r="B349">
        <v>33989672</v>
      </c>
      <c r="C349">
        <v>33992784</v>
      </c>
      <c r="D349">
        <v>30060913</v>
      </c>
      <c r="E349">
        <v>1</v>
      </c>
      <c r="F349">
        <v>1</v>
      </c>
      <c r="G349">
        <v>29983435</v>
      </c>
      <c r="H349">
        <v>3</v>
      </c>
      <c r="I349" t="s">
        <v>572</v>
      </c>
      <c r="J349" t="s">
        <v>574</v>
      </c>
      <c r="K349" t="s">
        <v>573</v>
      </c>
      <c r="L349">
        <v>1354</v>
      </c>
      <c r="N349">
        <v>1010</v>
      </c>
      <c r="O349" t="s">
        <v>328</v>
      </c>
      <c r="P349" t="s">
        <v>328</v>
      </c>
      <c r="Q349">
        <v>1</v>
      </c>
      <c r="W349">
        <v>0</v>
      </c>
      <c r="X349">
        <v>645346249</v>
      </c>
      <c r="Y349">
        <v>100</v>
      </c>
      <c r="AA349">
        <v>55.32</v>
      </c>
      <c r="AB349">
        <v>0</v>
      </c>
      <c r="AC349">
        <v>0</v>
      </c>
      <c r="AD349">
        <v>0</v>
      </c>
      <c r="AE349">
        <v>47.28</v>
      </c>
      <c r="AF349">
        <v>0</v>
      </c>
      <c r="AG349">
        <v>0</v>
      </c>
      <c r="AH349">
        <v>0</v>
      </c>
      <c r="AI349">
        <v>1.17</v>
      </c>
      <c r="AJ349">
        <v>1</v>
      </c>
      <c r="AK349">
        <v>1</v>
      </c>
      <c r="AL349">
        <v>1</v>
      </c>
      <c r="AN349">
        <v>0</v>
      </c>
      <c r="AO349">
        <v>0</v>
      </c>
      <c r="AP349">
        <v>0</v>
      </c>
      <c r="AQ349">
        <v>0</v>
      </c>
      <c r="AR349">
        <v>0</v>
      </c>
      <c r="AS349" t="s">
        <v>3</v>
      </c>
      <c r="AT349">
        <v>100</v>
      </c>
      <c r="AU349" t="s">
        <v>3</v>
      </c>
      <c r="AV349">
        <v>0</v>
      </c>
      <c r="AW349">
        <v>1</v>
      </c>
      <c r="AX349">
        <v>-1</v>
      </c>
      <c r="AY349">
        <v>0</v>
      </c>
      <c r="AZ349">
        <v>0</v>
      </c>
      <c r="BA349" t="s">
        <v>3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CX349">
        <f>Y349*Source!I1153</f>
        <v>20</v>
      </c>
      <c r="CY349">
        <f>AA349</f>
        <v>55.32</v>
      </c>
      <c r="CZ349">
        <f>AE349</f>
        <v>47.28</v>
      </c>
      <c r="DA349">
        <f>AI349</f>
        <v>1.17</v>
      </c>
      <c r="DB349">
        <f t="shared" si="34"/>
        <v>4728</v>
      </c>
      <c r="DC349">
        <f t="shared" si="35"/>
        <v>0</v>
      </c>
    </row>
    <row r="350" spans="1:107" x14ac:dyDescent="0.2">
      <c r="A350">
        <f>ROW(Source!A1153)</f>
        <v>1153</v>
      </c>
      <c r="B350">
        <v>33989672</v>
      </c>
      <c r="C350">
        <v>33992784</v>
      </c>
      <c r="D350">
        <v>30060943</v>
      </c>
      <c r="E350">
        <v>1</v>
      </c>
      <c r="F350">
        <v>1</v>
      </c>
      <c r="G350">
        <v>29983435</v>
      </c>
      <c r="H350">
        <v>3</v>
      </c>
      <c r="I350" t="s">
        <v>563</v>
      </c>
      <c r="J350" t="s">
        <v>565</v>
      </c>
      <c r="K350" t="s">
        <v>564</v>
      </c>
      <c r="L350">
        <v>1354</v>
      </c>
      <c r="N350">
        <v>1010</v>
      </c>
      <c r="O350" t="s">
        <v>328</v>
      </c>
      <c r="P350" t="s">
        <v>328</v>
      </c>
      <c r="Q350">
        <v>1</v>
      </c>
      <c r="W350">
        <v>0</v>
      </c>
      <c r="X350">
        <v>-1951501916</v>
      </c>
      <c r="Y350">
        <v>100</v>
      </c>
      <c r="AA350">
        <v>814.92</v>
      </c>
      <c r="AB350">
        <v>0</v>
      </c>
      <c r="AC350">
        <v>0</v>
      </c>
      <c r="AD350">
        <v>0</v>
      </c>
      <c r="AE350">
        <v>636.66</v>
      </c>
      <c r="AF350">
        <v>0</v>
      </c>
      <c r="AG350">
        <v>0</v>
      </c>
      <c r="AH350">
        <v>0</v>
      </c>
      <c r="AI350">
        <v>1.28</v>
      </c>
      <c r="AJ350">
        <v>1</v>
      </c>
      <c r="AK350">
        <v>1</v>
      </c>
      <c r="AL350">
        <v>1</v>
      </c>
      <c r="AN350">
        <v>0</v>
      </c>
      <c r="AO350">
        <v>0</v>
      </c>
      <c r="AP350">
        <v>0</v>
      </c>
      <c r="AQ350">
        <v>0</v>
      </c>
      <c r="AR350">
        <v>0</v>
      </c>
      <c r="AS350" t="s">
        <v>3</v>
      </c>
      <c r="AT350">
        <v>100</v>
      </c>
      <c r="AU350" t="s">
        <v>3</v>
      </c>
      <c r="AV350">
        <v>0</v>
      </c>
      <c r="AW350">
        <v>1</v>
      </c>
      <c r="AX350">
        <v>-1</v>
      </c>
      <c r="AY350">
        <v>0</v>
      </c>
      <c r="AZ350">
        <v>0</v>
      </c>
      <c r="BA350" t="s">
        <v>3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CX350">
        <f>Y350*Source!I1153</f>
        <v>20</v>
      </c>
      <c r="CY350">
        <f>AA350</f>
        <v>814.92</v>
      </c>
      <c r="CZ350">
        <f>AE350</f>
        <v>636.66</v>
      </c>
      <c r="DA350">
        <f>AI350</f>
        <v>1.28</v>
      </c>
      <c r="DB350">
        <f t="shared" si="34"/>
        <v>63666</v>
      </c>
      <c r="DC350">
        <f t="shared" si="35"/>
        <v>0</v>
      </c>
    </row>
    <row r="351" spans="1:107" x14ac:dyDescent="0.2">
      <c r="A351">
        <f>ROW(Source!A1192)</f>
        <v>1192</v>
      </c>
      <c r="B351">
        <v>33989672</v>
      </c>
      <c r="C351">
        <v>33992794</v>
      </c>
      <c r="D351">
        <v>29983441</v>
      </c>
      <c r="E351">
        <v>29983435</v>
      </c>
      <c r="F351">
        <v>1</v>
      </c>
      <c r="G351">
        <v>29983435</v>
      </c>
      <c r="H351">
        <v>1</v>
      </c>
      <c r="I351" t="s">
        <v>646</v>
      </c>
      <c r="J351" t="s">
        <v>3</v>
      </c>
      <c r="K351" t="s">
        <v>647</v>
      </c>
      <c r="L351">
        <v>1191</v>
      </c>
      <c r="N351">
        <v>1013</v>
      </c>
      <c r="O351" t="s">
        <v>648</v>
      </c>
      <c r="P351" t="s">
        <v>648</v>
      </c>
      <c r="Q351">
        <v>1</v>
      </c>
      <c r="W351">
        <v>0</v>
      </c>
      <c r="X351">
        <v>476480486</v>
      </c>
      <c r="Y351">
        <v>4.2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1</v>
      </c>
      <c r="AJ351">
        <v>1</v>
      </c>
      <c r="AK351">
        <v>1</v>
      </c>
      <c r="AL351">
        <v>1</v>
      </c>
      <c r="AN351">
        <v>0</v>
      </c>
      <c r="AO351">
        <v>1</v>
      </c>
      <c r="AP351">
        <v>0</v>
      </c>
      <c r="AQ351">
        <v>0</v>
      </c>
      <c r="AR351">
        <v>0</v>
      </c>
      <c r="AS351" t="s">
        <v>3</v>
      </c>
      <c r="AT351">
        <v>4.2</v>
      </c>
      <c r="AU351" t="s">
        <v>3</v>
      </c>
      <c r="AV351">
        <v>1</v>
      </c>
      <c r="AW351">
        <v>2</v>
      </c>
      <c r="AX351">
        <v>33992804</v>
      </c>
      <c r="AY351">
        <v>1</v>
      </c>
      <c r="AZ351">
        <v>0</v>
      </c>
      <c r="BA351">
        <v>351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CX351">
        <f>Y351*Source!I1192</f>
        <v>113.4</v>
      </c>
      <c r="CY351">
        <f>AD351</f>
        <v>0</v>
      </c>
      <c r="CZ351">
        <f>AH351</f>
        <v>0</v>
      </c>
      <c r="DA351">
        <f>AL351</f>
        <v>1</v>
      </c>
      <c r="DB351">
        <f t="shared" si="34"/>
        <v>0</v>
      </c>
      <c r="DC351">
        <f t="shared" si="35"/>
        <v>0</v>
      </c>
    </row>
    <row r="352" spans="1:107" x14ac:dyDescent="0.2">
      <c r="A352">
        <f>ROW(Source!A1192)</f>
        <v>1192</v>
      </c>
      <c r="B352">
        <v>33989672</v>
      </c>
      <c r="C352">
        <v>33992794</v>
      </c>
      <c r="D352">
        <v>30064095</v>
      </c>
      <c r="E352">
        <v>1</v>
      </c>
      <c r="F352">
        <v>1</v>
      </c>
      <c r="G352">
        <v>29983435</v>
      </c>
      <c r="H352">
        <v>2</v>
      </c>
      <c r="I352" t="s">
        <v>680</v>
      </c>
      <c r="J352" t="s">
        <v>681</v>
      </c>
      <c r="K352" t="s">
        <v>682</v>
      </c>
      <c r="L352">
        <v>1367</v>
      </c>
      <c r="N352">
        <v>1011</v>
      </c>
      <c r="O352" t="s">
        <v>652</v>
      </c>
      <c r="P352" t="s">
        <v>652</v>
      </c>
      <c r="Q352">
        <v>1</v>
      </c>
      <c r="W352">
        <v>0</v>
      </c>
      <c r="X352">
        <v>-628430174</v>
      </c>
      <c r="Y352">
        <v>0.02</v>
      </c>
      <c r="AA352">
        <v>0</v>
      </c>
      <c r="AB352">
        <v>755.14</v>
      </c>
      <c r="AC352">
        <v>368.81</v>
      </c>
      <c r="AD352">
        <v>0</v>
      </c>
      <c r="AE352">
        <v>0</v>
      </c>
      <c r="AF352">
        <v>76.81</v>
      </c>
      <c r="AG352">
        <v>14.36</v>
      </c>
      <c r="AH352">
        <v>0</v>
      </c>
      <c r="AI352">
        <v>1</v>
      </c>
      <c r="AJ352">
        <v>9.39</v>
      </c>
      <c r="AK352">
        <v>24.53</v>
      </c>
      <c r="AL352">
        <v>1</v>
      </c>
      <c r="AN352">
        <v>0</v>
      </c>
      <c r="AO352">
        <v>1</v>
      </c>
      <c r="AP352">
        <v>0</v>
      </c>
      <c r="AQ352">
        <v>0</v>
      </c>
      <c r="AR352">
        <v>0</v>
      </c>
      <c r="AS352" t="s">
        <v>3</v>
      </c>
      <c r="AT352">
        <v>0.02</v>
      </c>
      <c r="AU352" t="s">
        <v>3</v>
      </c>
      <c r="AV352">
        <v>0</v>
      </c>
      <c r="AW352">
        <v>2</v>
      </c>
      <c r="AX352">
        <v>33992805</v>
      </c>
      <c r="AY352">
        <v>1</v>
      </c>
      <c r="AZ352">
        <v>0</v>
      </c>
      <c r="BA352">
        <v>352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CX352">
        <f>Y352*Source!I1192</f>
        <v>0.54</v>
      </c>
      <c r="CY352">
        <f>AB352</f>
        <v>755.14</v>
      </c>
      <c r="CZ352">
        <f>AF352</f>
        <v>76.81</v>
      </c>
      <c r="DA352">
        <f>AJ352</f>
        <v>9.39</v>
      </c>
      <c r="DB352">
        <f t="shared" si="34"/>
        <v>1.54</v>
      </c>
      <c r="DC352">
        <f t="shared" si="35"/>
        <v>0.28999999999999998</v>
      </c>
    </row>
    <row r="353" spans="1:107" x14ac:dyDescent="0.2">
      <c r="A353">
        <f>ROW(Source!A1192)</f>
        <v>1192</v>
      </c>
      <c r="B353">
        <v>33989672</v>
      </c>
      <c r="C353">
        <v>33992794</v>
      </c>
      <c r="D353">
        <v>30064224</v>
      </c>
      <c r="E353">
        <v>1</v>
      </c>
      <c r="F353">
        <v>1</v>
      </c>
      <c r="G353">
        <v>29983435</v>
      </c>
      <c r="H353">
        <v>2</v>
      </c>
      <c r="I353" t="s">
        <v>855</v>
      </c>
      <c r="J353" t="s">
        <v>856</v>
      </c>
      <c r="K353" t="s">
        <v>857</v>
      </c>
      <c r="L353">
        <v>1367</v>
      </c>
      <c r="N353">
        <v>1011</v>
      </c>
      <c r="O353" t="s">
        <v>652</v>
      </c>
      <c r="P353" t="s">
        <v>652</v>
      </c>
      <c r="Q353">
        <v>1</v>
      </c>
      <c r="W353">
        <v>0</v>
      </c>
      <c r="X353">
        <v>593980231</v>
      </c>
      <c r="Y353">
        <v>1.64</v>
      </c>
      <c r="AA353">
        <v>0</v>
      </c>
      <c r="AB353">
        <v>9.4600000000000009</v>
      </c>
      <c r="AC353">
        <v>1.03</v>
      </c>
      <c r="AD353">
        <v>0</v>
      </c>
      <c r="AE353">
        <v>0</v>
      </c>
      <c r="AF353">
        <v>2.36</v>
      </c>
      <c r="AG353">
        <v>0.04</v>
      </c>
      <c r="AH353">
        <v>0</v>
      </c>
      <c r="AI353">
        <v>1</v>
      </c>
      <c r="AJ353">
        <v>3.83</v>
      </c>
      <c r="AK353">
        <v>24.53</v>
      </c>
      <c r="AL353">
        <v>1</v>
      </c>
      <c r="AN353">
        <v>0</v>
      </c>
      <c r="AO353">
        <v>1</v>
      </c>
      <c r="AP353">
        <v>0</v>
      </c>
      <c r="AQ353">
        <v>0</v>
      </c>
      <c r="AR353">
        <v>0</v>
      </c>
      <c r="AS353" t="s">
        <v>3</v>
      </c>
      <c r="AT353">
        <v>1.64</v>
      </c>
      <c r="AU353" t="s">
        <v>3</v>
      </c>
      <c r="AV353">
        <v>0</v>
      </c>
      <c r="AW353">
        <v>2</v>
      </c>
      <c r="AX353">
        <v>33992806</v>
      </c>
      <c r="AY353">
        <v>1</v>
      </c>
      <c r="AZ353">
        <v>0</v>
      </c>
      <c r="BA353">
        <v>353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CX353">
        <f>Y353*Source!I1192</f>
        <v>44.279999999999994</v>
      </c>
      <c r="CY353">
        <f>AB353</f>
        <v>9.4600000000000009</v>
      </c>
      <c r="CZ353">
        <f>AF353</f>
        <v>2.36</v>
      </c>
      <c r="DA353">
        <f>AJ353</f>
        <v>3.83</v>
      </c>
      <c r="DB353">
        <f t="shared" si="34"/>
        <v>3.87</v>
      </c>
      <c r="DC353">
        <f t="shared" si="35"/>
        <v>7.0000000000000007E-2</v>
      </c>
    </row>
    <row r="354" spans="1:107" x14ac:dyDescent="0.2">
      <c r="A354">
        <f>ROW(Source!A1192)</f>
        <v>1192</v>
      </c>
      <c r="B354">
        <v>33989672</v>
      </c>
      <c r="C354">
        <v>33992794</v>
      </c>
      <c r="D354">
        <v>30064181</v>
      </c>
      <c r="E354">
        <v>1</v>
      </c>
      <c r="F354">
        <v>1</v>
      </c>
      <c r="G354">
        <v>29983435</v>
      </c>
      <c r="H354">
        <v>2</v>
      </c>
      <c r="I354" t="s">
        <v>858</v>
      </c>
      <c r="J354" t="s">
        <v>859</v>
      </c>
      <c r="K354" t="s">
        <v>860</v>
      </c>
      <c r="L354">
        <v>1367</v>
      </c>
      <c r="N354">
        <v>1011</v>
      </c>
      <c r="O354" t="s">
        <v>652</v>
      </c>
      <c r="P354" t="s">
        <v>652</v>
      </c>
      <c r="Q354">
        <v>1</v>
      </c>
      <c r="W354">
        <v>0</v>
      </c>
      <c r="X354">
        <v>926785503</v>
      </c>
      <c r="Y354">
        <v>0.24</v>
      </c>
      <c r="AA354">
        <v>0</v>
      </c>
      <c r="AB354">
        <v>6.16</v>
      </c>
      <c r="AC354">
        <v>1.03</v>
      </c>
      <c r="AD354">
        <v>0</v>
      </c>
      <c r="AE354">
        <v>0</v>
      </c>
      <c r="AF354">
        <v>0.64</v>
      </c>
      <c r="AG354">
        <v>0.04</v>
      </c>
      <c r="AH354">
        <v>0</v>
      </c>
      <c r="AI354">
        <v>1</v>
      </c>
      <c r="AJ354">
        <v>9.1999999999999993</v>
      </c>
      <c r="AK354">
        <v>24.53</v>
      </c>
      <c r="AL354">
        <v>1</v>
      </c>
      <c r="AN354">
        <v>0</v>
      </c>
      <c r="AO354">
        <v>1</v>
      </c>
      <c r="AP354">
        <v>0</v>
      </c>
      <c r="AQ354">
        <v>0</v>
      </c>
      <c r="AR354">
        <v>0</v>
      </c>
      <c r="AS354" t="s">
        <v>3</v>
      </c>
      <c r="AT354">
        <v>0.24</v>
      </c>
      <c r="AU354" t="s">
        <v>3</v>
      </c>
      <c r="AV354">
        <v>0</v>
      </c>
      <c r="AW354">
        <v>2</v>
      </c>
      <c r="AX354">
        <v>33992807</v>
      </c>
      <c r="AY354">
        <v>1</v>
      </c>
      <c r="AZ354">
        <v>0</v>
      </c>
      <c r="BA354">
        <v>354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CX354">
        <f>Y354*Source!I1192</f>
        <v>6.4799999999999995</v>
      </c>
      <c r="CY354">
        <f>AB354</f>
        <v>6.16</v>
      </c>
      <c r="CZ354">
        <f>AF354</f>
        <v>0.64</v>
      </c>
      <c r="DA354">
        <f>AJ354</f>
        <v>9.1999999999999993</v>
      </c>
      <c r="DB354">
        <f t="shared" si="34"/>
        <v>0.15</v>
      </c>
      <c r="DC354">
        <f t="shared" si="35"/>
        <v>0.01</v>
      </c>
    </row>
    <row r="355" spans="1:107" x14ac:dyDescent="0.2">
      <c r="A355">
        <f>ROW(Source!A1192)</f>
        <v>1192</v>
      </c>
      <c r="B355">
        <v>33989672</v>
      </c>
      <c r="C355">
        <v>33992794</v>
      </c>
      <c r="D355">
        <v>30040153</v>
      </c>
      <c r="E355">
        <v>1</v>
      </c>
      <c r="F355">
        <v>1</v>
      </c>
      <c r="G355">
        <v>29983435</v>
      </c>
      <c r="H355">
        <v>3</v>
      </c>
      <c r="I355" t="s">
        <v>590</v>
      </c>
      <c r="J355" t="s">
        <v>592</v>
      </c>
      <c r="K355" t="s">
        <v>591</v>
      </c>
      <c r="L355">
        <v>1354</v>
      </c>
      <c r="N355">
        <v>1010</v>
      </c>
      <c r="O355" t="s">
        <v>328</v>
      </c>
      <c r="P355" t="s">
        <v>328</v>
      </c>
      <c r="Q355">
        <v>1</v>
      </c>
      <c r="W355">
        <v>0</v>
      </c>
      <c r="X355">
        <v>727499281</v>
      </c>
      <c r="Y355">
        <v>2.2222219999999999</v>
      </c>
      <c r="AA355">
        <v>1537.32</v>
      </c>
      <c r="AB355">
        <v>0</v>
      </c>
      <c r="AC355">
        <v>0</v>
      </c>
      <c r="AD355">
        <v>0</v>
      </c>
      <c r="AE355">
        <v>1157.69</v>
      </c>
      <c r="AF355">
        <v>0</v>
      </c>
      <c r="AG355">
        <v>0</v>
      </c>
      <c r="AH355">
        <v>0</v>
      </c>
      <c r="AI355">
        <v>1.32</v>
      </c>
      <c r="AJ355">
        <v>1</v>
      </c>
      <c r="AK355">
        <v>1</v>
      </c>
      <c r="AL355">
        <v>1</v>
      </c>
      <c r="AN355">
        <v>0</v>
      </c>
      <c r="AO355">
        <v>0</v>
      </c>
      <c r="AP355">
        <v>0</v>
      </c>
      <c r="AQ355">
        <v>0</v>
      </c>
      <c r="AR355">
        <v>0</v>
      </c>
      <c r="AS355" t="s">
        <v>3</v>
      </c>
      <c r="AT355">
        <v>2.2222219999999999</v>
      </c>
      <c r="AU355" t="s">
        <v>3</v>
      </c>
      <c r="AV355">
        <v>0</v>
      </c>
      <c r="AW355">
        <v>1</v>
      </c>
      <c r="AX355">
        <v>-1</v>
      </c>
      <c r="AY355">
        <v>0</v>
      </c>
      <c r="AZ355">
        <v>0</v>
      </c>
      <c r="BA355" t="s">
        <v>3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CX355">
        <f>Y355*Source!I1192</f>
        <v>59.999994000000001</v>
      </c>
      <c r="CY355">
        <f>AA355</f>
        <v>1537.32</v>
      </c>
      <c r="CZ355">
        <f>AE355</f>
        <v>1157.69</v>
      </c>
      <c r="DA355">
        <f>AI355</f>
        <v>1.32</v>
      </c>
      <c r="DB355">
        <f t="shared" si="34"/>
        <v>2572.64</v>
      </c>
      <c r="DC355">
        <f t="shared" si="35"/>
        <v>0</v>
      </c>
    </row>
    <row r="356" spans="1:107" x14ac:dyDescent="0.2">
      <c r="A356">
        <f>ROW(Source!A1192)</f>
        <v>1192</v>
      </c>
      <c r="B356">
        <v>33989672</v>
      </c>
      <c r="C356">
        <v>33992794</v>
      </c>
      <c r="D356">
        <v>30040151</v>
      </c>
      <c r="E356">
        <v>1</v>
      </c>
      <c r="F356">
        <v>1</v>
      </c>
      <c r="G356">
        <v>29983435</v>
      </c>
      <c r="H356">
        <v>3</v>
      </c>
      <c r="I356" t="s">
        <v>861</v>
      </c>
      <c r="J356" t="s">
        <v>862</v>
      </c>
      <c r="K356" t="s">
        <v>863</v>
      </c>
      <c r="L356">
        <v>1346</v>
      </c>
      <c r="N356">
        <v>1009</v>
      </c>
      <c r="O356" t="s">
        <v>300</v>
      </c>
      <c r="P356" t="s">
        <v>300</v>
      </c>
      <c r="Q356">
        <v>1</v>
      </c>
      <c r="W356">
        <v>0</v>
      </c>
      <c r="X356">
        <v>1077528645</v>
      </c>
      <c r="Y356">
        <v>0.86670000000000003</v>
      </c>
      <c r="AA356">
        <v>280.94</v>
      </c>
      <c r="AB356">
        <v>0</v>
      </c>
      <c r="AC356">
        <v>0</v>
      </c>
      <c r="AD356">
        <v>0</v>
      </c>
      <c r="AE356">
        <v>221.64</v>
      </c>
      <c r="AF356">
        <v>0</v>
      </c>
      <c r="AG356">
        <v>0</v>
      </c>
      <c r="AH356">
        <v>0</v>
      </c>
      <c r="AI356">
        <v>1.26</v>
      </c>
      <c r="AJ356">
        <v>1</v>
      </c>
      <c r="AK356">
        <v>1</v>
      </c>
      <c r="AL356">
        <v>1</v>
      </c>
      <c r="AN356">
        <v>0</v>
      </c>
      <c r="AO356">
        <v>1</v>
      </c>
      <c r="AP356">
        <v>0</v>
      </c>
      <c r="AQ356">
        <v>0</v>
      </c>
      <c r="AR356">
        <v>0</v>
      </c>
      <c r="AS356" t="s">
        <v>3</v>
      </c>
      <c r="AT356">
        <v>0.86670000000000003</v>
      </c>
      <c r="AU356" t="s">
        <v>3</v>
      </c>
      <c r="AV356">
        <v>0</v>
      </c>
      <c r="AW356">
        <v>2</v>
      </c>
      <c r="AX356">
        <v>33992808</v>
      </c>
      <c r="AY356">
        <v>1</v>
      </c>
      <c r="AZ356">
        <v>0</v>
      </c>
      <c r="BA356">
        <v>355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CX356">
        <f>Y356*Source!I1192</f>
        <v>23.4009</v>
      </c>
      <c r="CY356">
        <f>AA356</f>
        <v>280.94</v>
      </c>
      <c r="CZ356">
        <f>AE356</f>
        <v>221.64</v>
      </c>
      <c r="DA356">
        <f>AI356</f>
        <v>1.26</v>
      </c>
      <c r="DB356">
        <f t="shared" si="34"/>
        <v>192.1</v>
      </c>
      <c r="DC356">
        <f t="shared" si="35"/>
        <v>0</v>
      </c>
    </row>
    <row r="357" spans="1:107" x14ac:dyDescent="0.2">
      <c r="A357">
        <f>ROW(Source!A1192)</f>
        <v>1192</v>
      </c>
      <c r="B357">
        <v>33989672</v>
      </c>
      <c r="C357">
        <v>33992794</v>
      </c>
      <c r="D357">
        <v>30061883</v>
      </c>
      <c r="E357">
        <v>1</v>
      </c>
      <c r="F357">
        <v>1</v>
      </c>
      <c r="G357">
        <v>29983435</v>
      </c>
      <c r="H357">
        <v>3</v>
      </c>
      <c r="I357" t="s">
        <v>864</v>
      </c>
      <c r="J357" t="s">
        <v>865</v>
      </c>
      <c r="K357" t="s">
        <v>866</v>
      </c>
      <c r="L357">
        <v>1354</v>
      </c>
      <c r="N357">
        <v>1010</v>
      </c>
      <c r="O357" t="s">
        <v>328</v>
      </c>
      <c r="P357" t="s">
        <v>328</v>
      </c>
      <c r="Q357">
        <v>1</v>
      </c>
      <c r="W357">
        <v>0</v>
      </c>
      <c r="X357">
        <v>-1551247525</v>
      </c>
      <c r="Y357">
        <v>1.5209999999999999</v>
      </c>
      <c r="AA357">
        <v>1006.64</v>
      </c>
      <c r="AB357">
        <v>0</v>
      </c>
      <c r="AC357">
        <v>0</v>
      </c>
      <c r="AD357">
        <v>0</v>
      </c>
      <c r="AE357">
        <v>373.37</v>
      </c>
      <c r="AF357">
        <v>0</v>
      </c>
      <c r="AG357">
        <v>0</v>
      </c>
      <c r="AH357">
        <v>0</v>
      </c>
      <c r="AI357">
        <v>2.68</v>
      </c>
      <c r="AJ357">
        <v>1</v>
      </c>
      <c r="AK357">
        <v>1</v>
      </c>
      <c r="AL357">
        <v>1</v>
      </c>
      <c r="AN357">
        <v>0</v>
      </c>
      <c r="AO357">
        <v>1</v>
      </c>
      <c r="AP357">
        <v>0</v>
      </c>
      <c r="AQ357">
        <v>0</v>
      </c>
      <c r="AR357">
        <v>0</v>
      </c>
      <c r="AS357" t="s">
        <v>3</v>
      </c>
      <c r="AT357">
        <v>1.5209999999999999</v>
      </c>
      <c r="AU357" t="s">
        <v>3</v>
      </c>
      <c r="AV357">
        <v>0</v>
      </c>
      <c r="AW357">
        <v>2</v>
      </c>
      <c r="AX357">
        <v>33992809</v>
      </c>
      <c r="AY357">
        <v>1</v>
      </c>
      <c r="AZ357">
        <v>0</v>
      </c>
      <c r="BA357">
        <v>356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CX357">
        <f>Y357*Source!I1192</f>
        <v>41.067</v>
      </c>
      <c r="CY357">
        <f>AA357</f>
        <v>1006.64</v>
      </c>
      <c r="CZ357">
        <f>AE357</f>
        <v>373.37</v>
      </c>
      <c r="DA357">
        <f>AI357</f>
        <v>2.68</v>
      </c>
      <c r="DB357">
        <f t="shared" si="34"/>
        <v>567.9</v>
      </c>
      <c r="DC357">
        <f t="shared" si="35"/>
        <v>0</v>
      </c>
    </row>
    <row r="358" spans="1:107" x14ac:dyDescent="0.2">
      <c r="A358">
        <f>ROW(Source!A1192)</f>
        <v>1192</v>
      </c>
      <c r="B358">
        <v>33989672</v>
      </c>
      <c r="C358">
        <v>33992794</v>
      </c>
      <c r="D358">
        <v>30061682</v>
      </c>
      <c r="E358">
        <v>1</v>
      </c>
      <c r="F358">
        <v>1</v>
      </c>
      <c r="G358">
        <v>29983435</v>
      </c>
      <c r="H358">
        <v>3</v>
      </c>
      <c r="I358" t="s">
        <v>867</v>
      </c>
      <c r="J358" t="s">
        <v>868</v>
      </c>
      <c r="K358" t="s">
        <v>869</v>
      </c>
      <c r="L358">
        <v>1354</v>
      </c>
      <c r="N358">
        <v>1010</v>
      </c>
      <c r="O358" t="s">
        <v>328</v>
      </c>
      <c r="P358" t="s">
        <v>328</v>
      </c>
      <c r="Q358">
        <v>1</v>
      </c>
      <c r="W358">
        <v>0</v>
      </c>
      <c r="X358">
        <v>-1963666126</v>
      </c>
      <c r="Y358">
        <v>22.814800000000002</v>
      </c>
      <c r="AA358">
        <v>26.21</v>
      </c>
      <c r="AB358">
        <v>0</v>
      </c>
      <c r="AC358">
        <v>0</v>
      </c>
      <c r="AD358">
        <v>0</v>
      </c>
      <c r="AE358">
        <v>11.58</v>
      </c>
      <c r="AF358">
        <v>0</v>
      </c>
      <c r="AG358">
        <v>0</v>
      </c>
      <c r="AH358">
        <v>0</v>
      </c>
      <c r="AI358">
        <v>2.25</v>
      </c>
      <c r="AJ358">
        <v>1</v>
      </c>
      <c r="AK358">
        <v>1</v>
      </c>
      <c r="AL358">
        <v>1</v>
      </c>
      <c r="AN358">
        <v>0</v>
      </c>
      <c r="AO358">
        <v>1</v>
      </c>
      <c r="AP358">
        <v>0</v>
      </c>
      <c r="AQ358">
        <v>0</v>
      </c>
      <c r="AR358">
        <v>0</v>
      </c>
      <c r="AS358" t="s">
        <v>3</v>
      </c>
      <c r="AT358">
        <v>22.814800000000002</v>
      </c>
      <c r="AU358" t="s">
        <v>3</v>
      </c>
      <c r="AV358">
        <v>0</v>
      </c>
      <c r="AW358">
        <v>2</v>
      </c>
      <c r="AX358">
        <v>33992810</v>
      </c>
      <c r="AY358">
        <v>1</v>
      </c>
      <c r="AZ358">
        <v>0</v>
      </c>
      <c r="BA358">
        <v>357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CX358">
        <f>Y358*Source!I1192</f>
        <v>615.9996000000001</v>
      </c>
      <c r="CY358">
        <f>AA358</f>
        <v>26.21</v>
      </c>
      <c r="CZ358">
        <f>AE358</f>
        <v>11.58</v>
      </c>
      <c r="DA358">
        <f>AI358</f>
        <v>2.25</v>
      </c>
      <c r="DB358">
        <f t="shared" si="34"/>
        <v>264.2</v>
      </c>
      <c r="DC358">
        <f t="shared" si="35"/>
        <v>0</v>
      </c>
    </row>
    <row r="359" spans="1:107" x14ac:dyDescent="0.2">
      <c r="A359">
        <f>ROW(Source!A1192)</f>
        <v>1192</v>
      </c>
      <c r="B359">
        <v>33989672</v>
      </c>
      <c r="C359">
        <v>33992794</v>
      </c>
      <c r="D359">
        <v>29983437</v>
      </c>
      <c r="E359">
        <v>29983435</v>
      </c>
      <c r="F359">
        <v>1</v>
      </c>
      <c r="G359">
        <v>29983435</v>
      </c>
      <c r="H359">
        <v>3</v>
      </c>
      <c r="I359" t="s">
        <v>738</v>
      </c>
      <c r="J359" t="s">
        <v>3</v>
      </c>
      <c r="K359" t="s">
        <v>739</v>
      </c>
      <c r="L359">
        <v>1344</v>
      </c>
      <c r="N359">
        <v>1008</v>
      </c>
      <c r="O359" t="s">
        <v>676</v>
      </c>
      <c r="P359" t="s">
        <v>676</v>
      </c>
      <c r="Q359">
        <v>1</v>
      </c>
      <c r="W359">
        <v>0</v>
      </c>
      <c r="X359">
        <v>-94250534</v>
      </c>
      <c r="Y359">
        <v>0.01</v>
      </c>
      <c r="AA359">
        <v>1.01</v>
      </c>
      <c r="AB359">
        <v>0</v>
      </c>
      <c r="AC359">
        <v>0</v>
      </c>
      <c r="AD359">
        <v>0</v>
      </c>
      <c r="AE359">
        <v>1</v>
      </c>
      <c r="AF359">
        <v>0</v>
      </c>
      <c r="AG359">
        <v>0</v>
      </c>
      <c r="AH359">
        <v>0</v>
      </c>
      <c r="AI359">
        <v>1</v>
      </c>
      <c r="AJ359">
        <v>1</v>
      </c>
      <c r="AK359">
        <v>1</v>
      </c>
      <c r="AL359">
        <v>1</v>
      </c>
      <c r="AN359">
        <v>0</v>
      </c>
      <c r="AO359">
        <v>1</v>
      </c>
      <c r="AP359">
        <v>0</v>
      </c>
      <c r="AQ359">
        <v>0</v>
      </c>
      <c r="AR359">
        <v>0</v>
      </c>
      <c r="AS359" t="s">
        <v>3</v>
      </c>
      <c r="AT359">
        <v>0.01</v>
      </c>
      <c r="AU359" t="s">
        <v>3</v>
      </c>
      <c r="AV359">
        <v>0</v>
      </c>
      <c r="AW359">
        <v>2</v>
      </c>
      <c r="AX359">
        <v>33992812</v>
      </c>
      <c r="AY359">
        <v>1</v>
      </c>
      <c r="AZ359">
        <v>0</v>
      </c>
      <c r="BA359">
        <v>359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CX359">
        <f>Y359*Source!I1192</f>
        <v>0.27</v>
      </c>
      <c r="CY359">
        <f>AA359</f>
        <v>1.01</v>
      </c>
      <c r="CZ359">
        <f>AE359</f>
        <v>1</v>
      </c>
      <c r="DA359">
        <f>AI359</f>
        <v>1</v>
      </c>
      <c r="DB359">
        <f t="shared" si="34"/>
        <v>0.01</v>
      </c>
      <c r="DC359">
        <f t="shared" si="35"/>
        <v>0</v>
      </c>
    </row>
    <row r="360" spans="1:107" x14ac:dyDescent="0.2">
      <c r="A360">
        <f>ROW(Source!A1194)</f>
        <v>1194</v>
      </c>
      <c r="B360">
        <v>33989672</v>
      </c>
      <c r="C360">
        <v>33992814</v>
      </c>
      <c r="D360">
        <v>29983441</v>
      </c>
      <c r="E360">
        <v>29983435</v>
      </c>
      <c r="F360">
        <v>1</v>
      </c>
      <c r="G360">
        <v>29983435</v>
      </c>
      <c r="H360">
        <v>1</v>
      </c>
      <c r="I360" t="s">
        <v>646</v>
      </c>
      <c r="J360" t="s">
        <v>3</v>
      </c>
      <c r="K360" t="s">
        <v>647</v>
      </c>
      <c r="L360">
        <v>1191</v>
      </c>
      <c r="N360">
        <v>1013</v>
      </c>
      <c r="O360" t="s">
        <v>648</v>
      </c>
      <c r="P360" t="s">
        <v>648</v>
      </c>
      <c r="Q360">
        <v>1</v>
      </c>
      <c r="W360">
        <v>0</v>
      </c>
      <c r="X360">
        <v>476480486</v>
      </c>
      <c r="Y360">
        <v>5.32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1</v>
      </c>
      <c r="AJ360">
        <v>1</v>
      </c>
      <c r="AK360">
        <v>1</v>
      </c>
      <c r="AL360">
        <v>1</v>
      </c>
      <c r="AN360">
        <v>0</v>
      </c>
      <c r="AO360">
        <v>1</v>
      </c>
      <c r="AP360">
        <v>0</v>
      </c>
      <c r="AQ360">
        <v>0</v>
      </c>
      <c r="AR360">
        <v>0</v>
      </c>
      <c r="AS360" t="s">
        <v>3</v>
      </c>
      <c r="AT360">
        <v>5.32</v>
      </c>
      <c r="AU360" t="s">
        <v>3</v>
      </c>
      <c r="AV360">
        <v>1</v>
      </c>
      <c r="AW360">
        <v>2</v>
      </c>
      <c r="AX360">
        <v>33992823</v>
      </c>
      <c r="AY360">
        <v>1</v>
      </c>
      <c r="AZ360">
        <v>0</v>
      </c>
      <c r="BA360">
        <v>360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CX360">
        <f>Y360*Source!I1194</f>
        <v>23.94</v>
      </c>
      <c r="CY360">
        <f>AD360</f>
        <v>0</v>
      </c>
      <c r="CZ360">
        <f>AH360</f>
        <v>0</v>
      </c>
      <c r="DA360">
        <f>AL360</f>
        <v>1</v>
      </c>
      <c r="DB360">
        <f t="shared" si="34"/>
        <v>0</v>
      </c>
      <c r="DC360">
        <f t="shared" si="35"/>
        <v>0</v>
      </c>
    </row>
    <row r="361" spans="1:107" x14ac:dyDescent="0.2">
      <c r="A361">
        <f>ROW(Source!A1194)</f>
        <v>1194</v>
      </c>
      <c r="B361">
        <v>33989672</v>
      </c>
      <c r="C361">
        <v>33992814</v>
      </c>
      <c r="D361">
        <v>30064095</v>
      </c>
      <c r="E361">
        <v>1</v>
      </c>
      <c r="F361">
        <v>1</v>
      </c>
      <c r="G361">
        <v>29983435</v>
      </c>
      <c r="H361">
        <v>2</v>
      </c>
      <c r="I361" t="s">
        <v>680</v>
      </c>
      <c r="J361" t="s">
        <v>681</v>
      </c>
      <c r="K361" t="s">
        <v>682</v>
      </c>
      <c r="L361">
        <v>1367</v>
      </c>
      <c r="N361">
        <v>1011</v>
      </c>
      <c r="O361" t="s">
        <v>652</v>
      </c>
      <c r="P361" t="s">
        <v>652</v>
      </c>
      <c r="Q361">
        <v>1</v>
      </c>
      <c r="W361">
        <v>0</v>
      </c>
      <c r="X361">
        <v>-628430174</v>
      </c>
      <c r="Y361">
        <v>0.03</v>
      </c>
      <c r="AA361">
        <v>0</v>
      </c>
      <c r="AB361">
        <v>755.14</v>
      </c>
      <c r="AC361">
        <v>368.81</v>
      </c>
      <c r="AD361">
        <v>0</v>
      </c>
      <c r="AE361">
        <v>0</v>
      </c>
      <c r="AF361">
        <v>76.81</v>
      </c>
      <c r="AG361">
        <v>14.36</v>
      </c>
      <c r="AH361">
        <v>0</v>
      </c>
      <c r="AI361">
        <v>1</v>
      </c>
      <c r="AJ361">
        <v>9.39</v>
      </c>
      <c r="AK361">
        <v>24.53</v>
      </c>
      <c r="AL361">
        <v>1</v>
      </c>
      <c r="AN361">
        <v>0</v>
      </c>
      <c r="AO361">
        <v>1</v>
      </c>
      <c r="AP361">
        <v>0</v>
      </c>
      <c r="AQ361">
        <v>0</v>
      </c>
      <c r="AR361">
        <v>0</v>
      </c>
      <c r="AS361" t="s">
        <v>3</v>
      </c>
      <c r="AT361">
        <v>0.03</v>
      </c>
      <c r="AU361" t="s">
        <v>3</v>
      </c>
      <c r="AV361">
        <v>0</v>
      </c>
      <c r="AW361">
        <v>2</v>
      </c>
      <c r="AX361">
        <v>33992824</v>
      </c>
      <c r="AY361">
        <v>1</v>
      </c>
      <c r="AZ361">
        <v>0</v>
      </c>
      <c r="BA361">
        <v>361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CX361">
        <f>Y361*Source!I1194</f>
        <v>0.13500000000000001</v>
      </c>
      <c r="CY361">
        <f>AB361</f>
        <v>755.14</v>
      </c>
      <c r="CZ361">
        <f>AF361</f>
        <v>76.81</v>
      </c>
      <c r="DA361">
        <f>AJ361</f>
        <v>9.39</v>
      </c>
      <c r="DB361">
        <f t="shared" si="34"/>
        <v>2.2999999999999998</v>
      </c>
      <c r="DC361">
        <f t="shared" si="35"/>
        <v>0.43</v>
      </c>
    </row>
    <row r="362" spans="1:107" x14ac:dyDescent="0.2">
      <c r="A362">
        <f>ROW(Source!A1194)</f>
        <v>1194</v>
      </c>
      <c r="B362">
        <v>33989672</v>
      </c>
      <c r="C362">
        <v>33992814</v>
      </c>
      <c r="D362">
        <v>30064224</v>
      </c>
      <c r="E362">
        <v>1</v>
      </c>
      <c r="F362">
        <v>1</v>
      </c>
      <c r="G362">
        <v>29983435</v>
      </c>
      <c r="H362">
        <v>2</v>
      </c>
      <c r="I362" t="s">
        <v>855</v>
      </c>
      <c r="J362" t="s">
        <v>856</v>
      </c>
      <c r="K362" t="s">
        <v>857</v>
      </c>
      <c r="L362">
        <v>1367</v>
      </c>
      <c r="N362">
        <v>1011</v>
      </c>
      <c r="O362" t="s">
        <v>652</v>
      </c>
      <c r="P362" t="s">
        <v>652</v>
      </c>
      <c r="Q362">
        <v>1</v>
      </c>
      <c r="W362">
        <v>0</v>
      </c>
      <c r="X362">
        <v>593980231</v>
      </c>
      <c r="Y362">
        <v>1.76</v>
      </c>
      <c r="AA362">
        <v>0</v>
      </c>
      <c r="AB362">
        <v>9.4600000000000009</v>
      </c>
      <c r="AC362">
        <v>1.03</v>
      </c>
      <c r="AD362">
        <v>0</v>
      </c>
      <c r="AE362">
        <v>0</v>
      </c>
      <c r="AF362">
        <v>2.36</v>
      </c>
      <c r="AG362">
        <v>0.04</v>
      </c>
      <c r="AH362">
        <v>0</v>
      </c>
      <c r="AI362">
        <v>1</v>
      </c>
      <c r="AJ362">
        <v>3.83</v>
      </c>
      <c r="AK362">
        <v>24.53</v>
      </c>
      <c r="AL362">
        <v>1</v>
      </c>
      <c r="AN362">
        <v>0</v>
      </c>
      <c r="AO362">
        <v>1</v>
      </c>
      <c r="AP362">
        <v>0</v>
      </c>
      <c r="AQ362">
        <v>0</v>
      </c>
      <c r="AR362">
        <v>0</v>
      </c>
      <c r="AS362" t="s">
        <v>3</v>
      </c>
      <c r="AT362">
        <v>1.76</v>
      </c>
      <c r="AU362" t="s">
        <v>3</v>
      </c>
      <c r="AV362">
        <v>0</v>
      </c>
      <c r="AW362">
        <v>2</v>
      </c>
      <c r="AX362">
        <v>33992825</v>
      </c>
      <c r="AY362">
        <v>1</v>
      </c>
      <c r="AZ362">
        <v>0</v>
      </c>
      <c r="BA362">
        <v>362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CX362">
        <f>Y362*Source!I1194</f>
        <v>7.92</v>
      </c>
      <c r="CY362">
        <f>AB362</f>
        <v>9.4600000000000009</v>
      </c>
      <c r="CZ362">
        <f>AF362</f>
        <v>2.36</v>
      </c>
      <c r="DA362">
        <f>AJ362</f>
        <v>3.83</v>
      </c>
      <c r="DB362">
        <f t="shared" si="34"/>
        <v>4.1500000000000004</v>
      </c>
      <c r="DC362">
        <f t="shared" si="35"/>
        <v>7.0000000000000007E-2</v>
      </c>
    </row>
    <row r="363" spans="1:107" x14ac:dyDescent="0.2">
      <c r="A363">
        <f>ROW(Source!A1194)</f>
        <v>1194</v>
      </c>
      <c r="B363">
        <v>33989672</v>
      </c>
      <c r="C363">
        <v>33992814</v>
      </c>
      <c r="D363">
        <v>30064181</v>
      </c>
      <c r="E363">
        <v>1</v>
      </c>
      <c r="F363">
        <v>1</v>
      </c>
      <c r="G363">
        <v>29983435</v>
      </c>
      <c r="H363">
        <v>2</v>
      </c>
      <c r="I363" t="s">
        <v>858</v>
      </c>
      <c r="J363" t="s">
        <v>859</v>
      </c>
      <c r="K363" t="s">
        <v>860</v>
      </c>
      <c r="L363">
        <v>1367</v>
      </c>
      <c r="N363">
        <v>1011</v>
      </c>
      <c r="O363" t="s">
        <v>652</v>
      </c>
      <c r="P363" t="s">
        <v>652</v>
      </c>
      <c r="Q363">
        <v>1</v>
      </c>
      <c r="W363">
        <v>0</v>
      </c>
      <c r="X363">
        <v>926785503</v>
      </c>
      <c r="Y363">
        <v>0.32</v>
      </c>
      <c r="AA363">
        <v>0</v>
      </c>
      <c r="AB363">
        <v>6.16</v>
      </c>
      <c r="AC363">
        <v>1.03</v>
      </c>
      <c r="AD363">
        <v>0</v>
      </c>
      <c r="AE363">
        <v>0</v>
      </c>
      <c r="AF363">
        <v>0.64</v>
      </c>
      <c r="AG363">
        <v>0.04</v>
      </c>
      <c r="AH363">
        <v>0</v>
      </c>
      <c r="AI363">
        <v>1</v>
      </c>
      <c r="AJ363">
        <v>9.1999999999999993</v>
      </c>
      <c r="AK363">
        <v>24.53</v>
      </c>
      <c r="AL363">
        <v>1</v>
      </c>
      <c r="AN363">
        <v>0</v>
      </c>
      <c r="AO363">
        <v>1</v>
      </c>
      <c r="AP363">
        <v>0</v>
      </c>
      <c r="AQ363">
        <v>0</v>
      </c>
      <c r="AR363">
        <v>0</v>
      </c>
      <c r="AS363" t="s">
        <v>3</v>
      </c>
      <c r="AT363">
        <v>0.32</v>
      </c>
      <c r="AU363" t="s">
        <v>3</v>
      </c>
      <c r="AV363">
        <v>0</v>
      </c>
      <c r="AW363">
        <v>2</v>
      </c>
      <c r="AX363">
        <v>33992826</v>
      </c>
      <c r="AY363">
        <v>1</v>
      </c>
      <c r="AZ363">
        <v>0</v>
      </c>
      <c r="BA363">
        <v>363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CX363">
        <f>Y363*Source!I1194</f>
        <v>1.44</v>
      </c>
      <c r="CY363">
        <f>AB363</f>
        <v>6.16</v>
      </c>
      <c r="CZ363">
        <f>AF363</f>
        <v>0.64</v>
      </c>
      <c r="DA363">
        <f>AJ363</f>
        <v>9.1999999999999993</v>
      </c>
      <c r="DB363">
        <f t="shared" si="34"/>
        <v>0.2</v>
      </c>
      <c r="DC363">
        <f t="shared" si="35"/>
        <v>0.01</v>
      </c>
    </row>
    <row r="364" spans="1:107" x14ac:dyDescent="0.2">
      <c r="A364">
        <f>ROW(Source!A1194)</f>
        <v>1194</v>
      </c>
      <c r="B364">
        <v>33989672</v>
      </c>
      <c r="C364">
        <v>33992814</v>
      </c>
      <c r="D364">
        <v>30040152</v>
      </c>
      <c r="E364">
        <v>1</v>
      </c>
      <c r="F364">
        <v>1</v>
      </c>
      <c r="G364">
        <v>29983435</v>
      </c>
      <c r="H364">
        <v>3</v>
      </c>
      <c r="I364" t="s">
        <v>598</v>
      </c>
      <c r="J364" t="s">
        <v>600</v>
      </c>
      <c r="K364" t="s">
        <v>599</v>
      </c>
      <c r="L364">
        <v>1354</v>
      </c>
      <c r="N364">
        <v>1010</v>
      </c>
      <c r="O364" t="s">
        <v>328</v>
      </c>
      <c r="P364" t="s">
        <v>328</v>
      </c>
      <c r="Q364">
        <v>1</v>
      </c>
      <c r="W364">
        <v>0</v>
      </c>
      <c r="X364">
        <v>-1569363204</v>
      </c>
      <c r="Y364">
        <v>4.4444439999999998</v>
      </c>
      <c r="AA364">
        <v>717.3</v>
      </c>
      <c r="AB364">
        <v>0</v>
      </c>
      <c r="AC364">
        <v>0</v>
      </c>
      <c r="AD364">
        <v>0</v>
      </c>
      <c r="AE364">
        <v>950.7</v>
      </c>
      <c r="AF364">
        <v>0</v>
      </c>
      <c r="AG364">
        <v>0</v>
      </c>
      <c r="AH364">
        <v>0</v>
      </c>
      <c r="AI364">
        <v>0.75</v>
      </c>
      <c r="AJ364">
        <v>1</v>
      </c>
      <c r="AK364">
        <v>1</v>
      </c>
      <c r="AL364">
        <v>1</v>
      </c>
      <c r="AN364">
        <v>0</v>
      </c>
      <c r="AO364">
        <v>0</v>
      </c>
      <c r="AP364">
        <v>0</v>
      </c>
      <c r="AQ364">
        <v>0</v>
      </c>
      <c r="AR364">
        <v>0</v>
      </c>
      <c r="AS364" t="s">
        <v>3</v>
      </c>
      <c r="AT364">
        <v>4.4444439999999998</v>
      </c>
      <c r="AU364" t="s">
        <v>3</v>
      </c>
      <c r="AV364">
        <v>0</v>
      </c>
      <c r="AW364">
        <v>1</v>
      </c>
      <c r="AX364">
        <v>-1</v>
      </c>
      <c r="AY364">
        <v>0</v>
      </c>
      <c r="AZ364">
        <v>0</v>
      </c>
      <c r="BA364" t="s">
        <v>3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CX364">
        <f>Y364*Source!I1194</f>
        <v>19.999997999999998</v>
      </c>
      <c r="CY364">
        <f>AA364</f>
        <v>717.3</v>
      </c>
      <c r="CZ364">
        <f>AE364</f>
        <v>950.7</v>
      </c>
      <c r="DA364">
        <f>AI364</f>
        <v>0.75</v>
      </c>
      <c r="DB364">
        <f t="shared" si="34"/>
        <v>4225.33</v>
      </c>
      <c r="DC364">
        <f t="shared" si="35"/>
        <v>0</v>
      </c>
    </row>
    <row r="365" spans="1:107" x14ac:dyDescent="0.2">
      <c r="A365">
        <f>ROW(Source!A1194)</f>
        <v>1194</v>
      </c>
      <c r="B365">
        <v>33989672</v>
      </c>
      <c r="C365">
        <v>33992814</v>
      </c>
      <c r="D365">
        <v>30040151</v>
      </c>
      <c r="E365">
        <v>1</v>
      </c>
      <c r="F365">
        <v>1</v>
      </c>
      <c r="G365">
        <v>29983435</v>
      </c>
      <c r="H365">
        <v>3</v>
      </c>
      <c r="I365" t="s">
        <v>861</v>
      </c>
      <c r="J365" t="s">
        <v>862</v>
      </c>
      <c r="K365" t="s">
        <v>863</v>
      </c>
      <c r="L365">
        <v>1346</v>
      </c>
      <c r="N365">
        <v>1009</v>
      </c>
      <c r="O365" t="s">
        <v>300</v>
      </c>
      <c r="P365" t="s">
        <v>300</v>
      </c>
      <c r="Q365">
        <v>1</v>
      </c>
      <c r="W365">
        <v>0</v>
      </c>
      <c r="X365">
        <v>1077528645</v>
      </c>
      <c r="Y365">
        <v>1.1556</v>
      </c>
      <c r="AA365">
        <v>280.94</v>
      </c>
      <c r="AB365">
        <v>0</v>
      </c>
      <c r="AC365">
        <v>0</v>
      </c>
      <c r="AD365">
        <v>0</v>
      </c>
      <c r="AE365">
        <v>221.64</v>
      </c>
      <c r="AF365">
        <v>0</v>
      </c>
      <c r="AG365">
        <v>0</v>
      </c>
      <c r="AH365">
        <v>0</v>
      </c>
      <c r="AI365">
        <v>1.26</v>
      </c>
      <c r="AJ365">
        <v>1</v>
      </c>
      <c r="AK365">
        <v>1</v>
      </c>
      <c r="AL365">
        <v>1</v>
      </c>
      <c r="AN365">
        <v>0</v>
      </c>
      <c r="AO365">
        <v>1</v>
      </c>
      <c r="AP365">
        <v>0</v>
      </c>
      <c r="AQ365">
        <v>0</v>
      </c>
      <c r="AR365">
        <v>0</v>
      </c>
      <c r="AS365" t="s">
        <v>3</v>
      </c>
      <c r="AT365">
        <v>1.1556</v>
      </c>
      <c r="AU365" t="s">
        <v>3</v>
      </c>
      <c r="AV365">
        <v>0</v>
      </c>
      <c r="AW365">
        <v>2</v>
      </c>
      <c r="AX365">
        <v>33992827</v>
      </c>
      <c r="AY365">
        <v>1</v>
      </c>
      <c r="AZ365">
        <v>0</v>
      </c>
      <c r="BA365">
        <v>364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CX365">
        <f>Y365*Source!I1194</f>
        <v>5.2001999999999997</v>
      </c>
      <c r="CY365">
        <f>AA365</f>
        <v>280.94</v>
      </c>
      <c r="CZ365">
        <f>AE365</f>
        <v>221.64</v>
      </c>
      <c r="DA365">
        <f>AI365</f>
        <v>1.26</v>
      </c>
      <c r="DB365">
        <f t="shared" ref="DB365:DB378" si="36">ROUND(ROUND(AT365*CZ365,2),6)</f>
        <v>256.13</v>
      </c>
      <c r="DC365">
        <f t="shared" ref="DC365:DC378" si="37">ROUND(ROUND(AT365*AG365,2),6)</f>
        <v>0</v>
      </c>
    </row>
    <row r="366" spans="1:107" x14ac:dyDescent="0.2">
      <c r="A366">
        <f>ROW(Source!A1194)</f>
        <v>1194</v>
      </c>
      <c r="B366">
        <v>33989672</v>
      </c>
      <c r="C366">
        <v>33992814</v>
      </c>
      <c r="D366">
        <v>30061883</v>
      </c>
      <c r="E366">
        <v>1</v>
      </c>
      <c r="F366">
        <v>1</v>
      </c>
      <c r="G366">
        <v>29983435</v>
      </c>
      <c r="H366">
        <v>3</v>
      </c>
      <c r="I366" t="s">
        <v>864</v>
      </c>
      <c r="J366" t="s">
        <v>865</v>
      </c>
      <c r="K366" t="s">
        <v>866</v>
      </c>
      <c r="L366">
        <v>1354</v>
      </c>
      <c r="N366">
        <v>1010</v>
      </c>
      <c r="O366" t="s">
        <v>328</v>
      </c>
      <c r="P366" t="s">
        <v>328</v>
      </c>
      <c r="Q366">
        <v>1</v>
      </c>
      <c r="W366">
        <v>0</v>
      </c>
      <c r="X366">
        <v>-1551247525</v>
      </c>
      <c r="Y366">
        <v>1.6395</v>
      </c>
      <c r="AA366">
        <v>1006.64</v>
      </c>
      <c r="AB366">
        <v>0</v>
      </c>
      <c r="AC366">
        <v>0</v>
      </c>
      <c r="AD366">
        <v>0</v>
      </c>
      <c r="AE366">
        <v>373.37</v>
      </c>
      <c r="AF366">
        <v>0</v>
      </c>
      <c r="AG366">
        <v>0</v>
      </c>
      <c r="AH366">
        <v>0</v>
      </c>
      <c r="AI366">
        <v>2.68</v>
      </c>
      <c r="AJ366">
        <v>1</v>
      </c>
      <c r="AK366">
        <v>1</v>
      </c>
      <c r="AL366">
        <v>1</v>
      </c>
      <c r="AN366">
        <v>0</v>
      </c>
      <c r="AO366">
        <v>1</v>
      </c>
      <c r="AP366">
        <v>0</v>
      </c>
      <c r="AQ366">
        <v>0</v>
      </c>
      <c r="AR366">
        <v>0</v>
      </c>
      <c r="AS366" t="s">
        <v>3</v>
      </c>
      <c r="AT366">
        <v>1.6395</v>
      </c>
      <c r="AU366" t="s">
        <v>3</v>
      </c>
      <c r="AV366">
        <v>0</v>
      </c>
      <c r="AW366">
        <v>2</v>
      </c>
      <c r="AX366">
        <v>33992828</v>
      </c>
      <c r="AY366">
        <v>1</v>
      </c>
      <c r="AZ366">
        <v>0</v>
      </c>
      <c r="BA366">
        <v>365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CX366">
        <f>Y366*Source!I1194</f>
        <v>7.3777499999999998</v>
      </c>
      <c r="CY366">
        <f>AA366</f>
        <v>1006.64</v>
      </c>
      <c r="CZ366">
        <f>AE366</f>
        <v>373.37</v>
      </c>
      <c r="DA366">
        <f>AI366</f>
        <v>2.68</v>
      </c>
      <c r="DB366">
        <f t="shared" si="36"/>
        <v>612.14</v>
      </c>
      <c r="DC366">
        <f t="shared" si="37"/>
        <v>0</v>
      </c>
    </row>
    <row r="367" spans="1:107" x14ac:dyDescent="0.2">
      <c r="A367">
        <f>ROW(Source!A1194)</f>
        <v>1194</v>
      </c>
      <c r="B367">
        <v>33989672</v>
      </c>
      <c r="C367">
        <v>33992814</v>
      </c>
      <c r="D367">
        <v>30061682</v>
      </c>
      <c r="E367">
        <v>1</v>
      </c>
      <c r="F367">
        <v>1</v>
      </c>
      <c r="G367">
        <v>29983435</v>
      </c>
      <c r="H367">
        <v>3</v>
      </c>
      <c r="I367" t="s">
        <v>867</v>
      </c>
      <c r="J367" t="s">
        <v>868</v>
      </c>
      <c r="K367" t="s">
        <v>869</v>
      </c>
      <c r="L367">
        <v>1354</v>
      </c>
      <c r="N367">
        <v>1010</v>
      </c>
      <c r="O367" t="s">
        <v>328</v>
      </c>
      <c r="P367" t="s">
        <v>328</v>
      </c>
      <c r="Q367">
        <v>1</v>
      </c>
      <c r="W367">
        <v>0</v>
      </c>
      <c r="X367">
        <v>-1963666126</v>
      </c>
      <c r="Y367">
        <v>24.592600000000001</v>
      </c>
      <c r="AA367">
        <v>26.21</v>
      </c>
      <c r="AB367">
        <v>0</v>
      </c>
      <c r="AC367">
        <v>0</v>
      </c>
      <c r="AD367">
        <v>0</v>
      </c>
      <c r="AE367">
        <v>11.58</v>
      </c>
      <c r="AF367">
        <v>0</v>
      </c>
      <c r="AG367">
        <v>0</v>
      </c>
      <c r="AH367">
        <v>0</v>
      </c>
      <c r="AI367">
        <v>2.25</v>
      </c>
      <c r="AJ367">
        <v>1</v>
      </c>
      <c r="AK367">
        <v>1</v>
      </c>
      <c r="AL367">
        <v>1</v>
      </c>
      <c r="AN367">
        <v>0</v>
      </c>
      <c r="AO367">
        <v>1</v>
      </c>
      <c r="AP367">
        <v>0</v>
      </c>
      <c r="AQ367">
        <v>0</v>
      </c>
      <c r="AR367">
        <v>0</v>
      </c>
      <c r="AS367" t="s">
        <v>3</v>
      </c>
      <c r="AT367">
        <v>24.592600000000001</v>
      </c>
      <c r="AU367" t="s">
        <v>3</v>
      </c>
      <c r="AV367">
        <v>0</v>
      </c>
      <c r="AW367">
        <v>2</v>
      </c>
      <c r="AX367">
        <v>33992829</v>
      </c>
      <c r="AY367">
        <v>1</v>
      </c>
      <c r="AZ367">
        <v>0</v>
      </c>
      <c r="BA367">
        <v>366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CX367">
        <f>Y367*Source!I1194</f>
        <v>110.66670000000001</v>
      </c>
      <c r="CY367">
        <f>AA367</f>
        <v>26.21</v>
      </c>
      <c r="CZ367">
        <f>AE367</f>
        <v>11.58</v>
      </c>
      <c r="DA367">
        <f>AI367</f>
        <v>2.25</v>
      </c>
      <c r="DB367">
        <f t="shared" si="36"/>
        <v>284.77999999999997</v>
      </c>
      <c r="DC367">
        <f t="shared" si="37"/>
        <v>0</v>
      </c>
    </row>
    <row r="368" spans="1:107" x14ac:dyDescent="0.2">
      <c r="A368">
        <f>ROW(Source!A1300)</f>
        <v>1300</v>
      </c>
      <c r="B368">
        <v>33989672</v>
      </c>
      <c r="C368">
        <v>33992832</v>
      </c>
      <c r="D368">
        <v>29983441</v>
      </c>
      <c r="E368">
        <v>29983435</v>
      </c>
      <c r="F368">
        <v>1</v>
      </c>
      <c r="G368">
        <v>29983435</v>
      </c>
      <c r="H368">
        <v>1</v>
      </c>
      <c r="I368" t="s">
        <v>646</v>
      </c>
      <c r="J368" t="s">
        <v>3</v>
      </c>
      <c r="K368" t="s">
        <v>647</v>
      </c>
      <c r="L368">
        <v>1191</v>
      </c>
      <c r="N368">
        <v>1013</v>
      </c>
      <c r="O368" t="s">
        <v>648</v>
      </c>
      <c r="P368" t="s">
        <v>648</v>
      </c>
      <c r="Q368">
        <v>1</v>
      </c>
      <c r="W368">
        <v>0</v>
      </c>
      <c r="X368">
        <v>476480486</v>
      </c>
      <c r="Y368">
        <v>16.03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1</v>
      </c>
      <c r="AJ368">
        <v>1</v>
      </c>
      <c r="AK368">
        <v>1</v>
      </c>
      <c r="AL368">
        <v>1</v>
      </c>
      <c r="AN368">
        <v>0</v>
      </c>
      <c r="AO368">
        <v>1</v>
      </c>
      <c r="AP368">
        <v>0</v>
      </c>
      <c r="AQ368">
        <v>0</v>
      </c>
      <c r="AR368">
        <v>0</v>
      </c>
      <c r="AS368" t="s">
        <v>3</v>
      </c>
      <c r="AT368">
        <v>16.03</v>
      </c>
      <c r="AU368" t="s">
        <v>3</v>
      </c>
      <c r="AV368">
        <v>1</v>
      </c>
      <c r="AW368">
        <v>2</v>
      </c>
      <c r="AX368">
        <v>33992844</v>
      </c>
      <c r="AY368">
        <v>1</v>
      </c>
      <c r="AZ368">
        <v>0</v>
      </c>
      <c r="BA368">
        <v>368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CX368">
        <f>Y368*Source!I1300</f>
        <v>519.85289999999998</v>
      </c>
      <c r="CY368">
        <f>AD368</f>
        <v>0</v>
      </c>
      <c r="CZ368">
        <f>AH368</f>
        <v>0</v>
      </c>
      <c r="DA368">
        <f>AL368</f>
        <v>1</v>
      </c>
      <c r="DB368">
        <f t="shared" si="36"/>
        <v>0</v>
      </c>
      <c r="DC368">
        <f t="shared" si="37"/>
        <v>0</v>
      </c>
    </row>
    <row r="369" spans="1:107" x14ac:dyDescent="0.2">
      <c r="A369">
        <f>ROW(Source!A1300)</f>
        <v>1300</v>
      </c>
      <c r="B369">
        <v>33989672</v>
      </c>
      <c r="C369">
        <v>33992832</v>
      </c>
      <c r="D369">
        <v>30064059</v>
      </c>
      <c r="E369">
        <v>1</v>
      </c>
      <c r="F369">
        <v>1</v>
      </c>
      <c r="G369">
        <v>29983435</v>
      </c>
      <c r="H369">
        <v>2</v>
      </c>
      <c r="I369" t="s">
        <v>870</v>
      </c>
      <c r="J369" t="s">
        <v>871</v>
      </c>
      <c r="K369" t="s">
        <v>872</v>
      </c>
      <c r="L369">
        <v>1367</v>
      </c>
      <c r="N369">
        <v>1011</v>
      </c>
      <c r="O369" t="s">
        <v>652</v>
      </c>
      <c r="P369" t="s">
        <v>652</v>
      </c>
      <c r="Q369">
        <v>1</v>
      </c>
      <c r="W369">
        <v>0</v>
      </c>
      <c r="X369">
        <v>506283845</v>
      </c>
      <c r="Y369">
        <v>2.11</v>
      </c>
      <c r="AA369">
        <v>0</v>
      </c>
      <c r="AB369">
        <v>535.48</v>
      </c>
      <c r="AC369">
        <v>378.74</v>
      </c>
      <c r="AD369">
        <v>0</v>
      </c>
      <c r="AE369">
        <v>0</v>
      </c>
      <c r="AF369">
        <v>44</v>
      </c>
      <c r="AG369">
        <v>15.44</v>
      </c>
      <c r="AH369">
        <v>0</v>
      </c>
      <c r="AI369">
        <v>1</v>
      </c>
      <c r="AJ369">
        <v>12.17</v>
      </c>
      <c r="AK369">
        <v>24.53</v>
      </c>
      <c r="AL369">
        <v>1</v>
      </c>
      <c r="AN369">
        <v>0</v>
      </c>
      <c r="AO369">
        <v>1</v>
      </c>
      <c r="AP369">
        <v>0</v>
      </c>
      <c r="AQ369">
        <v>0</v>
      </c>
      <c r="AR369">
        <v>0</v>
      </c>
      <c r="AS369" t="s">
        <v>3</v>
      </c>
      <c r="AT369">
        <v>2.11</v>
      </c>
      <c r="AU369" t="s">
        <v>3</v>
      </c>
      <c r="AV369">
        <v>0</v>
      </c>
      <c r="AW369">
        <v>2</v>
      </c>
      <c r="AX369">
        <v>33992845</v>
      </c>
      <c r="AY369">
        <v>1</v>
      </c>
      <c r="AZ369">
        <v>0</v>
      </c>
      <c r="BA369">
        <v>369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CX369">
        <f>Y369*Source!I1300</f>
        <v>68.427300000000002</v>
      </c>
      <c r="CY369">
        <f>AB369</f>
        <v>535.48</v>
      </c>
      <c r="CZ369">
        <f>AF369</f>
        <v>44</v>
      </c>
      <c r="DA369">
        <f>AJ369</f>
        <v>12.17</v>
      </c>
      <c r="DB369">
        <f t="shared" si="36"/>
        <v>92.84</v>
      </c>
      <c r="DC369">
        <f t="shared" si="37"/>
        <v>32.58</v>
      </c>
    </row>
    <row r="370" spans="1:107" x14ac:dyDescent="0.2">
      <c r="A370">
        <f>ROW(Source!A1300)</f>
        <v>1300</v>
      </c>
      <c r="B370">
        <v>33989672</v>
      </c>
      <c r="C370">
        <v>33992832</v>
      </c>
      <c r="D370">
        <v>30064095</v>
      </c>
      <c r="E370">
        <v>1</v>
      </c>
      <c r="F370">
        <v>1</v>
      </c>
      <c r="G370">
        <v>29983435</v>
      </c>
      <c r="H370">
        <v>2</v>
      </c>
      <c r="I370" t="s">
        <v>680</v>
      </c>
      <c r="J370" t="s">
        <v>681</v>
      </c>
      <c r="K370" t="s">
        <v>682</v>
      </c>
      <c r="L370">
        <v>1367</v>
      </c>
      <c r="N370">
        <v>1011</v>
      </c>
      <c r="O370" t="s">
        <v>652</v>
      </c>
      <c r="P370" t="s">
        <v>652</v>
      </c>
      <c r="Q370">
        <v>1</v>
      </c>
      <c r="W370">
        <v>0</v>
      </c>
      <c r="X370">
        <v>-628430174</v>
      </c>
      <c r="Y370">
        <v>0.1</v>
      </c>
      <c r="AA370">
        <v>0</v>
      </c>
      <c r="AB370">
        <v>721.25</v>
      </c>
      <c r="AC370">
        <v>352.25</v>
      </c>
      <c r="AD370">
        <v>0</v>
      </c>
      <c r="AE370">
        <v>0</v>
      </c>
      <c r="AF370">
        <v>76.81</v>
      </c>
      <c r="AG370">
        <v>14.36</v>
      </c>
      <c r="AH370">
        <v>0</v>
      </c>
      <c r="AI370">
        <v>1</v>
      </c>
      <c r="AJ370">
        <v>9.39</v>
      </c>
      <c r="AK370">
        <v>24.53</v>
      </c>
      <c r="AL370">
        <v>1</v>
      </c>
      <c r="AN370">
        <v>0</v>
      </c>
      <c r="AO370">
        <v>1</v>
      </c>
      <c r="AP370">
        <v>0</v>
      </c>
      <c r="AQ370">
        <v>0</v>
      </c>
      <c r="AR370">
        <v>0</v>
      </c>
      <c r="AS370" t="s">
        <v>3</v>
      </c>
      <c r="AT370">
        <v>0.1</v>
      </c>
      <c r="AU370" t="s">
        <v>3</v>
      </c>
      <c r="AV370">
        <v>0</v>
      </c>
      <c r="AW370">
        <v>2</v>
      </c>
      <c r="AX370">
        <v>33992846</v>
      </c>
      <c r="AY370">
        <v>1</v>
      </c>
      <c r="AZ370">
        <v>0</v>
      </c>
      <c r="BA370">
        <v>370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CX370">
        <f>Y370*Source!I1300</f>
        <v>3.2430000000000003</v>
      </c>
      <c r="CY370">
        <f>AB370</f>
        <v>721.25</v>
      </c>
      <c r="CZ370">
        <f>AF370</f>
        <v>76.81</v>
      </c>
      <c r="DA370">
        <f>AJ370</f>
        <v>9.39</v>
      </c>
      <c r="DB370">
        <f t="shared" si="36"/>
        <v>7.68</v>
      </c>
      <c r="DC370">
        <f t="shared" si="37"/>
        <v>1.44</v>
      </c>
    </row>
    <row r="371" spans="1:107" x14ac:dyDescent="0.2">
      <c r="A371">
        <f>ROW(Source!A1300)</f>
        <v>1300</v>
      </c>
      <c r="B371">
        <v>33989672</v>
      </c>
      <c r="C371">
        <v>33992832</v>
      </c>
      <c r="D371">
        <v>30064135</v>
      </c>
      <c r="E371">
        <v>1</v>
      </c>
      <c r="F371">
        <v>1</v>
      </c>
      <c r="G371">
        <v>29983435</v>
      </c>
      <c r="H371">
        <v>2</v>
      </c>
      <c r="I371" t="s">
        <v>873</v>
      </c>
      <c r="J371" t="s">
        <v>874</v>
      </c>
      <c r="K371" t="s">
        <v>875</v>
      </c>
      <c r="L371">
        <v>1367</v>
      </c>
      <c r="N371">
        <v>1011</v>
      </c>
      <c r="O371" t="s">
        <v>652</v>
      </c>
      <c r="P371" t="s">
        <v>652</v>
      </c>
      <c r="Q371">
        <v>1</v>
      </c>
      <c r="W371">
        <v>0</v>
      </c>
      <c r="X371">
        <v>950854334</v>
      </c>
      <c r="Y371">
        <v>0.94</v>
      </c>
      <c r="AA371">
        <v>0</v>
      </c>
      <c r="AB371">
        <v>32.119999999999997</v>
      </c>
      <c r="AC371">
        <v>2.4500000000000002</v>
      </c>
      <c r="AD371">
        <v>0</v>
      </c>
      <c r="AE371">
        <v>0</v>
      </c>
      <c r="AF371">
        <v>2.36</v>
      </c>
      <c r="AG371">
        <v>0.1</v>
      </c>
      <c r="AH371">
        <v>0</v>
      </c>
      <c r="AI371">
        <v>1</v>
      </c>
      <c r="AJ371">
        <v>13.61</v>
      </c>
      <c r="AK371">
        <v>24.53</v>
      </c>
      <c r="AL371">
        <v>1</v>
      </c>
      <c r="AN371">
        <v>0</v>
      </c>
      <c r="AO371">
        <v>1</v>
      </c>
      <c r="AP371">
        <v>0</v>
      </c>
      <c r="AQ371">
        <v>0</v>
      </c>
      <c r="AR371">
        <v>0</v>
      </c>
      <c r="AS371" t="s">
        <v>3</v>
      </c>
      <c r="AT371">
        <v>0.94</v>
      </c>
      <c r="AU371" t="s">
        <v>3</v>
      </c>
      <c r="AV371">
        <v>0</v>
      </c>
      <c r="AW371">
        <v>2</v>
      </c>
      <c r="AX371">
        <v>33992847</v>
      </c>
      <c r="AY371">
        <v>1</v>
      </c>
      <c r="AZ371">
        <v>0</v>
      </c>
      <c r="BA371">
        <v>371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CX371">
        <f>Y371*Source!I1300</f>
        <v>30.484199999999998</v>
      </c>
      <c r="CY371">
        <f>AB371</f>
        <v>32.119999999999997</v>
      </c>
      <c r="CZ371">
        <f>AF371</f>
        <v>2.36</v>
      </c>
      <c r="DA371">
        <f>AJ371</f>
        <v>13.61</v>
      </c>
      <c r="DB371">
        <f t="shared" si="36"/>
        <v>2.2200000000000002</v>
      </c>
      <c r="DC371">
        <f t="shared" si="37"/>
        <v>0.09</v>
      </c>
    </row>
    <row r="372" spans="1:107" x14ac:dyDescent="0.2">
      <c r="A372">
        <f>ROW(Source!A1300)</f>
        <v>1300</v>
      </c>
      <c r="B372">
        <v>33989672</v>
      </c>
      <c r="C372">
        <v>33992832</v>
      </c>
      <c r="D372">
        <v>30063429</v>
      </c>
      <c r="E372">
        <v>1</v>
      </c>
      <c r="F372">
        <v>1</v>
      </c>
      <c r="G372">
        <v>29983435</v>
      </c>
      <c r="H372">
        <v>2</v>
      </c>
      <c r="I372" t="s">
        <v>876</v>
      </c>
      <c r="J372" t="s">
        <v>877</v>
      </c>
      <c r="K372" t="s">
        <v>878</v>
      </c>
      <c r="L372">
        <v>1367</v>
      </c>
      <c r="N372">
        <v>1011</v>
      </c>
      <c r="O372" t="s">
        <v>652</v>
      </c>
      <c r="P372" t="s">
        <v>652</v>
      </c>
      <c r="Q372">
        <v>1</v>
      </c>
      <c r="W372">
        <v>0</v>
      </c>
      <c r="X372">
        <v>-1264716692</v>
      </c>
      <c r="Y372">
        <v>0.01</v>
      </c>
      <c r="AA372">
        <v>0</v>
      </c>
      <c r="AB372">
        <v>620.52</v>
      </c>
      <c r="AC372">
        <v>449.88</v>
      </c>
      <c r="AD372">
        <v>0</v>
      </c>
      <c r="AE372">
        <v>0</v>
      </c>
      <c r="AF372">
        <v>68.87</v>
      </c>
      <c r="AG372">
        <v>18.34</v>
      </c>
      <c r="AH372">
        <v>0</v>
      </c>
      <c r="AI372">
        <v>1</v>
      </c>
      <c r="AJ372">
        <v>9.01</v>
      </c>
      <c r="AK372">
        <v>24.53</v>
      </c>
      <c r="AL372">
        <v>1</v>
      </c>
      <c r="AN372">
        <v>0</v>
      </c>
      <c r="AO372">
        <v>1</v>
      </c>
      <c r="AP372">
        <v>0</v>
      </c>
      <c r="AQ372">
        <v>0</v>
      </c>
      <c r="AR372">
        <v>0</v>
      </c>
      <c r="AS372" t="s">
        <v>3</v>
      </c>
      <c r="AT372">
        <v>0.01</v>
      </c>
      <c r="AU372" t="s">
        <v>3</v>
      </c>
      <c r="AV372">
        <v>0</v>
      </c>
      <c r="AW372">
        <v>2</v>
      </c>
      <c r="AX372">
        <v>33992848</v>
      </c>
      <c r="AY372">
        <v>1</v>
      </c>
      <c r="AZ372">
        <v>0</v>
      </c>
      <c r="BA372">
        <v>372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CX372">
        <f>Y372*Source!I1300</f>
        <v>0.32429999999999998</v>
      </c>
      <c r="CY372">
        <f>AB372</f>
        <v>620.52</v>
      </c>
      <c r="CZ372">
        <f>AF372</f>
        <v>68.87</v>
      </c>
      <c r="DA372">
        <f>AJ372</f>
        <v>9.01</v>
      </c>
      <c r="DB372">
        <f t="shared" si="36"/>
        <v>0.69</v>
      </c>
      <c r="DC372">
        <f t="shared" si="37"/>
        <v>0.18</v>
      </c>
    </row>
    <row r="373" spans="1:107" x14ac:dyDescent="0.2">
      <c r="A373">
        <f>ROW(Source!A1300)</f>
        <v>1300</v>
      </c>
      <c r="B373">
        <v>33989672</v>
      </c>
      <c r="C373">
        <v>33992832</v>
      </c>
      <c r="D373">
        <v>30063638</v>
      </c>
      <c r="E373">
        <v>1</v>
      </c>
      <c r="F373">
        <v>1</v>
      </c>
      <c r="G373">
        <v>29983435</v>
      </c>
      <c r="H373">
        <v>2</v>
      </c>
      <c r="I373" t="s">
        <v>879</v>
      </c>
      <c r="J373" t="s">
        <v>880</v>
      </c>
      <c r="K373" t="s">
        <v>881</v>
      </c>
      <c r="L373">
        <v>1367</v>
      </c>
      <c r="N373">
        <v>1011</v>
      </c>
      <c r="O373" t="s">
        <v>652</v>
      </c>
      <c r="P373" t="s">
        <v>652</v>
      </c>
      <c r="Q373">
        <v>1</v>
      </c>
      <c r="W373">
        <v>0</v>
      </c>
      <c r="X373">
        <v>761448849</v>
      </c>
      <c r="Y373">
        <v>2.11</v>
      </c>
      <c r="AA373">
        <v>0</v>
      </c>
      <c r="AB373">
        <v>466.63</v>
      </c>
      <c r="AC373">
        <v>411.37</v>
      </c>
      <c r="AD373">
        <v>0</v>
      </c>
      <c r="AE373">
        <v>0</v>
      </c>
      <c r="AF373">
        <v>36.57</v>
      </c>
      <c r="AG373">
        <v>16.77</v>
      </c>
      <c r="AH373">
        <v>0</v>
      </c>
      <c r="AI373">
        <v>1</v>
      </c>
      <c r="AJ373">
        <v>12.76</v>
      </c>
      <c r="AK373">
        <v>24.53</v>
      </c>
      <c r="AL373">
        <v>1</v>
      </c>
      <c r="AN373">
        <v>0</v>
      </c>
      <c r="AO373">
        <v>1</v>
      </c>
      <c r="AP373">
        <v>0</v>
      </c>
      <c r="AQ373">
        <v>0</v>
      </c>
      <c r="AR373">
        <v>0</v>
      </c>
      <c r="AS373" t="s">
        <v>3</v>
      </c>
      <c r="AT373">
        <v>2.11</v>
      </c>
      <c r="AU373" t="s">
        <v>3</v>
      </c>
      <c r="AV373">
        <v>0</v>
      </c>
      <c r="AW373">
        <v>2</v>
      </c>
      <c r="AX373">
        <v>33992849</v>
      </c>
      <c r="AY373">
        <v>1</v>
      </c>
      <c r="AZ373">
        <v>0</v>
      </c>
      <c r="BA373">
        <v>373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CX373">
        <f>Y373*Source!I1300</f>
        <v>68.427300000000002</v>
      </c>
      <c r="CY373">
        <f>AB373</f>
        <v>466.63</v>
      </c>
      <c r="CZ373">
        <f>AF373</f>
        <v>36.57</v>
      </c>
      <c r="DA373">
        <f>AJ373</f>
        <v>12.76</v>
      </c>
      <c r="DB373">
        <f t="shared" si="36"/>
        <v>77.16</v>
      </c>
      <c r="DC373">
        <f t="shared" si="37"/>
        <v>35.380000000000003</v>
      </c>
    </row>
    <row r="374" spans="1:107" x14ac:dyDescent="0.2">
      <c r="A374">
        <f>ROW(Source!A1300)</f>
        <v>1300</v>
      </c>
      <c r="B374">
        <v>33989672</v>
      </c>
      <c r="C374">
        <v>33992832</v>
      </c>
      <c r="D374">
        <v>30041736</v>
      </c>
      <c r="E374">
        <v>1</v>
      </c>
      <c r="F374">
        <v>1</v>
      </c>
      <c r="G374">
        <v>29983435</v>
      </c>
      <c r="H374">
        <v>3</v>
      </c>
      <c r="I374" t="s">
        <v>882</v>
      </c>
      <c r="J374" t="s">
        <v>883</v>
      </c>
      <c r="K374" t="s">
        <v>884</v>
      </c>
      <c r="L374">
        <v>1348</v>
      </c>
      <c r="N374">
        <v>1009</v>
      </c>
      <c r="O374" t="s">
        <v>51</v>
      </c>
      <c r="P374" t="s">
        <v>51</v>
      </c>
      <c r="Q374">
        <v>1000</v>
      </c>
      <c r="W374">
        <v>0</v>
      </c>
      <c r="X374">
        <v>1594740613</v>
      </c>
      <c r="Y374">
        <v>3.15E-3</v>
      </c>
      <c r="AA374">
        <v>349096.93</v>
      </c>
      <c r="AB374">
        <v>0</v>
      </c>
      <c r="AC374">
        <v>0</v>
      </c>
      <c r="AD374">
        <v>0</v>
      </c>
      <c r="AE374">
        <v>6240.56</v>
      </c>
      <c r="AF374">
        <v>0</v>
      </c>
      <c r="AG374">
        <v>0</v>
      </c>
      <c r="AH374">
        <v>0</v>
      </c>
      <c r="AI374">
        <v>55.94</v>
      </c>
      <c r="AJ374">
        <v>1</v>
      </c>
      <c r="AK374">
        <v>1</v>
      </c>
      <c r="AL374">
        <v>1</v>
      </c>
      <c r="AN374">
        <v>0</v>
      </c>
      <c r="AO374">
        <v>1</v>
      </c>
      <c r="AP374">
        <v>0</v>
      </c>
      <c r="AQ374">
        <v>0</v>
      </c>
      <c r="AR374">
        <v>0</v>
      </c>
      <c r="AS374" t="s">
        <v>3</v>
      </c>
      <c r="AT374">
        <v>3.15E-3</v>
      </c>
      <c r="AU374" t="s">
        <v>3</v>
      </c>
      <c r="AV374">
        <v>0</v>
      </c>
      <c r="AW374">
        <v>2</v>
      </c>
      <c r="AX374">
        <v>33992850</v>
      </c>
      <c r="AY374">
        <v>1</v>
      </c>
      <c r="AZ374">
        <v>0</v>
      </c>
      <c r="BA374">
        <v>374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CX374">
        <f>Y374*Source!I1300</f>
        <v>0.1021545</v>
      </c>
      <c r="CY374">
        <f>AA374</f>
        <v>349096.93</v>
      </c>
      <c r="CZ374">
        <f>AE374</f>
        <v>6240.56</v>
      </c>
      <c r="DA374">
        <f>AI374</f>
        <v>55.94</v>
      </c>
      <c r="DB374">
        <f t="shared" si="36"/>
        <v>19.66</v>
      </c>
      <c r="DC374">
        <f t="shared" si="37"/>
        <v>0</v>
      </c>
    </row>
    <row r="375" spans="1:107" x14ac:dyDescent="0.2">
      <c r="A375">
        <f>ROW(Source!A1300)</f>
        <v>1300</v>
      </c>
      <c r="B375">
        <v>33989672</v>
      </c>
      <c r="C375">
        <v>33992832</v>
      </c>
      <c r="D375">
        <v>30039587</v>
      </c>
      <c r="E375">
        <v>1</v>
      </c>
      <c r="F375">
        <v>1</v>
      </c>
      <c r="G375">
        <v>29983435</v>
      </c>
      <c r="H375">
        <v>3</v>
      </c>
      <c r="I375" t="s">
        <v>885</v>
      </c>
      <c r="J375" t="s">
        <v>886</v>
      </c>
      <c r="K375" t="s">
        <v>887</v>
      </c>
      <c r="L375">
        <v>1346</v>
      </c>
      <c r="N375">
        <v>1009</v>
      </c>
      <c r="O375" t="s">
        <v>300</v>
      </c>
      <c r="P375" t="s">
        <v>300</v>
      </c>
      <c r="Q375">
        <v>1</v>
      </c>
      <c r="W375">
        <v>0</v>
      </c>
      <c r="X375">
        <v>1820829807</v>
      </c>
      <c r="Y375">
        <v>241.5</v>
      </c>
      <c r="AA375">
        <v>188.83</v>
      </c>
      <c r="AB375">
        <v>0</v>
      </c>
      <c r="AC375">
        <v>0</v>
      </c>
      <c r="AD375">
        <v>0</v>
      </c>
      <c r="AE375">
        <v>69.17</v>
      </c>
      <c r="AF375">
        <v>0</v>
      </c>
      <c r="AG375">
        <v>0</v>
      </c>
      <c r="AH375">
        <v>0</v>
      </c>
      <c r="AI375">
        <v>2.73</v>
      </c>
      <c r="AJ375">
        <v>1</v>
      </c>
      <c r="AK375">
        <v>1</v>
      </c>
      <c r="AL375">
        <v>1</v>
      </c>
      <c r="AN375">
        <v>0</v>
      </c>
      <c r="AO375">
        <v>1</v>
      </c>
      <c r="AP375">
        <v>0</v>
      </c>
      <c r="AQ375">
        <v>0</v>
      </c>
      <c r="AR375">
        <v>0</v>
      </c>
      <c r="AS375" t="s">
        <v>3</v>
      </c>
      <c r="AT375">
        <v>241.5</v>
      </c>
      <c r="AU375" t="s">
        <v>3</v>
      </c>
      <c r="AV375">
        <v>0</v>
      </c>
      <c r="AW375">
        <v>2</v>
      </c>
      <c r="AX375">
        <v>33992851</v>
      </c>
      <c r="AY375">
        <v>1</v>
      </c>
      <c r="AZ375">
        <v>0</v>
      </c>
      <c r="BA375">
        <v>375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CX375">
        <f>Y375*Source!I1300</f>
        <v>7831.8450000000003</v>
      </c>
      <c r="CY375">
        <f>AA375</f>
        <v>188.83</v>
      </c>
      <c r="CZ375">
        <f>AE375</f>
        <v>69.17</v>
      </c>
      <c r="DA375">
        <f>AI375</f>
        <v>2.73</v>
      </c>
      <c r="DB375">
        <f t="shared" si="36"/>
        <v>16704.560000000001</v>
      </c>
      <c r="DC375">
        <f t="shared" si="37"/>
        <v>0</v>
      </c>
    </row>
    <row r="376" spans="1:107" x14ac:dyDescent="0.2">
      <c r="A376">
        <f>ROW(Source!A1300)</f>
        <v>1300</v>
      </c>
      <c r="B376">
        <v>33989672</v>
      </c>
      <c r="C376">
        <v>33992832</v>
      </c>
      <c r="D376">
        <v>30039586</v>
      </c>
      <c r="E376">
        <v>1</v>
      </c>
      <c r="F376">
        <v>1</v>
      </c>
      <c r="G376">
        <v>29983435</v>
      </c>
      <c r="H376">
        <v>3</v>
      </c>
      <c r="I376" t="s">
        <v>611</v>
      </c>
      <c r="J376" t="s">
        <v>613</v>
      </c>
      <c r="K376" t="s">
        <v>612</v>
      </c>
      <c r="L376">
        <v>1346</v>
      </c>
      <c r="N376">
        <v>1009</v>
      </c>
      <c r="O376" t="s">
        <v>300</v>
      </c>
      <c r="P376" t="s">
        <v>300</v>
      </c>
      <c r="Q376">
        <v>1</v>
      </c>
      <c r="W376">
        <v>0</v>
      </c>
      <c r="X376">
        <v>2090190104</v>
      </c>
      <c r="Y376">
        <v>732</v>
      </c>
      <c r="AA376">
        <v>17.54</v>
      </c>
      <c r="AB376">
        <v>0</v>
      </c>
      <c r="AC376">
        <v>0</v>
      </c>
      <c r="AD376">
        <v>0</v>
      </c>
      <c r="AE376">
        <v>7.22</v>
      </c>
      <c r="AF376">
        <v>0</v>
      </c>
      <c r="AG376">
        <v>0</v>
      </c>
      <c r="AH376">
        <v>0</v>
      </c>
      <c r="AI376">
        <v>2.4300000000000002</v>
      </c>
      <c r="AJ376">
        <v>1</v>
      </c>
      <c r="AK376">
        <v>1</v>
      </c>
      <c r="AL376">
        <v>1</v>
      </c>
      <c r="AN376">
        <v>0</v>
      </c>
      <c r="AO376">
        <v>0</v>
      </c>
      <c r="AP376">
        <v>0</v>
      </c>
      <c r="AQ376">
        <v>0</v>
      </c>
      <c r="AR376">
        <v>0</v>
      </c>
      <c r="AS376" t="s">
        <v>3</v>
      </c>
      <c r="AT376">
        <v>732</v>
      </c>
      <c r="AU376" t="s">
        <v>3</v>
      </c>
      <c r="AV376">
        <v>0</v>
      </c>
      <c r="AW376">
        <v>1</v>
      </c>
      <c r="AX376">
        <v>-1</v>
      </c>
      <c r="AY376">
        <v>0</v>
      </c>
      <c r="AZ376">
        <v>0</v>
      </c>
      <c r="BA376" t="s">
        <v>3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CX376">
        <f>Y376*Source!I1300</f>
        <v>23738.76</v>
      </c>
      <c r="CY376">
        <f>AA376</f>
        <v>17.54</v>
      </c>
      <c r="CZ376">
        <f>AE376</f>
        <v>7.22</v>
      </c>
      <c r="DA376">
        <f>AI376</f>
        <v>2.4300000000000002</v>
      </c>
      <c r="DB376">
        <f t="shared" si="36"/>
        <v>5285.04</v>
      </c>
      <c r="DC376">
        <f t="shared" si="37"/>
        <v>0</v>
      </c>
    </row>
    <row r="377" spans="1:107" x14ac:dyDescent="0.2">
      <c r="A377">
        <f>ROW(Source!A1300)</f>
        <v>1300</v>
      </c>
      <c r="B377">
        <v>33989672</v>
      </c>
      <c r="C377">
        <v>33992832</v>
      </c>
      <c r="D377">
        <v>30041923</v>
      </c>
      <c r="E377">
        <v>1</v>
      </c>
      <c r="F377">
        <v>1</v>
      </c>
      <c r="G377">
        <v>29983435</v>
      </c>
      <c r="H377">
        <v>3</v>
      </c>
      <c r="I377" t="s">
        <v>888</v>
      </c>
      <c r="J377" t="s">
        <v>889</v>
      </c>
      <c r="K377" t="s">
        <v>890</v>
      </c>
      <c r="L377">
        <v>1327</v>
      </c>
      <c r="N377">
        <v>1005</v>
      </c>
      <c r="O377" t="s">
        <v>411</v>
      </c>
      <c r="P377" t="s">
        <v>411</v>
      </c>
      <c r="Q377">
        <v>1</v>
      </c>
      <c r="W377">
        <v>0</v>
      </c>
      <c r="X377">
        <v>-1298941158</v>
      </c>
      <c r="Y377">
        <v>5.6</v>
      </c>
      <c r="AA377">
        <v>8.7799999999999994</v>
      </c>
      <c r="AB377">
        <v>0</v>
      </c>
      <c r="AC377">
        <v>0</v>
      </c>
      <c r="AD377">
        <v>0</v>
      </c>
      <c r="AE377">
        <v>3.66</v>
      </c>
      <c r="AF377">
        <v>0</v>
      </c>
      <c r="AG377">
        <v>0</v>
      </c>
      <c r="AH377">
        <v>0</v>
      </c>
      <c r="AI377">
        <v>2.4</v>
      </c>
      <c r="AJ377">
        <v>1</v>
      </c>
      <c r="AK377">
        <v>1</v>
      </c>
      <c r="AL377">
        <v>1</v>
      </c>
      <c r="AN377">
        <v>0</v>
      </c>
      <c r="AO377">
        <v>1</v>
      </c>
      <c r="AP377">
        <v>0</v>
      </c>
      <c r="AQ377">
        <v>0</v>
      </c>
      <c r="AR377">
        <v>0</v>
      </c>
      <c r="AS377" t="s">
        <v>3</v>
      </c>
      <c r="AT377">
        <v>5.6</v>
      </c>
      <c r="AU377" t="s">
        <v>3</v>
      </c>
      <c r="AV377">
        <v>0</v>
      </c>
      <c r="AW377">
        <v>2</v>
      </c>
      <c r="AX377">
        <v>33992852</v>
      </c>
      <c r="AY377">
        <v>1</v>
      </c>
      <c r="AZ377">
        <v>0</v>
      </c>
      <c r="BA377">
        <v>376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CX377">
        <f>Y377*Source!I1300</f>
        <v>181.60799999999998</v>
      </c>
      <c r="CY377">
        <f>AA377</f>
        <v>8.7799999999999994</v>
      </c>
      <c r="CZ377">
        <f>AE377</f>
        <v>3.66</v>
      </c>
      <c r="DA377">
        <f>AI377</f>
        <v>2.4</v>
      </c>
      <c r="DB377">
        <f t="shared" si="36"/>
        <v>20.5</v>
      </c>
      <c r="DC377">
        <f t="shared" si="37"/>
        <v>0</v>
      </c>
    </row>
    <row r="378" spans="1:107" x14ac:dyDescent="0.2">
      <c r="A378">
        <f>ROW(Source!A1300)</f>
        <v>1300</v>
      </c>
      <c r="B378">
        <v>33989672</v>
      </c>
      <c r="C378">
        <v>33992832</v>
      </c>
      <c r="D378">
        <v>29983437</v>
      </c>
      <c r="E378">
        <v>29983435</v>
      </c>
      <c r="F378">
        <v>1</v>
      </c>
      <c r="G378">
        <v>29983435</v>
      </c>
      <c r="H378">
        <v>3</v>
      </c>
      <c r="I378" t="s">
        <v>738</v>
      </c>
      <c r="J378" t="s">
        <v>3</v>
      </c>
      <c r="K378" t="s">
        <v>739</v>
      </c>
      <c r="L378">
        <v>1344</v>
      </c>
      <c r="N378">
        <v>1008</v>
      </c>
      <c r="O378" t="s">
        <v>676</v>
      </c>
      <c r="P378" t="s">
        <v>676</v>
      </c>
      <c r="Q378">
        <v>1</v>
      </c>
      <c r="W378">
        <v>0</v>
      </c>
      <c r="X378">
        <v>-94250534</v>
      </c>
      <c r="Y378">
        <v>0.01</v>
      </c>
      <c r="AA378">
        <v>1</v>
      </c>
      <c r="AB378">
        <v>0</v>
      </c>
      <c r="AC378">
        <v>0</v>
      </c>
      <c r="AD378">
        <v>0</v>
      </c>
      <c r="AE378">
        <v>1</v>
      </c>
      <c r="AF378">
        <v>0</v>
      </c>
      <c r="AG378">
        <v>0</v>
      </c>
      <c r="AH378">
        <v>0</v>
      </c>
      <c r="AI378">
        <v>1</v>
      </c>
      <c r="AJ378">
        <v>1</v>
      </c>
      <c r="AK378">
        <v>1</v>
      </c>
      <c r="AL378">
        <v>1</v>
      </c>
      <c r="AN378">
        <v>0</v>
      </c>
      <c r="AO378">
        <v>1</v>
      </c>
      <c r="AP378">
        <v>0</v>
      </c>
      <c r="AQ378">
        <v>0</v>
      </c>
      <c r="AR378">
        <v>0</v>
      </c>
      <c r="AS378" t="s">
        <v>3</v>
      </c>
      <c r="AT378">
        <v>0.01</v>
      </c>
      <c r="AU378" t="s">
        <v>3</v>
      </c>
      <c r="AV378">
        <v>0</v>
      </c>
      <c r="AW378">
        <v>2</v>
      </c>
      <c r="AX378">
        <v>33992855</v>
      </c>
      <c r="AY378">
        <v>1</v>
      </c>
      <c r="AZ378">
        <v>0</v>
      </c>
      <c r="BA378">
        <v>379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CX378">
        <f>Y378*Source!I1300</f>
        <v>0.32429999999999998</v>
      </c>
      <c r="CY378">
        <f>AA378</f>
        <v>1</v>
      </c>
      <c r="CZ378">
        <f>AE378</f>
        <v>1</v>
      </c>
      <c r="DA378">
        <f>AI378</f>
        <v>1</v>
      </c>
      <c r="DB378">
        <f t="shared" si="36"/>
        <v>0.01</v>
      </c>
      <c r="DC378">
        <f t="shared" si="37"/>
        <v>0</v>
      </c>
    </row>
    <row r="379" spans="1:107" x14ac:dyDescent="0.2">
      <c r="A379">
        <f>ROW(Source!A1302)</f>
        <v>1302</v>
      </c>
      <c r="B379">
        <v>33989672</v>
      </c>
      <c r="C379">
        <v>33992857</v>
      </c>
      <c r="D379">
        <v>29983441</v>
      </c>
      <c r="E379">
        <v>29983435</v>
      </c>
      <c r="F379">
        <v>1</v>
      </c>
      <c r="G379">
        <v>29983435</v>
      </c>
      <c r="H379">
        <v>1</v>
      </c>
      <c r="I379" t="s">
        <v>646</v>
      </c>
      <c r="J379" t="s">
        <v>3</v>
      </c>
      <c r="K379" t="s">
        <v>647</v>
      </c>
      <c r="L379">
        <v>1191</v>
      </c>
      <c r="N379">
        <v>1013</v>
      </c>
      <c r="O379" t="s">
        <v>648</v>
      </c>
      <c r="P379" t="s">
        <v>648</v>
      </c>
      <c r="Q379">
        <v>1</v>
      </c>
      <c r="W379">
        <v>0</v>
      </c>
      <c r="X379">
        <v>476480486</v>
      </c>
      <c r="Y379">
        <v>23.1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1</v>
      </c>
      <c r="AJ379">
        <v>1</v>
      </c>
      <c r="AK379">
        <v>1</v>
      </c>
      <c r="AL379">
        <v>1</v>
      </c>
      <c r="AN379">
        <v>0</v>
      </c>
      <c r="AO379">
        <v>1</v>
      </c>
      <c r="AP379">
        <v>1</v>
      </c>
      <c r="AQ379">
        <v>0</v>
      </c>
      <c r="AR379">
        <v>0</v>
      </c>
      <c r="AS379" t="s">
        <v>3</v>
      </c>
      <c r="AT379">
        <v>2.31</v>
      </c>
      <c r="AU379" t="s">
        <v>618</v>
      </c>
      <c r="AV379">
        <v>1</v>
      </c>
      <c r="AW379">
        <v>2</v>
      </c>
      <c r="AX379">
        <v>33992865</v>
      </c>
      <c r="AY379">
        <v>1</v>
      </c>
      <c r="AZ379">
        <v>0</v>
      </c>
      <c r="BA379">
        <v>380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CX379">
        <f>Y379*Source!I1302</f>
        <v>749.13300000000004</v>
      </c>
      <c r="CY379">
        <f>AD379</f>
        <v>0</v>
      </c>
      <c r="CZ379">
        <f>AH379</f>
        <v>0</v>
      </c>
      <c r="DA379">
        <f>AL379</f>
        <v>1</v>
      </c>
      <c r="DB379">
        <f t="shared" ref="DB379:DB385" si="38">ROUND((ROUND(AT379*CZ379,2)*10),6)</f>
        <v>0</v>
      </c>
      <c r="DC379">
        <f t="shared" ref="DC379:DC385" si="39">ROUND((ROUND(AT379*AG379,2)*10),6)</f>
        <v>0</v>
      </c>
    </row>
    <row r="380" spans="1:107" x14ac:dyDescent="0.2">
      <c r="A380">
        <f>ROW(Source!A1302)</f>
        <v>1302</v>
      </c>
      <c r="B380">
        <v>33989672</v>
      </c>
      <c r="C380">
        <v>33992857</v>
      </c>
      <c r="D380">
        <v>30064059</v>
      </c>
      <c r="E380">
        <v>1</v>
      </c>
      <c r="F380">
        <v>1</v>
      </c>
      <c r="G380">
        <v>29983435</v>
      </c>
      <c r="H380">
        <v>2</v>
      </c>
      <c r="I380" t="s">
        <v>870</v>
      </c>
      <c r="J380" t="s">
        <v>871</v>
      </c>
      <c r="K380" t="s">
        <v>872</v>
      </c>
      <c r="L380">
        <v>1367</v>
      </c>
      <c r="N380">
        <v>1011</v>
      </c>
      <c r="O380" t="s">
        <v>652</v>
      </c>
      <c r="P380" t="s">
        <v>652</v>
      </c>
      <c r="Q380">
        <v>1</v>
      </c>
      <c r="W380">
        <v>0</v>
      </c>
      <c r="X380">
        <v>506283845</v>
      </c>
      <c r="Y380">
        <v>4</v>
      </c>
      <c r="AA380">
        <v>0</v>
      </c>
      <c r="AB380">
        <v>535.48</v>
      </c>
      <c r="AC380">
        <v>378.74</v>
      </c>
      <c r="AD380">
        <v>0</v>
      </c>
      <c r="AE380">
        <v>0</v>
      </c>
      <c r="AF380">
        <v>44</v>
      </c>
      <c r="AG380">
        <v>15.44</v>
      </c>
      <c r="AH380">
        <v>0</v>
      </c>
      <c r="AI380">
        <v>1</v>
      </c>
      <c r="AJ380">
        <v>12.17</v>
      </c>
      <c r="AK380">
        <v>24.53</v>
      </c>
      <c r="AL380">
        <v>1</v>
      </c>
      <c r="AN380">
        <v>0</v>
      </c>
      <c r="AO380">
        <v>1</v>
      </c>
      <c r="AP380">
        <v>1</v>
      </c>
      <c r="AQ380">
        <v>0</v>
      </c>
      <c r="AR380">
        <v>0</v>
      </c>
      <c r="AS380" t="s">
        <v>3</v>
      </c>
      <c r="AT380">
        <v>0.4</v>
      </c>
      <c r="AU380" t="s">
        <v>618</v>
      </c>
      <c r="AV380">
        <v>0</v>
      </c>
      <c r="AW380">
        <v>2</v>
      </c>
      <c r="AX380">
        <v>33992866</v>
      </c>
      <c r="AY380">
        <v>1</v>
      </c>
      <c r="AZ380">
        <v>0</v>
      </c>
      <c r="BA380">
        <v>381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CX380">
        <f>Y380*Source!I1302</f>
        <v>129.72</v>
      </c>
      <c r="CY380">
        <f>AB380</f>
        <v>535.48</v>
      </c>
      <c r="CZ380">
        <f>AF380</f>
        <v>44</v>
      </c>
      <c r="DA380">
        <f>AJ380</f>
        <v>12.17</v>
      </c>
      <c r="DB380">
        <f t="shared" si="38"/>
        <v>176</v>
      </c>
      <c r="DC380">
        <f t="shared" si="39"/>
        <v>61.8</v>
      </c>
    </row>
    <row r="381" spans="1:107" x14ac:dyDescent="0.2">
      <c r="A381">
        <f>ROW(Source!A1302)</f>
        <v>1302</v>
      </c>
      <c r="B381">
        <v>33989672</v>
      </c>
      <c r="C381">
        <v>33992857</v>
      </c>
      <c r="D381">
        <v>30064095</v>
      </c>
      <c r="E381">
        <v>1</v>
      </c>
      <c r="F381">
        <v>1</v>
      </c>
      <c r="G381">
        <v>29983435</v>
      </c>
      <c r="H381">
        <v>2</v>
      </c>
      <c r="I381" t="s">
        <v>680</v>
      </c>
      <c r="J381" t="s">
        <v>681</v>
      </c>
      <c r="K381" t="s">
        <v>682</v>
      </c>
      <c r="L381">
        <v>1367</v>
      </c>
      <c r="N381">
        <v>1011</v>
      </c>
      <c r="O381" t="s">
        <v>652</v>
      </c>
      <c r="P381" t="s">
        <v>652</v>
      </c>
      <c r="Q381">
        <v>1</v>
      </c>
      <c r="W381">
        <v>0</v>
      </c>
      <c r="X381">
        <v>-628430174</v>
      </c>
      <c r="Y381">
        <v>0.2</v>
      </c>
      <c r="AA381">
        <v>0</v>
      </c>
      <c r="AB381">
        <v>721.25</v>
      </c>
      <c r="AC381">
        <v>352.25</v>
      </c>
      <c r="AD381">
        <v>0</v>
      </c>
      <c r="AE381">
        <v>0</v>
      </c>
      <c r="AF381">
        <v>76.81</v>
      </c>
      <c r="AG381">
        <v>14.36</v>
      </c>
      <c r="AH381">
        <v>0</v>
      </c>
      <c r="AI381">
        <v>1</v>
      </c>
      <c r="AJ381">
        <v>9.39</v>
      </c>
      <c r="AK381">
        <v>24.53</v>
      </c>
      <c r="AL381">
        <v>1</v>
      </c>
      <c r="AN381">
        <v>0</v>
      </c>
      <c r="AO381">
        <v>1</v>
      </c>
      <c r="AP381">
        <v>1</v>
      </c>
      <c r="AQ381">
        <v>0</v>
      </c>
      <c r="AR381">
        <v>0</v>
      </c>
      <c r="AS381" t="s">
        <v>3</v>
      </c>
      <c r="AT381">
        <v>0.02</v>
      </c>
      <c r="AU381" t="s">
        <v>618</v>
      </c>
      <c r="AV381">
        <v>0</v>
      </c>
      <c r="AW381">
        <v>2</v>
      </c>
      <c r="AX381">
        <v>33992867</v>
      </c>
      <c r="AY381">
        <v>1</v>
      </c>
      <c r="AZ381">
        <v>0</v>
      </c>
      <c r="BA381">
        <v>382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CX381">
        <f>Y381*Source!I1302</f>
        <v>6.4860000000000007</v>
      </c>
      <c r="CY381">
        <f>AB381</f>
        <v>721.25</v>
      </c>
      <c r="CZ381">
        <f>AF381</f>
        <v>76.81</v>
      </c>
      <c r="DA381">
        <f>AJ381</f>
        <v>9.39</v>
      </c>
      <c r="DB381">
        <f t="shared" si="38"/>
        <v>15.4</v>
      </c>
      <c r="DC381">
        <f t="shared" si="39"/>
        <v>2.9</v>
      </c>
    </row>
    <row r="382" spans="1:107" x14ac:dyDescent="0.2">
      <c r="A382">
        <f>ROW(Source!A1302)</f>
        <v>1302</v>
      </c>
      <c r="B382">
        <v>33989672</v>
      </c>
      <c r="C382">
        <v>33992857</v>
      </c>
      <c r="D382">
        <v>30063638</v>
      </c>
      <c r="E382">
        <v>1</v>
      </c>
      <c r="F382">
        <v>1</v>
      </c>
      <c r="G382">
        <v>29983435</v>
      </c>
      <c r="H382">
        <v>2</v>
      </c>
      <c r="I382" t="s">
        <v>879</v>
      </c>
      <c r="J382" t="s">
        <v>880</v>
      </c>
      <c r="K382" t="s">
        <v>881</v>
      </c>
      <c r="L382">
        <v>1367</v>
      </c>
      <c r="N382">
        <v>1011</v>
      </c>
      <c r="O382" t="s">
        <v>652</v>
      </c>
      <c r="P382" t="s">
        <v>652</v>
      </c>
      <c r="Q382">
        <v>1</v>
      </c>
      <c r="W382">
        <v>0</v>
      </c>
      <c r="X382">
        <v>761448849</v>
      </c>
      <c r="Y382">
        <v>4</v>
      </c>
      <c r="AA382">
        <v>0</v>
      </c>
      <c r="AB382">
        <v>466.63</v>
      </c>
      <c r="AC382">
        <v>411.37</v>
      </c>
      <c r="AD382">
        <v>0</v>
      </c>
      <c r="AE382">
        <v>0</v>
      </c>
      <c r="AF382">
        <v>36.57</v>
      </c>
      <c r="AG382">
        <v>16.77</v>
      </c>
      <c r="AH382">
        <v>0</v>
      </c>
      <c r="AI382">
        <v>1</v>
      </c>
      <c r="AJ382">
        <v>12.76</v>
      </c>
      <c r="AK382">
        <v>24.53</v>
      </c>
      <c r="AL382">
        <v>1</v>
      </c>
      <c r="AN382">
        <v>0</v>
      </c>
      <c r="AO382">
        <v>1</v>
      </c>
      <c r="AP382">
        <v>1</v>
      </c>
      <c r="AQ382">
        <v>0</v>
      </c>
      <c r="AR382">
        <v>0</v>
      </c>
      <c r="AS382" t="s">
        <v>3</v>
      </c>
      <c r="AT382">
        <v>0.4</v>
      </c>
      <c r="AU382" t="s">
        <v>618</v>
      </c>
      <c r="AV382">
        <v>0</v>
      </c>
      <c r="AW382">
        <v>2</v>
      </c>
      <c r="AX382">
        <v>33992868</v>
      </c>
      <c r="AY382">
        <v>1</v>
      </c>
      <c r="AZ382">
        <v>0</v>
      </c>
      <c r="BA382">
        <v>383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CX382">
        <f>Y382*Source!I1302</f>
        <v>129.72</v>
      </c>
      <c r="CY382">
        <f>AB382</f>
        <v>466.63</v>
      </c>
      <c r="CZ382">
        <f>AF382</f>
        <v>36.57</v>
      </c>
      <c r="DA382">
        <f>AJ382</f>
        <v>12.76</v>
      </c>
      <c r="DB382">
        <f t="shared" si="38"/>
        <v>146.30000000000001</v>
      </c>
      <c r="DC382">
        <f t="shared" si="39"/>
        <v>67.099999999999994</v>
      </c>
    </row>
    <row r="383" spans="1:107" x14ac:dyDescent="0.2">
      <c r="A383">
        <f>ROW(Source!A1302)</f>
        <v>1302</v>
      </c>
      <c r="B383">
        <v>33989672</v>
      </c>
      <c r="C383">
        <v>33992857</v>
      </c>
      <c r="D383">
        <v>29983439</v>
      </c>
      <c r="E383">
        <v>29983435</v>
      </c>
      <c r="F383">
        <v>1</v>
      </c>
      <c r="G383">
        <v>29983435</v>
      </c>
      <c r="H383">
        <v>2</v>
      </c>
      <c r="I383" t="s">
        <v>674</v>
      </c>
      <c r="J383" t="s">
        <v>3</v>
      </c>
      <c r="K383" t="s">
        <v>675</v>
      </c>
      <c r="L383">
        <v>1344</v>
      </c>
      <c r="N383">
        <v>1008</v>
      </c>
      <c r="O383" t="s">
        <v>676</v>
      </c>
      <c r="P383" t="s">
        <v>676</v>
      </c>
      <c r="Q383">
        <v>1</v>
      </c>
      <c r="W383">
        <v>0</v>
      </c>
      <c r="X383">
        <v>-1180195794</v>
      </c>
      <c r="Y383">
        <v>0.1</v>
      </c>
      <c r="AA383">
        <v>0</v>
      </c>
      <c r="AB383">
        <v>1</v>
      </c>
      <c r="AC383">
        <v>0</v>
      </c>
      <c r="AD383">
        <v>0</v>
      </c>
      <c r="AE383">
        <v>0</v>
      </c>
      <c r="AF383">
        <v>1</v>
      </c>
      <c r="AG383">
        <v>0</v>
      </c>
      <c r="AH383">
        <v>0</v>
      </c>
      <c r="AI383">
        <v>1</v>
      </c>
      <c r="AJ383">
        <v>1</v>
      </c>
      <c r="AK383">
        <v>1</v>
      </c>
      <c r="AL383">
        <v>1</v>
      </c>
      <c r="AN383">
        <v>0</v>
      </c>
      <c r="AO383">
        <v>1</v>
      </c>
      <c r="AP383">
        <v>1</v>
      </c>
      <c r="AQ383">
        <v>0</v>
      </c>
      <c r="AR383">
        <v>0</v>
      </c>
      <c r="AS383" t="s">
        <v>3</v>
      </c>
      <c r="AT383">
        <v>0.01</v>
      </c>
      <c r="AU383" t="s">
        <v>618</v>
      </c>
      <c r="AV383">
        <v>0</v>
      </c>
      <c r="AW383">
        <v>2</v>
      </c>
      <c r="AX383">
        <v>33992869</v>
      </c>
      <c r="AY383">
        <v>1</v>
      </c>
      <c r="AZ383">
        <v>0</v>
      </c>
      <c r="BA383">
        <v>384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CX383">
        <f>Y383*Source!I1302</f>
        <v>3.2430000000000003</v>
      </c>
      <c r="CY383">
        <f>AB383</f>
        <v>1</v>
      </c>
      <c r="CZ383">
        <f>AF383</f>
        <v>1</v>
      </c>
      <c r="DA383">
        <f>AJ383</f>
        <v>1</v>
      </c>
      <c r="DB383">
        <f t="shared" si="38"/>
        <v>0.1</v>
      </c>
      <c r="DC383">
        <f t="shared" si="39"/>
        <v>0</v>
      </c>
    </row>
    <row r="384" spans="1:107" x14ac:dyDescent="0.2">
      <c r="A384">
        <f>ROW(Source!A1302)</f>
        <v>1302</v>
      </c>
      <c r="B384">
        <v>33989672</v>
      </c>
      <c r="C384">
        <v>33992857</v>
      </c>
      <c r="D384">
        <v>30039587</v>
      </c>
      <c r="E384">
        <v>1</v>
      </c>
      <c r="F384">
        <v>1</v>
      </c>
      <c r="G384">
        <v>29983435</v>
      </c>
      <c r="H384">
        <v>3</v>
      </c>
      <c r="I384" t="s">
        <v>885</v>
      </c>
      <c r="J384" t="s">
        <v>886</v>
      </c>
      <c r="K384" t="s">
        <v>887</v>
      </c>
      <c r="L384">
        <v>1346</v>
      </c>
      <c r="N384">
        <v>1009</v>
      </c>
      <c r="O384" t="s">
        <v>300</v>
      </c>
      <c r="P384" t="s">
        <v>300</v>
      </c>
      <c r="Q384">
        <v>1</v>
      </c>
      <c r="W384">
        <v>0</v>
      </c>
      <c r="X384">
        <v>1820829807</v>
      </c>
      <c r="Y384">
        <v>420</v>
      </c>
      <c r="AA384">
        <v>188.83</v>
      </c>
      <c r="AB384">
        <v>0</v>
      </c>
      <c r="AC384">
        <v>0</v>
      </c>
      <c r="AD384">
        <v>0</v>
      </c>
      <c r="AE384">
        <v>69.17</v>
      </c>
      <c r="AF384">
        <v>0</v>
      </c>
      <c r="AG384">
        <v>0</v>
      </c>
      <c r="AH384">
        <v>0</v>
      </c>
      <c r="AI384">
        <v>2.73</v>
      </c>
      <c r="AJ384">
        <v>1</v>
      </c>
      <c r="AK384">
        <v>1</v>
      </c>
      <c r="AL384">
        <v>1</v>
      </c>
      <c r="AN384">
        <v>0</v>
      </c>
      <c r="AO384">
        <v>1</v>
      </c>
      <c r="AP384">
        <v>1</v>
      </c>
      <c r="AQ384">
        <v>0</v>
      </c>
      <c r="AR384">
        <v>0</v>
      </c>
      <c r="AS384" t="s">
        <v>3</v>
      </c>
      <c r="AT384">
        <v>42</v>
      </c>
      <c r="AU384" t="s">
        <v>618</v>
      </c>
      <c r="AV384">
        <v>0</v>
      </c>
      <c r="AW384">
        <v>2</v>
      </c>
      <c r="AX384">
        <v>33992870</v>
      </c>
      <c r="AY384">
        <v>1</v>
      </c>
      <c r="AZ384">
        <v>0</v>
      </c>
      <c r="BA384">
        <v>385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CX384">
        <f>Y384*Source!I1302</f>
        <v>13620.6</v>
      </c>
      <c r="CY384">
        <f>AA384</f>
        <v>188.83</v>
      </c>
      <c r="CZ384">
        <f>AE384</f>
        <v>69.17</v>
      </c>
      <c r="DA384">
        <f>AI384</f>
        <v>2.73</v>
      </c>
      <c r="DB384">
        <f t="shared" si="38"/>
        <v>29051.4</v>
      </c>
      <c r="DC384">
        <f t="shared" si="39"/>
        <v>0</v>
      </c>
    </row>
    <row r="385" spans="1:107" x14ac:dyDescent="0.2">
      <c r="A385">
        <f>ROW(Source!A1302)</f>
        <v>1302</v>
      </c>
      <c r="B385">
        <v>33989672</v>
      </c>
      <c r="C385">
        <v>33992857</v>
      </c>
      <c r="D385">
        <v>30039586</v>
      </c>
      <c r="E385">
        <v>1</v>
      </c>
      <c r="F385">
        <v>1</v>
      </c>
      <c r="G385">
        <v>29983435</v>
      </c>
      <c r="H385">
        <v>3</v>
      </c>
      <c r="I385" t="s">
        <v>611</v>
      </c>
      <c r="J385" t="s">
        <v>613</v>
      </c>
      <c r="K385" t="s">
        <v>612</v>
      </c>
      <c r="L385">
        <v>1346</v>
      </c>
      <c r="N385">
        <v>1009</v>
      </c>
      <c r="O385" t="s">
        <v>300</v>
      </c>
      <c r="P385" t="s">
        <v>300</v>
      </c>
      <c r="Q385">
        <v>1</v>
      </c>
      <c r="W385">
        <v>0</v>
      </c>
      <c r="X385">
        <v>2090190104</v>
      </c>
      <c r="Y385">
        <v>1470</v>
      </c>
      <c r="AA385">
        <v>17.54</v>
      </c>
      <c r="AB385">
        <v>0</v>
      </c>
      <c r="AC385">
        <v>0</v>
      </c>
      <c r="AD385">
        <v>0</v>
      </c>
      <c r="AE385">
        <v>7.22</v>
      </c>
      <c r="AF385">
        <v>0</v>
      </c>
      <c r="AG385">
        <v>0</v>
      </c>
      <c r="AH385">
        <v>0</v>
      </c>
      <c r="AI385">
        <v>2.4300000000000002</v>
      </c>
      <c r="AJ385">
        <v>1</v>
      </c>
      <c r="AK385">
        <v>1</v>
      </c>
      <c r="AL385">
        <v>1</v>
      </c>
      <c r="AN385">
        <v>0</v>
      </c>
      <c r="AO385">
        <v>0</v>
      </c>
      <c r="AP385">
        <v>1</v>
      </c>
      <c r="AQ385">
        <v>0</v>
      </c>
      <c r="AR385">
        <v>0</v>
      </c>
      <c r="AS385" t="s">
        <v>3</v>
      </c>
      <c r="AT385">
        <v>147</v>
      </c>
      <c r="AU385" t="s">
        <v>618</v>
      </c>
      <c r="AV385">
        <v>0</v>
      </c>
      <c r="AW385">
        <v>1</v>
      </c>
      <c r="AX385">
        <v>-1</v>
      </c>
      <c r="AY385">
        <v>0</v>
      </c>
      <c r="AZ385">
        <v>0</v>
      </c>
      <c r="BA385" t="s">
        <v>3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CX385">
        <f>Y385*Source!I1302</f>
        <v>47672.1</v>
      </c>
      <c r="CY385">
        <f>AA385</f>
        <v>17.54</v>
      </c>
      <c r="CZ385">
        <f>AE385</f>
        <v>7.22</v>
      </c>
      <c r="DA385">
        <f>AI385</f>
        <v>2.4300000000000002</v>
      </c>
      <c r="DB385">
        <f t="shared" si="38"/>
        <v>10613.4</v>
      </c>
      <c r="DC385">
        <f t="shared" si="39"/>
        <v>0</v>
      </c>
    </row>
    <row r="386" spans="1:107" x14ac:dyDescent="0.2">
      <c r="A386">
        <f>ROW(Source!A1304)</f>
        <v>1304</v>
      </c>
      <c r="B386">
        <v>33989672</v>
      </c>
      <c r="C386">
        <v>33992874</v>
      </c>
      <c r="D386">
        <v>29983441</v>
      </c>
      <c r="E386">
        <v>29983435</v>
      </c>
      <c r="F386">
        <v>1</v>
      </c>
      <c r="G386">
        <v>29983435</v>
      </c>
      <c r="H386">
        <v>1</v>
      </c>
      <c r="I386" t="s">
        <v>646</v>
      </c>
      <c r="J386" t="s">
        <v>3</v>
      </c>
      <c r="K386" t="s">
        <v>647</v>
      </c>
      <c r="L386">
        <v>1191</v>
      </c>
      <c r="N386">
        <v>1013</v>
      </c>
      <c r="O386" t="s">
        <v>648</v>
      </c>
      <c r="P386" t="s">
        <v>648</v>
      </c>
      <c r="Q386">
        <v>1</v>
      </c>
      <c r="W386">
        <v>0</v>
      </c>
      <c r="X386">
        <v>476480486</v>
      </c>
      <c r="Y386">
        <v>16.03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1</v>
      </c>
      <c r="AJ386">
        <v>1</v>
      </c>
      <c r="AK386">
        <v>1</v>
      </c>
      <c r="AL386">
        <v>1</v>
      </c>
      <c r="AN386">
        <v>0</v>
      </c>
      <c r="AO386">
        <v>1</v>
      </c>
      <c r="AP386">
        <v>0</v>
      </c>
      <c r="AQ386">
        <v>0</v>
      </c>
      <c r="AR386">
        <v>0</v>
      </c>
      <c r="AS386" t="s">
        <v>3</v>
      </c>
      <c r="AT386">
        <v>16.03</v>
      </c>
      <c r="AU386" t="s">
        <v>3</v>
      </c>
      <c r="AV386">
        <v>1</v>
      </c>
      <c r="AW386">
        <v>2</v>
      </c>
      <c r="AX386">
        <v>33992886</v>
      </c>
      <c r="AY386">
        <v>1</v>
      </c>
      <c r="AZ386">
        <v>0</v>
      </c>
      <c r="BA386">
        <v>388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CX386">
        <f>Y386*Source!I1304</f>
        <v>519.85289999999998</v>
      </c>
      <c r="CY386">
        <f>AD386</f>
        <v>0</v>
      </c>
      <c r="CZ386">
        <f>AH386</f>
        <v>0</v>
      </c>
      <c r="DA386">
        <f>AL386</f>
        <v>1</v>
      </c>
      <c r="DB386">
        <f t="shared" ref="DB386:DB403" si="40">ROUND(ROUND(AT386*CZ386,2),6)</f>
        <v>0</v>
      </c>
      <c r="DC386">
        <f t="shared" ref="DC386:DC403" si="41">ROUND(ROUND(AT386*AG386,2),6)</f>
        <v>0</v>
      </c>
    </row>
    <row r="387" spans="1:107" x14ac:dyDescent="0.2">
      <c r="A387">
        <f>ROW(Source!A1304)</f>
        <v>1304</v>
      </c>
      <c r="B387">
        <v>33989672</v>
      </c>
      <c r="C387">
        <v>33992874</v>
      </c>
      <c r="D387">
        <v>30064059</v>
      </c>
      <c r="E387">
        <v>1</v>
      </c>
      <c r="F387">
        <v>1</v>
      </c>
      <c r="G387">
        <v>29983435</v>
      </c>
      <c r="H387">
        <v>2</v>
      </c>
      <c r="I387" t="s">
        <v>870</v>
      </c>
      <c r="J387" t="s">
        <v>871</v>
      </c>
      <c r="K387" t="s">
        <v>872</v>
      </c>
      <c r="L387">
        <v>1367</v>
      </c>
      <c r="N387">
        <v>1011</v>
      </c>
      <c r="O387" t="s">
        <v>652</v>
      </c>
      <c r="P387" t="s">
        <v>652</v>
      </c>
      <c r="Q387">
        <v>1</v>
      </c>
      <c r="W387">
        <v>0</v>
      </c>
      <c r="X387">
        <v>506283845</v>
      </c>
      <c r="Y387">
        <v>2.11</v>
      </c>
      <c r="AA387">
        <v>0</v>
      </c>
      <c r="AB387">
        <v>535.48</v>
      </c>
      <c r="AC387">
        <v>378.74</v>
      </c>
      <c r="AD387">
        <v>0</v>
      </c>
      <c r="AE387">
        <v>0</v>
      </c>
      <c r="AF387">
        <v>44</v>
      </c>
      <c r="AG387">
        <v>15.44</v>
      </c>
      <c r="AH387">
        <v>0</v>
      </c>
      <c r="AI387">
        <v>1</v>
      </c>
      <c r="AJ387">
        <v>12.17</v>
      </c>
      <c r="AK387">
        <v>24.53</v>
      </c>
      <c r="AL387">
        <v>1</v>
      </c>
      <c r="AN387">
        <v>0</v>
      </c>
      <c r="AO387">
        <v>1</v>
      </c>
      <c r="AP387">
        <v>0</v>
      </c>
      <c r="AQ387">
        <v>0</v>
      </c>
      <c r="AR387">
        <v>0</v>
      </c>
      <c r="AS387" t="s">
        <v>3</v>
      </c>
      <c r="AT387">
        <v>2.11</v>
      </c>
      <c r="AU387" t="s">
        <v>3</v>
      </c>
      <c r="AV387">
        <v>0</v>
      </c>
      <c r="AW387">
        <v>2</v>
      </c>
      <c r="AX387">
        <v>33992887</v>
      </c>
      <c r="AY387">
        <v>1</v>
      </c>
      <c r="AZ387">
        <v>0</v>
      </c>
      <c r="BA387">
        <v>389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CX387">
        <f>Y387*Source!I1304</f>
        <v>68.427300000000002</v>
      </c>
      <c r="CY387">
        <f>AB387</f>
        <v>535.48</v>
      </c>
      <c r="CZ387">
        <f>AF387</f>
        <v>44</v>
      </c>
      <c r="DA387">
        <f>AJ387</f>
        <v>12.17</v>
      </c>
      <c r="DB387">
        <f t="shared" si="40"/>
        <v>92.84</v>
      </c>
      <c r="DC387">
        <f t="shared" si="41"/>
        <v>32.58</v>
      </c>
    </row>
    <row r="388" spans="1:107" x14ac:dyDescent="0.2">
      <c r="A388">
        <f>ROW(Source!A1304)</f>
        <v>1304</v>
      </c>
      <c r="B388">
        <v>33989672</v>
      </c>
      <c r="C388">
        <v>33992874</v>
      </c>
      <c r="D388">
        <v>30064095</v>
      </c>
      <c r="E388">
        <v>1</v>
      </c>
      <c r="F388">
        <v>1</v>
      </c>
      <c r="G388">
        <v>29983435</v>
      </c>
      <c r="H388">
        <v>2</v>
      </c>
      <c r="I388" t="s">
        <v>680</v>
      </c>
      <c r="J388" t="s">
        <v>681</v>
      </c>
      <c r="K388" t="s">
        <v>682</v>
      </c>
      <c r="L388">
        <v>1367</v>
      </c>
      <c r="N388">
        <v>1011</v>
      </c>
      <c r="O388" t="s">
        <v>652</v>
      </c>
      <c r="P388" t="s">
        <v>652</v>
      </c>
      <c r="Q388">
        <v>1</v>
      </c>
      <c r="W388">
        <v>0</v>
      </c>
      <c r="X388">
        <v>-628430174</v>
      </c>
      <c r="Y388">
        <v>0.1</v>
      </c>
      <c r="AA388">
        <v>0</v>
      </c>
      <c r="AB388">
        <v>721.25</v>
      </c>
      <c r="AC388">
        <v>352.25</v>
      </c>
      <c r="AD388">
        <v>0</v>
      </c>
      <c r="AE388">
        <v>0</v>
      </c>
      <c r="AF388">
        <v>76.81</v>
      </c>
      <c r="AG388">
        <v>14.36</v>
      </c>
      <c r="AH388">
        <v>0</v>
      </c>
      <c r="AI388">
        <v>1</v>
      </c>
      <c r="AJ388">
        <v>9.39</v>
      </c>
      <c r="AK388">
        <v>24.53</v>
      </c>
      <c r="AL388">
        <v>1</v>
      </c>
      <c r="AN388">
        <v>0</v>
      </c>
      <c r="AO388">
        <v>1</v>
      </c>
      <c r="AP388">
        <v>0</v>
      </c>
      <c r="AQ388">
        <v>0</v>
      </c>
      <c r="AR388">
        <v>0</v>
      </c>
      <c r="AS388" t="s">
        <v>3</v>
      </c>
      <c r="AT388">
        <v>0.1</v>
      </c>
      <c r="AU388" t="s">
        <v>3</v>
      </c>
      <c r="AV388">
        <v>0</v>
      </c>
      <c r="AW388">
        <v>2</v>
      </c>
      <c r="AX388">
        <v>33992888</v>
      </c>
      <c r="AY388">
        <v>1</v>
      </c>
      <c r="AZ388">
        <v>0</v>
      </c>
      <c r="BA388">
        <v>390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CX388">
        <f>Y388*Source!I1304</f>
        <v>3.2430000000000003</v>
      </c>
      <c r="CY388">
        <f>AB388</f>
        <v>721.25</v>
      </c>
      <c r="CZ388">
        <f>AF388</f>
        <v>76.81</v>
      </c>
      <c r="DA388">
        <f>AJ388</f>
        <v>9.39</v>
      </c>
      <c r="DB388">
        <f t="shared" si="40"/>
        <v>7.68</v>
      </c>
      <c r="DC388">
        <f t="shared" si="41"/>
        <v>1.44</v>
      </c>
    </row>
    <row r="389" spans="1:107" x14ac:dyDescent="0.2">
      <c r="A389">
        <f>ROW(Source!A1304)</f>
        <v>1304</v>
      </c>
      <c r="B389">
        <v>33989672</v>
      </c>
      <c r="C389">
        <v>33992874</v>
      </c>
      <c r="D389">
        <v>30064135</v>
      </c>
      <c r="E389">
        <v>1</v>
      </c>
      <c r="F389">
        <v>1</v>
      </c>
      <c r="G389">
        <v>29983435</v>
      </c>
      <c r="H389">
        <v>2</v>
      </c>
      <c r="I389" t="s">
        <v>873</v>
      </c>
      <c r="J389" t="s">
        <v>874</v>
      </c>
      <c r="K389" t="s">
        <v>875</v>
      </c>
      <c r="L389">
        <v>1367</v>
      </c>
      <c r="N389">
        <v>1011</v>
      </c>
      <c r="O389" t="s">
        <v>652</v>
      </c>
      <c r="P389" t="s">
        <v>652</v>
      </c>
      <c r="Q389">
        <v>1</v>
      </c>
      <c r="W389">
        <v>0</v>
      </c>
      <c r="X389">
        <v>950854334</v>
      </c>
      <c r="Y389">
        <v>0.94</v>
      </c>
      <c r="AA389">
        <v>0</v>
      </c>
      <c r="AB389">
        <v>32.119999999999997</v>
      </c>
      <c r="AC389">
        <v>2.4500000000000002</v>
      </c>
      <c r="AD389">
        <v>0</v>
      </c>
      <c r="AE389">
        <v>0</v>
      </c>
      <c r="AF389">
        <v>2.36</v>
      </c>
      <c r="AG389">
        <v>0.1</v>
      </c>
      <c r="AH389">
        <v>0</v>
      </c>
      <c r="AI389">
        <v>1</v>
      </c>
      <c r="AJ389">
        <v>13.61</v>
      </c>
      <c r="AK389">
        <v>24.53</v>
      </c>
      <c r="AL389">
        <v>1</v>
      </c>
      <c r="AN389">
        <v>0</v>
      </c>
      <c r="AO389">
        <v>1</v>
      </c>
      <c r="AP389">
        <v>0</v>
      </c>
      <c r="AQ389">
        <v>0</v>
      </c>
      <c r="AR389">
        <v>0</v>
      </c>
      <c r="AS389" t="s">
        <v>3</v>
      </c>
      <c r="AT389">
        <v>0.94</v>
      </c>
      <c r="AU389" t="s">
        <v>3</v>
      </c>
      <c r="AV389">
        <v>0</v>
      </c>
      <c r="AW389">
        <v>2</v>
      </c>
      <c r="AX389">
        <v>33992889</v>
      </c>
      <c r="AY389">
        <v>1</v>
      </c>
      <c r="AZ389">
        <v>0</v>
      </c>
      <c r="BA389">
        <v>391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CX389">
        <f>Y389*Source!I1304</f>
        <v>30.484199999999998</v>
      </c>
      <c r="CY389">
        <f>AB389</f>
        <v>32.119999999999997</v>
      </c>
      <c r="CZ389">
        <f>AF389</f>
        <v>2.36</v>
      </c>
      <c r="DA389">
        <f>AJ389</f>
        <v>13.61</v>
      </c>
      <c r="DB389">
        <f t="shared" si="40"/>
        <v>2.2200000000000002</v>
      </c>
      <c r="DC389">
        <f t="shared" si="41"/>
        <v>0.09</v>
      </c>
    </row>
    <row r="390" spans="1:107" x14ac:dyDescent="0.2">
      <c r="A390">
        <f>ROW(Source!A1304)</f>
        <v>1304</v>
      </c>
      <c r="B390">
        <v>33989672</v>
      </c>
      <c r="C390">
        <v>33992874</v>
      </c>
      <c r="D390">
        <v>30063429</v>
      </c>
      <c r="E390">
        <v>1</v>
      </c>
      <c r="F390">
        <v>1</v>
      </c>
      <c r="G390">
        <v>29983435</v>
      </c>
      <c r="H390">
        <v>2</v>
      </c>
      <c r="I390" t="s">
        <v>876</v>
      </c>
      <c r="J390" t="s">
        <v>877</v>
      </c>
      <c r="K390" t="s">
        <v>878</v>
      </c>
      <c r="L390">
        <v>1367</v>
      </c>
      <c r="N390">
        <v>1011</v>
      </c>
      <c r="O390" t="s">
        <v>652</v>
      </c>
      <c r="P390" t="s">
        <v>652</v>
      </c>
      <c r="Q390">
        <v>1</v>
      </c>
      <c r="W390">
        <v>0</v>
      </c>
      <c r="X390">
        <v>-1264716692</v>
      </c>
      <c r="Y390">
        <v>0.01</v>
      </c>
      <c r="AA390">
        <v>0</v>
      </c>
      <c r="AB390">
        <v>620.52</v>
      </c>
      <c r="AC390">
        <v>449.88</v>
      </c>
      <c r="AD390">
        <v>0</v>
      </c>
      <c r="AE390">
        <v>0</v>
      </c>
      <c r="AF390">
        <v>68.87</v>
      </c>
      <c r="AG390">
        <v>18.34</v>
      </c>
      <c r="AH390">
        <v>0</v>
      </c>
      <c r="AI390">
        <v>1</v>
      </c>
      <c r="AJ390">
        <v>9.01</v>
      </c>
      <c r="AK390">
        <v>24.53</v>
      </c>
      <c r="AL390">
        <v>1</v>
      </c>
      <c r="AN390">
        <v>0</v>
      </c>
      <c r="AO390">
        <v>1</v>
      </c>
      <c r="AP390">
        <v>0</v>
      </c>
      <c r="AQ390">
        <v>0</v>
      </c>
      <c r="AR390">
        <v>0</v>
      </c>
      <c r="AS390" t="s">
        <v>3</v>
      </c>
      <c r="AT390">
        <v>0.01</v>
      </c>
      <c r="AU390" t="s">
        <v>3</v>
      </c>
      <c r="AV390">
        <v>0</v>
      </c>
      <c r="AW390">
        <v>2</v>
      </c>
      <c r="AX390">
        <v>33992890</v>
      </c>
      <c r="AY390">
        <v>1</v>
      </c>
      <c r="AZ390">
        <v>0</v>
      </c>
      <c r="BA390">
        <v>392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CX390">
        <f>Y390*Source!I1304</f>
        <v>0.32429999999999998</v>
      </c>
      <c r="CY390">
        <f>AB390</f>
        <v>620.52</v>
      </c>
      <c r="CZ390">
        <f>AF390</f>
        <v>68.87</v>
      </c>
      <c r="DA390">
        <f>AJ390</f>
        <v>9.01</v>
      </c>
      <c r="DB390">
        <f t="shared" si="40"/>
        <v>0.69</v>
      </c>
      <c r="DC390">
        <f t="shared" si="41"/>
        <v>0.18</v>
      </c>
    </row>
    <row r="391" spans="1:107" x14ac:dyDescent="0.2">
      <c r="A391">
        <f>ROW(Source!A1304)</f>
        <v>1304</v>
      </c>
      <c r="B391">
        <v>33989672</v>
      </c>
      <c r="C391">
        <v>33992874</v>
      </c>
      <c r="D391">
        <v>30063638</v>
      </c>
      <c r="E391">
        <v>1</v>
      </c>
      <c r="F391">
        <v>1</v>
      </c>
      <c r="G391">
        <v>29983435</v>
      </c>
      <c r="H391">
        <v>2</v>
      </c>
      <c r="I391" t="s">
        <v>879</v>
      </c>
      <c r="J391" t="s">
        <v>880</v>
      </c>
      <c r="K391" t="s">
        <v>881</v>
      </c>
      <c r="L391">
        <v>1367</v>
      </c>
      <c r="N391">
        <v>1011</v>
      </c>
      <c r="O391" t="s">
        <v>652</v>
      </c>
      <c r="P391" t="s">
        <v>652</v>
      </c>
      <c r="Q391">
        <v>1</v>
      </c>
      <c r="W391">
        <v>0</v>
      </c>
      <c r="X391">
        <v>761448849</v>
      </c>
      <c r="Y391">
        <v>2.11</v>
      </c>
      <c r="AA391">
        <v>0</v>
      </c>
      <c r="AB391">
        <v>466.63</v>
      </c>
      <c r="AC391">
        <v>411.37</v>
      </c>
      <c r="AD391">
        <v>0</v>
      </c>
      <c r="AE391">
        <v>0</v>
      </c>
      <c r="AF391">
        <v>36.57</v>
      </c>
      <c r="AG391">
        <v>16.77</v>
      </c>
      <c r="AH391">
        <v>0</v>
      </c>
      <c r="AI391">
        <v>1</v>
      </c>
      <c r="AJ391">
        <v>12.76</v>
      </c>
      <c r="AK391">
        <v>24.53</v>
      </c>
      <c r="AL391">
        <v>1</v>
      </c>
      <c r="AN391">
        <v>0</v>
      </c>
      <c r="AO391">
        <v>1</v>
      </c>
      <c r="AP391">
        <v>0</v>
      </c>
      <c r="AQ391">
        <v>0</v>
      </c>
      <c r="AR391">
        <v>0</v>
      </c>
      <c r="AS391" t="s">
        <v>3</v>
      </c>
      <c r="AT391">
        <v>2.11</v>
      </c>
      <c r="AU391" t="s">
        <v>3</v>
      </c>
      <c r="AV391">
        <v>0</v>
      </c>
      <c r="AW391">
        <v>2</v>
      </c>
      <c r="AX391">
        <v>33992891</v>
      </c>
      <c r="AY391">
        <v>1</v>
      </c>
      <c r="AZ391">
        <v>0</v>
      </c>
      <c r="BA391">
        <v>393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CX391">
        <f>Y391*Source!I1304</f>
        <v>68.427300000000002</v>
      </c>
      <c r="CY391">
        <f>AB391</f>
        <v>466.63</v>
      </c>
      <c r="CZ391">
        <f>AF391</f>
        <v>36.57</v>
      </c>
      <c r="DA391">
        <f>AJ391</f>
        <v>12.76</v>
      </c>
      <c r="DB391">
        <f t="shared" si="40"/>
        <v>77.16</v>
      </c>
      <c r="DC391">
        <f t="shared" si="41"/>
        <v>35.380000000000003</v>
      </c>
    </row>
    <row r="392" spans="1:107" x14ac:dyDescent="0.2">
      <c r="A392">
        <f>ROW(Source!A1304)</f>
        <v>1304</v>
      </c>
      <c r="B392">
        <v>33989672</v>
      </c>
      <c r="C392">
        <v>33992874</v>
      </c>
      <c r="D392">
        <v>30041736</v>
      </c>
      <c r="E392">
        <v>1</v>
      </c>
      <c r="F392">
        <v>1</v>
      </c>
      <c r="G392">
        <v>29983435</v>
      </c>
      <c r="H392">
        <v>3</v>
      </c>
      <c r="I392" t="s">
        <v>882</v>
      </c>
      <c r="J392" t="s">
        <v>883</v>
      </c>
      <c r="K392" t="s">
        <v>884</v>
      </c>
      <c r="L392">
        <v>1348</v>
      </c>
      <c r="N392">
        <v>1009</v>
      </c>
      <c r="O392" t="s">
        <v>51</v>
      </c>
      <c r="P392" t="s">
        <v>51</v>
      </c>
      <c r="Q392">
        <v>1000</v>
      </c>
      <c r="W392">
        <v>0</v>
      </c>
      <c r="X392">
        <v>1594740613</v>
      </c>
      <c r="Y392">
        <v>3.15E-3</v>
      </c>
      <c r="AA392">
        <v>349096.93</v>
      </c>
      <c r="AB392">
        <v>0</v>
      </c>
      <c r="AC392">
        <v>0</v>
      </c>
      <c r="AD392">
        <v>0</v>
      </c>
      <c r="AE392">
        <v>6240.56</v>
      </c>
      <c r="AF392">
        <v>0</v>
      </c>
      <c r="AG392">
        <v>0</v>
      </c>
      <c r="AH392">
        <v>0</v>
      </c>
      <c r="AI392">
        <v>55.94</v>
      </c>
      <c r="AJ392">
        <v>1</v>
      </c>
      <c r="AK392">
        <v>1</v>
      </c>
      <c r="AL392">
        <v>1</v>
      </c>
      <c r="AN392">
        <v>0</v>
      </c>
      <c r="AO392">
        <v>1</v>
      </c>
      <c r="AP392">
        <v>0</v>
      </c>
      <c r="AQ392">
        <v>0</v>
      </c>
      <c r="AR392">
        <v>0</v>
      </c>
      <c r="AS392" t="s">
        <v>3</v>
      </c>
      <c r="AT392">
        <v>3.15E-3</v>
      </c>
      <c r="AU392" t="s">
        <v>3</v>
      </c>
      <c r="AV392">
        <v>0</v>
      </c>
      <c r="AW392">
        <v>2</v>
      </c>
      <c r="AX392">
        <v>33992892</v>
      </c>
      <c r="AY392">
        <v>1</v>
      </c>
      <c r="AZ392">
        <v>0</v>
      </c>
      <c r="BA392">
        <v>394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CX392">
        <f>Y392*Source!I1304</f>
        <v>0.1021545</v>
      </c>
      <c r="CY392">
        <f>AA392</f>
        <v>349096.93</v>
      </c>
      <c r="CZ392">
        <f>AE392</f>
        <v>6240.56</v>
      </c>
      <c r="DA392">
        <f>AI392</f>
        <v>55.94</v>
      </c>
      <c r="DB392">
        <f t="shared" si="40"/>
        <v>19.66</v>
      </c>
      <c r="DC392">
        <f t="shared" si="41"/>
        <v>0</v>
      </c>
    </row>
    <row r="393" spans="1:107" x14ac:dyDescent="0.2">
      <c r="A393">
        <f>ROW(Source!A1304)</f>
        <v>1304</v>
      </c>
      <c r="B393">
        <v>33989672</v>
      </c>
      <c r="C393">
        <v>33992874</v>
      </c>
      <c r="D393">
        <v>30039587</v>
      </c>
      <c r="E393">
        <v>1</v>
      </c>
      <c r="F393">
        <v>1</v>
      </c>
      <c r="G393">
        <v>29983435</v>
      </c>
      <c r="H393">
        <v>3</v>
      </c>
      <c r="I393" t="s">
        <v>885</v>
      </c>
      <c r="J393" t="s">
        <v>886</v>
      </c>
      <c r="K393" t="s">
        <v>887</v>
      </c>
      <c r="L393">
        <v>1346</v>
      </c>
      <c r="N393">
        <v>1009</v>
      </c>
      <c r="O393" t="s">
        <v>300</v>
      </c>
      <c r="P393" t="s">
        <v>300</v>
      </c>
      <c r="Q393">
        <v>1</v>
      </c>
      <c r="W393">
        <v>0</v>
      </c>
      <c r="X393">
        <v>1820829807</v>
      </c>
      <c r="Y393">
        <v>241.5</v>
      </c>
      <c r="AA393">
        <v>188.83</v>
      </c>
      <c r="AB393">
        <v>0</v>
      </c>
      <c r="AC393">
        <v>0</v>
      </c>
      <c r="AD393">
        <v>0</v>
      </c>
      <c r="AE393">
        <v>69.17</v>
      </c>
      <c r="AF393">
        <v>0</v>
      </c>
      <c r="AG393">
        <v>0</v>
      </c>
      <c r="AH393">
        <v>0</v>
      </c>
      <c r="AI393">
        <v>2.73</v>
      </c>
      <c r="AJ393">
        <v>1</v>
      </c>
      <c r="AK393">
        <v>1</v>
      </c>
      <c r="AL393">
        <v>1</v>
      </c>
      <c r="AN393">
        <v>0</v>
      </c>
      <c r="AO393">
        <v>1</v>
      </c>
      <c r="AP393">
        <v>0</v>
      </c>
      <c r="AQ393">
        <v>0</v>
      </c>
      <c r="AR393">
        <v>0</v>
      </c>
      <c r="AS393" t="s">
        <v>3</v>
      </c>
      <c r="AT393">
        <v>241.5</v>
      </c>
      <c r="AU393" t="s">
        <v>3</v>
      </c>
      <c r="AV393">
        <v>0</v>
      </c>
      <c r="AW393">
        <v>2</v>
      </c>
      <c r="AX393">
        <v>33992893</v>
      </c>
      <c r="AY393">
        <v>1</v>
      </c>
      <c r="AZ393">
        <v>0</v>
      </c>
      <c r="BA393">
        <v>395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CX393">
        <f>Y393*Source!I1304</f>
        <v>7831.8450000000003</v>
      </c>
      <c r="CY393">
        <f>AA393</f>
        <v>188.83</v>
      </c>
      <c r="CZ393">
        <f>AE393</f>
        <v>69.17</v>
      </c>
      <c r="DA393">
        <f>AI393</f>
        <v>2.73</v>
      </c>
      <c r="DB393">
        <f t="shared" si="40"/>
        <v>16704.560000000001</v>
      </c>
      <c r="DC393">
        <f t="shared" si="41"/>
        <v>0</v>
      </c>
    </row>
    <row r="394" spans="1:107" x14ac:dyDescent="0.2">
      <c r="A394">
        <f>ROW(Source!A1304)</f>
        <v>1304</v>
      </c>
      <c r="B394">
        <v>33989672</v>
      </c>
      <c r="C394">
        <v>33992874</v>
      </c>
      <c r="D394">
        <v>30039556</v>
      </c>
      <c r="E394">
        <v>1</v>
      </c>
      <c r="F394">
        <v>1</v>
      </c>
      <c r="G394">
        <v>29983435</v>
      </c>
      <c r="H394">
        <v>3</v>
      </c>
      <c r="I394" t="s">
        <v>622</v>
      </c>
      <c r="J394" t="s">
        <v>624</v>
      </c>
      <c r="K394" t="s">
        <v>623</v>
      </c>
      <c r="L394">
        <v>1346</v>
      </c>
      <c r="N394">
        <v>1009</v>
      </c>
      <c r="O394" t="s">
        <v>300</v>
      </c>
      <c r="P394" t="s">
        <v>300</v>
      </c>
      <c r="Q394">
        <v>1</v>
      </c>
      <c r="W394">
        <v>0</v>
      </c>
      <c r="X394">
        <v>-1987235172</v>
      </c>
      <c r="Y394">
        <v>735</v>
      </c>
      <c r="AA394">
        <v>85.56</v>
      </c>
      <c r="AB394">
        <v>0</v>
      </c>
      <c r="AC394">
        <v>0</v>
      </c>
      <c r="AD394">
        <v>0</v>
      </c>
      <c r="AE394">
        <v>17.18</v>
      </c>
      <c r="AF394">
        <v>0</v>
      </c>
      <c r="AG394">
        <v>0</v>
      </c>
      <c r="AH394">
        <v>0</v>
      </c>
      <c r="AI394">
        <v>4.9800000000000004</v>
      </c>
      <c r="AJ394">
        <v>1</v>
      </c>
      <c r="AK394">
        <v>1</v>
      </c>
      <c r="AL394">
        <v>1</v>
      </c>
      <c r="AN394">
        <v>0</v>
      </c>
      <c r="AO394">
        <v>0</v>
      </c>
      <c r="AP394">
        <v>0</v>
      </c>
      <c r="AQ394">
        <v>0</v>
      </c>
      <c r="AR394">
        <v>0</v>
      </c>
      <c r="AS394" t="s">
        <v>3</v>
      </c>
      <c r="AT394">
        <v>735</v>
      </c>
      <c r="AU394" t="s">
        <v>3</v>
      </c>
      <c r="AV394">
        <v>0</v>
      </c>
      <c r="AW394">
        <v>1</v>
      </c>
      <c r="AX394">
        <v>-1</v>
      </c>
      <c r="AY394">
        <v>0</v>
      </c>
      <c r="AZ394">
        <v>0</v>
      </c>
      <c r="BA394" t="s">
        <v>3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CX394">
        <f>Y394*Source!I1304</f>
        <v>23836.05</v>
      </c>
      <c r="CY394">
        <f>AA394</f>
        <v>85.56</v>
      </c>
      <c r="CZ394">
        <f>AE394</f>
        <v>17.18</v>
      </c>
      <c r="DA394">
        <f>AI394</f>
        <v>4.9800000000000004</v>
      </c>
      <c r="DB394">
        <f t="shared" si="40"/>
        <v>12627.3</v>
      </c>
      <c r="DC394">
        <f t="shared" si="41"/>
        <v>0</v>
      </c>
    </row>
    <row r="395" spans="1:107" x14ac:dyDescent="0.2">
      <c r="A395">
        <f>ROW(Source!A1304)</f>
        <v>1304</v>
      </c>
      <c r="B395">
        <v>33989672</v>
      </c>
      <c r="C395">
        <v>33992874</v>
      </c>
      <c r="D395">
        <v>30041923</v>
      </c>
      <c r="E395">
        <v>1</v>
      </c>
      <c r="F395">
        <v>1</v>
      </c>
      <c r="G395">
        <v>29983435</v>
      </c>
      <c r="H395">
        <v>3</v>
      </c>
      <c r="I395" t="s">
        <v>888</v>
      </c>
      <c r="J395" t="s">
        <v>889</v>
      </c>
      <c r="K395" t="s">
        <v>890</v>
      </c>
      <c r="L395">
        <v>1327</v>
      </c>
      <c r="N395">
        <v>1005</v>
      </c>
      <c r="O395" t="s">
        <v>411</v>
      </c>
      <c r="P395" t="s">
        <v>411</v>
      </c>
      <c r="Q395">
        <v>1</v>
      </c>
      <c r="W395">
        <v>0</v>
      </c>
      <c r="X395">
        <v>-1298941158</v>
      </c>
      <c r="Y395">
        <v>5.6</v>
      </c>
      <c r="AA395">
        <v>8.7799999999999994</v>
      </c>
      <c r="AB395">
        <v>0</v>
      </c>
      <c r="AC395">
        <v>0</v>
      </c>
      <c r="AD395">
        <v>0</v>
      </c>
      <c r="AE395">
        <v>3.66</v>
      </c>
      <c r="AF395">
        <v>0</v>
      </c>
      <c r="AG395">
        <v>0</v>
      </c>
      <c r="AH395">
        <v>0</v>
      </c>
      <c r="AI395">
        <v>2.4</v>
      </c>
      <c r="AJ395">
        <v>1</v>
      </c>
      <c r="AK395">
        <v>1</v>
      </c>
      <c r="AL395">
        <v>1</v>
      </c>
      <c r="AN395">
        <v>0</v>
      </c>
      <c r="AO395">
        <v>1</v>
      </c>
      <c r="AP395">
        <v>0</v>
      </c>
      <c r="AQ395">
        <v>0</v>
      </c>
      <c r="AR395">
        <v>0</v>
      </c>
      <c r="AS395" t="s">
        <v>3</v>
      </c>
      <c r="AT395">
        <v>5.6</v>
      </c>
      <c r="AU395" t="s">
        <v>3</v>
      </c>
      <c r="AV395">
        <v>0</v>
      </c>
      <c r="AW395">
        <v>2</v>
      </c>
      <c r="AX395">
        <v>33992894</v>
      </c>
      <c r="AY395">
        <v>1</v>
      </c>
      <c r="AZ395">
        <v>0</v>
      </c>
      <c r="BA395">
        <v>396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CX395">
        <f>Y395*Source!I1304</f>
        <v>181.60799999999998</v>
      </c>
      <c r="CY395">
        <f>AA395</f>
        <v>8.7799999999999994</v>
      </c>
      <c r="CZ395">
        <f>AE395</f>
        <v>3.66</v>
      </c>
      <c r="DA395">
        <f>AI395</f>
        <v>2.4</v>
      </c>
      <c r="DB395">
        <f t="shared" si="40"/>
        <v>20.5</v>
      </c>
      <c r="DC395">
        <f t="shared" si="41"/>
        <v>0</v>
      </c>
    </row>
    <row r="396" spans="1:107" x14ac:dyDescent="0.2">
      <c r="A396">
        <f>ROW(Source!A1304)</f>
        <v>1304</v>
      </c>
      <c r="B396">
        <v>33989672</v>
      </c>
      <c r="C396">
        <v>33992874</v>
      </c>
      <c r="D396">
        <v>29983437</v>
      </c>
      <c r="E396">
        <v>29983435</v>
      </c>
      <c r="F396">
        <v>1</v>
      </c>
      <c r="G396">
        <v>29983435</v>
      </c>
      <c r="H396">
        <v>3</v>
      </c>
      <c r="I396" t="s">
        <v>738</v>
      </c>
      <c r="J396" t="s">
        <v>3</v>
      </c>
      <c r="K396" t="s">
        <v>739</v>
      </c>
      <c r="L396">
        <v>1344</v>
      </c>
      <c r="N396">
        <v>1008</v>
      </c>
      <c r="O396" t="s">
        <v>676</v>
      </c>
      <c r="P396" t="s">
        <v>676</v>
      </c>
      <c r="Q396">
        <v>1</v>
      </c>
      <c r="W396">
        <v>0</v>
      </c>
      <c r="X396">
        <v>-94250534</v>
      </c>
      <c r="Y396">
        <v>0.01</v>
      </c>
      <c r="AA396">
        <v>1</v>
      </c>
      <c r="AB396">
        <v>0</v>
      </c>
      <c r="AC396">
        <v>0</v>
      </c>
      <c r="AD396">
        <v>0</v>
      </c>
      <c r="AE396">
        <v>1</v>
      </c>
      <c r="AF396">
        <v>0</v>
      </c>
      <c r="AG396">
        <v>0</v>
      </c>
      <c r="AH396">
        <v>0</v>
      </c>
      <c r="AI396">
        <v>1</v>
      </c>
      <c r="AJ396">
        <v>1</v>
      </c>
      <c r="AK396">
        <v>1</v>
      </c>
      <c r="AL396">
        <v>1</v>
      </c>
      <c r="AN396">
        <v>0</v>
      </c>
      <c r="AO396">
        <v>1</v>
      </c>
      <c r="AP396">
        <v>0</v>
      </c>
      <c r="AQ396">
        <v>0</v>
      </c>
      <c r="AR396">
        <v>0</v>
      </c>
      <c r="AS396" t="s">
        <v>3</v>
      </c>
      <c r="AT396">
        <v>0.01</v>
      </c>
      <c r="AU396" t="s">
        <v>3</v>
      </c>
      <c r="AV396">
        <v>0</v>
      </c>
      <c r="AW396">
        <v>2</v>
      </c>
      <c r="AX396">
        <v>33992897</v>
      </c>
      <c r="AY396">
        <v>1</v>
      </c>
      <c r="AZ396">
        <v>0</v>
      </c>
      <c r="BA396">
        <v>399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CX396">
        <f>Y396*Source!I1304</f>
        <v>0.32429999999999998</v>
      </c>
      <c r="CY396">
        <f>AA396</f>
        <v>1</v>
      </c>
      <c r="CZ396">
        <f>AE396</f>
        <v>1</v>
      </c>
      <c r="DA396">
        <f>AI396</f>
        <v>1</v>
      </c>
      <c r="DB396">
        <f t="shared" si="40"/>
        <v>0.01</v>
      </c>
      <c r="DC396">
        <f t="shared" si="41"/>
        <v>0</v>
      </c>
    </row>
    <row r="397" spans="1:107" x14ac:dyDescent="0.2">
      <c r="A397">
        <f>ROW(Source!A1342)</f>
        <v>1342</v>
      </c>
      <c r="B397">
        <v>33989672</v>
      </c>
      <c r="C397">
        <v>33992899</v>
      </c>
      <c r="D397">
        <v>29983441</v>
      </c>
      <c r="E397">
        <v>29983435</v>
      </c>
      <c r="F397">
        <v>1</v>
      </c>
      <c r="G397">
        <v>29983435</v>
      </c>
      <c r="H397">
        <v>1</v>
      </c>
      <c r="I397" t="s">
        <v>646</v>
      </c>
      <c r="J397" t="s">
        <v>3</v>
      </c>
      <c r="K397" t="s">
        <v>647</v>
      </c>
      <c r="L397">
        <v>1191</v>
      </c>
      <c r="N397">
        <v>1013</v>
      </c>
      <c r="O397" t="s">
        <v>648</v>
      </c>
      <c r="P397" t="s">
        <v>648</v>
      </c>
      <c r="Q397">
        <v>1</v>
      </c>
      <c r="W397">
        <v>0</v>
      </c>
      <c r="X397">
        <v>476480486</v>
      </c>
      <c r="Y397">
        <v>101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1</v>
      </c>
      <c r="AJ397">
        <v>1</v>
      </c>
      <c r="AK397">
        <v>1</v>
      </c>
      <c r="AL397">
        <v>1</v>
      </c>
      <c r="AN397">
        <v>0</v>
      </c>
      <c r="AO397">
        <v>1</v>
      </c>
      <c r="AP397">
        <v>0</v>
      </c>
      <c r="AQ397">
        <v>0</v>
      </c>
      <c r="AR397">
        <v>0</v>
      </c>
      <c r="AS397" t="s">
        <v>3</v>
      </c>
      <c r="AT397">
        <v>101</v>
      </c>
      <c r="AU397" t="s">
        <v>3</v>
      </c>
      <c r="AV397">
        <v>1</v>
      </c>
      <c r="AW397">
        <v>2</v>
      </c>
      <c r="AX397">
        <v>33992907</v>
      </c>
      <c r="AY397">
        <v>1</v>
      </c>
      <c r="AZ397">
        <v>0</v>
      </c>
      <c r="BA397">
        <v>400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CX397">
        <f>Y397*Source!I1342</f>
        <v>40.400000000000006</v>
      </c>
      <c r="CY397">
        <f>AD397</f>
        <v>0</v>
      </c>
      <c r="CZ397">
        <f>AH397</f>
        <v>0</v>
      </c>
      <c r="DA397">
        <f>AL397</f>
        <v>1</v>
      </c>
      <c r="DB397">
        <f t="shared" si="40"/>
        <v>0</v>
      </c>
      <c r="DC397">
        <f t="shared" si="41"/>
        <v>0</v>
      </c>
    </row>
    <row r="398" spans="1:107" x14ac:dyDescent="0.2">
      <c r="A398">
        <f>ROW(Source!A1342)</f>
        <v>1342</v>
      </c>
      <c r="B398">
        <v>33989672</v>
      </c>
      <c r="C398">
        <v>33992899</v>
      </c>
      <c r="D398">
        <v>30063609</v>
      </c>
      <c r="E398">
        <v>1</v>
      </c>
      <c r="F398">
        <v>1</v>
      </c>
      <c r="G398">
        <v>29983435</v>
      </c>
      <c r="H398">
        <v>2</v>
      </c>
      <c r="I398" t="s">
        <v>789</v>
      </c>
      <c r="J398" t="s">
        <v>790</v>
      </c>
      <c r="K398" t="s">
        <v>791</v>
      </c>
      <c r="L398">
        <v>1367</v>
      </c>
      <c r="N398">
        <v>1011</v>
      </c>
      <c r="O398" t="s">
        <v>652</v>
      </c>
      <c r="P398" t="s">
        <v>652</v>
      </c>
      <c r="Q398">
        <v>1</v>
      </c>
      <c r="W398">
        <v>0</v>
      </c>
      <c r="X398">
        <v>-888321550</v>
      </c>
      <c r="Y398">
        <v>2.4</v>
      </c>
      <c r="AA398">
        <v>0</v>
      </c>
      <c r="AB398">
        <v>655.48</v>
      </c>
      <c r="AC398">
        <v>343.64</v>
      </c>
      <c r="AD398">
        <v>0</v>
      </c>
      <c r="AE398">
        <v>0</v>
      </c>
      <c r="AF398">
        <v>58.51</v>
      </c>
      <c r="AG398">
        <v>13.38</v>
      </c>
      <c r="AH398">
        <v>0</v>
      </c>
      <c r="AI398">
        <v>1</v>
      </c>
      <c r="AJ398">
        <v>10.7</v>
      </c>
      <c r="AK398">
        <v>24.53</v>
      </c>
      <c r="AL398">
        <v>1</v>
      </c>
      <c r="AN398">
        <v>0</v>
      </c>
      <c r="AO398">
        <v>1</v>
      </c>
      <c r="AP398">
        <v>0</v>
      </c>
      <c r="AQ398">
        <v>0</v>
      </c>
      <c r="AR398">
        <v>0</v>
      </c>
      <c r="AS398" t="s">
        <v>3</v>
      </c>
      <c r="AT398">
        <v>2.4</v>
      </c>
      <c r="AU398" t="s">
        <v>3</v>
      </c>
      <c r="AV398">
        <v>0</v>
      </c>
      <c r="AW398">
        <v>2</v>
      </c>
      <c r="AX398">
        <v>33992908</v>
      </c>
      <c r="AY398">
        <v>1</v>
      </c>
      <c r="AZ398">
        <v>0</v>
      </c>
      <c r="BA398">
        <v>401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CX398">
        <f>Y398*Source!I1342</f>
        <v>0.96</v>
      </c>
      <c r="CY398">
        <f>AB398</f>
        <v>655.48</v>
      </c>
      <c r="CZ398">
        <f>AF398</f>
        <v>58.51</v>
      </c>
      <c r="DA398">
        <f>AJ398</f>
        <v>10.7</v>
      </c>
      <c r="DB398">
        <f t="shared" si="40"/>
        <v>140.41999999999999</v>
      </c>
      <c r="DC398">
        <f t="shared" si="41"/>
        <v>32.11</v>
      </c>
    </row>
    <row r="399" spans="1:107" x14ac:dyDescent="0.2">
      <c r="A399">
        <f>ROW(Source!A1342)</f>
        <v>1342</v>
      </c>
      <c r="B399">
        <v>33989672</v>
      </c>
      <c r="C399">
        <v>33992899</v>
      </c>
      <c r="D399">
        <v>29983439</v>
      </c>
      <c r="E399">
        <v>29983435</v>
      </c>
      <c r="F399">
        <v>1</v>
      </c>
      <c r="G399">
        <v>29983435</v>
      </c>
      <c r="H399">
        <v>2</v>
      </c>
      <c r="I399" t="s">
        <v>674</v>
      </c>
      <c r="J399" t="s">
        <v>3</v>
      </c>
      <c r="K399" t="s">
        <v>675</v>
      </c>
      <c r="L399">
        <v>1344</v>
      </c>
      <c r="N399">
        <v>1008</v>
      </c>
      <c r="O399" t="s">
        <v>676</v>
      </c>
      <c r="P399" t="s">
        <v>676</v>
      </c>
      <c r="Q399">
        <v>1</v>
      </c>
      <c r="W399">
        <v>0</v>
      </c>
      <c r="X399">
        <v>-1180195794</v>
      </c>
      <c r="Y399">
        <v>19.350000000000001</v>
      </c>
      <c r="AA399">
        <v>0</v>
      </c>
      <c r="AB399">
        <v>1.05</v>
      </c>
      <c r="AC399">
        <v>0</v>
      </c>
      <c r="AD399">
        <v>0</v>
      </c>
      <c r="AE399">
        <v>0</v>
      </c>
      <c r="AF399">
        <v>1</v>
      </c>
      <c r="AG399">
        <v>0</v>
      </c>
      <c r="AH399">
        <v>0</v>
      </c>
      <c r="AI399">
        <v>1</v>
      </c>
      <c r="AJ399">
        <v>1</v>
      </c>
      <c r="AK399">
        <v>1</v>
      </c>
      <c r="AL399">
        <v>1</v>
      </c>
      <c r="AN399">
        <v>0</v>
      </c>
      <c r="AO399">
        <v>1</v>
      </c>
      <c r="AP399">
        <v>0</v>
      </c>
      <c r="AQ399">
        <v>0</v>
      </c>
      <c r="AR399">
        <v>0</v>
      </c>
      <c r="AS399" t="s">
        <v>3</v>
      </c>
      <c r="AT399">
        <v>19.350000000000001</v>
      </c>
      <c r="AU399" t="s">
        <v>3</v>
      </c>
      <c r="AV399">
        <v>0</v>
      </c>
      <c r="AW399">
        <v>2</v>
      </c>
      <c r="AX399">
        <v>33992909</v>
      </c>
      <c r="AY399">
        <v>1</v>
      </c>
      <c r="AZ399">
        <v>0</v>
      </c>
      <c r="BA399">
        <v>402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CX399">
        <f>Y399*Source!I1342</f>
        <v>7.7400000000000011</v>
      </c>
      <c r="CY399">
        <f>AB399</f>
        <v>1.05</v>
      </c>
      <c r="CZ399">
        <f>AF399</f>
        <v>1</v>
      </c>
      <c r="DA399">
        <f>AJ399</f>
        <v>1</v>
      </c>
      <c r="DB399">
        <f t="shared" si="40"/>
        <v>19.350000000000001</v>
      </c>
      <c r="DC399">
        <f t="shared" si="41"/>
        <v>0</v>
      </c>
    </row>
    <row r="400" spans="1:107" x14ac:dyDescent="0.2">
      <c r="A400">
        <f>ROW(Source!A1342)</f>
        <v>1342</v>
      </c>
      <c r="B400">
        <v>33989672</v>
      </c>
      <c r="C400">
        <v>33992899</v>
      </c>
      <c r="D400">
        <v>30042537</v>
      </c>
      <c r="E400">
        <v>1</v>
      </c>
      <c r="F400">
        <v>1</v>
      </c>
      <c r="G400">
        <v>29983435</v>
      </c>
      <c r="H400">
        <v>3</v>
      </c>
      <c r="I400" t="s">
        <v>467</v>
      </c>
      <c r="J400" t="s">
        <v>469</v>
      </c>
      <c r="K400" t="s">
        <v>468</v>
      </c>
      <c r="L400">
        <v>1339</v>
      </c>
      <c r="N400">
        <v>1007</v>
      </c>
      <c r="O400" t="s">
        <v>66</v>
      </c>
      <c r="P400" t="s">
        <v>66</v>
      </c>
      <c r="Q400">
        <v>1</v>
      </c>
      <c r="W400">
        <v>0</v>
      </c>
      <c r="X400">
        <v>-862991314</v>
      </c>
      <c r="Y400">
        <v>0.14280000000000001</v>
      </c>
      <c r="AA400">
        <v>35.39</v>
      </c>
      <c r="AB400">
        <v>0</v>
      </c>
      <c r="AC400">
        <v>0</v>
      </c>
      <c r="AD400">
        <v>0</v>
      </c>
      <c r="AE400">
        <v>7.07</v>
      </c>
      <c r="AF400">
        <v>0</v>
      </c>
      <c r="AG400">
        <v>0</v>
      </c>
      <c r="AH400">
        <v>0</v>
      </c>
      <c r="AI400">
        <v>4.99</v>
      </c>
      <c r="AJ400">
        <v>1</v>
      </c>
      <c r="AK400">
        <v>1</v>
      </c>
      <c r="AL400">
        <v>1</v>
      </c>
      <c r="AN400">
        <v>0</v>
      </c>
      <c r="AO400">
        <v>0</v>
      </c>
      <c r="AP400">
        <v>0</v>
      </c>
      <c r="AQ400">
        <v>0</v>
      </c>
      <c r="AR400">
        <v>0</v>
      </c>
      <c r="AS400" t="s">
        <v>3</v>
      </c>
      <c r="AT400">
        <v>0.14280000000000001</v>
      </c>
      <c r="AU400" t="s">
        <v>3</v>
      </c>
      <c r="AV400">
        <v>0</v>
      </c>
      <c r="AW400">
        <v>1</v>
      </c>
      <c r="AX400">
        <v>-1</v>
      </c>
      <c r="AY400">
        <v>0</v>
      </c>
      <c r="AZ400">
        <v>0</v>
      </c>
      <c r="BA400" t="s">
        <v>3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CX400">
        <f>Y400*Source!I1342</f>
        <v>5.7120000000000004E-2</v>
      </c>
      <c r="CY400">
        <f>AA400</f>
        <v>35.39</v>
      </c>
      <c r="CZ400">
        <f>AE400</f>
        <v>7.07</v>
      </c>
      <c r="DA400">
        <f>AI400</f>
        <v>4.99</v>
      </c>
      <c r="DB400">
        <f t="shared" si="40"/>
        <v>1.01</v>
      </c>
      <c r="DC400">
        <f t="shared" si="41"/>
        <v>0</v>
      </c>
    </row>
    <row r="401" spans="1:107" x14ac:dyDescent="0.2">
      <c r="A401">
        <f>ROW(Source!A1342)</f>
        <v>1342</v>
      </c>
      <c r="B401">
        <v>33989672</v>
      </c>
      <c r="C401">
        <v>33992899</v>
      </c>
      <c r="D401">
        <v>30057552</v>
      </c>
      <c r="E401">
        <v>1</v>
      </c>
      <c r="F401">
        <v>1</v>
      </c>
      <c r="G401">
        <v>29983435</v>
      </c>
      <c r="H401">
        <v>3</v>
      </c>
      <c r="I401" t="s">
        <v>475</v>
      </c>
      <c r="J401" t="s">
        <v>477</v>
      </c>
      <c r="K401" t="s">
        <v>476</v>
      </c>
      <c r="L401">
        <v>1339</v>
      </c>
      <c r="N401">
        <v>1007</v>
      </c>
      <c r="O401" t="s">
        <v>66</v>
      </c>
      <c r="P401" t="s">
        <v>66</v>
      </c>
      <c r="Q401">
        <v>1</v>
      </c>
      <c r="W401">
        <v>0</v>
      </c>
      <c r="X401">
        <v>202608499</v>
      </c>
      <c r="Y401">
        <v>2.04</v>
      </c>
      <c r="AA401">
        <v>3232.17</v>
      </c>
      <c r="AB401">
        <v>0</v>
      </c>
      <c r="AC401">
        <v>0</v>
      </c>
      <c r="AD401">
        <v>0</v>
      </c>
      <c r="AE401">
        <v>481.69</v>
      </c>
      <c r="AF401">
        <v>0</v>
      </c>
      <c r="AG401">
        <v>0</v>
      </c>
      <c r="AH401">
        <v>0</v>
      </c>
      <c r="AI401">
        <v>6.69</v>
      </c>
      <c r="AJ401">
        <v>1</v>
      </c>
      <c r="AK401">
        <v>1</v>
      </c>
      <c r="AL401">
        <v>1</v>
      </c>
      <c r="AN401">
        <v>0</v>
      </c>
      <c r="AO401">
        <v>0</v>
      </c>
      <c r="AP401">
        <v>0</v>
      </c>
      <c r="AQ401">
        <v>0</v>
      </c>
      <c r="AR401">
        <v>0</v>
      </c>
      <c r="AS401" t="s">
        <v>3</v>
      </c>
      <c r="AT401">
        <v>2.04</v>
      </c>
      <c r="AU401" t="s">
        <v>3</v>
      </c>
      <c r="AV401">
        <v>0</v>
      </c>
      <c r="AW401">
        <v>1</v>
      </c>
      <c r="AX401">
        <v>-1</v>
      </c>
      <c r="AY401">
        <v>0</v>
      </c>
      <c r="AZ401">
        <v>0</v>
      </c>
      <c r="BA401" t="s">
        <v>3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CX401">
        <f>Y401*Source!I1342</f>
        <v>0.81600000000000006</v>
      </c>
      <c r="CY401">
        <f>AA401</f>
        <v>3232.17</v>
      </c>
      <c r="CZ401">
        <f>AE401</f>
        <v>481.69</v>
      </c>
      <c r="DA401">
        <f>AI401</f>
        <v>6.69</v>
      </c>
      <c r="DB401">
        <f t="shared" si="40"/>
        <v>982.65</v>
      </c>
      <c r="DC401">
        <f t="shared" si="41"/>
        <v>0</v>
      </c>
    </row>
    <row r="402" spans="1:107" x14ac:dyDescent="0.2">
      <c r="A402">
        <f>ROW(Source!A1342)</f>
        <v>1342</v>
      </c>
      <c r="B402">
        <v>33989672</v>
      </c>
      <c r="C402">
        <v>33992899</v>
      </c>
      <c r="D402">
        <v>30057654</v>
      </c>
      <c r="E402">
        <v>1</v>
      </c>
      <c r="F402">
        <v>1</v>
      </c>
      <c r="G402">
        <v>29983435</v>
      </c>
      <c r="H402">
        <v>3</v>
      </c>
      <c r="I402" t="s">
        <v>632</v>
      </c>
      <c r="J402" t="s">
        <v>634</v>
      </c>
      <c r="K402" t="s">
        <v>633</v>
      </c>
      <c r="L402">
        <v>1348</v>
      </c>
      <c r="N402">
        <v>1009</v>
      </c>
      <c r="O402" t="s">
        <v>51</v>
      </c>
      <c r="P402" t="s">
        <v>51</v>
      </c>
      <c r="Q402">
        <v>1000</v>
      </c>
      <c r="W402">
        <v>0</v>
      </c>
      <c r="X402">
        <v>1606119865</v>
      </c>
      <c r="Y402">
        <v>0.81599999999999995</v>
      </c>
      <c r="AA402">
        <v>33641.39</v>
      </c>
      <c r="AB402">
        <v>0</v>
      </c>
      <c r="AC402">
        <v>0</v>
      </c>
      <c r="AD402">
        <v>0</v>
      </c>
      <c r="AE402">
        <v>18737.86</v>
      </c>
      <c r="AF402">
        <v>0</v>
      </c>
      <c r="AG402">
        <v>0</v>
      </c>
      <c r="AH402">
        <v>0</v>
      </c>
      <c r="AI402">
        <v>1.79</v>
      </c>
      <c r="AJ402">
        <v>1</v>
      </c>
      <c r="AK402">
        <v>1</v>
      </c>
      <c r="AL402">
        <v>1</v>
      </c>
      <c r="AN402">
        <v>0</v>
      </c>
      <c r="AO402">
        <v>0</v>
      </c>
      <c r="AP402">
        <v>0</v>
      </c>
      <c r="AQ402">
        <v>0</v>
      </c>
      <c r="AR402">
        <v>0</v>
      </c>
      <c r="AS402" t="s">
        <v>3</v>
      </c>
      <c r="AT402">
        <v>0.81599999999999995</v>
      </c>
      <c r="AU402" t="s">
        <v>3</v>
      </c>
      <c r="AV402">
        <v>0</v>
      </c>
      <c r="AW402">
        <v>1</v>
      </c>
      <c r="AX402">
        <v>-1</v>
      </c>
      <c r="AY402">
        <v>0</v>
      </c>
      <c r="AZ402">
        <v>0</v>
      </c>
      <c r="BA402" t="s">
        <v>3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CX402">
        <f>Y402*Source!I1342</f>
        <v>0.32640000000000002</v>
      </c>
      <c r="CY402">
        <f>AA402</f>
        <v>33641.39</v>
      </c>
      <c r="CZ402">
        <f>AE402</f>
        <v>18737.86</v>
      </c>
      <c r="DA402">
        <f>AI402</f>
        <v>1.79</v>
      </c>
      <c r="DB402">
        <f t="shared" si="40"/>
        <v>15290.09</v>
      </c>
      <c r="DC402">
        <f t="shared" si="41"/>
        <v>0</v>
      </c>
    </row>
    <row r="403" spans="1:107" x14ac:dyDescent="0.2">
      <c r="A403">
        <f>ROW(Source!A1342)</f>
        <v>1342</v>
      </c>
      <c r="B403">
        <v>33989672</v>
      </c>
      <c r="C403">
        <v>33992899</v>
      </c>
      <c r="D403">
        <v>29983437</v>
      </c>
      <c r="E403">
        <v>29983435</v>
      </c>
      <c r="F403">
        <v>1</v>
      </c>
      <c r="G403">
        <v>29983435</v>
      </c>
      <c r="H403">
        <v>3</v>
      </c>
      <c r="I403" t="s">
        <v>738</v>
      </c>
      <c r="J403" t="s">
        <v>3</v>
      </c>
      <c r="K403" t="s">
        <v>739</v>
      </c>
      <c r="L403">
        <v>1344</v>
      </c>
      <c r="N403">
        <v>1008</v>
      </c>
      <c r="O403" t="s">
        <v>676</v>
      </c>
      <c r="P403" t="s">
        <v>676</v>
      </c>
      <c r="Q403">
        <v>1</v>
      </c>
      <c r="W403">
        <v>0</v>
      </c>
      <c r="X403">
        <v>-94250534</v>
      </c>
      <c r="Y403">
        <v>1.41</v>
      </c>
      <c r="AA403">
        <v>1</v>
      </c>
      <c r="AB403">
        <v>0</v>
      </c>
      <c r="AC403">
        <v>0</v>
      </c>
      <c r="AD403">
        <v>0</v>
      </c>
      <c r="AE403">
        <v>1</v>
      </c>
      <c r="AF403">
        <v>0</v>
      </c>
      <c r="AG403">
        <v>0</v>
      </c>
      <c r="AH403">
        <v>0</v>
      </c>
      <c r="AI403">
        <v>1</v>
      </c>
      <c r="AJ403">
        <v>1</v>
      </c>
      <c r="AK403">
        <v>1</v>
      </c>
      <c r="AL403">
        <v>1</v>
      </c>
      <c r="AN403">
        <v>0</v>
      </c>
      <c r="AO403">
        <v>1</v>
      </c>
      <c r="AP403">
        <v>0</v>
      </c>
      <c r="AQ403">
        <v>0</v>
      </c>
      <c r="AR403">
        <v>0</v>
      </c>
      <c r="AS403" t="s">
        <v>3</v>
      </c>
      <c r="AT403">
        <v>1.41</v>
      </c>
      <c r="AU403" t="s">
        <v>3</v>
      </c>
      <c r="AV403">
        <v>0</v>
      </c>
      <c r="AW403">
        <v>2</v>
      </c>
      <c r="AX403">
        <v>33992913</v>
      </c>
      <c r="AY403">
        <v>1</v>
      </c>
      <c r="AZ403">
        <v>0</v>
      </c>
      <c r="BA403">
        <v>406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CX403">
        <f>Y403*Source!I1342</f>
        <v>0.56399999999999995</v>
      </c>
      <c r="CY403">
        <f>AA403</f>
        <v>1</v>
      </c>
      <c r="CZ403">
        <f>AE403</f>
        <v>1</v>
      </c>
      <c r="DA403">
        <f>AI403</f>
        <v>1</v>
      </c>
      <c r="DB403">
        <f t="shared" si="40"/>
        <v>1.41</v>
      </c>
      <c r="DC403">
        <f t="shared" si="41"/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Смета по ТСН-2001</vt:lpstr>
      <vt:lpstr>Ведомость объемов работ</vt:lpstr>
      <vt:lpstr>Дефектная ведомость</vt:lpstr>
      <vt:lpstr>Объектная смета</vt:lpstr>
      <vt:lpstr>RV_DATA</vt:lpstr>
      <vt:lpstr>Расчет стоимости ресурсов</vt:lpstr>
      <vt:lpstr>Source</vt:lpstr>
      <vt:lpstr>SourceObSm</vt:lpstr>
      <vt:lpstr>SmtRes</vt:lpstr>
      <vt:lpstr>EtalonRes</vt:lpstr>
      <vt:lpstr>'Ведомость объемов работ'!Заголовки_для_печати</vt:lpstr>
      <vt:lpstr>'Дефектная ведомость'!Заголовки_для_печати</vt:lpstr>
      <vt:lpstr>'Объектная смета'!Заголовки_для_печати</vt:lpstr>
      <vt:lpstr>'Расчет стоимости ресурсов'!Заголовки_для_печати</vt:lpstr>
      <vt:lpstr>'Смета по ТСН-2001'!Заголовки_для_печати</vt:lpstr>
      <vt:lpstr>'Ведомость объемов работ'!Область_печати</vt:lpstr>
      <vt:lpstr>'Дефектная ведомость'!Область_печати</vt:lpstr>
      <vt:lpstr>'Расчет стоимости ресурсов'!Область_печати</vt:lpstr>
      <vt:lpstr>'Смета по ТСН-2001'!Область_печати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2021-03-05T20:13:04Z</dcterms:created>
  <dcterms:modified xsi:type="dcterms:W3CDTF">2021-03-09T12:02:51Z</dcterms:modified>
</cp:coreProperties>
</file>