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ригорий\Desktop\"/>
    </mc:Choice>
  </mc:AlternateContent>
  <bookViews>
    <workbookView xWindow="0" yWindow="0" windowWidth="28800" windowHeight="12000"/>
  </bookViews>
  <sheets>
    <sheet name="Смета СН-2012 по гл. 1-5" sheetId="5" r:id="rId1"/>
    <sheet name="RV_DATA" sheetId="7" state="hidden" r:id="rId2"/>
    <sheet name="Расчет стоимости ресурсов" sheetId="6" r:id="rId3"/>
    <sheet name="Дефектная ведомость" sheetId="8" r:id="rId4"/>
    <sheet name="Ведомость объемов работ" sheetId="9" r:id="rId5"/>
    <sheet name="Source" sheetId="1" r:id="rId6"/>
    <sheet name="SourceObSm" sheetId="2" state="hidden" r:id="rId7"/>
    <sheet name="SmtRes" sheetId="3" state="hidden" r:id="rId8"/>
    <sheet name="EtalonRes" sheetId="4" state="hidden" r:id="rId9"/>
  </sheets>
  <definedNames>
    <definedName name="_xlnm.Print_Titles" localSheetId="4">'Ведомость объемов работ'!$18:$18</definedName>
    <definedName name="_xlnm.Print_Titles" localSheetId="3">'Дефектная ведомость'!$18:$18</definedName>
    <definedName name="_xlnm.Print_Titles" localSheetId="2">'Расчет стоимости ресурсов'!$4:$7</definedName>
    <definedName name="_xlnm.Print_Titles" localSheetId="0">'Смета СН-2012 по гл. 1-5'!$30:$30</definedName>
    <definedName name="_xlnm.Print_Area" localSheetId="4">'Ведомость объемов работ'!$A$1:$D$66</definedName>
    <definedName name="_xlnm.Print_Area" localSheetId="3">'Дефектная ведомость'!$A$1:$E$66</definedName>
    <definedName name="_xlnm.Print_Area" localSheetId="2">'Расчет стоимости ресурсов'!$A$1:$F$26</definedName>
    <definedName name="_xlnm.Print_Area" localSheetId="0">'Смета СН-2012 по гл. 1-5'!$A$1:$K$464</definedName>
  </definedNames>
  <calcPr calcId="162913"/>
</workbook>
</file>

<file path=xl/calcChain.xml><?xml version="1.0" encoding="utf-8"?>
<calcChain xmlns="http://schemas.openxmlformats.org/spreadsheetml/2006/main">
  <c r="G6" i="5" l="1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D43" i="9"/>
  <c r="C43" i="9"/>
  <c r="B43" i="9"/>
  <c r="D42" i="9"/>
  <c r="C42" i="9"/>
  <c r="B42" i="9"/>
  <c r="D41" i="9"/>
  <c r="C41" i="9"/>
  <c r="B41" i="9"/>
  <c r="D40" i="9"/>
  <c r="C40" i="9"/>
  <c r="B40" i="9"/>
  <c r="D39" i="9"/>
  <c r="C39" i="9"/>
  <c r="B39" i="9"/>
  <c r="D38" i="9"/>
  <c r="C38" i="9"/>
  <c r="B38" i="9"/>
  <c r="D37" i="9"/>
  <c r="C37" i="9"/>
  <c r="B37" i="9"/>
  <c r="D36" i="9"/>
  <c r="C36" i="9"/>
  <c r="B36" i="9"/>
  <c r="D35" i="9"/>
  <c r="C35" i="9"/>
  <c r="B35" i="9"/>
  <c r="D34" i="9"/>
  <c r="C34" i="9"/>
  <c r="B34" i="9"/>
  <c r="D33" i="9"/>
  <c r="C33" i="9"/>
  <c r="B33" i="9"/>
  <c r="D32" i="9"/>
  <c r="C32" i="9"/>
  <c r="B32" i="9"/>
  <c r="D31" i="9"/>
  <c r="C31" i="9"/>
  <c r="B31" i="9"/>
  <c r="D30" i="9"/>
  <c r="C30" i="9"/>
  <c r="B30" i="9"/>
  <c r="D29" i="9"/>
  <c r="C29" i="9"/>
  <c r="B29" i="9"/>
  <c r="D28" i="9"/>
  <c r="C28" i="9"/>
  <c r="B2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A20" i="9"/>
  <c r="A19" i="9"/>
  <c r="A12" i="9"/>
  <c r="A11" i="9"/>
  <c r="A1" i="9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D43" i="8"/>
  <c r="C43" i="8"/>
  <c r="B43" i="8"/>
  <c r="D42" i="8"/>
  <c r="C42" i="8"/>
  <c r="B42" i="8"/>
  <c r="D41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D33" i="8"/>
  <c r="C33" i="8"/>
  <c r="B33" i="8"/>
  <c r="D32" i="8"/>
  <c r="C32" i="8"/>
  <c r="B32" i="8"/>
  <c r="D31" i="8"/>
  <c r="C31" i="8"/>
  <c r="B31" i="8"/>
  <c r="D30" i="8"/>
  <c r="C30" i="8"/>
  <c r="B30" i="8"/>
  <c r="D29" i="8"/>
  <c r="C29" i="8"/>
  <c r="B29" i="8"/>
  <c r="D28" i="8"/>
  <c r="C28" i="8"/>
  <c r="B28" i="8"/>
  <c r="D27" i="8"/>
  <c r="C27" i="8"/>
  <c r="B27" i="8"/>
  <c r="D26" i="8"/>
  <c r="C26" i="8"/>
  <c r="B26" i="8"/>
  <c r="D25" i="8"/>
  <c r="C25" i="8"/>
  <c r="B25" i="8"/>
  <c r="D24" i="8"/>
  <c r="C24" i="8"/>
  <c r="B24" i="8"/>
  <c r="D23" i="8"/>
  <c r="C23" i="8"/>
  <c r="B23" i="8"/>
  <c r="D22" i="8"/>
  <c r="C22" i="8"/>
  <c r="B22" i="8"/>
  <c r="D21" i="8"/>
  <c r="C21" i="8"/>
  <c r="B21" i="8"/>
  <c r="A20" i="8"/>
  <c r="A19" i="8"/>
  <c r="A12" i="8"/>
  <c r="A11" i="8"/>
  <c r="A1" i="8"/>
  <c r="E24" i="6"/>
  <c r="E11" i="6"/>
  <c r="D23" i="6"/>
  <c r="D22" i="6"/>
  <c r="D21" i="6"/>
  <c r="D20" i="6"/>
  <c r="D19" i="6"/>
  <c r="D18" i="6"/>
  <c r="D17" i="6"/>
  <c r="D16" i="6"/>
  <c r="F15" i="6"/>
  <c r="E15" i="6"/>
  <c r="D15" i="6"/>
  <c r="F13" i="6"/>
  <c r="E13" i="6"/>
  <c r="D13" i="6"/>
  <c r="F12" i="6"/>
  <c r="E12" i="6"/>
  <c r="D12" i="6"/>
  <c r="F14" i="6"/>
  <c r="E14" i="6"/>
  <c r="D14" i="6"/>
  <c r="A9" i="6"/>
  <c r="A8" i="6"/>
  <c r="U57" i="7"/>
  <c r="S57" i="7"/>
  <c r="P57" i="7"/>
  <c r="N57" i="7"/>
  <c r="K57" i="7"/>
  <c r="I57" i="7"/>
  <c r="D24" i="6" s="1"/>
  <c r="H57" i="7"/>
  <c r="G57" i="7"/>
  <c r="F57" i="7"/>
  <c r="E57" i="7"/>
  <c r="D57" i="7"/>
  <c r="A57" i="7"/>
  <c r="U56" i="7"/>
  <c r="T56" i="7"/>
  <c r="R56" i="7"/>
  <c r="Q56" i="7"/>
  <c r="S56" i="7"/>
  <c r="P56" i="7"/>
  <c r="O56" i="7"/>
  <c r="F11" i="6" s="1"/>
  <c r="M56" i="7"/>
  <c r="L56" i="7"/>
  <c r="N56" i="7"/>
  <c r="K56" i="7"/>
  <c r="J56" i="7"/>
  <c r="I56" i="7"/>
  <c r="D11" i="6" s="1"/>
  <c r="H56" i="7"/>
  <c r="G56" i="7"/>
  <c r="F56" i="7"/>
  <c r="E56" i="7"/>
  <c r="A56" i="7"/>
  <c r="U55" i="7"/>
  <c r="T55" i="7"/>
  <c r="S55" i="7"/>
  <c r="R55" i="7"/>
  <c r="P55" i="7"/>
  <c r="I55" i="7"/>
  <c r="H55" i="7"/>
  <c r="G55" i="7"/>
  <c r="F55" i="7"/>
  <c r="E55" i="7"/>
  <c r="D55" i="7"/>
  <c r="A55" i="7"/>
  <c r="U54" i="7"/>
  <c r="T54" i="7"/>
  <c r="S54" i="7"/>
  <c r="R54" i="7"/>
  <c r="P54" i="7"/>
  <c r="O54" i="7"/>
  <c r="N54" i="7"/>
  <c r="M54" i="7"/>
  <c r="K54" i="7"/>
  <c r="I54" i="7"/>
  <c r="H54" i="7"/>
  <c r="G54" i="7"/>
  <c r="F54" i="7"/>
  <c r="E54" i="7"/>
  <c r="D54" i="7"/>
  <c r="A54" i="7"/>
  <c r="U53" i="7"/>
  <c r="T53" i="7"/>
  <c r="R53" i="7"/>
  <c r="Q53" i="7"/>
  <c r="S53" i="7"/>
  <c r="P53" i="7"/>
  <c r="O53" i="7"/>
  <c r="M53" i="7"/>
  <c r="L53" i="7"/>
  <c r="N53" i="7"/>
  <c r="K53" i="7"/>
  <c r="J53" i="7"/>
  <c r="I53" i="7"/>
  <c r="H53" i="7"/>
  <c r="G53" i="7"/>
  <c r="F53" i="7"/>
  <c r="E53" i="7"/>
  <c r="A53" i="7"/>
  <c r="U52" i="7"/>
  <c r="T52" i="7"/>
  <c r="R52" i="7"/>
  <c r="Q52" i="7"/>
  <c r="S52" i="7"/>
  <c r="P52" i="7"/>
  <c r="O52" i="7"/>
  <c r="M52" i="7"/>
  <c r="L52" i="7"/>
  <c r="N52" i="7"/>
  <c r="K52" i="7"/>
  <c r="J52" i="7"/>
  <c r="I52" i="7"/>
  <c r="H52" i="7"/>
  <c r="G52" i="7"/>
  <c r="F52" i="7"/>
  <c r="E52" i="7"/>
  <c r="A52" i="7"/>
  <c r="U51" i="7"/>
  <c r="T51" i="7"/>
  <c r="R51" i="7"/>
  <c r="Q51" i="7"/>
  <c r="S51" i="7"/>
  <c r="P51" i="7"/>
  <c r="O51" i="7"/>
  <c r="M51" i="7"/>
  <c r="L51" i="7"/>
  <c r="N51" i="7"/>
  <c r="K51" i="7"/>
  <c r="J51" i="7"/>
  <c r="I51" i="7"/>
  <c r="H51" i="7"/>
  <c r="G51" i="7"/>
  <c r="F51" i="7"/>
  <c r="E51" i="7"/>
  <c r="A51" i="7"/>
  <c r="U50" i="7"/>
  <c r="T50" i="7"/>
  <c r="R50" i="7"/>
  <c r="Q50" i="7"/>
  <c r="S50" i="7"/>
  <c r="P50" i="7"/>
  <c r="O50" i="7"/>
  <c r="M50" i="7"/>
  <c r="L50" i="7"/>
  <c r="N50" i="7"/>
  <c r="K50" i="7"/>
  <c r="J50" i="7"/>
  <c r="I50" i="7"/>
  <c r="H50" i="7"/>
  <c r="G50" i="7"/>
  <c r="F50" i="7"/>
  <c r="E50" i="7"/>
  <c r="A50" i="7"/>
  <c r="U49" i="7"/>
  <c r="T49" i="7"/>
  <c r="S49" i="7"/>
  <c r="R49" i="7"/>
  <c r="P49" i="7"/>
  <c r="I49" i="7"/>
  <c r="H49" i="7"/>
  <c r="G49" i="7"/>
  <c r="F49" i="7"/>
  <c r="E49" i="7"/>
  <c r="D49" i="7"/>
  <c r="A49" i="7"/>
  <c r="U48" i="7"/>
  <c r="T48" i="7"/>
  <c r="S48" i="7"/>
  <c r="R48" i="7"/>
  <c r="P48" i="7"/>
  <c r="O48" i="7"/>
  <c r="N48" i="7"/>
  <c r="M48" i="7"/>
  <c r="K48" i="7"/>
  <c r="I48" i="7"/>
  <c r="H48" i="7"/>
  <c r="G48" i="7"/>
  <c r="F48" i="7"/>
  <c r="E48" i="7"/>
  <c r="D48" i="7"/>
  <c r="A48" i="7"/>
  <c r="U47" i="7"/>
  <c r="T47" i="7"/>
  <c r="R47" i="7"/>
  <c r="Q47" i="7"/>
  <c r="S47" i="7"/>
  <c r="P47" i="7"/>
  <c r="O47" i="7"/>
  <c r="M47" i="7"/>
  <c r="L47" i="7"/>
  <c r="N47" i="7"/>
  <c r="K47" i="7"/>
  <c r="J47" i="7"/>
  <c r="I47" i="7"/>
  <c r="H47" i="7"/>
  <c r="G47" i="7"/>
  <c r="F47" i="7"/>
  <c r="E47" i="7"/>
  <c r="A47" i="7"/>
  <c r="U46" i="7"/>
  <c r="T46" i="7"/>
  <c r="R46" i="7"/>
  <c r="Q46" i="7"/>
  <c r="S46" i="7"/>
  <c r="P46" i="7"/>
  <c r="O46" i="7"/>
  <c r="M46" i="7"/>
  <c r="L46" i="7"/>
  <c r="N46" i="7"/>
  <c r="K46" i="7"/>
  <c r="J46" i="7"/>
  <c r="I46" i="7"/>
  <c r="H46" i="7"/>
  <c r="G46" i="7"/>
  <c r="F46" i="7"/>
  <c r="E46" i="7"/>
  <c r="A46" i="7"/>
  <c r="U45" i="7"/>
  <c r="T45" i="7"/>
  <c r="R45" i="7"/>
  <c r="Q45" i="7"/>
  <c r="S45" i="7"/>
  <c r="P45" i="7"/>
  <c r="O45" i="7"/>
  <c r="M45" i="7"/>
  <c r="L45" i="7"/>
  <c r="N45" i="7"/>
  <c r="K45" i="7"/>
  <c r="J45" i="7"/>
  <c r="I45" i="7"/>
  <c r="H45" i="7"/>
  <c r="G45" i="7"/>
  <c r="F45" i="7"/>
  <c r="E45" i="7"/>
  <c r="A45" i="7"/>
  <c r="U44" i="7"/>
  <c r="T44" i="7"/>
  <c r="R44" i="7"/>
  <c r="Q44" i="7"/>
  <c r="S44" i="7"/>
  <c r="P44" i="7"/>
  <c r="O44" i="7"/>
  <c r="M44" i="7"/>
  <c r="L44" i="7"/>
  <c r="N44" i="7"/>
  <c r="K44" i="7"/>
  <c r="J44" i="7"/>
  <c r="I44" i="7"/>
  <c r="H44" i="7"/>
  <c r="G44" i="7"/>
  <c r="F44" i="7"/>
  <c r="E44" i="7"/>
  <c r="A44" i="7"/>
  <c r="U43" i="7"/>
  <c r="T43" i="7"/>
  <c r="S43" i="7"/>
  <c r="R43" i="7"/>
  <c r="P43" i="7"/>
  <c r="I43" i="7"/>
  <c r="H43" i="7"/>
  <c r="G43" i="7"/>
  <c r="F43" i="7"/>
  <c r="E43" i="7"/>
  <c r="D43" i="7"/>
  <c r="A43" i="7"/>
  <c r="U42" i="7"/>
  <c r="T42" i="7"/>
  <c r="S42" i="7"/>
  <c r="R42" i="7"/>
  <c r="P42" i="7"/>
  <c r="O42" i="7"/>
  <c r="N42" i="7"/>
  <c r="M42" i="7"/>
  <c r="K42" i="7"/>
  <c r="I42" i="7"/>
  <c r="H42" i="7"/>
  <c r="G42" i="7"/>
  <c r="F42" i="7"/>
  <c r="E42" i="7"/>
  <c r="D42" i="7"/>
  <c r="A42" i="7"/>
  <c r="U41" i="7"/>
  <c r="T41" i="7"/>
  <c r="R41" i="7"/>
  <c r="Q41" i="7"/>
  <c r="S41" i="7"/>
  <c r="P41" i="7"/>
  <c r="O41" i="7"/>
  <c r="M41" i="7"/>
  <c r="L41" i="7"/>
  <c r="N41" i="7"/>
  <c r="K41" i="7"/>
  <c r="J41" i="7"/>
  <c r="I41" i="7"/>
  <c r="H41" i="7"/>
  <c r="G41" i="7"/>
  <c r="F41" i="7"/>
  <c r="E41" i="7"/>
  <c r="A41" i="7"/>
  <c r="U40" i="7"/>
  <c r="T40" i="7"/>
  <c r="R40" i="7"/>
  <c r="Q40" i="7"/>
  <c r="S40" i="7"/>
  <c r="P40" i="7"/>
  <c r="O40" i="7"/>
  <c r="M40" i="7"/>
  <c r="L40" i="7"/>
  <c r="N40" i="7"/>
  <c r="K40" i="7"/>
  <c r="J40" i="7"/>
  <c r="I40" i="7"/>
  <c r="H40" i="7"/>
  <c r="G40" i="7"/>
  <c r="F40" i="7"/>
  <c r="E40" i="7"/>
  <c r="A40" i="7"/>
  <c r="U39" i="7"/>
  <c r="T39" i="7"/>
  <c r="R39" i="7"/>
  <c r="Q39" i="7"/>
  <c r="S39" i="7"/>
  <c r="P39" i="7"/>
  <c r="O39" i="7"/>
  <c r="M39" i="7"/>
  <c r="L39" i="7"/>
  <c r="N39" i="7"/>
  <c r="K39" i="7"/>
  <c r="J39" i="7"/>
  <c r="I39" i="7"/>
  <c r="H39" i="7"/>
  <c r="G39" i="7"/>
  <c r="F39" i="7"/>
  <c r="E39" i="7"/>
  <c r="A39" i="7"/>
  <c r="U38" i="7"/>
  <c r="T38" i="7"/>
  <c r="R38" i="7"/>
  <c r="Q38" i="7"/>
  <c r="S38" i="7"/>
  <c r="P38" i="7"/>
  <c r="O38" i="7"/>
  <c r="M38" i="7"/>
  <c r="L38" i="7"/>
  <c r="N38" i="7"/>
  <c r="K38" i="7"/>
  <c r="J38" i="7"/>
  <c r="I38" i="7"/>
  <c r="H38" i="7"/>
  <c r="G38" i="7"/>
  <c r="F38" i="7"/>
  <c r="E38" i="7"/>
  <c r="A38" i="7"/>
  <c r="U37" i="7"/>
  <c r="T37" i="7"/>
  <c r="S37" i="7"/>
  <c r="R37" i="7"/>
  <c r="P37" i="7"/>
  <c r="I37" i="7"/>
  <c r="H37" i="7"/>
  <c r="G37" i="7"/>
  <c r="F37" i="7"/>
  <c r="E37" i="7"/>
  <c r="D37" i="7"/>
  <c r="A37" i="7"/>
  <c r="U36" i="7"/>
  <c r="T36" i="7"/>
  <c r="S36" i="7"/>
  <c r="R36" i="7"/>
  <c r="P36" i="7"/>
  <c r="O36" i="7"/>
  <c r="N36" i="7"/>
  <c r="M36" i="7"/>
  <c r="K36" i="7"/>
  <c r="I36" i="7"/>
  <c r="H36" i="7"/>
  <c r="G36" i="7"/>
  <c r="F36" i="7"/>
  <c r="E36" i="7"/>
  <c r="D36" i="7"/>
  <c r="A36" i="7"/>
  <c r="U35" i="7"/>
  <c r="T35" i="7"/>
  <c r="R35" i="7"/>
  <c r="Q35" i="7"/>
  <c r="S35" i="7"/>
  <c r="P35" i="7"/>
  <c r="O35" i="7"/>
  <c r="M35" i="7"/>
  <c r="L35" i="7"/>
  <c r="N35" i="7"/>
  <c r="K35" i="7"/>
  <c r="J35" i="7"/>
  <c r="I35" i="7"/>
  <c r="H35" i="7"/>
  <c r="G35" i="7"/>
  <c r="F35" i="7"/>
  <c r="E35" i="7"/>
  <c r="A35" i="7"/>
  <c r="U34" i="7"/>
  <c r="T34" i="7"/>
  <c r="R34" i="7"/>
  <c r="Q34" i="7"/>
  <c r="S34" i="7"/>
  <c r="P34" i="7"/>
  <c r="O34" i="7"/>
  <c r="M34" i="7"/>
  <c r="L34" i="7"/>
  <c r="N34" i="7"/>
  <c r="K34" i="7"/>
  <c r="J34" i="7"/>
  <c r="I34" i="7"/>
  <c r="H34" i="7"/>
  <c r="G34" i="7"/>
  <c r="F34" i="7"/>
  <c r="E34" i="7"/>
  <c r="A34" i="7"/>
  <c r="U33" i="7"/>
  <c r="T33" i="7"/>
  <c r="R33" i="7"/>
  <c r="Q33" i="7"/>
  <c r="S33" i="7"/>
  <c r="P33" i="7"/>
  <c r="O33" i="7"/>
  <c r="M33" i="7"/>
  <c r="L33" i="7"/>
  <c r="N33" i="7"/>
  <c r="K33" i="7"/>
  <c r="J33" i="7"/>
  <c r="I33" i="7"/>
  <c r="H33" i="7"/>
  <c r="G33" i="7"/>
  <c r="F33" i="7"/>
  <c r="E33" i="7"/>
  <c r="A33" i="7"/>
  <c r="U32" i="7"/>
  <c r="T32" i="7"/>
  <c r="R32" i="7"/>
  <c r="Q32" i="7"/>
  <c r="S32" i="7"/>
  <c r="P32" i="7"/>
  <c r="O32" i="7"/>
  <c r="M32" i="7"/>
  <c r="L32" i="7"/>
  <c r="N32" i="7"/>
  <c r="K32" i="7"/>
  <c r="J32" i="7"/>
  <c r="I32" i="7"/>
  <c r="H32" i="7"/>
  <c r="G32" i="7"/>
  <c r="F32" i="7"/>
  <c r="E32" i="7"/>
  <c r="A32" i="7"/>
  <c r="U31" i="7"/>
  <c r="T31" i="7"/>
  <c r="S31" i="7"/>
  <c r="R31" i="7"/>
  <c r="P31" i="7"/>
  <c r="I31" i="7"/>
  <c r="H31" i="7"/>
  <c r="G31" i="7"/>
  <c r="F31" i="7"/>
  <c r="E31" i="7"/>
  <c r="D31" i="7"/>
  <c r="A31" i="7"/>
  <c r="U30" i="7"/>
  <c r="T30" i="7"/>
  <c r="S30" i="7"/>
  <c r="R30" i="7"/>
  <c r="P30" i="7"/>
  <c r="O30" i="7"/>
  <c r="N30" i="7"/>
  <c r="M30" i="7"/>
  <c r="K30" i="7"/>
  <c r="I30" i="7"/>
  <c r="H30" i="7"/>
  <c r="G30" i="7"/>
  <c r="F30" i="7"/>
  <c r="E30" i="7"/>
  <c r="D30" i="7"/>
  <c r="A30" i="7"/>
  <c r="U29" i="7"/>
  <c r="T29" i="7"/>
  <c r="R29" i="7"/>
  <c r="Q29" i="7"/>
  <c r="S29" i="7"/>
  <c r="P29" i="7"/>
  <c r="O29" i="7"/>
  <c r="M29" i="7"/>
  <c r="L29" i="7"/>
  <c r="N29" i="7"/>
  <c r="K29" i="7"/>
  <c r="J29" i="7"/>
  <c r="I29" i="7"/>
  <c r="H29" i="7"/>
  <c r="G29" i="7"/>
  <c r="F29" i="7"/>
  <c r="E29" i="7"/>
  <c r="A29" i="7"/>
  <c r="U28" i="7"/>
  <c r="T28" i="7"/>
  <c r="R28" i="7"/>
  <c r="Q28" i="7"/>
  <c r="S28" i="7"/>
  <c r="P28" i="7"/>
  <c r="O28" i="7"/>
  <c r="M28" i="7"/>
  <c r="L28" i="7"/>
  <c r="N28" i="7"/>
  <c r="K28" i="7"/>
  <c r="J28" i="7"/>
  <c r="I28" i="7"/>
  <c r="H28" i="7"/>
  <c r="G28" i="7"/>
  <c r="F28" i="7"/>
  <c r="E28" i="7"/>
  <c r="A28" i="7"/>
  <c r="U27" i="7"/>
  <c r="T27" i="7"/>
  <c r="R27" i="7"/>
  <c r="Q27" i="7"/>
  <c r="S27" i="7"/>
  <c r="P27" i="7"/>
  <c r="O27" i="7"/>
  <c r="M27" i="7"/>
  <c r="L27" i="7"/>
  <c r="N27" i="7"/>
  <c r="K27" i="7"/>
  <c r="J27" i="7"/>
  <c r="I27" i="7"/>
  <c r="H27" i="7"/>
  <c r="G27" i="7"/>
  <c r="F27" i="7"/>
  <c r="E27" i="7"/>
  <c r="A27" i="7"/>
  <c r="U26" i="7"/>
  <c r="T26" i="7"/>
  <c r="R26" i="7"/>
  <c r="Q26" i="7"/>
  <c r="S26" i="7"/>
  <c r="P26" i="7"/>
  <c r="O26" i="7"/>
  <c r="M26" i="7"/>
  <c r="L26" i="7"/>
  <c r="N26" i="7"/>
  <c r="K26" i="7"/>
  <c r="J26" i="7"/>
  <c r="I26" i="7"/>
  <c r="H26" i="7"/>
  <c r="G26" i="7"/>
  <c r="F26" i="7"/>
  <c r="E26" i="7"/>
  <c r="A26" i="7"/>
  <c r="U25" i="7"/>
  <c r="T25" i="7"/>
  <c r="S25" i="7"/>
  <c r="R25" i="7"/>
  <c r="P25" i="7"/>
  <c r="I25" i="7"/>
  <c r="H25" i="7"/>
  <c r="G25" i="7"/>
  <c r="F25" i="7"/>
  <c r="E25" i="7"/>
  <c r="D25" i="7"/>
  <c r="A25" i="7"/>
  <c r="U24" i="7"/>
  <c r="T24" i="7"/>
  <c r="S24" i="7"/>
  <c r="R24" i="7"/>
  <c r="P24" i="7"/>
  <c r="O24" i="7"/>
  <c r="N24" i="7"/>
  <c r="M24" i="7"/>
  <c r="K24" i="7"/>
  <c r="I24" i="7"/>
  <c r="H24" i="7"/>
  <c r="G24" i="7"/>
  <c r="F24" i="7"/>
  <c r="E24" i="7"/>
  <c r="D24" i="7"/>
  <c r="A24" i="7"/>
  <c r="U23" i="7"/>
  <c r="T23" i="7"/>
  <c r="R23" i="7"/>
  <c r="Q23" i="7"/>
  <c r="S23" i="7"/>
  <c r="P23" i="7"/>
  <c r="O23" i="7"/>
  <c r="M23" i="7"/>
  <c r="L23" i="7"/>
  <c r="N23" i="7"/>
  <c r="K23" i="7"/>
  <c r="J23" i="7"/>
  <c r="I23" i="7"/>
  <c r="H23" i="7"/>
  <c r="G23" i="7"/>
  <c r="F23" i="7"/>
  <c r="E23" i="7"/>
  <c r="A23" i="7"/>
  <c r="U22" i="7"/>
  <c r="T22" i="7"/>
  <c r="R22" i="7"/>
  <c r="Q22" i="7"/>
  <c r="S22" i="7"/>
  <c r="P22" i="7"/>
  <c r="O22" i="7"/>
  <c r="M22" i="7"/>
  <c r="L22" i="7"/>
  <c r="N22" i="7"/>
  <c r="K22" i="7"/>
  <c r="J22" i="7"/>
  <c r="I22" i="7"/>
  <c r="H22" i="7"/>
  <c r="G22" i="7"/>
  <c r="F22" i="7"/>
  <c r="E22" i="7"/>
  <c r="A22" i="7"/>
  <c r="U21" i="7"/>
  <c r="T21" i="7"/>
  <c r="R21" i="7"/>
  <c r="Q21" i="7"/>
  <c r="S21" i="7"/>
  <c r="P21" i="7"/>
  <c r="O21" i="7"/>
  <c r="M21" i="7"/>
  <c r="L21" i="7"/>
  <c r="N21" i="7"/>
  <c r="K21" i="7"/>
  <c r="J21" i="7"/>
  <c r="I21" i="7"/>
  <c r="H21" i="7"/>
  <c r="G21" i="7"/>
  <c r="F21" i="7"/>
  <c r="E21" i="7"/>
  <c r="A21" i="7"/>
  <c r="U20" i="7"/>
  <c r="T20" i="7"/>
  <c r="R20" i="7"/>
  <c r="Q20" i="7"/>
  <c r="S20" i="7"/>
  <c r="P20" i="7"/>
  <c r="O20" i="7"/>
  <c r="M20" i="7"/>
  <c r="L20" i="7"/>
  <c r="N20" i="7"/>
  <c r="K20" i="7"/>
  <c r="J20" i="7"/>
  <c r="I20" i="7"/>
  <c r="H20" i="7"/>
  <c r="G20" i="7"/>
  <c r="F20" i="7"/>
  <c r="E20" i="7"/>
  <c r="A20" i="7"/>
  <c r="U19" i="7"/>
  <c r="T19" i="7"/>
  <c r="S19" i="7"/>
  <c r="R19" i="7"/>
  <c r="P19" i="7"/>
  <c r="I19" i="7"/>
  <c r="H19" i="7"/>
  <c r="G19" i="7"/>
  <c r="F19" i="7"/>
  <c r="E19" i="7"/>
  <c r="D19" i="7"/>
  <c r="A19" i="7"/>
  <c r="U18" i="7"/>
  <c r="T18" i="7"/>
  <c r="S18" i="7"/>
  <c r="R18" i="7"/>
  <c r="P18" i="7"/>
  <c r="O18" i="7"/>
  <c r="N18" i="7"/>
  <c r="M18" i="7"/>
  <c r="K18" i="7"/>
  <c r="I18" i="7"/>
  <c r="H18" i="7"/>
  <c r="G18" i="7"/>
  <c r="F18" i="7"/>
  <c r="E18" i="7"/>
  <c r="D18" i="7"/>
  <c r="A18" i="7"/>
  <c r="U17" i="7"/>
  <c r="T17" i="7"/>
  <c r="R17" i="7"/>
  <c r="Q17" i="7"/>
  <c r="S17" i="7"/>
  <c r="P17" i="7"/>
  <c r="O17" i="7"/>
  <c r="M17" i="7"/>
  <c r="L17" i="7"/>
  <c r="N17" i="7"/>
  <c r="K17" i="7"/>
  <c r="J17" i="7"/>
  <c r="I17" i="7"/>
  <c r="H17" i="7"/>
  <c r="G17" i="7"/>
  <c r="F17" i="7"/>
  <c r="E17" i="7"/>
  <c r="A17" i="7"/>
  <c r="U16" i="7"/>
  <c r="T16" i="7"/>
  <c r="R16" i="7"/>
  <c r="Q16" i="7"/>
  <c r="S16" i="7"/>
  <c r="P16" i="7"/>
  <c r="O16" i="7"/>
  <c r="M16" i="7"/>
  <c r="L16" i="7"/>
  <c r="N16" i="7"/>
  <c r="K16" i="7"/>
  <c r="J16" i="7"/>
  <c r="I16" i="7"/>
  <c r="H16" i="7"/>
  <c r="G16" i="7"/>
  <c r="F16" i="7"/>
  <c r="E16" i="7"/>
  <c r="A16" i="7"/>
  <c r="U15" i="7"/>
  <c r="T15" i="7"/>
  <c r="R15" i="7"/>
  <c r="Q15" i="7"/>
  <c r="S15" i="7"/>
  <c r="P15" i="7"/>
  <c r="O15" i="7"/>
  <c r="M15" i="7"/>
  <c r="L15" i="7"/>
  <c r="N15" i="7"/>
  <c r="K15" i="7"/>
  <c r="J15" i="7"/>
  <c r="I15" i="7"/>
  <c r="H15" i="7"/>
  <c r="G15" i="7"/>
  <c r="F15" i="7"/>
  <c r="E15" i="7"/>
  <c r="A15" i="7"/>
  <c r="U14" i="7"/>
  <c r="T14" i="7"/>
  <c r="R14" i="7"/>
  <c r="Q14" i="7"/>
  <c r="S14" i="7"/>
  <c r="P14" i="7"/>
  <c r="O14" i="7"/>
  <c r="M14" i="7"/>
  <c r="L14" i="7"/>
  <c r="N14" i="7"/>
  <c r="K14" i="7"/>
  <c r="J14" i="7"/>
  <c r="I14" i="7"/>
  <c r="H14" i="7"/>
  <c r="G14" i="7"/>
  <c r="F14" i="7"/>
  <c r="E14" i="7"/>
  <c r="A14" i="7"/>
  <c r="U13" i="7"/>
  <c r="T13" i="7"/>
  <c r="S13" i="7"/>
  <c r="R13" i="7"/>
  <c r="P13" i="7"/>
  <c r="I13" i="7"/>
  <c r="H13" i="7"/>
  <c r="G13" i="7"/>
  <c r="F13" i="7"/>
  <c r="E13" i="7"/>
  <c r="D13" i="7"/>
  <c r="A13" i="7"/>
  <c r="U12" i="7"/>
  <c r="T12" i="7"/>
  <c r="S12" i="7"/>
  <c r="R12" i="7"/>
  <c r="P12" i="7"/>
  <c r="O12" i="7"/>
  <c r="N12" i="7"/>
  <c r="M12" i="7"/>
  <c r="K12" i="7"/>
  <c r="I12" i="7"/>
  <c r="H12" i="7"/>
  <c r="G12" i="7"/>
  <c r="F12" i="7"/>
  <c r="E12" i="7"/>
  <c r="D12" i="7"/>
  <c r="A12" i="7"/>
  <c r="U11" i="7"/>
  <c r="T11" i="7"/>
  <c r="R11" i="7"/>
  <c r="Q11" i="7"/>
  <c r="S11" i="7"/>
  <c r="P11" i="7"/>
  <c r="O11" i="7"/>
  <c r="M11" i="7"/>
  <c r="L11" i="7"/>
  <c r="N11" i="7"/>
  <c r="K11" i="7"/>
  <c r="J11" i="7"/>
  <c r="I11" i="7"/>
  <c r="H11" i="7"/>
  <c r="G11" i="7"/>
  <c r="F11" i="7"/>
  <c r="E11" i="7"/>
  <c r="A11" i="7"/>
  <c r="U10" i="7"/>
  <c r="T10" i="7"/>
  <c r="R10" i="7"/>
  <c r="Q10" i="7"/>
  <c r="S10" i="7"/>
  <c r="P10" i="7"/>
  <c r="O10" i="7"/>
  <c r="M10" i="7"/>
  <c r="L10" i="7"/>
  <c r="N10" i="7"/>
  <c r="K10" i="7"/>
  <c r="J10" i="7"/>
  <c r="I10" i="7"/>
  <c r="H10" i="7"/>
  <c r="G10" i="7"/>
  <c r="F10" i="7"/>
  <c r="E10" i="7"/>
  <c r="A10" i="7"/>
  <c r="U9" i="7"/>
  <c r="T9" i="7"/>
  <c r="R9" i="7"/>
  <c r="Q9" i="7"/>
  <c r="S9" i="7"/>
  <c r="P9" i="7"/>
  <c r="O9" i="7"/>
  <c r="M9" i="7"/>
  <c r="L9" i="7"/>
  <c r="N9" i="7"/>
  <c r="K9" i="7"/>
  <c r="J9" i="7"/>
  <c r="I9" i="7"/>
  <c r="H9" i="7"/>
  <c r="G9" i="7"/>
  <c r="F9" i="7"/>
  <c r="E9" i="7"/>
  <c r="A9" i="7"/>
  <c r="U8" i="7"/>
  <c r="T8" i="7"/>
  <c r="R8" i="7"/>
  <c r="Q8" i="7"/>
  <c r="S8" i="7"/>
  <c r="P8" i="7"/>
  <c r="O8" i="7"/>
  <c r="M8" i="7"/>
  <c r="L8" i="7"/>
  <c r="N8" i="7"/>
  <c r="K8" i="7"/>
  <c r="J8" i="7"/>
  <c r="I8" i="7"/>
  <c r="H8" i="7"/>
  <c r="G8" i="7"/>
  <c r="F8" i="7"/>
  <c r="E8" i="7"/>
  <c r="A8" i="7"/>
  <c r="G7" i="7"/>
  <c r="A7" i="7"/>
  <c r="G6" i="7"/>
  <c r="A6" i="7"/>
  <c r="H462" i="5"/>
  <c r="H459" i="5"/>
  <c r="C462" i="5"/>
  <c r="C459" i="5"/>
  <c r="C456" i="5"/>
  <c r="C455" i="5"/>
  <c r="C454" i="5"/>
  <c r="A451" i="5"/>
  <c r="I448" i="5"/>
  <c r="H448" i="5"/>
  <c r="G448" i="5"/>
  <c r="F448" i="5"/>
  <c r="V448" i="5"/>
  <c r="U448" i="5"/>
  <c r="S448" i="5"/>
  <c r="Q448" i="5"/>
  <c r="E448" i="5"/>
  <c r="D448" i="5"/>
  <c r="B448" i="5"/>
  <c r="A448" i="5"/>
  <c r="H446" i="5"/>
  <c r="G446" i="5"/>
  <c r="E446" i="5"/>
  <c r="E445" i="5"/>
  <c r="E444" i="5"/>
  <c r="I443" i="5"/>
  <c r="H443" i="5"/>
  <c r="G443" i="5"/>
  <c r="F443" i="5"/>
  <c r="I442" i="5"/>
  <c r="H442" i="5"/>
  <c r="G442" i="5"/>
  <c r="F442" i="5"/>
  <c r="V441" i="5"/>
  <c r="U441" i="5"/>
  <c r="S441" i="5"/>
  <c r="Q441" i="5"/>
  <c r="E441" i="5"/>
  <c r="D441" i="5"/>
  <c r="C441" i="5"/>
  <c r="B441" i="5"/>
  <c r="A441" i="5"/>
  <c r="I439" i="5"/>
  <c r="H439" i="5"/>
  <c r="G439" i="5"/>
  <c r="F439" i="5"/>
  <c r="V439" i="5"/>
  <c r="T439" i="5"/>
  <c r="R439" i="5"/>
  <c r="U439" i="5"/>
  <c r="S439" i="5"/>
  <c r="Q439" i="5"/>
  <c r="E439" i="5"/>
  <c r="D439" i="5"/>
  <c r="B439" i="5"/>
  <c r="A439" i="5"/>
  <c r="K437" i="5"/>
  <c r="H437" i="5"/>
  <c r="G437" i="5"/>
  <c r="E437" i="5"/>
  <c r="E436" i="5"/>
  <c r="E435" i="5"/>
  <c r="J434" i="5"/>
  <c r="I434" i="5"/>
  <c r="H434" i="5"/>
  <c r="F434" i="5"/>
  <c r="V434" i="5"/>
  <c r="T434" i="5"/>
  <c r="R434" i="5"/>
  <c r="U434" i="5"/>
  <c r="S434" i="5"/>
  <c r="Q434" i="5"/>
  <c r="E434" i="5"/>
  <c r="D434" i="5"/>
  <c r="C434" i="5"/>
  <c r="B434" i="5"/>
  <c r="A434" i="5"/>
  <c r="J433" i="5"/>
  <c r="I433" i="5"/>
  <c r="H433" i="5"/>
  <c r="F433" i="5"/>
  <c r="V433" i="5"/>
  <c r="T433" i="5"/>
  <c r="R433" i="5"/>
  <c r="U433" i="5"/>
  <c r="S433" i="5"/>
  <c r="Q433" i="5"/>
  <c r="E433" i="5"/>
  <c r="D433" i="5"/>
  <c r="C433" i="5"/>
  <c r="B433" i="5"/>
  <c r="A433" i="5"/>
  <c r="J432" i="5"/>
  <c r="I432" i="5"/>
  <c r="H432" i="5"/>
  <c r="G432" i="5"/>
  <c r="F432" i="5"/>
  <c r="J431" i="5"/>
  <c r="I431" i="5"/>
  <c r="H431" i="5"/>
  <c r="G431" i="5"/>
  <c r="F431" i="5"/>
  <c r="V430" i="5"/>
  <c r="T430" i="5"/>
  <c r="R430" i="5"/>
  <c r="U430" i="5"/>
  <c r="S430" i="5"/>
  <c r="Q430" i="5"/>
  <c r="E430" i="5"/>
  <c r="D430" i="5"/>
  <c r="C430" i="5"/>
  <c r="B430" i="5"/>
  <c r="A430" i="5"/>
  <c r="K428" i="5"/>
  <c r="H428" i="5"/>
  <c r="G428" i="5"/>
  <c r="E428" i="5"/>
  <c r="E427" i="5"/>
  <c r="E426" i="5"/>
  <c r="E425" i="5"/>
  <c r="J424" i="5"/>
  <c r="I424" i="5"/>
  <c r="H424" i="5"/>
  <c r="G424" i="5"/>
  <c r="F424" i="5"/>
  <c r="J423" i="5"/>
  <c r="I423" i="5"/>
  <c r="H423" i="5"/>
  <c r="G423" i="5"/>
  <c r="F423" i="5"/>
  <c r="J422" i="5"/>
  <c r="I422" i="5"/>
  <c r="H422" i="5"/>
  <c r="G422" i="5"/>
  <c r="F422" i="5"/>
  <c r="J421" i="5"/>
  <c r="I421" i="5"/>
  <c r="H421" i="5"/>
  <c r="G421" i="5"/>
  <c r="F421" i="5"/>
  <c r="C420" i="5"/>
  <c r="V419" i="5"/>
  <c r="J427" i="5" s="1"/>
  <c r="T419" i="5"/>
  <c r="J426" i="5" s="1"/>
  <c r="R419" i="5"/>
  <c r="J425" i="5" s="1"/>
  <c r="U419" i="5"/>
  <c r="S419" i="5"/>
  <c r="Q419" i="5"/>
  <c r="E419" i="5"/>
  <c r="D419" i="5"/>
  <c r="C419" i="5"/>
  <c r="B419" i="5"/>
  <c r="A419" i="5"/>
  <c r="K417" i="5"/>
  <c r="H417" i="5"/>
  <c r="G417" i="5"/>
  <c r="E417" i="5"/>
  <c r="E416" i="5"/>
  <c r="E415" i="5"/>
  <c r="E414" i="5"/>
  <c r="J413" i="5"/>
  <c r="I413" i="5"/>
  <c r="H413" i="5"/>
  <c r="G413" i="5"/>
  <c r="F413" i="5"/>
  <c r="J412" i="5"/>
  <c r="I412" i="5"/>
  <c r="H412" i="5"/>
  <c r="G412" i="5"/>
  <c r="F412" i="5"/>
  <c r="J411" i="5"/>
  <c r="I411" i="5"/>
  <c r="H411" i="5"/>
  <c r="G411" i="5"/>
  <c r="F411" i="5"/>
  <c r="J410" i="5"/>
  <c r="I410" i="5"/>
  <c r="H410" i="5"/>
  <c r="G410" i="5"/>
  <c r="F410" i="5"/>
  <c r="C409" i="5"/>
  <c r="V408" i="5"/>
  <c r="J416" i="5" s="1"/>
  <c r="T408" i="5"/>
  <c r="J415" i="5" s="1"/>
  <c r="R408" i="5"/>
  <c r="J414" i="5" s="1"/>
  <c r="U408" i="5"/>
  <c r="S408" i="5"/>
  <c r="Q408" i="5"/>
  <c r="E408" i="5"/>
  <c r="D408" i="5"/>
  <c r="C408" i="5"/>
  <c r="B408" i="5"/>
  <c r="A408" i="5"/>
  <c r="K406" i="5"/>
  <c r="H406" i="5"/>
  <c r="G406" i="5"/>
  <c r="E406" i="5"/>
  <c r="E405" i="5"/>
  <c r="E404" i="5"/>
  <c r="E403" i="5"/>
  <c r="J402" i="5"/>
  <c r="I402" i="5"/>
  <c r="H402" i="5"/>
  <c r="G402" i="5"/>
  <c r="F402" i="5"/>
  <c r="J401" i="5"/>
  <c r="I401" i="5"/>
  <c r="H401" i="5"/>
  <c r="G401" i="5"/>
  <c r="F401" i="5"/>
  <c r="J400" i="5"/>
  <c r="I400" i="5"/>
  <c r="H400" i="5"/>
  <c r="G400" i="5"/>
  <c r="F400" i="5"/>
  <c r="J399" i="5"/>
  <c r="I399" i="5"/>
  <c r="H399" i="5"/>
  <c r="G399" i="5"/>
  <c r="F399" i="5"/>
  <c r="C398" i="5"/>
  <c r="V397" i="5"/>
  <c r="J405" i="5" s="1"/>
  <c r="T397" i="5"/>
  <c r="J404" i="5" s="1"/>
  <c r="R397" i="5"/>
  <c r="J403" i="5" s="1"/>
  <c r="U397" i="5"/>
  <c r="S397" i="5"/>
  <c r="Q397" i="5"/>
  <c r="E397" i="5"/>
  <c r="D397" i="5"/>
  <c r="C397" i="5"/>
  <c r="B397" i="5"/>
  <c r="A397" i="5"/>
  <c r="K395" i="5"/>
  <c r="H395" i="5"/>
  <c r="G395" i="5"/>
  <c r="E395" i="5"/>
  <c r="E394" i="5"/>
  <c r="E393" i="5"/>
  <c r="J392" i="5"/>
  <c r="I392" i="5"/>
  <c r="H392" i="5"/>
  <c r="G392" i="5"/>
  <c r="F392" i="5"/>
  <c r="C391" i="5"/>
  <c r="V390" i="5"/>
  <c r="T390" i="5"/>
  <c r="J394" i="5" s="1"/>
  <c r="R390" i="5"/>
  <c r="J393" i="5" s="1"/>
  <c r="U390" i="5"/>
  <c r="S390" i="5"/>
  <c r="Q390" i="5"/>
  <c r="E390" i="5"/>
  <c r="D390" i="5"/>
  <c r="C390" i="5"/>
  <c r="B390" i="5"/>
  <c r="A390" i="5"/>
  <c r="I388" i="5"/>
  <c r="H388" i="5"/>
  <c r="G388" i="5"/>
  <c r="F388" i="5"/>
  <c r="V388" i="5"/>
  <c r="T388" i="5"/>
  <c r="R388" i="5"/>
  <c r="U388" i="5"/>
  <c r="S388" i="5"/>
  <c r="Q388" i="5"/>
  <c r="E388" i="5"/>
  <c r="D388" i="5"/>
  <c r="B388" i="5"/>
  <c r="A388" i="5"/>
  <c r="K386" i="5"/>
  <c r="H386" i="5"/>
  <c r="G386" i="5"/>
  <c r="E386" i="5"/>
  <c r="E385" i="5"/>
  <c r="E384" i="5"/>
  <c r="J383" i="5"/>
  <c r="I383" i="5"/>
  <c r="H383" i="5"/>
  <c r="F383" i="5"/>
  <c r="V383" i="5"/>
  <c r="T383" i="5"/>
  <c r="R383" i="5"/>
  <c r="U383" i="5"/>
  <c r="S383" i="5"/>
  <c r="Q383" i="5"/>
  <c r="E383" i="5"/>
  <c r="D383" i="5"/>
  <c r="C383" i="5"/>
  <c r="B383" i="5"/>
  <c r="A383" i="5"/>
  <c r="J382" i="5"/>
  <c r="I382" i="5"/>
  <c r="H382" i="5"/>
  <c r="F382" i="5"/>
  <c r="V382" i="5"/>
  <c r="T382" i="5"/>
  <c r="R382" i="5"/>
  <c r="U382" i="5"/>
  <c r="S382" i="5"/>
  <c r="Q382" i="5"/>
  <c r="E382" i="5"/>
  <c r="D382" i="5"/>
  <c r="C382" i="5"/>
  <c r="B382" i="5"/>
  <c r="A382" i="5"/>
  <c r="J381" i="5"/>
  <c r="I381" i="5"/>
  <c r="H381" i="5"/>
  <c r="G381" i="5"/>
  <c r="F381" i="5"/>
  <c r="J380" i="5"/>
  <c r="I380" i="5"/>
  <c r="H380" i="5"/>
  <c r="G380" i="5"/>
  <c r="F380" i="5"/>
  <c r="V379" i="5"/>
  <c r="T379" i="5"/>
  <c r="R379" i="5"/>
  <c r="U379" i="5"/>
  <c r="S379" i="5"/>
  <c r="Q379" i="5"/>
  <c r="E379" i="5"/>
  <c r="D379" i="5"/>
  <c r="C379" i="5"/>
  <c r="B379" i="5"/>
  <c r="A379" i="5"/>
  <c r="K377" i="5"/>
  <c r="H377" i="5"/>
  <c r="G377" i="5"/>
  <c r="E377" i="5"/>
  <c r="E376" i="5"/>
  <c r="E375" i="5"/>
  <c r="E374" i="5"/>
  <c r="J373" i="5"/>
  <c r="I373" i="5"/>
  <c r="H373" i="5"/>
  <c r="G373" i="5"/>
  <c r="F373" i="5"/>
  <c r="J372" i="5"/>
  <c r="I372" i="5"/>
  <c r="H372" i="5"/>
  <c r="G372" i="5"/>
  <c r="F372" i="5"/>
  <c r="J371" i="5"/>
  <c r="I371" i="5"/>
  <c r="H371" i="5"/>
  <c r="G371" i="5"/>
  <c r="F371" i="5"/>
  <c r="J370" i="5"/>
  <c r="I370" i="5"/>
  <c r="H370" i="5"/>
  <c r="G370" i="5"/>
  <c r="F370" i="5"/>
  <c r="C369" i="5"/>
  <c r="V368" i="5"/>
  <c r="J376" i="5" s="1"/>
  <c r="T368" i="5"/>
  <c r="J375" i="5" s="1"/>
  <c r="R368" i="5"/>
  <c r="J374" i="5" s="1"/>
  <c r="U368" i="5"/>
  <c r="S368" i="5"/>
  <c r="Q368" i="5"/>
  <c r="E368" i="5"/>
  <c r="D368" i="5"/>
  <c r="C368" i="5"/>
  <c r="B368" i="5"/>
  <c r="A368" i="5"/>
  <c r="K366" i="5"/>
  <c r="H366" i="5"/>
  <c r="G366" i="5"/>
  <c r="E366" i="5"/>
  <c r="E365" i="5"/>
  <c r="E364" i="5"/>
  <c r="E363" i="5"/>
  <c r="J362" i="5"/>
  <c r="I362" i="5"/>
  <c r="H362" i="5"/>
  <c r="G362" i="5"/>
  <c r="F362" i="5"/>
  <c r="J361" i="5"/>
  <c r="I361" i="5"/>
  <c r="H361" i="5"/>
  <c r="G361" i="5"/>
  <c r="F361" i="5"/>
  <c r="J360" i="5"/>
  <c r="I360" i="5"/>
  <c r="H360" i="5"/>
  <c r="G360" i="5"/>
  <c r="F360" i="5"/>
  <c r="J359" i="5"/>
  <c r="I359" i="5"/>
  <c r="H359" i="5"/>
  <c r="G359" i="5"/>
  <c r="F359" i="5"/>
  <c r="C358" i="5"/>
  <c r="V357" i="5"/>
  <c r="J365" i="5" s="1"/>
  <c r="T357" i="5"/>
  <c r="J364" i="5" s="1"/>
  <c r="R357" i="5"/>
  <c r="J363" i="5" s="1"/>
  <c r="U357" i="5"/>
  <c r="S357" i="5"/>
  <c r="Q357" i="5"/>
  <c r="E357" i="5"/>
  <c r="D357" i="5"/>
  <c r="C357" i="5"/>
  <c r="B357" i="5"/>
  <c r="A357" i="5"/>
  <c r="K355" i="5"/>
  <c r="H355" i="5"/>
  <c r="G355" i="5"/>
  <c r="E355" i="5"/>
  <c r="E354" i="5"/>
  <c r="E353" i="5"/>
  <c r="E352" i="5"/>
  <c r="J351" i="5"/>
  <c r="I351" i="5"/>
  <c r="H351" i="5"/>
  <c r="G351" i="5"/>
  <c r="F351" i="5"/>
  <c r="J350" i="5"/>
  <c r="I350" i="5"/>
  <c r="H350" i="5"/>
  <c r="G350" i="5"/>
  <c r="F350" i="5"/>
  <c r="J349" i="5"/>
  <c r="I349" i="5"/>
  <c r="H349" i="5"/>
  <c r="G349" i="5"/>
  <c r="F349" i="5"/>
  <c r="J348" i="5"/>
  <c r="I348" i="5"/>
  <c r="H348" i="5"/>
  <c r="G348" i="5"/>
  <c r="F348" i="5"/>
  <c r="C347" i="5"/>
  <c r="V346" i="5"/>
  <c r="J354" i="5" s="1"/>
  <c r="T346" i="5"/>
  <c r="J353" i="5" s="1"/>
  <c r="R346" i="5"/>
  <c r="J352" i="5" s="1"/>
  <c r="U346" i="5"/>
  <c r="S346" i="5"/>
  <c r="Q346" i="5"/>
  <c r="E346" i="5"/>
  <c r="D346" i="5"/>
  <c r="C346" i="5"/>
  <c r="B346" i="5"/>
  <c r="A346" i="5"/>
  <c r="K344" i="5"/>
  <c r="H344" i="5"/>
  <c r="G344" i="5"/>
  <c r="E344" i="5"/>
  <c r="E343" i="5"/>
  <c r="E342" i="5"/>
  <c r="J341" i="5"/>
  <c r="I341" i="5"/>
  <c r="H341" i="5"/>
  <c r="G341" i="5"/>
  <c r="F341" i="5"/>
  <c r="C340" i="5"/>
  <c r="V339" i="5"/>
  <c r="T339" i="5"/>
  <c r="J343" i="5" s="1"/>
  <c r="R339" i="5"/>
  <c r="J342" i="5" s="1"/>
  <c r="U339" i="5"/>
  <c r="S339" i="5"/>
  <c r="Q339" i="5"/>
  <c r="E339" i="5"/>
  <c r="D339" i="5"/>
  <c r="C339" i="5"/>
  <c r="B339" i="5"/>
  <c r="A339" i="5"/>
  <c r="I337" i="5"/>
  <c r="H337" i="5"/>
  <c r="G337" i="5"/>
  <c r="F337" i="5"/>
  <c r="V337" i="5"/>
  <c r="T337" i="5"/>
  <c r="R337" i="5"/>
  <c r="U337" i="5"/>
  <c r="S337" i="5"/>
  <c r="Q337" i="5"/>
  <c r="E337" i="5"/>
  <c r="D337" i="5"/>
  <c r="B337" i="5"/>
  <c r="A337" i="5"/>
  <c r="K335" i="5"/>
  <c r="H335" i="5"/>
  <c r="G335" i="5"/>
  <c r="E335" i="5"/>
  <c r="E334" i="5"/>
  <c r="E333" i="5"/>
  <c r="J332" i="5"/>
  <c r="I332" i="5"/>
  <c r="H332" i="5"/>
  <c r="F332" i="5"/>
  <c r="V332" i="5"/>
  <c r="T332" i="5"/>
  <c r="R332" i="5"/>
  <c r="U332" i="5"/>
  <c r="S332" i="5"/>
  <c r="Q332" i="5"/>
  <c r="E332" i="5"/>
  <c r="D332" i="5"/>
  <c r="C332" i="5"/>
  <c r="B332" i="5"/>
  <c r="A332" i="5"/>
  <c r="J331" i="5"/>
  <c r="I331" i="5"/>
  <c r="H331" i="5"/>
  <c r="F331" i="5"/>
  <c r="V331" i="5"/>
  <c r="T331" i="5"/>
  <c r="R331" i="5"/>
  <c r="U331" i="5"/>
  <c r="S331" i="5"/>
  <c r="Q331" i="5"/>
  <c r="E331" i="5"/>
  <c r="D331" i="5"/>
  <c r="C331" i="5"/>
  <c r="B331" i="5"/>
  <c r="A331" i="5"/>
  <c r="J330" i="5"/>
  <c r="I330" i="5"/>
  <c r="H330" i="5"/>
  <c r="G330" i="5"/>
  <c r="F330" i="5"/>
  <c r="J329" i="5"/>
  <c r="I329" i="5"/>
  <c r="H329" i="5"/>
  <c r="G329" i="5"/>
  <c r="F329" i="5"/>
  <c r="V328" i="5"/>
  <c r="T328" i="5"/>
  <c r="R328" i="5"/>
  <c r="U328" i="5"/>
  <c r="S328" i="5"/>
  <c r="Q328" i="5"/>
  <c r="E328" i="5"/>
  <c r="D328" i="5"/>
  <c r="C328" i="5"/>
  <c r="B328" i="5"/>
  <c r="A328" i="5"/>
  <c r="K326" i="5"/>
  <c r="H326" i="5"/>
  <c r="G326" i="5"/>
  <c r="E326" i="5"/>
  <c r="E325" i="5"/>
  <c r="E324" i="5"/>
  <c r="E323" i="5"/>
  <c r="J322" i="5"/>
  <c r="I322" i="5"/>
  <c r="H322" i="5"/>
  <c r="G322" i="5"/>
  <c r="F322" i="5"/>
  <c r="J321" i="5"/>
  <c r="I321" i="5"/>
  <c r="H321" i="5"/>
  <c r="G321" i="5"/>
  <c r="F321" i="5"/>
  <c r="J320" i="5"/>
  <c r="I320" i="5"/>
  <c r="H320" i="5"/>
  <c r="G320" i="5"/>
  <c r="F320" i="5"/>
  <c r="J319" i="5"/>
  <c r="I319" i="5"/>
  <c r="H319" i="5"/>
  <c r="G319" i="5"/>
  <c r="F319" i="5"/>
  <c r="C318" i="5"/>
  <c r="V317" i="5"/>
  <c r="J325" i="5" s="1"/>
  <c r="T317" i="5"/>
  <c r="J324" i="5" s="1"/>
  <c r="R317" i="5"/>
  <c r="J323" i="5" s="1"/>
  <c r="U317" i="5"/>
  <c r="S317" i="5"/>
  <c r="Q317" i="5"/>
  <c r="E317" i="5"/>
  <c r="D317" i="5"/>
  <c r="C317" i="5"/>
  <c r="B317" i="5"/>
  <c r="A317" i="5"/>
  <c r="K315" i="5"/>
  <c r="H315" i="5"/>
  <c r="G315" i="5"/>
  <c r="E315" i="5"/>
  <c r="E314" i="5"/>
  <c r="E313" i="5"/>
  <c r="E312" i="5"/>
  <c r="J311" i="5"/>
  <c r="I311" i="5"/>
  <c r="H311" i="5"/>
  <c r="G311" i="5"/>
  <c r="F311" i="5"/>
  <c r="J310" i="5"/>
  <c r="I310" i="5"/>
  <c r="H310" i="5"/>
  <c r="G310" i="5"/>
  <c r="F310" i="5"/>
  <c r="J309" i="5"/>
  <c r="I309" i="5"/>
  <c r="H309" i="5"/>
  <c r="G309" i="5"/>
  <c r="F309" i="5"/>
  <c r="J308" i="5"/>
  <c r="I308" i="5"/>
  <c r="H308" i="5"/>
  <c r="G308" i="5"/>
  <c r="F308" i="5"/>
  <c r="C307" i="5"/>
  <c r="V306" i="5"/>
  <c r="J314" i="5" s="1"/>
  <c r="T306" i="5"/>
  <c r="J313" i="5" s="1"/>
  <c r="R306" i="5"/>
  <c r="J312" i="5" s="1"/>
  <c r="U306" i="5"/>
  <c r="S306" i="5"/>
  <c r="Q306" i="5"/>
  <c r="E306" i="5"/>
  <c r="D306" i="5"/>
  <c r="C306" i="5"/>
  <c r="B306" i="5"/>
  <c r="A306" i="5"/>
  <c r="K304" i="5"/>
  <c r="H304" i="5"/>
  <c r="G304" i="5"/>
  <c r="E304" i="5"/>
  <c r="E303" i="5"/>
  <c r="E302" i="5"/>
  <c r="E301" i="5"/>
  <c r="J300" i="5"/>
  <c r="I300" i="5"/>
  <c r="H300" i="5"/>
  <c r="G300" i="5"/>
  <c r="F300" i="5"/>
  <c r="J299" i="5"/>
  <c r="I299" i="5"/>
  <c r="H299" i="5"/>
  <c r="G299" i="5"/>
  <c r="F299" i="5"/>
  <c r="J298" i="5"/>
  <c r="I298" i="5"/>
  <c r="H298" i="5"/>
  <c r="G298" i="5"/>
  <c r="F298" i="5"/>
  <c r="J297" i="5"/>
  <c r="I297" i="5"/>
  <c r="H297" i="5"/>
  <c r="G297" i="5"/>
  <c r="F297" i="5"/>
  <c r="C296" i="5"/>
  <c r="V295" i="5"/>
  <c r="J303" i="5" s="1"/>
  <c r="T295" i="5"/>
  <c r="J302" i="5" s="1"/>
  <c r="R295" i="5"/>
  <c r="J301" i="5" s="1"/>
  <c r="U295" i="5"/>
  <c r="S295" i="5"/>
  <c r="Q295" i="5"/>
  <c r="E295" i="5"/>
  <c r="D295" i="5"/>
  <c r="C295" i="5"/>
  <c r="B295" i="5"/>
  <c r="A295" i="5"/>
  <c r="K293" i="5"/>
  <c r="H293" i="5"/>
  <c r="G293" i="5"/>
  <c r="E293" i="5"/>
  <c r="E292" i="5"/>
  <c r="E291" i="5"/>
  <c r="J290" i="5"/>
  <c r="I290" i="5"/>
  <c r="H290" i="5"/>
  <c r="G290" i="5"/>
  <c r="F290" i="5"/>
  <c r="C289" i="5"/>
  <c r="V288" i="5"/>
  <c r="T288" i="5"/>
  <c r="J292" i="5" s="1"/>
  <c r="R288" i="5"/>
  <c r="J291" i="5" s="1"/>
  <c r="U288" i="5"/>
  <c r="S288" i="5"/>
  <c r="Q288" i="5"/>
  <c r="E288" i="5"/>
  <c r="D288" i="5"/>
  <c r="C288" i="5"/>
  <c r="B288" i="5"/>
  <c r="A288" i="5"/>
  <c r="I286" i="5"/>
  <c r="H286" i="5"/>
  <c r="G286" i="5"/>
  <c r="F286" i="5"/>
  <c r="V286" i="5"/>
  <c r="T286" i="5"/>
  <c r="R286" i="5"/>
  <c r="U286" i="5"/>
  <c r="S286" i="5"/>
  <c r="Q286" i="5"/>
  <c r="E286" i="5"/>
  <c r="D286" i="5"/>
  <c r="B286" i="5"/>
  <c r="A286" i="5"/>
  <c r="K284" i="5"/>
  <c r="H284" i="5"/>
  <c r="G284" i="5"/>
  <c r="E284" i="5"/>
  <c r="E283" i="5"/>
  <c r="E282" i="5"/>
  <c r="J281" i="5"/>
  <c r="I281" i="5"/>
  <c r="H281" i="5"/>
  <c r="F281" i="5"/>
  <c r="V281" i="5"/>
  <c r="T281" i="5"/>
  <c r="R281" i="5"/>
  <c r="U281" i="5"/>
  <c r="S281" i="5"/>
  <c r="Q281" i="5"/>
  <c r="E281" i="5"/>
  <c r="D281" i="5"/>
  <c r="C281" i="5"/>
  <c r="B281" i="5"/>
  <c r="A281" i="5"/>
  <c r="J280" i="5"/>
  <c r="I280" i="5"/>
  <c r="H280" i="5"/>
  <c r="F280" i="5"/>
  <c r="V280" i="5"/>
  <c r="T280" i="5"/>
  <c r="R280" i="5"/>
  <c r="U280" i="5"/>
  <c r="S280" i="5"/>
  <c r="Q280" i="5"/>
  <c r="E280" i="5"/>
  <c r="D280" i="5"/>
  <c r="C280" i="5"/>
  <c r="B280" i="5"/>
  <c r="A280" i="5"/>
  <c r="J279" i="5"/>
  <c r="I279" i="5"/>
  <c r="H279" i="5"/>
  <c r="G279" i="5"/>
  <c r="F279" i="5"/>
  <c r="J278" i="5"/>
  <c r="I278" i="5"/>
  <c r="H278" i="5"/>
  <c r="G278" i="5"/>
  <c r="F278" i="5"/>
  <c r="V277" i="5"/>
  <c r="T277" i="5"/>
  <c r="R277" i="5"/>
  <c r="U277" i="5"/>
  <c r="S277" i="5"/>
  <c r="Q277" i="5"/>
  <c r="E277" i="5"/>
  <c r="D277" i="5"/>
  <c r="C277" i="5"/>
  <c r="B277" i="5"/>
  <c r="A277" i="5"/>
  <c r="K275" i="5"/>
  <c r="H275" i="5"/>
  <c r="G275" i="5"/>
  <c r="E275" i="5"/>
  <c r="E274" i="5"/>
  <c r="E273" i="5"/>
  <c r="E272" i="5"/>
  <c r="J271" i="5"/>
  <c r="I271" i="5"/>
  <c r="H271" i="5"/>
  <c r="G271" i="5"/>
  <c r="F271" i="5"/>
  <c r="J270" i="5"/>
  <c r="I270" i="5"/>
  <c r="H270" i="5"/>
  <c r="G270" i="5"/>
  <c r="F270" i="5"/>
  <c r="J269" i="5"/>
  <c r="I269" i="5"/>
  <c r="H269" i="5"/>
  <c r="G269" i="5"/>
  <c r="F269" i="5"/>
  <c r="J268" i="5"/>
  <c r="I268" i="5"/>
  <c r="H268" i="5"/>
  <c r="G268" i="5"/>
  <c r="F268" i="5"/>
  <c r="C267" i="5"/>
  <c r="V266" i="5"/>
  <c r="J274" i="5" s="1"/>
  <c r="T266" i="5"/>
  <c r="J273" i="5" s="1"/>
  <c r="R266" i="5"/>
  <c r="J272" i="5" s="1"/>
  <c r="U266" i="5"/>
  <c r="S266" i="5"/>
  <c r="Q266" i="5"/>
  <c r="E266" i="5"/>
  <c r="D266" i="5"/>
  <c r="C266" i="5"/>
  <c r="B266" i="5"/>
  <c r="A266" i="5"/>
  <c r="K264" i="5"/>
  <c r="H264" i="5"/>
  <c r="G264" i="5"/>
  <c r="E264" i="5"/>
  <c r="E263" i="5"/>
  <c r="E262" i="5"/>
  <c r="E261" i="5"/>
  <c r="J260" i="5"/>
  <c r="I260" i="5"/>
  <c r="H260" i="5"/>
  <c r="G260" i="5"/>
  <c r="F260" i="5"/>
  <c r="J259" i="5"/>
  <c r="I259" i="5"/>
  <c r="H259" i="5"/>
  <c r="G259" i="5"/>
  <c r="F259" i="5"/>
  <c r="J258" i="5"/>
  <c r="I258" i="5"/>
  <c r="H258" i="5"/>
  <c r="G258" i="5"/>
  <c r="F258" i="5"/>
  <c r="J257" i="5"/>
  <c r="I257" i="5"/>
  <c r="H257" i="5"/>
  <c r="G257" i="5"/>
  <c r="F257" i="5"/>
  <c r="C256" i="5"/>
  <c r="V255" i="5"/>
  <c r="J263" i="5" s="1"/>
  <c r="T255" i="5"/>
  <c r="J262" i="5" s="1"/>
  <c r="R255" i="5"/>
  <c r="J261" i="5" s="1"/>
  <c r="U255" i="5"/>
  <c r="S255" i="5"/>
  <c r="Q255" i="5"/>
  <c r="E255" i="5"/>
  <c r="D255" i="5"/>
  <c r="C255" i="5"/>
  <c r="B255" i="5"/>
  <c r="A255" i="5"/>
  <c r="K253" i="5"/>
  <c r="H253" i="5"/>
  <c r="G253" i="5"/>
  <c r="E253" i="5"/>
  <c r="E252" i="5"/>
  <c r="E251" i="5"/>
  <c r="E250" i="5"/>
  <c r="J249" i="5"/>
  <c r="I249" i="5"/>
  <c r="H249" i="5"/>
  <c r="G249" i="5"/>
  <c r="F249" i="5"/>
  <c r="J248" i="5"/>
  <c r="I248" i="5"/>
  <c r="H248" i="5"/>
  <c r="G248" i="5"/>
  <c r="F248" i="5"/>
  <c r="J247" i="5"/>
  <c r="I247" i="5"/>
  <c r="H247" i="5"/>
  <c r="G247" i="5"/>
  <c r="F247" i="5"/>
  <c r="J246" i="5"/>
  <c r="I246" i="5"/>
  <c r="H246" i="5"/>
  <c r="G246" i="5"/>
  <c r="F246" i="5"/>
  <c r="C245" i="5"/>
  <c r="V244" i="5"/>
  <c r="J252" i="5" s="1"/>
  <c r="T244" i="5"/>
  <c r="J251" i="5" s="1"/>
  <c r="R244" i="5"/>
  <c r="J250" i="5" s="1"/>
  <c r="U244" i="5"/>
  <c r="S244" i="5"/>
  <c r="Q244" i="5"/>
  <c r="E244" i="5"/>
  <c r="D244" i="5"/>
  <c r="C244" i="5"/>
  <c r="B244" i="5"/>
  <c r="A244" i="5"/>
  <c r="K242" i="5"/>
  <c r="H242" i="5"/>
  <c r="G242" i="5"/>
  <c r="E242" i="5"/>
  <c r="E241" i="5"/>
  <c r="E240" i="5"/>
  <c r="J239" i="5"/>
  <c r="I239" i="5"/>
  <c r="H239" i="5"/>
  <c r="G239" i="5"/>
  <c r="F239" i="5"/>
  <c r="C238" i="5"/>
  <c r="V237" i="5"/>
  <c r="T237" i="5"/>
  <c r="J241" i="5" s="1"/>
  <c r="R237" i="5"/>
  <c r="J240" i="5" s="1"/>
  <c r="U237" i="5"/>
  <c r="S237" i="5"/>
  <c r="Q237" i="5"/>
  <c r="E237" i="5"/>
  <c r="D237" i="5"/>
  <c r="C237" i="5"/>
  <c r="B237" i="5"/>
  <c r="A237" i="5"/>
  <c r="I235" i="5"/>
  <c r="H235" i="5"/>
  <c r="G235" i="5"/>
  <c r="F235" i="5"/>
  <c r="V235" i="5"/>
  <c r="T235" i="5"/>
  <c r="R235" i="5"/>
  <c r="U235" i="5"/>
  <c r="S235" i="5"/>
  <c r="Q235" i="5"/>
  <c r="E235" i="5"/>
  <c r="D235" i="5"/>
  <c r="B235" i="5"/>
  <c r="A235" i="5"/>
  <c r="K233" i="5"/>
  <c r="H233" i="5"/>
  <c r="G233" i="5"/>
  <c r="E233" i="5"/>
  <c r="E232" i="5"/>
  <c r="E231" i="5"/>
  <c r="J230" i="5"/>
  <c r="I230" i="5"/>
  <c r="H230" i="5"/>
  <c r="F230" i="5"/>
  <c r="V230" i="5"/>
  <c r="T230" i="5"/>
  <c r="R230" i="5"/>
  <c r="U230" i="5"/>
  <c r="S230" i="5"/>
  <c r="Q230" i="5"/>
  <c r="E230" i="5"/>
  <c r="D230" i="5"/>
  <c r="C230" i="5"/>
  <c r="B230" i="5"/>
  <c r="A230" i="5"/>
  <c r="J229" i="5"/>
  <c r="I229" i="5"/>
  <c r="H229" i="5"/>
  <c r="F229" i="5"/>
  <c r="V229" i="5"/>
  <c r="T229" i="5"/>
  <c r="R229" i="5"/>
  <c r="U229" i="5"/>
  <c r="S229" i="5"/>
  <c r="Q229" i="5"/>
  <c r="E229" i="5"/>
  <c r="D229" i="5"/>
  <c r="C229" i="5"/>
  <c r="B229" i="5"/>
  <c r="A229" i="5"/>
  <c r="J228" i="5"/>
  <c r="I228" i="5"/>
  <c r="H228" i="5"/>
  <c r="G228" i="5"/>
  <c r="F228" i="5"/>
  <c r="J227" i="5"/>
  <c r="I227" i="5"/>
  <c r="H227" i="5"/>
  <c r="G227" i="5"/>
  <c r="F227" i="5"/>
  <c r="V226" i="5"/>
  <c r="T226" i="5"/>
  <c r="R226" i="5"/>
  <c r="U226" i="5"/>
  <c r="S226" i="5"/>
  <c r="Q226" i="5"/>
  <c r="E226" i="5"/>
  <c r="D226" i="5"/>
  <c r="C226" i="5"/>
  <c r="B226" i="5"/>
  <c r="A226" i="5"/>
  <c r="K224" i="5"/>
  <c r="H224" i="5"/>
  <c r="G224" i="5"/>
  <c r="E224" i="5"/>
  <c r="E223" i="5"/>
  <c r="E222" i="5"/>
  <c r="E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C216" i="5"/>
  <c r="V215" i="5"/>
  <c r="J223" i="5" s="1"/>
  <c r="T215" i="5"/>
  <c r="J222" i="5" s="1"/>
  <c r="R215" i="5"/>
  <c r="J221" i="5" s="1"/>
  <c r="U215" i="5"/>
  <c r="S215" i="5"/>
  <c r="Q215" i="5"/>
  <c r="E215" i="5"/>
  <c r="D215" i="5"/>
  <c r="C215" i="5"/>
  <c r="B215" i="5"/>
  <c r="A215" i="5"/>
  <c r="K213" i="5"/>
  <c r="H213" i="5"/>
  <c r="G213" i="5"/>
  <c r="E213" i="5"/>
  <c r="E212" i="5"/>
  <c r="E211" i="5"/>
  <c r="E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C205" i="5"/>
  <c r="V204" i="5"/>
  <c r="J212" i="5" s="1"/>
  <c r="T204" i="5"/>
  <c r="J211" i="5" s="1"/>
  <c r="R204" i="5"/>
  <c r="J210" i="5" s="1"/>
  <c r="U204" i="5"/>
  <c r="S204" i="5"/>
  <c r="Q204" i="5"/>
  <c r="E204" i="5"/>
  <c r="D204" i="5"/>
  <c r="C204" i="5"/>
  <c r="B204" i="5"/>
  <c r="A204" i="5"/>
  <c r="K202" i="5"/>
  <c r="H202" i="5"/>
  <c r="G202" i="5"/>
  <c r="E202" i="5"/>
  <c r="E201" i="5"/>
  <c r="E200" i="5"/>
  <c r="E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C194" i="5"/>
  <c r="V193" i="5"/>
  <c r="J201" i="5" s="1"/>
  <c r="T193" i="5"/>
  <c r="J200" i="5" s="1"/>
  <c r="R193" i="5"/>
  <c r="J199" i="5" s="1"/>
  <c r="U193" i="5"/>
  <c r="S193" i="5"/>
  <c r="Q193" i="5"/>
  <c r="E193" i="5"/>
  <c r="D193" i="5"/>
  <c r="C193" i="5"/>
  <c r="B193" i="5"/>
  <c r="A193" i="5"/>
  <c r="K191" i="5"/>
  <c r="H191" i="5"/>
  <c r="G191" i="5"/>
  <c r="E191" i="5"/>
  <c r="E190" i="5"/>
  <c r="E189" i="5"/>
  <c r="J188" i="5"/>
  <c r="I188" i="5"/>
  <c r="H188" i="5"/>
  <c r="G188" i="5"/>
  <c r="F188" i="5"/>
  <c r="C187" i="5"/>
  <c r="V186" i="5"/>
  <c r="T186" i="5"/>
  <c r="J190" i="5" s="1"/>
  <c r="R186" i="5"/>
  <c r="J189" i="5" s="1"/>
  <c r="U186" i="5"/>
  <c r="S186" i="5"/>
  <c r="Q186" i="5"/>
  <c r="E186" i="5"/>
  <c r="D186" i="5"/>
  <c r="C186" i="5"/>
  <c r="B186" i="5"/>
  <c r="A186" i="5"/>
  <c r="I184" i="5"/>
  <c r="H184" i="5"/>
  <c r="G184" i="5"/>
  <c r="F184" i="5"/>
  <c r="V184" i="5"/>
  <c r="T184" i="5"/>
  <c r="R184" i="5"/>
  <c r="U184" i="5"/>
  <c r="S184" i="5"/>
  <c r="Q184" i="5"/>
  <c r="E184" i="5"/>
  <c r="D184" i="5"/>
  <c r="B184" i="5"/>
  <c r="A184" i="5"/>
  <c r="K182" i="5"/>
  <c r="H182" i="5"/>
  <c r="G182" i="5"/>
  <c r="E182" i="5"/>
  <c r="E181" i="5"/>
  <c r="E180" i="5"/>
  <c r="J179" i="5"/>
  <c r="I179" i="5"/>
  <c r="H179" i="5"/>
  <c r="F179" i="5"/>
  <c r="V179" i="5"/>
  <c r="T179" i="5"/>
  <c r="R179" i="5"/>
  <c r="U179" i="5"/>
  <c r="S179" i="5"/>
  <c r="Q179" i="5"/>
  <c r="E179" i="5"/>
  <c r="D179" i="5"/>
  <c r="C179" i="5"/>
  <c r="B179" i="5"/>
  <c r="A179" i="5"/>
  <c r="J178" i="5"/>
  <c r="I178" i="5"/>
  <c r="H178" i="5"/>
  <c r="F178" i="5"/>
  <c r="V178" i="5"/>
  <c r="T178" i="5"/>
  <c r="R178" i="5"/>
  <c r="U178" i="5"/>
  <c r="S178" i="5"/>
  <c r="Q178" i="5"/>
  <c r="E178" i="5"/>
  <c r="D178" i="5"/>
  <c r="C178" i="5"/>
  <c r="B178" i="5"/>
  <c r="A178" i="5"/>
  <c r="J177" i="5"/>
  <c r="I177" i="5"/>
  <c r="H177" i="5"/>
  <c r="G177" i="5"/>
  <c r="F177" i="5"/>
  <c r="J176" i="5"/>
  <c r="I176" i="5"/>
  <c r="H176" i="5"/>
  <c r="G176" i="5"/>
  <c r="F176" i="5"/>
  <c r="V175" i="5"/>
  <c r="T175" i="5"/>
  <c r="R175" i="5"/>
  <c r="U175" i="5"/>
  <c r="S175" i="5"/>
  <c r="Q175" i="5"/>
  <c r="E175" i="5"/>
  <c r="D175" i="5"/>
  <c r="C175" i="5"/>
  <c r="B175" i="5"/>
  <c r="A175" i="5"/>
  <c r="K173" i="5"/>
  <c r="H173" i="5"/>
  <c r="G173" i="5"/>
  <c r="E173" i="5"/>
  <c r="E172" i="5"/>
  <c r="E171" i="5"/>
  <c r="E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C165" i="5"/>
  <c r="V164" i="5"/>
  <c r="J172" i="5" s="1"/>
  <c r="T164" i="5"/>
  <c r="J171" i="5" s="1"/>
  <c r="R164" i="5"/>
  <c r="J170" i="5" s="1"/>
  <c r="U164" i="5"/>
  <c r="S164" i="5"/>
  <c r="Q164" i="5"/>
  <c r="E164" i="5"/>
  <c r="D164" i="5"/>
  <c r="C164" i="5"/>
  <c r="B164" i="5"/>
  <c r="A164" i="5"/>
  <c r="K162" i="5"/>
  <c r="H162" i="5"/>
  <c r="G162" i="5"/>
  <c r="E162" i="5"/>
  <c r="E161" i="5"/>
  <c r="E160" i="5"/>
  <c r="E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C154" i="5"/>
  <c r="V153" i="5"/>
  <c r="J161" i="5" s="1"/>
  <c r="T153" i="5"/>
  <c r="J160" i="5" s="1"/>
  <c r="R153" i="5"/>
  <c r="J159" i="5" s="1"/>
  <c r="U153" i="5"/>
  <c r="S153" i="5"/>
  <c r="Q153" i="5"/>
  <c r="E153" i="5"/>
  <c r="D153" i="5"/>
  <c r="C153" i="5"/>
  <c r="B153" i="5"/>
  <c r="A153" i="5"/>
  <c r="K151" i="5"/>
  <c r="H151" i="5"/>
  <c r="G151" i="5"/>
  <c r="E151" i="5"/>
  <c r="E150" i="5"/>
  <c r="E149" i="5"/>
  <c r="E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C143" i="5"/>
  <c r="V142" i="5"/>
  <c r="J150" i="5" s="1"/>
  <c r="T142" i="5"/>
  <c r="J149" i="5" s="1"/>
  <c r="R142" i="5"/>
  <c r="J148" i="5" s="1"/>
  <c r="U142" i="5"/>
  <c r="S142" i="5"/>
  <c r="Q142" i="5"/>
  <c r="E142" i="5"/>
  <c r="D142" i="5"/>
  <c r="C142" i="5"/>
  <c r="B142" i="5"/>
  <c r="A142" i="5"/>
  <c r="K140" i="5"/>
  <c r="H140" i="5"/>
  <c r="G140" i="5"/>
  <c r="E140" i="5"/>
  <c r="E139" i="5"/>
  <c r="E138" i="5"/>
  <c r="J137" i="5"/>
  <c r="I137" i="5"/>
  <c r="H137" i="5"/>
  <c r="G137" i="5"/>
  <c r="F137" i="5"/>
  <c r="C136" i="5"/>
  <c r="V135" i="5"/>
  <c r="T135" i="5"/>
  <c r="J139" i="5" s="1"/>
  <c r="R135" i="5"/>
  <c r="J138" i="5" s="1"/>
  <c r="U135" i="5"/>
  <c r="S135" i="5"/>
  <c r="Q135" i="5"/>
  <c r="E135" i="5"/>
  <c r="D135" i="5"/>
  <c r="C135" i="5"/>
  <c r="B135" i="5"/>
  <c r="A135" i="5"/>
  <c r="I133" i="5"/>
  <c r="H133" i="5"/>
  <c r="G133" i="5"/>
  <c r="F133" i="5"/>
  <c r="V133" i="5"/>
  <c r="T133" i="5"/>
  <c r="R133" i="5"/>
  <c r="U133" i="5"/>
  <c r="S133" i="5"/>
  <c r="Q133" i="5"/>
  <c r="E133" i="5"/>
  <c r="D133" i="5"/>
  <c r="B133" i="5"/>
  <c r="A133" i="5"/>
  <c r="K131" i="5"/>
  <c r="H131" i="5"/>
  <c r="G131" i="5"/>
  <c r="E131" i="5"/>
  <c r="E130" i="5"/>
  <c r="E129" i="5"/>
  <c r="J128" i="5"/>
  <c r="I128" i="5"/>
  <c r="H128" i="5"/>
  <c r="F128" i="5"/>
  <c r="V128" i="5"/>
  <c r="T128" i="5"/>
  <c r="R128" i="5"/>
  <c r="U128" i="5"/>
  <c r="S128" i="5"/>
  <c r="Q128" i="5"/>
  <c r="E128" i="5"/>
  <c r="D128" i="5"/>
  <c r="C128" i="5"/>
  <c r="B128" i="5"/>
  <c r="A128" i="5"/>
  <c r="J127" i="5"/>
  <c r="I127" i="5"/>
  <c r="H127" i="5"/>
  <c r="F127" i="5"/>
  <c r="V127" i="5"/>
  <c r="T127" i="5"/>
  <c r="R127" i="5"/>
  <c r="U127" i="5"/>
  <c r="S127" i="5"/>
  <c r="Q127" i="5"/>
  <c r="E127" i="5"/>
  <c r="D127" i="5"/>
  <c r="C127" i="5"/>
  <c r="B127" i="5"/>
  <c r="A127" i="5"/>
  <c r="J126" i="5"/>
  <c r="I126" i="5"/>
  <c r="H126" i="5"/>
  <c r="G126" i="5"/>
  <c r="F126" i="5"/>
  <c r="J125" i="5"/>
  <c r="I125" i="5"/>
  <c r="H125" i="5"/>
  <c r="G125" i="5"/>
  <c r="F125" i="5"/>
  <c r="V124" i="5"/>
  <c r="T124" i="5"/>
  <c r="R124" i="5"/>
  <c r="J129" i="5" s="1"/>
  <c r="U124" i="5"/>
  <c r="S124" i="5"/>
  <c r="Q124" i="5"/>
  <c r="E124" i="5"/>
  <c r="D124" i="5"/>
  <c r="C124" i="5"/>
  <c r="B124" i="5"/>
  <c r="A124" i="5"/>
  <c r="K122" i="5"/>
  <c r="H122" i="5"/>
  <c r="G122" i="5"/>
  <c r="E122" i="5"/>
  <c r="E121" i="5"/>
  <c r="E120" i="5"/>
  <c r="E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C114" i="5"/>
  <c r="V113" i="5"/>
  <c r="J121" i="5" s="1"/>
  <c r="T113" i="5"/>
  <c r="J120" i="5" s="1"/>
  <c r="R113" i="5"/>
  <c r="J119" i="5" s="1"/>
  <c r="U113" i="5"/>
  <c r="S113" i="5"/>
  <c r="Q113" i="5"/>
  <c r="E113" i="5"/>
  <c r="D113" i="5"/>
  <c r="C113" i="5"/>
  <c r="B113" i="5"/>
  <c r="A113" i="5"/>
  <c r="K111" i="5"/>
  <c r="H111" i="5"/>
  <c r="G111" i="5"/>
  <c r="E111" i="5"/>
  <c r="E110" i="5"/>
  <c r="E109" i="5"/>
  <c r="E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C103" i="5"/>
  <c r="V102" i="5"/>
  <c r="J110" i="5" s="1"/>
  <c r="T102" i="5"/>
  <c r="J109" i="5" s="1"/>
  <c r="R102" i="5"/>
  <c r="J108" i="5" s="1"/>
  <c r="U102" i="5"/>
  <c r="S102" i="5"/>
  <c r="Q102" i="5"/>
  <c r="E102" i="5"/>
  <c r="D102" i="5"/>
  <c r="C102" i="5"/>
  <c r="B102" i="5"/>
  <c r="A102" i="5"/>
  <c r="K100" i="5"/>
  <c r="H100" i="5"/>
  <c r="G100" i="5"/>
  <c r="E100" i="5"/>
  <c r="E99" i="5"/>
  <c r="E98" i="5"/>
  <c r="E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C92" i="5"/>
  <c r="V91" i="5"/>
  <c r="J99" i="5" s="1"/>
  <c r="T91" i="5"/>
  <c r="J98" i="5" s="1"/>
  <c r="R91" i="5"/>
  <c r="J97" i="5" s="1"/>
  <c r="U91" i="5"/>
  <c r="S91" i="5"/>
  <c r="Q91" i="5"/>
  <c r="E91" i="5"/>
  <c r="D91" i="5"/>
  <c r="C91" i="5"/>
  <c r="B91" i="5"/>
  <c r="A91" i="5"/>
  <c r="K89" i="5"/>
  <c r="H89" i="5"/>
  <c r="G89" i="5"/>
  <c r="E89" i="5"/>
  <c r="E88" i="5"/>
  <c r="E87" i="5"/>
  <c r="J86" i="5"/>
  <c r="I86" i="5"/>
  <c r="H86" i="5"/>
  <c r="G86" i="5"/>
  <c r="F86" i="5"/>
  <c r="C85" i="5"/>
  <c r="V84" i="5"/>
  <c r="T84" i="5"/>
  <c r="J88" i="5" s="1"/>
  <c r="R84" i="5"/>
  <c r="J87" i="5" s="1"/>
  <c r="U84" i="5"/>
  <c r="S84" i="5"/>
  <c r="Q84" i="5"/>
  <c r="E84" i="5"/>
  <c r="D84" i="5"/>
  <c r="C84" i="5"/>
  <c r="B84" i="5"/>
  <c r="A84" i="5"/>
  <c r="I82" i="5"/>
  <c r="H82" i="5"/>
  <c r="G82" i="5"/>
  <c r="F82" i="5"/>
  <c r="V82" i="5"/>
  <c r="T82" i="5"/>
  <c r="R82" i="5"/>
  <c r="U82" i="5"/>
  <c r="S82" i="5"/>
  <c r="Q82" i="5"/>
  <c r="E82" i="5"/>
  <c r="D82" i="5"/>
  <c r="B82" i="5"/>
  <c r="A82" i="5"/>
  <c r="K80" i="5"/>
  <c r="H80" i="5"/>
  <c r="G80" i="5"/>
  <c r="E80" i="5"/>
  <c r="E79" i="5"/>
  <c r="E78" i="5"/>
  <c r="J77" i="5"/>
  <c r="I77" i="5"/>
  <c r="H77" i="5"/>
  <c r="F77" i="5"/>
  <c r="V77" i="5"/>
  <c r="T77" i="5"/>
  <c r="R77" i="5"/>
  <c r="U77" i="5"/>
  <c r="S77" i="5"/>
  <c r="Q77" i="5"/>
  <c r="E77" i="5"/>
  <c r="D77" i="5"/>
  <c r="C77" i="5"/>
  <c r="B77" i="5"/>
  <c r="A77" i="5"/>
  <c r="J76" i="5"/>
  <c r="I76" i="5"/>
  <c r="H76" i="5"/>
  <c r="F76" i="5"/>
  <c r="V76" i="5"/>
  <c r="T76" i="5"/>
  <c r="R76" i="5"/>
  <c r="U76" i="5"/>
  <c r="S76" i="5"/>
  <c r="Q76" i="5"/>
  <c r="E76" i="5"/>
  <c r="D76" i="5"/>
  <c r="C76" i="5"/>
  <c r="B76" i="5"/>
  <c r="A76" i="5"/>
  <c r="J75" i="5"/>
  <c r="I75" i="5"/>
  <c r="H75" i="5"/>
  <c r="G75" i="5"/>
  <c r="F75" i="5"/>
  <c r="J74" i="5"/>
  <c r="I74" i="5"/>
  <c r="H74" i="5"/>
  <c r="G74" i="5"/>
  <c r="F74" i="5"/>
  <c r="V73" i="5"/>
  <c r="T73" i="5"/>
  <c r="R73" i="5"/>
  <c r="U73" i="5"/>
  <c r="S73" i="5"/>
  <c r="Q73" i="5"/>
  <c r="E73" i="5"/>
  <c r="D73" i="5"/>
  <c r="C73" i="5"/>
  <c r="B73" i="5"/>
  <c r="A73" i="5"/>
  <c r="K71" i="5"/>
  <c r="H71" i="5"/>
  <c r="G71" i="5"/>
  <c r="E71" i="5"/>
  <c r="E70" i="5"/>
  <c r="E69" i="5"/>
  <c r="E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C63" i="5"/>
  <c r="V62" i="5"/>
  <c r="J70" i="5" s="1"/>
  <c r="T62" i="5"/>
  <c r="J69" i="5" s="1"/>
  <c r="R62" i="5"/>
  <c r="J68" i="5" s="1"/>
  <c r="U62" i="5"/>
  <c r="S62" i="5"/>
  <c r="Q62" i="5"/>
  <c r="E62" i="5"/>
  <c r="D62" i="5"/>
  <c r="C62" i="5"/>
  <c r="B62" i="5"/>
  <c r="A62" i="5"/>
  <c r="K60" i="5"/>
  <c r="H60" i="5"/>
  <c r="G60" i="5"/>
  <c r="E60" i="5"/>
  <c r="E59" i="5"/>
  <c r="E58" i="5"/>
  <c r="E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C52" i="5"/>
  <c r="V51" i="5"/>
  <c r="J59" i="5" s="1"/>
  <c r="T51" i="5"/>
  <c r="J58" i="5" s="1"/>
  <c r="R51" i="5"/>
  <c r="J57" i="5" s="1"/>
  <c r="U51" i="5"/>
  <c r="S51" i="5"/>
  <c r="Q51" i="5"/>
  <c r="E51" i="5"/>
  <c r="D51" i="5"/>
  <c r="C51" i="5"/>
  <c r="B51" i="5"/>
  <c r="A51" i="5"/>
  <c r="K49" i="5"/>
  <c r="H49" i="5"/>
  <c r="G49" i="5"/>
  <c r="E49" i="5"/>
  <c r="E48" i="5"/>
  <c r="E47" i="5"/>
  <c r="E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C41" i="5"/>
  <c r="V40" i="5"/>
  <c r="J48" i="5" s="1"/>
  <c r="T40" i="5"/>
  <c r="J47" i="5" s="1"/>
  <c r="R40" i="5"/>
  <c r="J46" i="5" s="1"/>
  <c r="U40" i="5"/>
  <c r="S40" i="5"/>
  <c r="Q40" i="5"/>
  <c r="E40" i="5"/>
  <c r="D40" i="5"/>
  <c r="C40" i="5"/>
  <c r="B40" i="5"/>
  <c r="A40" i="5"/>
  <c r="K38" i="5"/>
  <c r="H38" i="5"/>
  <c r="G38" i="5"/>
  <c r="E38" i="5"/>
  <c r="E37" i="5"/>
  <c r="E36" i="5"/>
  <c r="J35" i="5"/>
  <c r="I35" i="5"/>
  <c r="H35" i="5"/>
  <c r="G35" i="5"/>
  <c r="F35" i="5"/>
  <c r="C34" i="5"/>
  <c r="V33" i="5"/>
  <c r="T33" i="5"/>
  <c r="J37" i="5" s="1"/>
  <c r="R33" i="5"/>
  <c r="J36" i="5" s="1"/>
  <c r="U33" i="5"/>
  <c r="S33" i="5"/>
  <c r="Q33" i="5"/>
  <c r="E33" i="5"/>
  <c r="D33" i="5"/>
  <c r="C33" i="5"/>
  <c r="B33" i="5"/>
  <c r="A33" i="5"/>
  <c r="A32" i="5"/>
  <c r="A18" i="5"/>
  <c r="A10" i="5"/>
  <c r="B6" i="5"/>
  <c r="A1" i="5"/>
  <c r="J435" i="5" l="1"/>
  <c r="J436" i="5"/>
  <c r="M57" i="7"/>
  <c r="O57" i="7"/>
  <c r="F24" i="6" s="1"/>
  <c r="R57" i="7"/>
  <c r="T57" i="7"/>
  <c r="I203" i="5"/>
  <c r="K203" i="5" s="1"/>
  <c r="I225" i="5"/>
  <c r="J231" i="5"/>
  <c r="J283" i="5"/>
  <c r="I396" i="5"/>
  <c r="K396" i="5" s="1"/>
  <c r="J180" i="5"/>
  <c r="J181" i="5"/>
  <c r="I294" i="5"/>
  <c r="K294" i="5" s="1"/>
  <c r="J333" i="5"/>
  <c r="J334" i="5"/>
  <c r="I336" i="5" s="1"/>
  <c r="J385" i="5"/>
  <c r="I39" i="5"/>
  <c r="P39" i="5" s="1"/>
  <c r="J78" i="5"/>
  <c r="J79" i="5"/>
  <c r="J130" i="5"/>
  <c r="I132" i="5" s="1"/>
  <c r="I141" i="5"/>
  <c r="K141" i="5" s="1"/>
  <c r="I163" i="5"/>
  <c r="K163" i="5" s="1"/>
  <c r="J232" i="5"/>
  <c r="I243" i="5"/>
  <c r="K243" i="5" s="1"/>
  <c r="I265" i="5"/>
  <c r="K265" i="5" s="1"/>
  <c r="J282" i="5"/>
  <c r="I285" i="5" s="1"/>
  <c r="J384" i="5"/>
  <c r="K39" i="5"/>
  <c r="I61" i="5"/>
  <c r="I90" i="5"/>
  <c r="I101" i="5"/>
  <c r="I123" i="5"/>
  <c r="P141" i="5"/>
  <c r="P163" i="5"/>
  <c r="P265" i="5"/>
  <c r="I50" i="5"/>
  <c r="I72" i="5"/>
  <c r="I112" i="5"/>
  <c r="P225" i="5"/>
  <c r="K225" i="5"/>
  <c r="I152" i="5"/>
  <c r="I305" i="5"/>
  <c r="I327" i="5"/>
  <c r="I367" i="5"/>
  <c r="I407" i="5"/>
  <c r="I429" i="5"/>
  <c r="I438" i="5"/>
  <c r="I174" i="5"/>
  <c r="I214" i="5"/>
  <c r="I192" i="5"/>
  <c r="I254" i="5"/>
  <c r="I276" i="5"/>
  <c r="I316" i="5"/>
  <c r="I345" i="5"/>
  <c r="I356" i="5"/>
  <c r="I378" i="5"/>
  <c r="P396" i="5"/>
  <c r="I418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1" i="3"/>
  <c r="CY1" i="3"/>
  <c r="CZ1" i="3"/>
  <c r="DA1" i="3"/>
  <c r="DB1" i="3"/>
  <c r="DC1" i="3"/>
  <c r="A2" i="3"/>
  <c r="CY2" i="3"/>
  <c r="CZ2" i="3"/>
  <c r="DA2" i="3"/>
  <c r="DB2" i="3"/>
  <c r="DC2" i="3"/>
  <c r="A3" i="3"/>
  <c r="CY3" i="3"/>
  <c r="CZ3" i="3"/>
  <c r="DA3" i="3"/>
  <c r="DB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Y7" i="3"/>
  <c r="CZ7" i="3"/>
  <c r="DA7" i="3"/>
  <c r="DB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A12" i="3"/>
  <c r="DB12" i="3"/>
  <c r="DC12" i="3"/>
  <c r="A13" i="3"/>
  <c r="CY13" i="3"/>
  <c r="CZ13" i="3"/>
  <c r="DA13" i="3"/>
  <c r="DB13" i="3"/>
  <c r="DC13" i="3"/>
  <c r="A14" i="3"/>
  <c r="CY14" i="3"/>
  <c r="CZ14" i="3"/>
  <c r="DA14" i="3"/>
  <c r="DB14" i="3"/>
  <c r="DC14" i="3"/>
  <c r="A15" i="3"/>
  <c r="CY15" i="3"/>
  <c r="CZ15" i="3"/>
  <c r="DA15" i="3"/>
  <c r="DB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A18" i="3"/>
  <c r="DB18" i="3"/>
  <c r="DC18" i="3"/>
  <c r="A19" i="3"/>
  <c r="CY19" i="3"/>
  <c r="CZ19" i="3"/>
  <c r="DA19" i="3"/>
  <c r="DB19" i="3"/>
  <c r="DC19" i="3"/>
  <c r="A20" i="3"/>
  <c r="CY20" i="3"/>
  <c r="CZ20" i="3"/>
  <c r="DA20" i="3"/>
  <c r="DB20" i="3"/>
  <c r="DC20" i="3"/>
  <c r="A21" i="3"/>
  <c r="CY21" i="3"/>
  <c r="CZ21" i="3"/>
  <c r="DA21" i="3"/>
  <c r="DB21" i="3"/>
  <c r="DC21" i="3"/>
  <c r="A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A24" i="3"/>
  <c r="DB24" i="3"/>
  <c r="DC24" i="3"/>
  <c r="A25" i="3"/>
  <c r="CY25" i="3"/>
  <c r="CZ25" i="3"/>
  <c r="DA25" i="3"/>
  <c r="DB25" i="3"/>
  <c r="DC25" i="3"/>
  <c r="A26" i="3"/>
  <c r="CY26" i="3"/>
  <c r="CZ26" i="3"/>
  <c r="DA26" i="3"/>
  <c r="DB26" i="3"/>
  <c r="DC26" i="3"/>
  <c r="A27" i="3"/>
  <c r="CY27" i="3"/>
  <c r="CZ27" i="3"/>
  <c r="DA27" i="3"/>
  <c r="DB27" i="3"/>
  <c r="DC27" i="3"/>
  <c r="A28" i="3"/>
  <c r="CY28" i="3"/>
  <c r="CZ28" i="3"/>
  <c r="DA28" i="3"/>
  <c r="DB28" i="3"/>
  <c r="DC28" i="3"/>
  <c r="A29" i="3"/>
  <c r="CY29" i="3"/>
  <c r="CZ29" i="3"/>
  <c r="DA29" i="3"/>
  <c r="DB29" i="3"/>
  <c r="DC29" i="3"/>
  <c r="A30" i="3"/>
  <c r="CY30" i="3"/>
  <c r="CZ30" i="3"/>
  <c r="DA30" i="3"/>
  <c r="DB30" i="3"/>
  <c r="DC30" i="3"/>
  <c r="A31" i="3"/>
  <c r="CY31" i="3"/>
  <c r="CZ31" i="3"/>
  <c r="DA31" i="3"/>
  <c r="DB31" i="3"/>
  <c r="DC31" i="3"/>
  <c r="A32" i="3"/>
  <c r="CY32" i="3"/>
  <c r="CZ32" i="3"/>
  <c r="DA32" i="3"/>
  <c r="DB32" i="3"/>
  <c r="DC32" i="3"/>
  <c r="A33" i="3"/>
  <c r="CY33" i="3"/>
  <c r="CZ33" i="3"/>
  <c r="DA33" i="3"/>
  <c r="DB33" i="3"/>
  <c r="DC33" i="3"/>
  <c r="A34" i="3"/>
  <c r="CY34" i="3"/>
  <c r="CZ34" i="3"/>
  <c r="DA34" i="3"/>
  <c r="DB34" i="3"/>
  <c r="DC34" i="3"/>
  <c r="A35" i="3"/>
  <c r="CY35" i="3"/>
  <c r="CZ35" i="3"/>
  <c r="DA35" i="3"/>
  <c r="DB35" i="3"/>
  <c r="DC35" i="3"/>
  <c r="A36" i="3"/>
  <c r="CY36" i="3"/>
  <c r="CZ36" i="3"/>
  <c r="DA36" i="3"/>
  <c r="DB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A38" i="3"/>
  <c r="DB38" i="3"/>
  <c r="DC38" i="3"/>
  <c r="A39" i="3"/>
  <c r="CY39" i="3"/>
  <c r="CZ39" i="3"/>
  <c r="DA39" i="3"/>
  <c r="DB39" i="3"/>
  <c r="DC39" i="3"/>
  <c r="A40" i="3"/>
  <c r="CY40" i="3"/>
  <c r="CZ40" i="3"/>
  <c r="DA40" i="3"/>
  <c r="DB40" i="3"/>
  <c r="DC40" i="3"/>
  <c r="A41" i="3"/>
  <c r="CY41" i="3"/>
  <c r="CZ41" i="3"/>
  <c r="DA41" i="3"/>
  <c r="DB41" i="3"/>
  <c r="DC41" i="3"/>
  <c r="A42" i="3"/>
  <c r="CY42" i="3"/>
  <c r="CZ42" i="3"/>
  <c r="DA42" i="3"/>
  <c r="DB42" i="3"/>
  <c r="DC42" i="3"/>
  <c r="A43" i="3"/>
  <c r="CY43" i="3"/>
  <c r="CZ43" i="3"/>
  <c r="DA43" i="3"/>
  <c r="DB43" i="3"/>
  <c r="DC43" i="3"/>
  <c r="A44" i="3"/>
  <c r="CY44" i="3"/>
  <c r="CZ44" i="3"/>
  <c r="DA44" i="3"/>
  <c r="DB44" i="3"/>
  <c r="DC44" i="3"/>
  <c r="A45" i="3"/>
  <c r="CY45" i="3"/>
  <c r="CZ45" i="3"/>
  <c r="DA45" i="3"/>
  <c r="DB45" i="3"/>
  <c r="DC45" i="3"/>
  <c r="A46" i="3"/>
  <c r="CY46" i="3"/>
  <c r="CZ46" i="3"/>
  <c r="DA46" i="3"/>
  <c r="DB46" i="3"/>
  <c r="DC46" i="3"/>
  <c r="A47" i="3"/>
  <c r="CY47" i="3"/>
  <c r="CZ47" i="3"/>
  <c r="DA47" i="3"/>
  <c r="DB47" i="3"/>
  <c r="DC47" i="3"/>
  <c r="A48" i="3"/>
  <c r="CY48" i="3"/>
  <c r="CZ48" i="3"/>
  <c r="DA48" i="3"/>
  <c r="DB48" i="3"/>
  <c r="DC48" i="3"/>
  <c r="A49" i="3"/>
  <c r="CY49" i="3"/>
  <c r="CZ49" i="3"/>
  <c r="DA49" i="3"/>
  <c r="DB49" i="3"/>
  <c r="DC49" i="3"/>
  <c r="A50" i="3"/>
  <c r="CY50" i="3"/>
  <c r="CZ50" i="3"/>
  <c r="DA50" i="3"/>
  <c r="DB50" i="3"/>
  <c r="DC50" i="3"/>
  <c r="A51" i="3"/>
  <c r="CX51" i="3"/>
  <c r="CY51" i="3"/>
  <c r="CZ51" i="3"/>
  <c r="DA51" i="3"/>
  <c r="DB51" i="3"/>
  <c r="DC51" i="3"/>
  <c r="A52" i="3"/>
  <c r="CX52" i="3"/>
  <c r="CY52" i="3"/>
  <c r="CZ52" i="3"/>
  <c r="DA52" i="3"/>
  <c r="DB52" i="3"/>
  <c r="DC52" i="3"/>
  <c r="A53" i="3"/>
  <c r="CY53" i="3"/>
  <c r="CZ53" i="3"/>
  <c r="DA53" i="3"/>
  <c r="DB53" i="3"/>
  <c r="DC53" i="3"/>
  <c r="A54" i="3"/>
  <c r="CY54" i="3"/>
  <c r="CZ54" i="3"/>
  <c r="DA54" i="3"/>
  <c r="DB54" i="3"/>
  <c r="DC54" i="3"/>
  <c r="A55" i="3"/>
  <c r="CY55" i="3"/>
  <c r="CZ55" i="3"/>
  <c r="DA55" i="3"/>
  <c r="DB55" i="3"/>
  <c r="DC55" i="3"/>
  <c r="A56" i="3"/>
  <c r="CY56" i="3"/>
  <c r="CZ56" i="3"/>
  <c r="DA56" i="3"/>
  <c r="DB56" i="3"/>
  <c r="DC56" i="3"/>
  <c r="A57" i="3"/>
  <c r="CY57" i="3"/>
  <c r="CZ57" i="3"/>
  <c r="DA57" i="3"/>
  <c r="DB57" i="3"/>
  <c r="DC57" i="3"/>
  <c r="A58" i="3"/>
  <c r="CY58" i="3"/>
  <c r="CZ58" i="3"/>
  <c r="DA58" i="3"/>
  <c r="DB58" i="3"/>
  <c r="DC58" i="3"/>
  <c r="A59" i="3"/>
  <c r="CY59" i="3"/>
  <c r="CZ59" i="3"/>
  <c r="DA59" i="3"/>
  <c r="DB59" i="3"/>
  <c r="DC59" i="3"/>
  <c r="A60" i="3"/>
  <c r="CY60" i="3"/>
  <c r="CZ60" i="3"/>
  <c r="DA60" i="3"/>
  <c r="DB60" i="3"/>
  <c r="DC60" i="3"/>
  <c r="A61" i="3"/>
  <c r="CY61" i="3"/>
  <c r="CZ61" i="3"/>
  <c r="DA61" i="3"/>
  <c r="DB61" i="3"/>
  <c r="DC61" i="3"/>
  <c r="A62" i="3"/>
  <c r="CY62" i="3"/>
  <c r="CZ62" i="3"/>
  <c r="DA62" i="3"/>
  <c r="DB62" i="3"/>
  <c r="DC62" i="3"/>
  <c r="A63" i="3"/>
  <c r="CY63" i="3"/>
  <c r="CZ63" i="3"/>
  <c r="DA63" i="3"/>
  <c r="DB63" i="3"/>
  <c r="DC63" i="3"/>
  <c r="A64" i="3"/>
  <c r="CY64" i="3"/>
  <c r="CZ64" i="3"/>
  <c r="DA64" i="3"/>
  <c r="DB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A66" i="3"/>
  <c r="DB66" i="3"/>
  <c r="DC66" i="3"/>
  <c r="A67" i="3"/>
  <c r="CY67" i="3"/>
  <c r="CZ67" i="3"/>
  <c r="DA67" i="3"/>
  <c r="DB67" i="3"/>
  <c r="DC67" i="3"/>
  <c r="A68" i="3"/>
  <c r="CY68" i="3"/>
  <c r="CZ68" i="3"/>
  <c r="DA68" i="3"/>
  <c r="DB68" i="3"/>
  <c r="DC68" i="3"/>
  <c r="A69" i="3"/>
  <c r="CY69" i="3"/>
  <c r="CZ69" i="3"/>
  <c r="DA69" i="3"/>
  <c r="DB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A72" i="3"/>
  <c r="DB72" i="3"/>
  <c r="DC72" i="3"/>
  <c r="A73" i="3"/>
  <c r="CY73" i="3"/>
  <c r="CZ73" i="3"/>
  <c r="DA73" i="3"/>
  <c r="DB73" i="3"/>
  <c r="DC73" i="3"/>
  <c r="A74" i="3"/>
  <c r="CY74" i="3"/>
  <c r="CZ74" i="3"/>
  <c r="DA74" i="3"/>
  <c r="DB74" i="3"/>
  <c r="DC74" i="3"/>
  <c r="A75" i="3"/>
  <c r="CY75" i="3"/>
  <c r="CZ75" i="3"/>
  <c r="DA75" i="3"/>
  <c r="DB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A78" i="3"/>
  <c r="DB78" i="3"/>
  <c r="DC78" i="3"/>
  <c r="A79" i="3"/>
  <c r="CX79" i="3"/>
  <c r="CY79" i="3"/>
  <c r="CZ79" i="3"/>
  <c r="DA79" i="3"/>
  <c r="DB79" i="3"/>
  <c r="DC79" i="3"/>
  <c r="A80" i="3"/>
  <c r="CX80" i="3"/>
  <c r="CY80" i="3"/>
  <c r="CZ80" i="3"/>
  <c r="DA80" i="3"/>
  <c r="DB80" i="3"/>
  <c r="DC80" i="3"/>
  <c r="A81" i="3"/>
  <c r="CY81" i="3"/>
  <c r="CZ81" i="3"/>
  <c r="DA81" i="3"/>
  <c r="DB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A84" i="3"/>
  <c r="DB84" i="3"/>
  <c r="DC84" i="3"/>
  <c r="A85" i="3"/>
  <c r="CY85" i="3"/>
  <c r="CZ85" i="3"/>
  <c r="DA85" i="3"/>
  <c r="DB85" i="3"/>
  <c r="DC85" i="3"/>
  <c r="A86" i="3"/>
  <c r="CY86" i="3"/>
  <c r="CZ86" i="3"/>
  <c r="DA86" i="3"/>
  <c r="DB86" i="3"/>
  <c r="DC86" i="3"/>
  <c r="A87" i="3"/>
  <c r="CY87" i="3"/>
  <c r="CZ87" i="3"/>
  <c r="DA87" i="3"/>
  <c r="DB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A90" i="3"/>
  <c r="DB90" i="3"/>
  <c r="DC90" i="3"/>
  <c r="A91" i="3"/>
  <c r="CY91" i="3"/>
  <c r="CZ91" i="3"/>
  <c r="DA91" i="3"/>
  <c r="DB91" i="3"/>
  <c r="DC91" i="3"/>
  <c r="A92" i="3"/>
  <c r="CY92" i="3"/>
  <c r="CZ92" i="3"/>
  <c r="DA92" i="3"/>
  <c r="DB92" i="3"/>
  <c r="DC92" i="3"/>
  <c r="A93" i="3"/>
  <c r="CX93" i="3"/>
  <c r="CY93" i="3"/>
  <c r="CZ93" i="3"/>
  <c r="DA93" i="3"/>
  <c r="DB93" i="3"/>
  <c r="DC93" i="3"/>
  <c r="A94" i="3"/>
  <c r="CX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A96" i="3"/>
  <c r="DB96" i="3"/>
  <c r="DC96" i="3"/>
  <c r="A97" i="3"/>
  <c r="CY97" i="3"/>
  <c r="CZ97" i="3"/>
  <c r="DA97" i="3"/>
  <c r="DB97" i="3"/>
  <c r="DC97" i="3"/>
  <c r="A98" i="3"/>
  <c r="CY98" i="3"/>
  <c r="CZ98" i="3"/>
  <c r="DA98" i="3"/>
  <c r="DB98" i="3"/>
  <c r="DC98" i="3"/>
  <c r="A99" i="3"/>
  <c r="CY99" i="3"/>
  <c r="CZ99" i="3"/>
  <c r="DA99" i="3"/>
  <c r="DB99" i="3"/>
  <c r="DC99" i="3"/>
  <c r="A100" i="3"/>
  <c r="CY100" i="3"/>
  <c r="CZ100" i="3"/>
  <c r="DA100" i="3"/>
  <c r="DB100" i="3"/>
  <c r="DC100" i="3"/>
  <c r="A101" i="3"/>
  <c r="CY101" i="3"/>
  <c r="CZ101" i="3"/>
  <c r="DA101" i="3"/>
  <c r="DB101" i="3"/>
  <c r="DC101" i="3"/>
  <c r="A102" i="3"/>
  <c r="CY102" i="3"/>
  <c r="CZ102" i="3"/>
  <c r="DA102" i="3"/>
  <c r="DB102" i="3"/>
  <c r="DC102" i="3"/>
  <c r="A103" i="3"/>
  <c r="CY103" i="3"/>
  <c r="CZ103" i="3"/>
  <c r="DA103" i="3"/>
  <c r="DB103" i="3"/>
  <c r="DC103" i="3"/>
  <c r="A104" i="3"/>
  <c r="CY104" i="3"/>
  <c r="CZ104" i="3"/>
  <c r="DA104" i="3"/>
  <c r="DB104" i="3"/>
  <c r="DC104" i="3"/>
  <c r="A105" i="3"/>
  <c r="CY105" i="3"/>
  <c r="CZ105" i="3"/>
  <c r="DA105" i="3"/>
  <c r="DB105" i="3"/>
  <c r="DC105" i="3"/>
  <c r="A106" i="3"/>
  <c r="CY106" i="3"/>
  <c r="CZ106" i="3"/>
  <c r="DA106" i="3"/>
  <c r="DB106" i="3"/>
  <c r="DC106" i="3"/>
  <c r="A107" i="3"/>
  <c r="CX107" i="3"/>
  <c r="CY107" i="3"/>
  <c r="CZ107" i="3"/>
  <c r="DA107" i="3"/>
  <c r="DB107" i="3"/>
  <c r="DC107" i="3"/>
  <c r="A108" i="3"/>
  <c r="CX108" i="3"/>
  <c r="CY108" i="3"/>
  <c r="CZ108" i="3"/>
  <c r="DA108" i="3"/>
  <c r="DB108" i="3"/>
  <c r="DC108" i="3"/>
  <c r="A109" i="3"/>
  <c r="CX109" i="3"/>
  <c r="CY109" i="3"/>
  <c r="CZ109" i="3"/>
  <c r="DA109" i="3"/>
  <c r="DB109" i="3"/>
  <c r="DC109" i="3"/>
  <c r="A110" i="3"/>
  <c r="CX110" i="3"/>
  <c r="CY110" i="3"/>
  <c r="CZ110" i="3"/>
  <c r="DA110" i="3"/>
  <c r="DB110" i="3"/>
  <c r="DC11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I28" i="1"/>
  <c r="GX28" i="1" s="1"/>
  <c r="R28" i="1"/>
  <c r="GK28" i="1" s="1"/>
  <c r="V28" i="1"/>
  <c r="AC28" i="1"/>
  <c r="AD28" i="1"/>
  <c r="AB28" i="1" s="1"/>
  <c r="AE28" i="1"/>
  <c r="AF28" i="1"/>
  <c r="CT28" i="1" s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P28" i="1" s="1"/>
  <c r="CP28" i="1" s="1"/>
  <c r="O28" i="1" s="1"/>
  <c r="CR28" i="1"/>
  <c r="Q28" i="1" s="1"/>
  <c r="CS28" i="1"/>
  <c r="CU28" i="1"/>
  <c r="T28" i="1" s="1"/>
  <c r="CW28" i="1"/>
  <c r="CY28" i="1"/>
  <c r="X28" i="1" s="1"/>
  <c r="FR28" i="1"/>
  <c r="GL28" i="1"/>
  <c r="GN28" i="1"/>
  <c r="GO28" i="1"/>
  <c r="GV28" i="1"/>
  <c r="HC28" i="1"/>
  <c r="C29" i="1"/>
  <c r="D29" i="1"/>
  <c r="I29" i="1"/>
  <c r="T29" i="1"/>
  <c r="X29" i="1"/>
  <c r="AC29" i="1"/>
  <c r="AD29" i="1"/>
  <c r="AB29" i="1" s="1"/>
  <c r="AE29" i="1"/>
  <c r="AF29" i="1"/>
  <c r="CT29" i="1" s="1"/>
  <c r="S29" i="1" s="1"/>
  <c r="CZ29" i="1" s="1"/>
  <c r="Y29" i="1" s="1"/>
  <c r="AG29" i="1"/>
  <c r="AH29" i="1"/>
  <c r="CV29" i="1" s="1"/>
  <c r="U29" i="1" s="1"/>
  <c r="AI29" i="1"/>
  <c r="AJ29" i="1"/>
  <c r="CX29" i="1" s="1"/>
  <c r="W29" i="1" s="1"/>
  <c r="CQ29" i="1"/>
  <c r="P29" i="1" s="1"/>
  <c r="CP29" i="1" s="1"/>
  <c r="O29" i="1" s="1"/>
  <c r="CR29" i="1"/>
  <c r="Q29" i="1" s="1"/>
  <c r="CS29" i="1"/>
  <c r="R29" i="1" s="1"/>
  <c r="GK29" i="1" s="1"/>
  <c r="CU29" i="1"/>
  <c r="CW29" i="1"/>
  <c r="V29" i="1" s="1"/>
  <c r="CY29" i="1"/>
  <c r="FR29" i="1"/>
  <c r="GL29" i="1"/>
  <c r="GN29" i="1"/>
  <c r="GO29" i="1"/>
  <c r="GV29" i="1"/>
  <c r="GX29" i="1"/>
  <c r="HC29" i="1"/>
  <c r="C30" i="1"/>
  <c r="D30" i="1"/>
  <c r="I30" i="1"/>
  <c r="R30" i="1" s="1"/>
  <c r="GK30" i="1" s="1"/>
  <c r="V30" i="1"/>
  <c r="AC30" i="1"/>
  <c r="AD30" i="1"/>
  <c r="AB30" i="1" s="1"/>
  <c r="AE30" i="1"/>
  <c r="AF30" i="1"/>
  <c r="CT30" i="1" s="1"/>
  <c r="AG30" i="1"/>
  <c r="AH30" i="1"/>
  <c r="CV30" i="1" s="1"/>
  <c r="AI30" i="1"/>
  <c r="AJ30" i="1"/>
  <c r="CX30" i="1" s="1"/>
  <c r="CQ30" i="1"/>
  <c r="P30" i="1" s="1"/>
  <c r="CR30" i="1"/>
  <c r="CS30" i="1"/>
  <c r="CU30" i="1"/>
  <c r="CW30" i="1"/>
  <c r="FR30" i="1"/>
  <c r="GL30" i="1"/>
  <c r="GN30" i="1"/>
  <c r="GO30" i="1"/>
  <c r="GV30" i="1"/>
  <c r="HC30" i="1"/>
  <c r="D31" i="1"/>
  <c r="I31" i="1"/>
  <c r="U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T31" i="1"/>
  <c r="S31" i="1" s="1"/>
  <c r="CV31" i="1"/>
  <c r="CX31" i="1"/>
  <c r="W31" i="1" s="1"/>
  <c r="FR31" i="1"/>
  <c r="GL31" i="1"/>
  <c r="GN31" i="1"/>
  <c r="GO31" i="1"/>
  <c r="GV31" i="1"/>
  <c r="HC31" i="1" s="1"/>
  <c r="GX31" i="1" s="1"/>
  <c r="D32" i="1"/>
  <c r="U32" i="1"/>
  <c r="AC32" i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CX32" i="1"/>
  <c r="W32" i="1" s="1"/>
  <c r="FR32" i="1"/>
  <c r="GL32" i="1"/>
  <c r="GN32" i="1"/>
  <c r="GO32" i="1"/>
  <c r="GV32" i="1"/>
  <c r="HC32" i="1" s="1"/>
  <c r="GX32" i="1" s="1"/>
  <c r="I33" i="1"/>
  <c r="U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T33" i="1"/>
  <c r="S33" i="1" s="1"/>
  <c r="CV33" i="1"/>
  <c r="CX33" i="1"/>
  <c r="W33" i="1" s="1"/>
  <c r="FR33" i="1"/>
  <c r="GL33" i="1"/>
  <c r="GN33" i="1"/>
  <c r="GO33" i="1"/>
  <c r="GV33" i="1"/>
  <c r="HC33" i="1" s="1"/>
  <c r="GX33" i="1" s="1"/>
  <c r="I34" i="1"/>
  <c r="U34" i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CX34" i="1"/>
  <c r="W34" i="1" s="1"/>
  <c r="FR34" i="1"/>
  <c r="GL34" i="1"/>
  <c r="GN34" i="1"/>
  <c r="GO34" i="1"/>
  <c r="GV34" i="1"/>
  <c r="HC34" i="1" s="1"/>
  <c r="GX34" i="1" s="1"/>
  <c r="T35" i="1"/>
  <c r="X35" i="1"/>
  <c r="AC35" i="1"/>
  <c r="AD35" i="1"/>
  <c r="AE35" i="1"/>
  <c r="AF35" i="1"/>
  <c r="CT35" i="1" s="1"/>
  <c r="S35" i="1" s="1"/>
  <c r="CZ35" i="1" s="1"/>
  <c r="Y35" i="1" s="1"/>
  <c r="AG35" i="1"/>
  <c r="AH35" i="1"/>
  <c r="CV35" i="1" s="1"/>
  <c r="U35" i="1" s="1"/>
  <c r="AI35" i="1"/>
  <c r="AJ35" i="1"/>
  <c r="CX35" i="1" s="1"/>
  <c r="W35" i="1" s="1"/>
  <c r="CQ35" i="1"/>
  <c r="P35" i="1" s="1"/>
  <c r="CR35" i="1"/>
  <c r="Q35" i="1" s="1"/>
  <c r="CS35" i="1"/>
  <c r="R35" i="1" s="1"/>
  <c r="GK35" i="1" s="1"/>
  <c r="CU35" i="1"/>
  <c r="CW35" i="1"/>
  <c r="V35" i="1" s="1"/>
  <c r="CY35" i="1"/>
  <c r="FR35" i="1"/>
  <c r="GL35" i="1"/>
  <c r="GO35" i="1"/>
  <c r="GP35" i="1"/>
  <c r="GV35" i="1"/>
  <c r="GX35" i="1"/>
  <c r="HC35" i="1"/>
  <c r="D36" i="1"/>
  <c r="I36" i="1"/>
  <c r="S36" i="1"/>
  <c r="W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R36" i="1"/>
  <c r="Q36" i="1" s="1"/>
  <c r="CT36" i="1"/>
  <c r="CV36" i="1"/>
  <c r="U36" i="1" s="1"/>
  <c r="CX36" i="1"/>
  <c r="FR36" i="1"/>
  <c r="GL36" i="1"/>
  <c r="GN36" i="1"/>
  <c r="GO36" i="1"/>
  <c r="GV36" i="1"/>
  <c r="HC36" i="1"/>
  <c r="GX36" i="1" s="1"/>
  <c r="C37" i="1"/>
  <c r="D37" i="1"/>
  <c r="I37" i="1"/>
  <c r="R37" i="1"/>
  <c r="GK37" i="1" s="1"/>
  <c r="V37" i="1"/>
  <c r="AC37" i="1"/>
  <c r="AD37" i="1"/>
  <c r="AB37" i="1" s="1"/>
  <c r="AE37" i="1"/>
  <c r="AF37" i="1"/>
  <c r="CT37" i="1" s="1"/>
  <c r="S37" i="1" s="1"/>
  <c r="AG37" i="1"/>
  <c r="AH37" i="1"/>
  <c r="CV37" i="1" s="1"/>
  <c r="U37" i="1" s="1"/>
  <c r="AI37" i="1"/>
  <c r="AJ37" i="1"/>
  <c r="CQ37" i="1"/>
  <c r="P37" i="1" s="1"/>
  <c r="CR37" i="1"/>
  <c r="Q37" i="1" s="1"/>
  <c r="CS37" i="1"/>
  <c r="CU37" i="1"/>
  <c r="T37" i="1" s="1"/>
  <c r="CW37" i="1"/>
  <c r="CX37" i="1"/>
  <c r="W37" i="1" s="1"/>
  <c r="FR37" i="1"/>
  <c r="GL37" i="1"/>
  <c r="GN37" i="1"/>
  <c r="GO37" i="1"/>
  <c r="GV37" i="1"/>
  <c r="HC37" i="1" s="1"/>
  <c r="GX37" i="1" s="1"/>
  <c r="C38" i="1"/>
  <c r="D38" i="1"/>
  <c r="I38" i="1"/>
  <c r="U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CX38" i="1"/>
  <c r="W38" i="1" s="1"/>
  <c r="FR38" i="1"/>
  <c r="GL38" i="1"/>
  <c r="GN38" i="1"/>
  <c r="GO38" i="1"/>
  <c r="GV38" i="1"/>
  <c r="HC38" i="1" s="1"/>
  <c r="GX38" i="1" s="1"/>
  <c r="D39" i="1"/>
  <c r="I39" i="1"/>
  <c r="P39" i="1"/>
  <c r="CP39" i="1" s="1"/>
  <c r="O39" i="1" s="1"/>
  <c r="T39" i="1"/>
  <c r="X39" i="1"/>
  <c r="AC39" i="1"/>
  <c r="AD39" i="1"/>
  <c r="AB39" i="1" s="1"/>
  <c r="AE39" i="1"/>
  <c r="AF39" i="1"/>
  <c r="CT39" i="1" s="1"/>
  <c r="S39" i="1" s="1"/>
  <c r="CZ39" i="1" s="1"/>
  <c r="Y39" i="1" s="1"/>
  <c r="AG39" i="1"/>
  <c r="AH39" i="1"/>
  <c r="CV39" i="1" s="1"/>
  <c r="U39" i="1" s="1"/>
  <c r="AI39" i="1"/>
  <c r="AJ39" i="1"/>
  <c r="CX39" i="1" s="1"/>
  <c r="W39" i="1" s="1"/>
  <c r="CQ39" i="1"/>
  <c r="CR39" i="1"/>
  <c r="Q39" i="1" s="1"/>
  <c r="CS39" i="1"/>
  <c r="R39" i="1" s="1"/>
  <c r="GK39" i="1" s="1"/>
  <c r="CU39" i="1"/>
  <c r="CW39" i="1"/>
  <c r="V39" i="1" s="1"/>
  <c r="CY39" i="1"/>
  <c r="FR39" i="1"/>
  <c r="GL39" i="1"/>
  <c r="GN39" i="1"/>
  <c r="GO39" i="1"/>
  <c r="GV39" i="1"/>
  <c r="GX39" i="1"/>
  <c r="HC39" i="1"/>
  <c r="D40" i="1"/>
  <c r="R40" i="1"/>
  <c r="GK40" i="1" s="1"/>
  <c r="V40" i="1"/>
  <c r="AC40" i="1"/>
  <c r="AD40" i="1"/>
  <c r="AB40" i="1" s="1"/>
  <c r="AE40" i="1"/>
  <c r="AF40" i="1"/>
  <c r="CT40" i="1" s="1"/>
  <c r="S40" i="1" s="1"/>
  <c r="CZ40" i="1" s="1"/>
  <c r="Y40" i="1" s="1"/>
  <c r="AG40" i="1"/>
  <c r="AH40" i="1"/>
  <c r="CV40" i="1" s="1"/>
  <c r="U40" i="1" s="1"/>
  <c r="AI40" i="1"/>
  <c r="AJ40" i="1"/>
  <c r="CX40" i="1" s="1"/>
  <c r="W40" i="1" s="1"/>
  <c r="CQ40" i="1"/>
  <c r="P40" i="1" s="1"/>
  <c r="CR40" i="1"/>
  <c r="Q40" i="1" s="1"/>
  <c r="CS40" i="1"/>
  <c r="CU40" i="1"/>
  <c r="T40" i="1" s="1"/>
  <c r="CW40" i="1"/>
  <c r="CY40" i="1"/>
  <c r="X40" i="1" s="1"/>
  <c r="FR40" i="1"/>
  <c r="GL40" i="1"/>
  <c r="GN40" i="1"/>
  <c r="GO40" i="1"/>
  <c r="GV40" i="1"/>
  <c r="GX40" i="1"/>
  <c r="HC40" i="1"/>
  <c r="I41" i="1"/>
  <c r="T41" i="1"/>
  <c r="X41" i="1"/>
  <c r="AC41" i="1"/>
  <c r="AD41" i="1"/>
  <c r="AB41" i="1" s="1"/>
  <c r="AE41" i="1"/>
  <c r="AF41" i="1"/>
  <c r="CT41" i="1" s="1"/>
  <c r="S41" i="1" s="1"/>
  <c r="CZ41" i="1" s="1"/>
  <c r="Y41" i="1" s="1"/>
  <c r="AG41" i="1"/>
  <c r="AH41" i="1"/>
  <c r="CV41" i="1" s="1"/>
  <c r="U41" i="1" s="1"/>
  <c r="AI41" i="1"/>
  <c r="AJ41" i="1"/>
  <c r="CX41" i="1" s="1"/>
  <c r="W41" i="1" s="1"/>
  <c r="CQ41" i="1"/>
  <c r="P41" i="1" s="1"/>
  <c r="CP41" i="1" s="1"/>
  <c r="O41" i="1" s="1"/>
  <c r="CR41" i="1"/>
  <c r="Q41" i="1" s="1"/>
  <c r="CS41" i="1"/>
  <c r="R41" i="1" s="1"/>
  <c r="GK41" i="1" s="1"/>
  <c r="CU41" i="1"/>
  <c r="CW41" i="1"/>
  <c r="V41" i="1" s="1"/>
  <c r="CY41" i="1"/>
  <c r="FR41" i="1"/>
  <c r="GL41" i="1"/>
  <c r="GN41" i="1"/>
  <c r="GO41" i="1"/>
  <c r="GV41" i="1"/>
  <c r="GX41" i="1"/>
  <c r="GP41" i="1" s="1"/>
  <c r="HC41" i="1"/>
  <c r="I42" i="1"/>
  <c r="AC42" i="1"/>
  <c r="AD42" i="1"/>
  <c r="AB42" i="1" s="1"/>
  <c r="AE42" i="1"/>
  <c r="AF42" i="1"/>
  <c r="CT42" i="1" s="1"/>
  <c r="AG42" i="1"/>
  <c r="AH42" i="1"/>
  <c r="CV42" i="1" s="1"/>
  <c r="AI42" i="1"/>
  <c r="AJ42" i="1"/>
  <c r="CX42" i="1" s="1"/>
  <c r="CQ42" i="1"/>
  <c r="P42" i="1" s="1"/>
  <c r="CR42" i="1"/>
  <c r="CS42" i="1"/>
  <c r="CU42" i="1"/>
  <c r="CW42" i="1"/>
  <c r="FR42" i="1"/>
  <c r="GL42" i="1"/>
  <c r="GN42" i="1"/>
  <c r="GO42" i="1"/>
  <c r="GV42" i="1"/>
  <c r="HC42" i="1"/>
  <c r="U43" i="1"/>
  <c r="AC43" i="1"/>
  <c r="AE43" i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CX43" i="1"/>
  <c r="W43" i="1" s="1"/>
  <c r="FR43" i="1"/>
  <c r="GL43" i="1"/>
  <c r="GO43" i="1"/>
  <c r="GP43" i="1"/>
  <c r="GV43" i="1"/>
  <c r="HC43" i="1" s="1"/>
  <c r="GX43" i="1" s="1"/>
  <c r="D44" i="1"/>
  <c r="I44" i="1"/>
  <c r="T44" i="1"/>
  <c r="X44" i="1"/>
  <c r="AC44" i="1"/>
  <c r="AD44" i="1"/>
  <c r="AB44" i="1" s="1"/>
  <c r="AE44" i="1"/>
  <c r="AF44" i="1"/>
  <c r="CT44" i="1" s="1"/>
  <c r="S44" i="1" s="1"/>
  <c r="CZ44" i="1" s="1"/>
  <c r="Y44" i="1" s="1"/>
  <c r="AG44" i="1"/>
  <c r="AH44" i="1"/>
  <c r="CV44" i="1" s="1"/>
  <c r="U44" i="1" s="1"/>
  <c r="AI44" i="1"/>
  <c r="AJ44" i="1"/>
  <c r="CX44" i="1" s="1"/>
  <c r="W44" i="1" s="1"/>
  <c r="CQ44" i="1"/>
  <c r="P44" i="1" s="1"/>
  <c r="CP44" i="1" s="1"/>
  <c r="O44" i="1" s="1"/>
  <c r="CR44" i="1"/>
  <c r="Q44" i="1" s="1"/>
  <c r="CS44" i="1"/>
  <c r="R44" i="1" s="1"/>
  <c r="GK44" i="1" s="1"/>
  <c r="CU44" i="1"/>
  <c r="CW44" i="1"/>
  <c r="V44" i="1" s="1"/>
  <c r="CY44" i="1"/>
  <c r="FR44" i="1"/>
  <c r="GL44" i="1"/>
  <c r="GN44" i="1"/>
  <c r="GO44" i="1"/>
  <c r="GV44" i="1"/>
  <c r="GX44" i="1"/>
  <c r="GP44" i="1" s="1"/>
  <c r="HC44" i="1"/>
  <c r="C45" i="1"/>
  <c r="D45" i="1"/>
  <c r="I45" i="1"/>
  <c r="AC45" i="1"/>
  <c r="AD45" i="1"/>
  <c r="AB45" i="1" s="1"/>
  <c r="AE45" i="1"/>
  <c r="AF45" i="1"/>
  <c r="CT45" i="1" s="1"/>
  <c r="AG45" i="1"/>
  <c r="AH45" i="1"/>
  <c r="CV45" i="1" s="1"/>
  <c r="AI45" i="1"/>
  <c r="AJ45" i="1"/>
  <c r="CX45" i="1" s="1"/>
  <c r="CQ45" i="1"/>
  <c r="P45" i="1" s="1"/>
  <c r="CR45" i="1"/>
  <c r="CS45" i="1"/>
  <c r="CU45" i="1"/>
  <c r="CW45" i="1"/>
  <c r="FR45" i="1"/>
  <c r="GL45" i="1"/>
  <c r="GN45" i="1"/>
  <c r="GO45" i="1"/>
  <c r="GV45" i="1"/>
  <c r="HC45" i="1"/>
  <c r="C46" i="1"/>
  <c r="D46" i="1"/>
  <c r="I46" i="1"/>
  <c r="T46" i="1"/>
  <c r="X46" i="1"/>
  <c r="AC46" i="1"/>
  <c r="AD46" i="1"/>
  <c r="AB46" i="1" s="1"/>
  <c r="AE46" i="1"/>
  <c r="AF46" i="1"/>
  <c r="CT46" i="1" s="1"/>
  <c r="S46" i="1" s="1"/>
  <c r="CZ46" i="1" s="1"/>
  <c r="Y46" i="1" s="1"/>
  <c r="AG46" i="1"/>
  <c r="AH46" i="1"/>
  <c r="CV46" i="1" s="1"/>
  <c r="U46" i="1" s="1"/>
  <c r="AI46" i="1"/>
  <c r="AJ46" i="1"/>
  <c r="CX46" i="1" s="1"/>
  <c r="W46" i="1" s="1"/>
  <c r="CQ46" i="1"/>
  <c r="P46" i="1" s="1"/>
  <c r="CP46" i="1" s="1"/>
  <c r="O46" i="1" s="1"/>
  <c r="CR46" i="1"/>
  <c r="Q46" i="1" s="1"/>
  <c r="CS46" i="1"/>
  <c r="R46" i="1" s="1"/>
  <c r="GK46" i="1" s="1"/>
  <c r="CU46" i="1"/>
  <c r="CW46" i="1"/>
  <c r="V46" i="1" s="1"/>
  <c r="CY46" i="1"/>
  <c r="FR46" i="1"/>
  <c r="GL46" i="1"/>
  <c r="GN46" i="1"/>
  <c r="GO46" i="1"/>
  <c r="GV46" i="1"/>
  <c r="GX46" i="1"/>
  <c r="GP46" i="1" s="1"/>
  <c r="HC46" i="1"/>
  <c r="D47" i="1"/>
  <c r="I47" i="1"/>
  <c r="S47" i="1"/>
  <c r="CY47" i="1" s="1"/>
  <c r="X47" i="1" s="1"/>
  <c r="W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R47" i="1"/>
  <c r="Q47" i="1" s="1"/>
  <c r="CT47" i="1"/>
  <c r="CV47" i="1"/>
  <c r="U47" i="1" s="1"/>
  <c r="CX47" i="1"/>
  <c r="CZ47" i="1"/>
  <c r="Y47" i="1" s="1"/>
  <c r="FR47" i="1"/>
  <c r="GL47" i="1"/>
  <c r="GN47" i="1"/>
  <c r="GO47" i="1"/>
  <c r="GV47" i="1"/>
  <c r="HC47" i="1"/>
  <c r="GX47" i="1" s="1"/>
  <c r="C48" i="1"/>
  <c r="D48" i="1"/>
  <c r="R48" i="1"/>
  <c r="GK48" i="1" s="1"/>
  <c r="V48" i="1"/>
  <c r="AC48" i="1"/>
  <c r="AD48" i="1"/>
  <c r="AB48" i="1" s="1"/>
  <c r="AE48" i="1"/>
  <c r="AF48" i="1"/>
  <c r="CT48" i="1" s="1"/>
  <c r="S48" i="1" s="1"/>
  <c r="CZ48" i="1" s="1"/>
  <c r="Y48" i="1" s="1"/>
  <c r="AG48" i="1"/>
  <c r="AH48" i="1"/>
  <c r="CV48" i="1" s="1"/>
  <c r="U48" i="1" s="1"/>
  <c r="AI48" i="1"/>
  <c r="AJ48" i="1"/>
  <c r="CX48" i="1" s="1"/>
  <c r="W48" i="1" s="1"/>
  <c r="CQ48" i="1"/>
  <c r="P48" i="1" s="1"/>
  <c r="CP48" i="1" s="1"/>
  <c r="O48" i="1" s="1"/>
  <c r="CR48" i="1"/>
  <c r="Q48" i="1" s="1"/>
  <c r="CS48" i="1"/>
  <c r="CU48" i="1"/>
  <c r="T48" i="1" s="1"/>
  <c r="CW48" i="1"/>
  <c r="CY48" i="1"/>
  <c r="X48" i="1" s="1"/>
  <c r="FR48" i="1"/>
  <c r="GL48" i="1"/>
  <c r="GN48" i="1"/>
  <c r="GO48" i="1"/>
  <c r="GV48" i="1"/>
  <c r="GX48" i="1"/>
  <c r="HC48" i="1"/>
  <c r="I49" i="1"/>
  <c r="P49" i="1"/>
  <c r="CP49" i="1" s="1"/>
  <c r="O49" i="1" s="1"/>
  <c r="T49" i="1"/>
  <c r="X49" i="1"/>
  <c r="AC49" i="1"/>
  <c r="AD49" i="1"/>
  <c r="AB49" i="1" s="1"/>
  <c r="AE49" i="1"/>
  <c r="AF49" i="1"/>
  <c r="CT49" i="1" s="1"/>
  <c r="S49" i="1" s="1"/>
  <c r="CZ49" i="1" s="1"/>
  <c r="Y49" i="1" s="1"/>
  <c r="AG49" i="1"/>
  <c r="AH49" i="1"/>
  <c r="CV49" i="1" s="1"/>
  <c r="U49" i="1" s="1"/>
  <c r="AI49" i="1"/>
  <c r="AJ49" i="1"/>
  <c r="CX49" i="1" s="1"/>
  <c r="W49" i="1" s="1"/>
  <c r="CQ49" i="1"/>
  <c r="CR49" i="1"/>
  <c r="Q49" i="1" s="1"/>
  <c r="CS49" i="1"/>
  <c r="R49" i="1" s="1"/>
  <c r="GK49" i="1" s="1"/>
  <c r="CU49" i="1"/>
  <c r="CW49" i="1"/>
  <c r="V49" i="1" s="1"/>
  <c r="CY49" i="1"/>
  <c r="FR49" i="1"/>
  <c r="GL49" i="1"/>
  <c r="GN49" i="1"/>
  <c r="GO49" i="1"/>
  <c r="GV49" i="1"/>
  <c r="GX49" i="1"/>
  <c r="HC49" i="1"/>
  <c r="I50" i="1"/>
  <c r="GX50" i="1" s="1"/>
  <c r="R50" i="1"/>
  <c r="GK50" i="1" s="1"/>
  <c r="V50" i="1"/>
  <c r="AC50" i="1"/>
  <c r="AD50" i="1"/>
  <c r="AB50" i="1" s="1"/>
  <c r="AE50" i="1"/>
  <c r="AF50" i="1"/>
  <c r="CT50" i="1" s="1"/>
  <c r="S50" i="1" s="1"/>
  <c r="CZ50" i="1" s="1"/>
  <c r="Y50" i="1" s="1"/>
  <c r="AG50" i="1"/>
  <c r="AH50" i="1"/>
  <c r="CV50" i="1" s="1"/>
  <c r="U50" i="1" s="1"/>
  <c r="AI50" i="1"/>
  <c r="AJ50" i="1"/>
  <c r="CX50" i="1" s="1"/>
  <c r="W50" i="1" s="1"/>
  <c r="CQ50" i="1"/>
  <c r="P50" i="1" s="1"/>
  <c r="CR50" i="1"/>
  <c r="Q50" i="1" s="1"/>
  <c r="CS50" i="1"/>
  <c r="CU50" i="1"/>
  <c r="T50" i="1" s="1"/>
  <c r="CW50" i="1"/>
  <c r="CY50" i="1"/>
  <c r="X50" i="1" s="1"/>
  <c r="FR50" i="1"/>
  <c r="GL50" i="1"/>
  <c r="GN50" i="1"/>
  <c r="GO50" i="1"/>
  <c r="GV50" i="1"/>
  <c r="HC50" i="1"/>
  <c r="U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CX51" i="1"/>
  <c r="W51" i="1" s="1"/>
  <c r="FR51" i="1"/>
  <c r="GL51" i="1"/>
  <c r="GO51" i="1"/>
  <c r="GP51" i="1"/>
  <c r="GV51" i="1"/>
  <c r="HC51" i="1" s="1"/>
  <c r="GX51" i="1" s="1"/>
  <c r="D52" i="1"/>
  <c r="I52" i="1"/>
  <c r="P52" i="1"/>
  <c r="CP52" i="1" s="1"/>
  <c r="O52" i="1" s="1"/>
  <c r="T52" i="1"/>
  <c r="X52" i="1"/>
  <c r="AC52" i="1"/>
  <c r="AD52" i="1"/>
  <c r="AB52" i="1" s="1"/>
  <c r="AE52" i="1"/>
  <c r="AF52" i="1"/>
  <c r="CT52" i="1" s="1"/>
  <c r="S52" i="1" s="1"/>
  <c r="CZ52" i="1" s="1"/>
  <c r="Y52" i="1" s="1"/>
  <c r="AG52" i="1"/>
  <c r="AH52" i="1"/>
  <c r="CV52" i="1" s="1"/>
  <c r="U52" i="1" s="1"/>
  <c r="AI52" i="1"/>
  <c r="AJ52" i="1"/>
  <c r="CX52" i="1" s="1"/>
  <c r="W52" i="1" s="1"/>
  <c r="CQ52" i="1"/>
  <c r="CR52" i="1"/>
  <c r="Q52" i="1" s="1"/>
  <c r="CS52" i="1"/>
  <c r="R52" i="1" s="1"/>
  <c r="GK52" i="1" s="1"/>
  <c r="CU52" i="1"/>
  <c r="CW52" i="1"/>
  <c r="V52" i="1" s="1"/>
  <c r="CY52" i="1"/>
  <c r="FR52" i="1"/>
  <c r="GL52" i="1"/>
  <c r="GN52" i="1"/>
  <c r="GO52" i="1"/>
  <c r="GV52" i="1"/>
  <c r="GX52" i="1"/>
  <c r="HC52" i="1"/>
  <c r="C53" i="1"/>
  <c r="D53" i="1"/>
  <c r="I53" i="1"/>
  <c r="R53" i="1"/>
  <c r="GK53" i="1" s="1"/>
  <c r="V53" i="1"/>
  <c r="AC53" i="1"/>
  <c r="AD53" i="1"/>
  <c r="AB53" i="1" s="1"/>
  <c r="AE53" i="1"/>
  <c r="AF53" i="1"/>
  <c r="CT53" i="1" s="1"/>
  <c r="S53" i="1" s="1"/>
  <c r="CZ53" i="1" s="1"/>
  <c r="Y53" i="1" s="1"/>
  <c r="AG53" i="1"/>
  <c r="AH53" i="1"/>
  <c r="CV53" i="1" s="1"/>
  <c r="U53" i="1" s="1"/>
  <c r="AI53" i="1"/>
  <c r="AJ53" i="1"/>
  <c r="CX53" i="1" s="1"/>
  <c r="W53" i="1" s="1"/>
  <c r="CQ53" i="1"/>
  <c r="P53" i="1" s="1"/>
  <c r="CR53" i="1"/>
  <c r="Q53" i="1" s="1"/>
  <c r="CS53" i="1"/>
  <c r="CU53" i="1"/>
  <c r="T53" i="1" s="1"/>
  <c r="CW53" i="1"/>
  <c r="CY53" i="1"/>
  <c r="X53" i="1" s="1"/>
  <c r="FR53" i="1"/>
  <c r="GL53" i="1"/>
  <c r="GN53" i="1"/>
  <c r="GO53" i="1"/>
  <c r="GV53" i="1"/>
  <c r="HC53" i="1"/>
  <c r="C54" i="1"/>
  <c r="D54" i="1"/>
  <c r="I54" i="1"/>
  <c r="P54" i="1"/>
  <c r="CP54" i="1" s="1"/>
  <c r="O54" i="1" s="1"/>
  <c r="T54" i="1"/>
  <c r="X54" i="1"/>
  <c r="AC54" i="1"/>
  <c r="AD54" i="1"/>
  <c r="AB54" i="1" s="1"/>
  <c r="AE54" i="1"/>
  <c r="AF54" i="1"/>
  <c r="CT54" i="1" s="1"/>
  <c r="S54" i="1" s="1"/>
  <c r="CZ54" i="1" s="1"/>
  <c r="Y54" i="1" s="1"/>
  <c r="AG54" i="1"/>
  <c r="AH54" i="1"/>
  <c r="CV54" i="1" s="1"/>
  <c r="U54" i="1" s="1"/>
  <c r="AI54" i="1"/>
  <c r="AJ54" i="1"/>
  <c r="CX54" i="1" s="1"/>
  <c r="W54" i="1" s="1"/>
  <c r="CQ54" i="1"/>
  <c r="CR54" i="1"/>
  <c r="Q54" i="1" s="1"/>
  <c r="CS54" i="1"/>
  <c r="R54" i="1" s="1"/>
  <c r="GK54" i="1" s="1"/>
  <c r="CU54" i="1"/>
  <c r="CW54" i="1"/>
  <c r="V54" i="1" s="1"/>
  <c r="CY54" i="1"/>
  <c r="FR54" i="1"/>
  <c r="GL54" i="1"/>
  <c r="GN54" i="1"/>
  <c r="GO54" i="1"/>
  <c r="GV54" i="1"/>
  <c r="GX54" i="1"/>
  <c r="HC54" i="1"/>
  <c r="D55" i="1"/>
  <c r="I55" i="1"/>
  <c r="S55" i="1"/>
  <c r="W55" i="1"/>
  <c r="AC55" i="1"/>
  <c r="AE55" i="1"/>
  <c r="AF55" i="1"/>
  <c r="AG55" i="1"/>
  <c r="CU55" i="1" s="1"/>
  <c r="T55" i="1" s="1"/>
  <c r="AH55" i="1"/>
  <c r="AI55" i="1"/>
  <c r="CW55" i="1" s="1"/>
  <c r="V55" i="1" s="1"/>
  <c r="AJ55" i="1"/>
  <c r="CR55" i="1"/>
  <c r="Q55" i="1" s="1"/>
  <c r="CT55" i="1"/>
  <c r="CV55" i="1"/>
  <c r="U55" i="1" s="1"/>
  <c r="CX55" i="1"/>
  <c r="FR55" i="1"/>
  <c r="GL55" i="1"/>
  <c r="GN55" i="1"/>
  <c r="GO55" i="1"/>
  <c r="GV55" i="1"/>
  <c r="HC55" i="1"/>
  <c r="GX55" i="1" s="1"/>
  <c r="C56" i="1"/>
  <c r="D56" i="1"/>
  <c r="R56" i="1"/>
  <c r="GK56" i="1" s="1"/>
  <c r="V56" i="1"/>
  <c r="AC56" i="1"/>
  <c r="AD56" i="1"/>
  <c r="AB56" i="1" s="1"/>
  <c r="AE56" i="1"/>
  <c r="AF56" i="1"/>
  <c r="CT56" i="1" s="1"/>
  <c r="S56" i="1" s="1"/>
  <c r="CZ56" i="1" s="1"/>
  <c r="Y56" i="1" s="1"/>
  <c r="AG56" i="1"/>
  <c r="AH56" i="1"/>
  <c r="CV56" i="1" s="1"/>
  <c r="U56" i="1" s="1"/>
  <c r="AI56" i="1"/>
  <c r="AJ56" i="1"/>
  <c r="CX56" i="1" s="1"/>
  <c r="W56" i="1" s="1"/>
  <c r="CQ56" i="1"/>
  <c r="P56" i="1" s="1"/>
  <c r="CR56" i="1"/>
  <c r="Q56" i="1" s="1"/>
  <c r="CS56" i="1"/>
  <c r="CU56" i="1"/>
  <c r="T56" i="1" s="1"/>
  <c r="CW56" i="1"/>
  <c r="CY56" i="1"/>
  <c r="X56" i="1" s="1"/>
  <c r="FR56" i="1"/>
  <c r="GL56" i="1"/>
  <c r="GN56" i="1"/>
  <c r="GO56" i="1"/>
  <c r="GV56" i="1"/>
  <c r="GX56" i="1"/>
  <c r="HC56" i="1"/>
  <c r="I57" i="1"/>
  <c r="T57" i="1"/>
  <c r="X57" i="1"/>
  <c r="AC57" i="1"/>
  <c r="AD57" i="1"/>
  <c r="AB57" i="1" s="1"/>
  <c r="AE57" i="1"/>
  <c r="AF57" i="1"/>
  <c r="CT57" i="1" s="1"/>
  <c r="S57" i="1" s="1"/>
  <c r="CZ57" i="1" s="1"/>
  <c r="Y57" i="1" s="1"/>
  <c r="AG57" i="1"/>
  <c r="AH57" i="1"/>
  <c r="CV57" i="1" s="1"/>
  <c r="U57" i="1" s="1"/>
  <c r="AI57" i="1"/>
  <c r="AJ57" i="1"/>
  <c r="CX57" i="1" s="1"/>
  <c r="W57" i="1" s="1"/>
  <c r="CQ57" i="1"/>
  <c r="P57" i="1" s="1"/>
  <c r="CP57" i="1" s="1"/>
  <c r="O57" i="1" s="1"/>
  <c r="CR57" i="1"/>
  <c r="Q57" i="1" s="1"/>
  <c r="CS57" i="1"/>
  <c r="R57" i="1" s="1"/>
  <c r="GK57" i="1" s="1"/>
  <c r="CU57" i="1"/>
  <c r="CW57" i="1"/>
  <c r="V57" i="1" s="1"/>
  <c r="CY57" i="1"/>
  <c r="FR57" i="1"/>
  <c r="GL57" i="1"/>
  <c r="GN57" i="1"/>
  <c r="GO57" i="1"/>
  <c r="GV57" i="1"/>
  <c r="GX57" i="1"/>
  <c r="GP57" i="1" s="1"/>
  <c r="HC57" i="1"/>
  <c r="I58" i="1"/>
  <c r="AC58" i="1"/>
  <c r="AD58" i="1"/>
  <c r="AB58" i="1" s="1"/>
  <c r="AE58" i="1"/>
  <c r="AF58" i="1"/>
  <c r="CT58" i="1" s="1"/>
  <c r="AG58" i="1"/>
  <c r="AH58" i="1"/>
  <c r="CV58" i="1" s="1"/>
  <c r="AI58" i="1"/>
  <c r="AJ58" i="1"/>
  <c r="CX58" i="1" s="1"/>
  <c r="CQ58" i="1"/>
  <c r="P58" i="1" s="1"/>
  <c r="CR58" i="1"/>
  <c r="CS58" i="1"/>
  <c r="CU58" i="1"/>
  <c r="CW58" i="1"/>
  <c r="FR58" i="1"/>
  <c r="GL58" i="1"/>
  <c r="GN58" i="1"/>
  <c r="GO58" i="1"/>
  <c r="GV58" i="1"/>
  <c r="HC58" i="1"/>
  <c r="U59" i="1"/>
  <c r="AC59" i="1"/>
  <c r="AE59" i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CX59" i="1"/>
  <c r="W59" i="1" s="1"/>
  <c r="FR59" i="1"/>
  <c r="GL59" i="1"/>
  <c r="GO59" i="1"/>
  <c r="GP59" i="1"/>
  <c r="GV59" i="1"/>
  <c r="HC59" i="1" s="1"/>
  <c r="GX59" i="1" s="1"/>
  <c r="D60" i="1"/>
  <c r="I60" i="1"/>
  <c r="T60" i="1"/>
  <c r="X60" i="1"/>
  <c r="AC60" i="1"/>
  <c r="AD60" i="1"/>
  <c r="AB60" i="1" s="1"/>
  <c r="AE60" i="1"/>
  <c r="AF60" i="1"/>
  <c r="CT60" i="1" s="1"/>
  <c r="S60" i="1" s="1"/>
  <c r="CZ60" i="1" s="1"/>
  <c r="Y60" i="1" s="1"/>
  <c r="AG60" i="1"/>
  <c r="AH60" i="1"/>
  <c r="CV60" i="1" s="1"/>
  <c r="U60" i="1" s="1"/>
  <c r="AI60" i="1"/>
  <c r="AJ60" i="1"/>
  <c r="CX60" i="1" s="1"/>
  <c r="W60" i="1" s="1"/>
  <c r="CQ60" i="1"/>
  <c r="P60" i="1" s="1"/>
  <c r="CP60" i="1" s="1"/>
  <c r="O60" i="1" s="1"/>
  <c r="CR60" i="1"/>
  <c r="Q60" i="1" s="1"/>
  <c r="CS60" i="1"/>
  <c r="R60" i="1" s="1"/>
  <c r="GK60" i="1" s="1"/>
  <c r="CU60" i="1"/>
  <c r="CW60" i="1"/>
  <c r="V60" i="1" s="1"/>
  <c r="CY60" i="1"/>
  <c r="FR60" i="1"/>
  <c r="GL60" i="1"/>
  <c r="GN60" i="1"/>
  <c r="GO60" i="1"/>
  <c r="GV60" i="1"/>
  <c r="GX60" i="1"/>
  <c r="GP60" i="1" s="1"/>
  <c r="HC60" i="1"/>
  <c r="C61" i="1"/>
  <c r="D61" i="1"/>
  <c r="I61" i="1"/>
  <c r="AC61" i="1"/>
  <c r="AD61" i="1"/>
  <c r="AB61" i="1" s="1"/>
  <c r="AE61" i="1"/>
  <c r="AF61" i="1"/>
  <c r="CT61" i="1" s="1"/>
  <c r="AG61" i="1"/>
  <c r="AH61" i="1"/>
  <c r="CV61" i="1" s="1"/>
  <c r="AI61" i="1"/>
  <c r="AJ61" i="1"/>
  <c r="CX61" i="1" s="1"/>
  <c r="CQ61" i="1"/>
  <c r="P61" i="1" s="1"/>
  <c r="CR61" i="1"/>
  <c r="CS61" i="1"/>
  <c r="CU61" i="1"/>
  <c r="CW61" i="1"/>
  <c r="V61" i="1" s="1"/>
  <c r="FR61" i="1"/>
  <c r="GL61" i="1"/>
  <c r="GN61" i="1"/>
  <c r="GO61" i="1"/>
  <c r="GV61" i="1"/>
  <c r="HC61" i="1"/>
  <c r="C62" i="1"/>
  <c r="D62" i="1"/>
  <c r="I62" i="1"/>
  <c r="R62" i="1"/>
  <c r="GK62" i="1" s="1"/>
  <c r="V62" i="1"/>
  <c r="AC62" i="1"/>
  <c r="AD62" i="1"/>
  <c r="AB62" i="1" s="1"/>
  <c r="AE62" i="1"/>
  <c r="AF62" i="1"/>
  <c r="CT62" i="1" s="1"/>
  <c r="S62" i="1" s="1"/>
  <c r="CZ62" i="1" s="1"/>
  <c r="Y62" i="1" s="1"/>
  <c r="AG62" i="1"/>
  <c r="AH62" i="1"/>
  <c r="CV62" i="1" s="1"/>
  <c r="U62" i="1" s="1"/>
  <c r="AI62" i="1"/>
  <c r="AJ62" i="1"/>
  <c r="CX62" i="1" s="1"/>
  <c r="W62" i="1" s="1"/>
  <c r="CQ62" i="1"/>
  <c r="P62" i="1" s="1"/>
  <c r="CR62" i="1"/>
  <c r="Q62" i="1" s="1"/>
  <c r="CS62" i="1"/>
  <c r="CU62" i="1"/>
  <c r="T62" i="1" s="1"/>
  <c r="CW62" i="1"/>
  <c r="CY62" i="1"/>
  <c r="X62" i="1" s="1"/>
  <c r="FR62" i="1"/>
  <c r="GL62" i="1"/>
  <c r="GN62" i="1"/>
  <c r="GO62" i="1"/>
  <c r="GV62" i="1"/>
  <c r="HC62" i="1"/>
  <c r="D63" i="1"/>
  <c r="I63" i="1"/>
  <c r="U63" i="1"/>
  <c r="AC63" i="1"/>
  <c r="AE63" i="1"/>
  <c r="AF63" i="1"/>
  <c r="AG63" i="1"/>
  <c r="CU63" i="1" s="1"/>
  <c r="T63" i="1" s="1"/>
  <c r="AH63" i="1"/>
  <c r="AI63" i="1"/>
  <c r="CW63" i="1" s="1"/>
  <c r="V63" i="1" s="1"/>
  <c r="AJ63" i="1"/>
  <c r="CT63" i="1"/>
  <c r="S63" i="1" s="1"/>
  <c r="CV63" i="1"/>
  <c r="CX63" i="1"/>
  <c r="W63" i="1" s="1"/>
  <c r="FR63" i="1"/>
  <c r="GL63" i="1"/>
  <c r="GN63" i="1"/>
  <c r="GO63" i="1"/>
  <c r="GV63" i="1"/>
  <c r="HC63" i="1" s="1"/>
  <c r="GX63" i="1" s="1"/>
  <c r="C64" i="1"/>
  <c r="D64" i="1"/>
  <c r="P64" i="1"/>
  <c r="CP64" i="1" s="1"/>
  <c r="O64" i="1" s="1"/>
  <c r="T64" i="1"/>
  <c r="X64" i="1"/>
  <c r="AC64" i="1"/>
  <c r="AD64" i="1"/>
  <c r="AB64" i="1" s="1"/>
  <c r="AE64" i="1"/>
  <c r="AF64" i="1"/>
  <c r="CT64" i="1" s="1"/>
  <c r="S64" i="1" s="1"/>
  <c r="CZ64" i="1" s="1"/>
  <c r="Y64" i="1" s="1"/>
  <c r="AG64" i="1"/>
  <c r="AH64" i="1"/>
  <c r="CV64" i="1" s="1"/>
  <c r="U64" i="1" s="1"/>
  <c r="AI64" i="1"/>
  <c r="AJ64" i="1"/>
  <c r="CX64" i="1" s="1"/>
  <c r="W64" i="1" s="1"/>
  <c r="CQ64" i="1"/>
  <c r="CR64" i="1"/>
  <c r="Q64" i="1" s="1"/>
  <c r="CS64" i="1"/>
  <c r="R64" i="1" s="1"/>
  <c r="GK64" i="1" s="1"/>
  <c r="CU64" i="1"/>
  <c r="CW64" i="1"/>
  <c r="V64" i="1" s="1"/>
  <c r="CY64" i="1"/>
  <c r="FR64" i="1"/>
  <c r="GL64" i="1"/>
  <c r="GN64" i="1"/>
  <c r="GO64" i="1"/>
  <c r="GV64" i="1"/>
  <c r="GX64" i="1"/>
  <c r="HC64" i="1"/>
  <c r="I65" i="1"/>
  <c r="R65" i="1"/>
  <c r="V65" i="1"/>
  <c r="AC65" i="1"/>
  <c r="AD65" i="1"/>
  <c r="AB65" i="1" s="1"/>
  <c r="AE65" i="1"/>
  <c r="AF65" i="1"/>
  <c r="CT65" i="1" s="1"/>
  <c r="S65" i="1" s="1"/>
  <c r="CZ65" i="1" s="1"/>
  <c r="Y65" i="1" s="1"/>
  <c r="AG65" i="1"/>
  <c r="AH65" i="1"/>
  <c r="CV65" i="1" s="1"/>
  <c r="U65" i="1" s="1"/>
  <c r="AI65" i="1"/>
  <c r="AJ65" i="1"/>
  <c r="CX65" i="1" s="1"/>
  <c r="W65" i="1" s="1"/>
  <c r="CQ65" i="1"/>
  <c r="P65" i="1" s="1"/>
  <c r="CR65" i="1"/>
  <c r="Q65" i="1" s="1"/>
  <c r="CS65" i="1"/>
  <c r="CU65" i="1"/>
  <c r="T65" i="1" s="1"/>
  <c r="CW65" i="1"/>
  <c r="CY65" i="1"/>
  <c r="X65" i="1" s="1"/>
  <c r="FR65" i="1"/>
  <c r="GK65" i="1"/>
  <c r="GL65" i="1"/>
  <c r="GN65" i="1"/>
  <c r="GO65" i="1"/>
  <c r="GV65" i="1"/>
  <c r="HC65" i="1"/>
  <c r="GX65" i="1" s="1"/>
  <c r="I66" i="1"/>
  <c r="S66" i="1"/>
  <c r="CY66" i="1" s="1"/>
  <c r="X66" i="1" s="1"/>
  <c r="W66" i="1"/>
  <c r="AC66" i="1"/>
  <c r="AE66" i="1"/>
  <c r="AF66" i="1"/>
  <c r="AG66" i="1"/>
  <c r="CU66" i="1" s="1"/>
  <c r="T66" i="1" s="1"/>
  <c r="AH66" i="1"/>
  <c r="AI66" i="1"/>
  <c r="CW66" i="1" s="1"/>
  <c r="V66" i="1" s="1"/>
  <c r="AJ66" i="1"/>
  <c r="CR66" i="1"/>
  <c r="Q66" i="1" s="1"/>
  <c r="CT66" i="1"/>
  <c r="CV66" i="1"/>
  <c r="U66" i="1" s="1"/>
  <c r="CX66" i="1"/>
  <c r="CZ66" i="1"/>
  <c r="Y66" i="1" s="1"/>
  <c r="FR66" i="1"/>
  <c r="GL66" i="1"/>
  <c r="GN66" i="1"/>
  <c r="GO66" i="1"/>
  <c r="GV66" i="1"/>
  <c r="HC66" i="1"/>
  <c r="GX66" i="1" s="1"/>
  <c r="R67" i="1"/>
  <c r="GK67" i="1" s="1"/>
  <c r="V67" i="1"/>
  <c r="AC67" i="1"/>
  <c r="CQ67" i="1" s="1"/>
  <c r="P67" i="1" s="1"/>
  <c r="AD67" i="1"/>
  <c r="AE67" i="1"/>
  <c r="AF67" i="1"/>
  <c r="CT67" i="1" s="1"/>
  <c r="S67" i="1" s="1"/>
  <c r="CZ67" i="1" s="1"/>
  <c r="Y67" i="1" s="1"/>
  <c r="AG67" i="1"/>
  <c r="AH67" i="1"/>
  <c r="CV67" i="1" s="1"/>
  <c r="U67" i="1" s="1"/>
  <c r="AI67" i="1"/>
  <c r="AJ67" i="1"/>
  <c r="CX67" i="1" s="1"/>
  <c r="W67" i="1" s="1"/>
  <c r="CR67" i="1"/>
  <c r="Q67" i="1" s="1"/>
  <c r="CS67" i="1"/>
  <c r="CU67" i="1"/>
  <c r="T67" i="1" s="1"/>
  <c r="CW67" i="1"/>
  <c r="CY67" i="1"/>
  <c r="X67" i="1" s="1"/>
  <c r="FR67" i="1"/>
  <c r="GL67" i="1"/>
  <c r="GO67" i="1"/>
  <c r="GP67" i="1"/>
  <c r="GV67" i="1"/>
  <c r="GX67" i="1"/>
  <c r="HC67" i="1"/>
  <c r="D68" i="1"/>
  <c r="I68" i="1"/>
  <c r="U68" i="1"/>
  <c r="AC68" i="1"/>
  <c r="AE68" i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CX68" i="1"/>
  <c r="W68" i="1" s="1"/>
  <c r="FR68" i="1"/>
  <c r="GL68" i="1"/>
  <c r="GN68" i="1"/>
  <c r="GO68" i="1"/>
  <c r="GV68" i="1"/>
  <c r="HC68" i="1" s="1"/>
  <c r="GX68" i="1" s="1"/>
  <c r="C69" i="1"/>
  <c r="D69" i="1"/>
  <c r="I69" i="1"/>
  <c r="U69" i="1"/>
  <c r="AC69" i="1"/>
  <c r="AE69" i="1"/>
  <c r="AF69" i="1"/>
  <c r="AG69" i="1"/>
  <c r="CU69" i="1" s="1"/>
  <c r="T69" i="1" s="1"/>
  <c r="AH69" i="1"/>
  <c r="AI69" i="1"/>
  <c r="CW69" i="1" s="1"/>
  <c r="V69" i="1" s="1"/>
  <c r="AJ69" i="1"/>
  <c r="CT69" i="1"/>
  <c r="S69" i="1" s="1"/>
  <c r="CV69" i="1"/>
  <c r="CX69" i="1"/>
  <c r="W69" i="1" s="1"/>
  <c r="FR69" i="1"/>
  <c r="GL69" i="1"/>
  <c r="GN69" i="1"/>
  <c r="GO69" i="1"/>
  <c r="GV69" i="1"/>
  <c r="HC69" i="1" s="1"/>
  <c r="GX69" i="1" s="1"/>
  <c r="C70" i="1"/>
  <c r="D70" i="1"/>
  <c r="I70" i="1"/>
  <c r="U70" i="1"/>
  <c r="AC70" i="1"/>
  <c r="AE70" i="1"/>
  <c r="AF70" i="1"/>
  <c r="AG70" i="1"/>
  <c r="CU70" i="1" s="1"/>
  <c r="T70" i="1" s="1"/>
  <c r="AH70" i="1"/>
  <c r="AI70" i="1"/>
  <c r="CW70" i="1" s="1"/>
  <c r="V70" i="1" s="1"/>
  <c r="AJ70" i="1"/>
  <c r="CT70" i="1"/>
  <c r="S70" i="1" s="1"/>
  <c r="CV70" i="1"/>
  <c r="CX70" i="1"/>
  <c r="W70" i="1" s="1"/>
  <c r="FR70" i="1"/>
  <c r="GL70" i="1"/>
  <c r="GN70" i="1"/>
  <c r="GO70" i="1"/>
  <c r="GV70" i="1"/>
  <c r="HC70" i="1" s="1"/>
  <c r="GX70" i="1" s="1"/>
  <c r="D71" i="1"/>
  <c r="I71" i="1"/>
  <c r="T71" i="1"/>
  <c r="X71" i="1"/>
  <c r="AC71" i="1"/>
  <c r="AD71" i="1"/>
  <c r="AB71" i="1" s="1"/>
  <c r="AE71" i="1"/>
  <c r="AF71" i="1"/>
  <c r="CT71" i="1" s="1"/>
  <c r="S71" i="1" s="1"/>
  <c r="CZ71" i="1" s="1"/>
  <c r="Y71" i="1" s="1"/>
  <c r="AG71" i="1"/>
  <c r="AH71" i="1"/>
  <c r="CV71" i="1" s="1"/>
  <c r="U71" i="1" s="1"/>
  <c r="AI71" i="1"/>
  <c r="AJ71" i="1"/>
  <c r="CX71" i="1" s="1"/>
  <c r="W71" i="1" s="1"/>
  <c r="CQ71" i="1"/>
  <c r="P71" i="1" s="1"/>
  <c r="CP71" i="1" s="1"/>
  <c r="O71" i="1" s="1"/>
  <c r="CR71" i="1"/>
  <c r="Q71" i="1" s="1"/>
  <c r="CS71" i="1"/>
  <c r="R71" i="1" s="1"/>
  <c r="GK71" i="1" s="1"/>
  <c r="CU71" i="1"/>
  <c r="CW71" i="1"/>
  <c r="V71" i="1" s="1"/>
  <c r="CY71" i="1"/>
  <c r="FR71" i="1"/>
  <c r="GL71" i="1"/>
  <c r="GN71" i="1"/>
  <c r="GO71" i="1"/>
  <c r="GV71" i="1"/>
  <c r="GX71" i="1"/>
  <c r="HC71" i="1"/>
  <c r="C72" i="1"/>
  <c r="D72" i="1"/>
  <c r="S72" i="1"/>
  <c r="CY72" i="1" s="1"/>
  <c r="X72" i="1" s="1"/>
  <c r="W72" i="1"/>
  <c r="AC72" i="1"/>
  <c r="AE72" i="1"/>
  <c r="AF72" i="1"/>
  <c r="AG72" i="1"/>
  <c r="CU72" i="1" s="1"/>
  <c r="T72" i="1" s="1"/>
  <c r="AH72" i="1"/>
  <c r="AI72" i="1"/>
  <c r="CW72" i="1" s="1"/>
  <c r="V72" i="1" s="1"/>
  <c r="AJ72" i="1"/>
  <c r="CR72" i="1"/>
  <c r="Q72" i="1" s="1"/>
  <c r="CT72" i="1"/>
  <c r="CV72" i="1"/>
  <c r="U72" i="1" s="1"/>
  <c r="CX72" i="1"/>
  <c r="CZ72" i="1"/>
  <c r="Y72" i="1" s="1"/>
  <c r="FR72" i="1"/>
  <c r="GL72" i="1"/>
  <c r="GN72" i="1"/>
  <c r="GO72" i="1"/>
  <c r="GV72" i="1"/>
  <c r="HC72" i="1"/>
  <c r="GX72" i="1" s="1"/>
  <c r="I73" i="1"/>
  <c r="S73" i="1"/>
  <c r="CY73" i="1" s="1"/>
  <c r="X73" i="1" s="1"/>
  <c r="W73" i="1"/>
  <c r="AC73" i="1"/>
  <c r="AE73" i="1"/>
  <c r="AF73" i="1"/>
  <c r="AG73" i="1"/>
  <c r="CU73" i="1" s="1"/>
  <c r="T73" i="1" s="1"/>
  <c r="AH73" i="1"/>
  <c r="AI73" i="1"/>
  <c r="CW73" i="1" s="1"/>
  <c r="V73" i="1" s="1"/>
  <c r="AJ73" i="1"/>
  <c r="CR73" i="1"/>
  <c r="Q73" i="1" s="1"/>
  <c r="CT73" i="1"/>
  <c r="CV73" i="1"/>
  <c r="U73" i="1" s="1"/>
  <c r="CX73" i="1"/>
  <c r="CZ73" i="1"/>
  <c r="Y73" i="1" s="1"/>
  <c r="FR73" i="1"/>
  <c r="GL73" i="1"/>
  <c r="GN73" i="1"/>
  <c r="GO73" i="1"/>
  <c r="GV73" i="1"/>
  <c r="HC73" i="1"/>
  <c r="GX73" i="1" s="1"/>
  <c r="I74" i="1"/>
  <c r="S74" i="1"/>
  <c r="CY74" i="1" s="1"/>
  <c r="X74" i="1" s="1"/>
  <c r="W74" i="1"/>
  <c r="AC74" i="1"/>
  <c r="AE74" i="1"/>
  <c r="AF74" i="1"/>
  <c r="AG74" i="1"/>
  <c r="CU74" i="1" s="1"/>
  <c r="T74" i="1" s="1"/>
  <c r="AH74" i="1"/>
  <c r="AI74" i="1"/>
  <c r="CW74" i="1" s="1"/>
  <c r="V74" i="1" s="1"/>
  <c r="AJ74" i="1"/>
  <c r="CR74" i="1"/>
  <c r="Q74" i="1" s="1"/>
  <c r="CT74" i="1"/>
  <c r="CV74" i="1"/>
  <c r="U74" i="1" s="1"/>
  <c r="CX74" i="1"/>
  <c r="CZ74" i="1"/>
  <c r="Y74" i="1" s="1"/>
  <c r="FR74" i="1"/>
  <c r="GL74" i="1"/>
  <c r="GN74" i="1"/>
  <c r="GO74" i="1"/>
  <c r="GV74" i="1"/>
  <c r="HC74" i="1"/>
  <c r="GX74" i="1" s="1"/>
  <c r="R75" i="1"/>
  <c r="GK75" i="1" s="1"/>
  <c r="V75" i="1"/>
  <c r="AC75" i="1"/>
  <c r="AD75" i="1"/>
  <c r="AE75" i="1"/>
  <c r="AF75" i="1"/>
  <c r="CT75" i="1" s="1"/>
  <c r="S75" i="1" s="1"/>
  <c r="CZ75" i="1" s="1"/>
  <c r="Y75" i="1" s="1"/>
  <c r="AG75" i="1"/>
  <c r="AH75" i="1"/>
  <c r="CV75" i="1" s="1"/>
  <c r="U75" i="1" s="1"/>
  <c r="AI75" i="1"/>
  <c r="AJ75" i="1"/>
  <c r="CX75" i="1" s="1"/>
  <c r="W75" i="1" s="1"/>
  <c r="CQ75" i="1"/>
  <c r="P75" i="1" s="1"/>
  <c r="CR75" i="1"/>
  <c r="Q75" i="1" s="1"/>
  <c r="CS75" i="1"/>
  <c r="CU75" i="1"/>
  <c r="T75" i="1" s="1"/>
  <c r="CW75" i="1"/>
  <c r="CY75" i="1"/>
  <c r="X75" i="1" s="1"/>
  <c r="FR75" i="1"/>
  <c r="GL75" i="1"/>
  <c r="GO75" i="1"/>
  <c r="GP75" i="1"/>
  <c r="GV75" i="1"/>
  <c r="GX75" i="1"/>
  <c r="HC75" i="1"/>
  <c r="D76" i="1"/>
  <c r="I76" i="1"/>
  <c r="U76" i="1"/>
  <c r="AC76" i="1"/>
  <c r="AE76" i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CX76" i="1"/>
  <c r="W76" i="1" s="1"/>
  <c r="FR76" i="1"/>
  <c r="GL76" i="1"/>
  <c r="GN76" i="1"/>
  <c r="GO76" i="1"/>
  <c r="GV76" i="1"/>
  <c r="HC76" i="1" s="1"/>
  <c r="GX76" i="1" s="1"/>
  <c r="C77" i="1"/>
  <c r="D77" i="1"/>
  <c r="I77" i="1"/>
  <c r="U77" i="1"/>
  <c r="AC77" i="1"/>
  <c r="AE77" i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CV77" i="1"/>
  <c r="CX77" i="1"/>
  <c r="W77" i="1" s="1"/>
  <c r="FR77" i="1"/>
  <c r="GL77" i="1"/>
  <c r="GN77" i="1"/>
  <c r="GO77" i="1"/>
  <c r="GV77" i="1"/>
  <c r="HC77" i="1" s="1"/>
  <c r="GX77" i="1" s="1"/>
  <c r="C78" i="1"/>
  <c r="D78" i="1"/>
  <c r="I78" i="1"/>
  <c r="U78" i="1"/>
  <c r="AC78" i="1"/>
  <c r="AE78" i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CX78" i="1"/>
  <c r="W78" i="1" s="1"/>
  <c r="FR78" i="1"/>
  <c r="GL78" i="1"/>
  <c r="GN78" i="1"/>
  <c r="GO78" i="1"/>
  <c r="GV78" i="1"/>
  <c r="HC78" i="1" s="1"/>
  <c r="GX78" i="1" s="1"/>
  <c r="D79" i="1"/>
  <c r="I79" i="1"/>
  <c r="T79" i="1"/>
  <c r="X79" i="1"/>
  <c r="AC79" i="1"/>
  <c r="AD79" i="1"/>
  <c r="AB79" i="1" s="1"/>
  <c r="AE79" i="1"/>
  <c r="AF79" i="1"/>
  <c r="CT79" i="1" s="1"/>
  <c r="S79" i="1" s="1"/>
  <c r="CZ79" i="1" s="1"/>
  <c r="Y79" i="1" s="1"/>
  <c r="AG79" i="1"/>
  <c r="AH79" i="1"/>
  <c r="CV79" i="1" s="1"/>
  <c r="U79" i="1" s="1"/>
  <c r="AI79" i="1"/>
  <c r="AJ79" i="1"/>
  <c r="CX79" i="1" s="1"/>
  <c r="W79" i="1" s="1"/>
  <c r="CQ79" i="1"/>
  <c r="P79" i="1" s="1"/>
  <c r="CP79" i="1" s="1"/>
  <c r="O79" i="1" s="1"/>
  <c r="CR79" i="1"/>
  <c r="Q79" i="1" s="1"/>
  <c r="CS79" i="1"/>
  <c r="R79" i="1" s="1"/>
  <c r="GK79" i="1" s="1"/>
  <c r="CU79" i="1"/>
  <c r="CW79" i="1"/>
  <c r="V79" i="1" s="1"/>
  <c r="CY79" i="1"/>
  <c r="FR79" i="1"/>
  <c r="GL79" i="1"/>
  <c r="GN79" i="1"/>
  <c r="GO79" i="1"/>
  <c r="GV79" i="1"/>
  <c r="GX79" i="1"/>
  <c r="HC79" i="1"/>
  <c r="C80" i="1"/>
  <c r="D80" i="1"/>
  <c r="S80" i="1"/>
  <c r="CY80" i="1" s="1"/>
  <c r="X80" i="1" s="1"/>
  <c r="W80" i="1"/>
  <c r="AC80" i="1"/>
  <c r="AE80" i="1"/>
  <c r="AF80" i="1"/>
  <c r="AG80" i="1"/>
  <c r="CU80" i="1" s="1"/>
  <c r="T80" i="1" s="1"/>
  <c r="AH80" i="1"/>
  <c r="AI80" i="1"/>
  <c r="CW80" i="1" s="1"/>
  <c r="V80" i="1" s="1"/>
  <c r="AJ80" i="1"/>
  <c r="CR80" i="1"/>
  <c r="Q80" i="1" s="1"/>
  <c r="CT80" i="1"/>
  <c r="CV80" i="1"/>
  <c r="U80" i="1" s="1"/>
  <c r="CX80" i="1"/>
  <c r="CZ80" i="1"/>
  <c r="Y80" i="1" s="1"/>
  <c r="FR80" i="1"/>
  <c r="GL80" i="1"/>
  <c r="GN80" i="1"/>
  <c r="GO80" i="1"/>
  <c r="GV80" i="1"/>
  <c r="HC80" i="1"/>
  <c r="GX80" i="1" s="1"/>
  <c r="I81" i="1"/>
  <c r="S81" i="1"/>
  <c r="CY81" i="1" s="1"/>
  <c r="X81" i="1" s="1"/>
  <c r="W81" i="1"/>
  <c r="AC81" i="1"/>
  <c r="AE81" i="1"/>
  <c r="AF81" i="1"/>
  <c r="AG81" i="1"/>
  <c r="CU81" i="1" s="1"/>
  <c r="T81" i="1" s="1"/>
  <c r="AH81" i="1"/>
  <c r="AI81" i="1"/>
  <c r="CW81" i="1" s="1"/>
  <c r="V81" i="1" s="1"/>
  <c r="AJ81" i="1"/>
  <c r="CR81" i="1"/>
  <c r="Q81" i="1" s="1"/>
  <c r="CT81" i="1"/>
  <c r="CV81" i="1"/>
  <c r="U81" i="1" s="1"/>
  <c r="CX81" i="1"/>
  <c r="CZ81" i="1"/>
  <c r="Y81" i="1" s="1"/>
  <c r="FR81" i="1"/>
  <c r="GL81" i="1"/>
  <c r="GN81" i="1"/>
  <c r="GO81" i="1"/>
  <c r="GV81" i="1"/>
  <c r="HC81" i="1"/>
  <c r="GX81" i="1" s="1"/>
  <c r="I82" i="1"/>
  <c r="S82" i="1"/>
  <c r="CY82" i="1" s="1"/>
  <c r="X82" i="1" s="1"/>
  <c r="W82" i="1"/>
  <c r="AC82" i="1"/>
  <c r="AE82" i="1"/>
  <c r="AF82" i="1"/>
  <c r="AG82" i="1"/>
  <c r="CU82" i="1" s="1"/>
  <c r="T82" i="1" s="1"/>
  <c r="AH82" i="1"/>
  <c r="AI82" i="1"/>
  <c r="CW82" i="1" s="1"/>
  <c r="V82" i="1" s="1"/>
  <c r="AJ82" i="1"/>
  <c r="CR82" i="1"/>
  <c r="Q82" i="1" s="1"/>
  <c r="CT82" i="1"/>
  <c r="CV82" i="1"/>
  <c r="U82" i="1" s="1"/>
  <c r="CX82" i="1"/>
  <c r="CZ82" i="1"/>
  <c r="Y82" i="1" s="1"/>
  <c r="FR82" i="1"/>
  <c r="GL82" i="1"/>
  <c r="GN82" i="1"/>
  <c r="GO82" i="1"/>
  <c r="GV82" i="1"/>
  <c r="HC82" i="1"/>
  <c r="GX82" i="1" s="1"/>
  <c r="R83" i="1"/>
  <c r="GK83" i="1" s="1"/>
  <c r="V83" i="1"/>
  <c r="AC83" i="1"/>
  <c r="CQ83" i="1" s="1"/>
  <c r="P83" i="1" s="1"/>
  <c r="AD83" i="1"/>
  <c r="AE83" i="1"/>
  <c r="AF83" i="1"/>
  <c r="CT83" i="1" s="1"/>
  <c r="S83" i="1" s="1"/>
  <c r="CZ83" i="1" s="1"/>
  <c r="Y83" i="1" s="1"/>
  <c r="AG83" i="1"/>
  <c r="AH83" i="1"/>
  <c r="CV83" i="1" s="1"/>
  <c r="U83" i="1" s="1"/>
  <c r="AI83" i="1"/>
  <c r="AJ83" i="1"/>
  <c r="CX83" i="1" s="1"/>
  <c r="W83" i="1" s="1"/>
  <c r="CR83" i="1"/>
  <c r="Q83" i="1" s="1"/>
  <c r="CS83" i="1"/>
  <c r="CU83" i="1"/>
  <c r="T83" i="1" s="1"/>
  <c r="CW83" i="1"/>
  <c r="CY83" i="1"/>
  <c r="X83" i="1" s="1"/>
  <c r="FR83" i="1"/>
  <c r="GL83" i="1"/>
  <c r="GO83" i="1"/>
  <c r="GP83" i="1"/>
  <c r="GV83" i="1"/>
  <c r="GX83" i="1"/>
  <c r="HC83" i="1"/>
  <c r="D84" i="1"/>
  <c r="I84" i="1"/>
  <c r="U84" i="1"/>
  <c r="AC84" i="1"/>
  <c r="AE84" i="1"/>
  <c r="AF84" i="1"/>
  <c r="AG84" i="1"/>
  <c r="CU84" i="1" s="1"/>
  <c r="T84" i="1" s="1"/>
  <c r="AH84" i="1"/>
  <c r="AI84" i="1"/>
  <c r="CW84" i="1" s="1"/>
  <c r="V84" i="1" s="1"/>
  <c r="AJ84" i="1"/>
  <c r="CT84" i="1"/>
  <c r="S84" i="1" s="1"/>
  <c r="CV84" i="1"/>
  <c r="CX84" i="1"/>
  <c r="W84" i="1" s="1"/>
  <c r="FR84" i="1"/>
  <c r="GL84" i="1"/>
  <c r="GN84" i="1"/>
  <c r="GO84" i="1"/>
  <c r="GV84" i="1"/>
  <c r="HC84" i="1"/>
  <c r="GX84" i="1" s="1"/>
  <c r="C85" i="1"/>
  <c r="D85" i="1"/>
  <c r="I85" i="1"/>
  <c r="AC85" i="1"/>
  <c r="AE85" i="1"/>
  <c r="AD85" i="1" s="1"/>
  <c r="AF85" i="1"/>
  <c r="AG85" i="1"/>
  <c r="CU85" i="1" s="1"/>
  <c r="T85" i="1" s="1"/>
  <c r="AH85" i="1"/>
  <c r="AI85" i="1"/>
  <c r="CW85" i="1" s="1"/>
  <c r="V85" i="1" s="1"/>
  <c r="AJ85" i="1"/>
  <c r="CR85" i="1"/>
  <c r="Q85" i="1" s="1"/>
  <c r="CT85" i="1"/>
  <c r="S85" i="1" s="1"/>
  <c r="CV85" i="1"/>
  <c r="U85" i="1" s="1"/>
  <c r="CX85" i="1"/>
  <c r="W85" i="1" s="1"/>
  <c r="FR85" i="1"/>
  <c r="GL85" i="1"/>
  <c r="GN85" i="1"/>
  <c r="GO85" i="1"/>
  <c r="GV85" i="1"/>
  <c r="HC85" i="1"/>
  <c r="GX85" i="1" s="1"/>
  <c r="C86" i="1"/>
  <c r="D86" i="1"/>
  <c r="I86" i="1"/>
  <c r="AC86" i="1"/>
  <c r="AE86" i="1"/>
  <c r="AD86" i="1" s="1"/>
  <c r="AF86" i="1"/>
  <c r="AG86" i="1"/>
  <c r="CU86" i="1" s="1"/>
  <c r="T86" i="1" s="1"/>
  <c r="AH86" i="1"/>
  <c r="AI86" i="1"/>
  <c r="CW86" i="1" s="1"/>
  <c r="V86" i="1" s="1"/>
  <c r="AJ86" i="1"/>
  <c r="CR86" i="1"/>
  <c r="Q86" i="1" s="1"/>
  <c r="CT86" i="1"/>
  <c r="S86" i="1" s="1"/>
  <c r="CV86" i="1"/>
  <c r="U86" i="1" s="1"/>
  <c r="CX86" i="1"/>
  <c r="W86" i="1" s="1"/>
  <c r="FR86" i="1"/>
  <c r="GL86" i="1"/>
  <c r="GN86" i="1"/>
  <c r="GO86" i="1"/>
  <c r="GV86" i="1"/>
  <c r="HC86" i="1"/>
  <c r="GX86" i="1" s="1"/>
  <c r="D87" i="1"/>
  <c r="I87" i="1"/>
  <c r="AC87" i="1"/>
  <c r="AD87" i="1"/>
  <c r="AB87" i="1" s="1"/>
  <c r="AE87" i="1"/>
  <c r="AF87" i="1"/>
  <c r="CT87" i="1" s="1"/>
  <c r="S87" i="1" s="1"/>
  <c r="AG87" i="1"/>
  <c r="AH87" i="1"/>
  <c r="CV87" i="1" s="1"/>
  <c r="U87" i="1" s="1"/>
  <c r="AI87" i="1"/>
  <c r="AJ87" i="1"/>
  <c r="CX87" i="1" s="1"/>
  <c r="W87" i="1" s="1"/>
  <c r="CQ87" i="1"/>
  <c r="P87" i="1" s="1"/>
  <c r="CP87" i="1" s="1"/>
  <c r="O87" i="1" s="1"/>
  <c r="CR87" i="1"/>
  <c r="Q87" i="1" s="1"/>
  <c r="CS87" i="1"/>
  <c r="R87" i="1" s="1"/>
  <c r="GK87" i="1" s="1"/>
  <c r="CU87" i="1"/>
  <c r="T87" i="1" s="1"/>
  <c r="CW87" i="1"/>
  <c r="V87" i="1" s="1"/>
  <c r="FR87" i="1"/>
  <c r="GL87" i="1"/>
  <c r="GN87" i="1"/>
  <c r="GO87" i="1"/>
  <c r="GV87" i="1"/>
  <c r="GX87" i="1"/>
  <c r="HC87" i="1"/>
  <c r="C88" i="1"/>
  <c r="D88" i="1"/>
  <c r="AC88" i="1"/>
  <c r="AB88" i="1" s="1"/>
  <c r="AE88" i="1"/>
  <c r="AD88" i="1" s="1"/>
  <c r="AF88" i="1"/>
  <c r="AG88" i="1"/>
  <c r="CU88" i="1" s="1"/>
  <c r="T88" i="1" s="1"/>
  <c r="AH88" i="1"/>
  <c r="AI88" i="1"/>
  <c r="CW88" i="1" s="1"/>
  <c r="V88" i="1" s="1"/>
  <c r="AJ88" i="1"/>
  <c r="CR88" i="1"/>
  <c r="Q88" i="1" s="1"/>
  <c r="CT88" i="1"/>
  <c r="S88" i="1" s="1"/>
  <c r="CV88" i="1"/>
  <c r="U88" i="1" s="1"/>
  <c r="CX88" i="1"/>
  <c r="W88" i="1" s="1"/>
  <c r="FR88" i="1"/>
  <c r="GL88" i="1"/>
  <c r="GN88" i="1"/>
  <c r="GO88" i="1"/>
  <c r="GV88" i="1"/>
  <c r="HC88" i="1"/>
  <c r="GX88" i="1" s="1"/>
  <c r="I89" i="1"/>
  <c r="AC89" i="1"/>
  <c r="AB89" i="1" s="1"/>
  <c r="AE89" i="1"/>
  <c r="AD89" i="1" s="1"/>
  <c r="AF89" i="1"/>
  <c r="AG89" i="1"/>
  <c r="CU89" i="1" s="1"/>
  <c r="T89" i="1" s="1"/>
  <c r="AH89" i="1"/>
  <c r="AI89" i="1"/>
  <c r="CW89" i="1" s="1"/>
  <c r="V89" i="1" s="1"/>
  <c r="AJ89" i="1"/>
  <c r="CR89" i="1"/>
  <c r="Q89" i="1" s="1"/>
  <c r="CT89" i="1"/>
  <c r="S89" i="1" s="1"/>
  <c r="CV89" i="1"/>
  <c r="U89" i="1" s="1"/>
  <c r="CX89" i="1"/>
  <c r="W89" i="1" s="1"/>
  <c r="FR89" i="1"/>
  <c r="GL89" i="1"/>
  <c r="GN89" i="1"/>
  <c r="GO89" i="1"/>
  <c r="GV89" i="1"/>
  <c r="HC89" i="1"/>
  <c r="GX89" i="1" s="1"/>
  <c r="I90" i="1"/>
  <c r="AC90" i="1"/>
  <c r="AB90" i="1" s="1"/>
  <c r="AE90" i="1"/>
  <c r="AD90" i="1" s="1"/>
  <c r="AF90" i="1"/>
  <c r="AG90" i="1"/>
  <c r="CU90" i="1" s="1"/>
  <c r="T90" i="1" s="1"/>
  <c r="AH90" i="1"/>
  <c r="AI90" i="1"/>
  <c r="CW90" i="1" s="1"/>
  <c r="V90" i="1" s="1"/>
  <c r="AJ90" i="1"/>
  <c r="CR90" i="1"/>
  <c r="Q90" i="1" s="1"/>
  <c r="CT90" i="1"/>
  <c r="S90" i="1" s="1"/>
  <c r="CV90" i="1"/>
  <c r="U90" i="1" s="1"/>
  <c r="CX90" i="1"/>
  <c r="W90" i="1" s="1"/>
  <c r="FR90" i="1"/>
  <c r="GL90" i="1"/>
  <c r="GN90" i="1"/>
  <c r="GO90" i="1"/>
  <c r="GV90" i="1"/>
  <c r="HC90" i="1"/>
  <c r="GX90" i="1" s="1"/>
  <c r="AC91" i="1"/>
  <c r="AD91" i="1"/>
  <c r="AE91" i="1"/>
  <c r="AF91" i="1"/>
  <c r="CT91" i="1" s="1"/>
  <c r="S91" i="1" s="1"/>
  <c r="AG91" i="1"/>
  <c r="AH91" i="1"/>
  <c r="CV91" i="1" s="1"/>
  <c r="U91" i="1" s="1"/>
  <c r="AI91" i="1"/>
  <c r="AJ91" i="1"/>
  <c r="CX91" i="1" s="1"/>
  <c r="W91" i="1" s="1"/>
  <c r="CR91" i="1"/>
  <c r="Q91" i="1" s="1"/>
  <c r="CS91" i="1"/>
  <c r="R91" i="1" s="1"/>
  <c r="GK91" i="1" s="1"/>
  <c r="CU91" i="1"/>
  <c r="T91" i="1" s="1"/>
  <c r="CW91" i="1"/>
  <c r="V91" i="1" s="1"/>
  <c r="FR91" i="1"/>
  <c r="GL91" i="1"/>
  <c r="GO91" i="1"/>
  <c r="GP91" i="1"/>
  <c r="GV91" i="1"/>
  <c r="GX91" i="1"/>
  <c r="HC91" i="1"/>
  <c r="C92" i="1"/>
  <c r="D92" i="1"/>
  <c r="AC92" i="1"/>
  <c r="AE92" i="1"/>
  <c r="AD92" i="1" s="1"/>
  <c r="AF92" i="1"/>
  <c r="AG92" i="1"/>
  <c r="CU92" i="1" s="1"/>
  <c r="T92" i="1" s="1"/>
  <c r="AH92" i="1"/>
  <c r="AI92" i="1"/>
  <c r="CW92" i="1" s="1"/>
  <c r="V92" i="1" s="1"/>
  <c r="AJ92" i="1"/>
  <c r="CR92" i="1"/>
  <c r="Q92" i="1" s="1"/>
  <c r="CT92" i="1"/>
  <c r="S92" i="1" s="1"/>
  <c r="J442" i="5" s="1"/>
  <c r="CV92" i="1"/>
  <c r="U92" i="1" s="1"/>
  <c r="K446" i="5" s="1"/>
  <c r="CX92" i="1"/>
  <c r="W92" i="1" s="1"/>
  <c r="FR92" i="1"/>
  <c r="GL92" i="1"/>
  <c r="GN92" i="1"/>
  <c r="GO92" i="1"/>
  <c r="GV92" i="1"/>
  <c r="HC92" i="1"/>
  <c r="GX92" i="1" s="1"/>
  <c r="AC93" i="1"/>
  <c r="AD93" i="1"/>
  <c r="AB93" i="1" s="1"/>
  <c r="AE93" i="1"/>
  <c r="AF93" i="1"/>
  <c r="CT93" i="1" s="1"/>
  <c r="S93" i="1" s="1"/>
  <c r="AG93" i="1"/>
  <c r="AH93" i="1"/>
  <c r="CV93" i="1" s="1"/>
  <c r="U93" i="1" s="1"/>
  <c r="AI93" i="1"/>
  <c r="AJ93" i="1"/>
  <c r="CX93" i="1" s="1"/>
  <c r="W93" i="1" s="1"/>
  <c r="CQ93" i="1"/>
  <c r="P93" i="1" s="1"/>
  <c r="CR93" i="1"/>
  <c r="Q93" i="1" s="1"/>
  <c r="CS93" i="1"/>
  <c r="R93" i="1" s="1"/>
  <c r="GK93" i="1" s="1"/>
  <c r="CU93" i="1"/>
  <c r="T93" i="1" s="1"/>
  <c r="CW93" i="1"/>
  <c r="V93" i="1" s="1"/>
  <c r="FR93" i="1"/>
  <c r="GL93" i="1"/>
  <c r="GO93" i="1"/>
  <c r="GP93" i="1"/>
  <c r="GV93" i="1"/>
  <c r="GX93" i="1"/>
  <c r="HC93" i="1"/>
  <c r="B95" i="1"/>
  <c r="B26" i="1" s="1"/>
  <c r="C95" i="1"/>
  <c r="C26" i="1" s="1"/>
  <c r="D95" i="1"/>
  <c r="D26" i="1" s="1"/>
  <c r="F95" i="1"/>
  <c r="F26" i="1" s="1"/>
  <c r="G95" i="1"/>
  <c r="G26" i="1" s="1"/>
  <c r="BB95" i="1"/>
  <c r="BB26" i="1" s="1"/>
  <c r="BX95" i="1"/>
  <c r="BX26" i="1" s="1"/>
  <c r="CK95" i="1"/>
  <c r="CK26" i="1" s="1"/>
  <c r="CL95" i="1"/>
  <c r="CL26" i="1" s="1"/>
  <c r="F108" i="1"/>
  <c r="B124" i="1"/>
  <c r="B22" i="1" s="1"/>
  <c r="C124" i="1"/>
  <c r="C22" i="1" s="1"/>
  <c r="D124" i="1"/>
  <c r="D22" i="1" s="1"/>
  <c r="F124" i="1"/>
  <c r="F22" i="1" s="1"/>
  <c r="G124" i="1"/>
  <c r="G22" i="1" s="1"/>
  <c r="BB124" i="1"/>
  <c r="BB22" i="1" s="1"/>
  <c r="B153" i="1"/>
  <c r="B18" i="1" s="1"/>
  <c r="C153" i="1"/>
  <c r="C18" i="1" s="1"/>
  <c r="D153" i="1"/>
  <c r="D18" i="1" s="1"/>
  <c r="F153" i="1"/>
  <c r="F18" i="1" s="1"/>
  <c r="G153" i="1"/>
  <c r="AB83" i="1" l="1"/>
  <c r="AB91" i="1"/>
  <c r="K55" i="7"/>
  <c r="M55" i="7" s="1"/>
  <c r="N55" i="7"/>
  <c r="CQ91" i="1"/>
  <c r="P91" i="1" s="1"/>
  <c r="J439" i="5" s="1"/>
  <c r="I440" i="5" s="1"/>
  <c r="CP83" i="1"/>
  <c r="O83" i="1" s="1"/>
  <c r="GM83" i="1" s="1"/>
  <c r="J388" i="5"/>
  <c r="I389" i="5" s="1"/>
  <c r="N49" i="7"/>
  <c r="K49" i="7"/>
  <c r="M49" i="7" s="1"/>
  <c r="AB75" i="1"/>
  <c r="CP75" i="1"/>
  <c r="O75" i="1" s="1"/>
  <c r="GM75" i="1" s="1"/>
  <c r="J337" i="5"/>
  <c r="I338" i="5" s="1"/>
  <c r="K43" i="7"/>
  <c r="M43" i="7" s="1"/>
  <c r="N43" i="7"/>
  <c r="AB67" i="1"/>
  <c r="CP67" i="1"/>
  <c r="O67" i="1" s="1"/>
  <c r="GM67" i="1" s="1"/>
  <c r="J286" i="5"/>
  <c r="I287" i="5" s="1"/>
  <c r="N37" i="7"/>
  <c r="K37" i="7"/>
  <c r="M37" i="7" s="1"/>
  <c r="K31" i="7"/>
  <c r="M31" i="7" s="1"/>
  <c r="N31" i="7"/>
  <c r="BZ95" i="1"/>
  <c r="BZ26" i="1" s="1"/>
  <c r="N25" i="7"/>
  <c r="K25" i="7"/>
  <c r="M25" i="7" s="1"/>
  <c r="N19" i="7"/>
  <c r="K19" i="7"/>
  <c r="M19" i="7" s="1"/>
  <c r="CP35" i="1"/>
  <c r="O35" i="1" s="1"/>
  <c r="J82" i="5"/>
  <c r="I83" i="5" s="1"/>
  <c r="AB35" i="1"/>
  <c r="N13" i="7"/>
  <c r="K13" i="7"/>
  <c r="M13" i="7" s="1"/>
  <c r="P294" i="5"/>
  <c r="P203" i="5"/>
  <c r="G18" i="1"/>
  <c r="A3" i="6"/>
  <c r="A453" i="5"/>
  <c r="CC95" i="1"/>
  <c r="CC26" i="1" s="1"/>
  <c r="CP93" i="1"/>
  <c r="O93" i="1" s="1"/>
  <c r="J448" i="5"/>
  <c r="I449" i="5" s="1"/>
  <c r="BY95" i="1"/>
  <c r="BY26" i="1" s="1"/>
  <c r="P243" i="5"/>
  <c r="I234" i="5"/>
  <c r="K234" i="5" s="1"/>
  <c r="I81" i="5"/>
  <c r="P81" i="5" s="1"/>
  <c r="I183" i="5"/>
  <c r="P183" i="5" s="1"/>
  <c r="P234" i="5"/>
  <c r="I387" i="5"/>
  <c r="K387" i="5" s="1"/>
  <c r="K356" i="5"/>
  <c r="P356" i="5"/>
  <c r="K316" i="5"/>
  <c r="P316" i="5"/>
  <c r="K276" i="5"/>
  <c r="P276" i="5"/>
  <c r="K214" i="5"/>
  <c r="P214" i="5"/>
  <c r="K174" i="5"/>
  <c r="P174" i="5"/>
  <c r="P438" i="5"/>
  <c r="K438" i="5"/>
  <c r="P407" i="5"/>
  <c r="K407" i="5"/>
  <c r="P336" i="5"/>
  <c r="K336" i="5"/>
  <c r="P305" i="5"/>
  <c r="K305" i="5"/>
  <c r="K112" i="5"/>
  <c r="P112" i="5"/>
  <c r="K72" i="5"/>
  <c r="P72" i="5"/>
  <c r="P132" i="5"/>
  <c r="K132" i="5"/>
  <c r="P101" i="5"/>
  <c r="K101" i="5"/>
  <c r="P61" i="5"/>
  <c r="K61" i="5"/>
  <c r="K418" i="5"/>
  <c r="P418" i="5"/>
  <c r="K378" i="5"/>
  <c r="P378" i="5"/>
  <c r="P345" i="5"/>
  <c r="K345" i="5"/>
  <c r="K285" i="5"/>
  <c r="P285" i="5"/>
  <c r="K254" i="5"/>
  <c r="P254" i="5"/>
  <c r="K192" i="5"/>
  <c r="P192" i="5"/>
  <c r="K183" i="5"/>
  <c r="P429" i="5"/>
  <c r="K429" i="5"/>
  <c r="P367" i="5"/>
  <c r="K367" i="5"/>
  <c r="P327" i="5"/>
  <c r="K327" i="5"/>
  <c r="K152" i="5"/>
  <c r="P152" i="5"/>
  <c r="K81" i="5"/>
  <c r="K50" i="5"/>
  <c r="P50" i="5"/>
  <c r="P123" i="5"/>
  <c r="K123" i="5"/>
  <c r="K90" i="5"/>
  <c r="P90" i="5"/>
  <c r="CZ91" i="1"/>
  <c r="Y91" i="1" s="1"/>
  <c r="CY91" i="1"/>
  <c r="X91" i="1" s="1"/>
  <c r="CY88" i="1"/>
  <c r="X88" i="1" s="1"/>
  <c r="CZ88" i="1"/>
  <c r="Y88" i="1" s="1"/>
  <c r="CY90" i="1"/>
  <c r="X90" i="1" s="1"/>
  <c r="CZ90" i="1"/>
  <c r="Y90" i="1" s="1"/>
  <c r="CY89" i="1"/>
  <c r="X89" i="1" s="1"/>
  <c r="CZ89" i="1"/>
  <c r="Y89" i="1" s="1"/>
  <c r="CY77" i="1"/>
  <c r="X77" i="1" s="1"/>
  <c r="CZ77" i="1"/>
  <c r="Y77" i="1" s="1"/>
  <c r="CY69" i="1"/>
  <c r="X69" i="1" s="1"/>
  <c r="CZ69" i="1"/>
  <c r="Y69" i="1" s="1"/>
  <c r="CZ93" i="1"/>
  <c r="Y93" i="1" s="1"/>
  <c r="T448" i="5" s="1"/>
  <c r="CY93" i="1"/>
  <c r="X93" i="1" s="1"/>
  <c r="CY92" i="1"/>
  <c r="X92" i="1" s="1"/>
  <c r="R441" i="5" s="1"/>
  <c r="J444" i="5" s="1"/>
  <c r="CZ92" i="1"/>
  <c r="Y92" i="1" s="1"/>
  <c r="T441" i="5" s="1"/>
  <c r="J445" i="5" s="1"/>
  <c r="AB92" i="1"/>
  <c r="CP91" i="1"/>
  <c r="O91" i="1" s="1"/>
  <c r="CZ87" i="1"/>
  <c r="Y87" i="1" s="1"/>
  <c r="CY87" i="1"/>
  <c r="X87" i="1" s="1"/>
  <c r="GP87" i="1" s="1"/>
  <c r="CY86" i="1"/>
  <c r="X86" i="1" s="1"/>
  <c r="CZ86" i="1"/>
  <c r="Y86" i="1" s="1"/>
  <c r="AB86" i="1"/>
  <c r="CY85" i="1"/>
  <c r="X85" i="1" s="1"/>
  <c r="CZ85" i="1"/>
  <c r="Y85" i="1" s="1"/>
  <c r="AB85" i="1"/>
  <c r="CY84" i="1"/>
  <c r="X84" i="1" s="1"/>
  <c r="CZ84" i="1"/>
  <c r="Y84" i="1" s="1"/>
  <c r="GM79" i="1"/>
  <c r="GP79" i="1"/>
  <c r="CY78" i="1"/>
  <c r="X78" i="1" s="1"/>
  <c r="CZ78" i="1"/>
  <c r="Y78" i="1" s="1"/>
  <c r="CY76" i="1"/>
  <c r="X76" i="1" s="1"/>
  <c r="CZ76" i="1"/>
  <c r="Y76" i="1" s="1"/>
  <c r="GM71" i="1"/>
  <c r="GP71" i="1"/>
  <c r="CY70" i="1"/>
  <c r="X70" i="1" s="1"/>
  <c r="CZ70" i="1"/>
  <c r="Y70" i="1" s="1"/>
  <c r="CY68" i="1"/>
  <c r="X68" i="1" s="1"/>
  <c r="CZ68" i="1"/>
  <c r="Y68" i="1" s="1"/>
  <c r="AD84" i="1"/>
  <c r="CS84" i="1"/>
  <c r="R84" i="1" s="1"/>
  <c r="GK84" i="1" s="1"/>
  <c r="CQ82" i="1"/>
  <c r="P82" i="1" s="1"/>
  <c r="CP82" i="1" s="1"/>
  <c r="O82" i="1" s="1"/>
  <c r="CQ81" i="1"/>
  <c r="P81" i="1" s="1"/>
  <c r="CP81" i="1" s="1"/>
  <c r="O81" i="1" s="1"/>
  <c r="CQ80" i="1"/>
  <c r="P80" i="1" s="1"/>
  <c r="CP80" i="1" s="1"/>
  <c r="O80" i="1" s="1"/>
  <c r="AD78" i="1"/>
  <c r="CS78" i="1"/>
  <c r="R78" i="1" s="1"/>
  <c r="GK78" i="1" s="1"/>
  <c r="AD77" i="1"/>
  <c r="CS77" i="1"/>
  <c r="R77" i="1" s="1"/>
  <c r="GK77" i="1" s="1"/>
  <c r="AD76" i="1"/>
  <c r="CS76" i="1"/>
  <c r="R76" i="1" s="1"/>
  <c r="GK76" i="1" s="1"/>
  <c r="CQ74" i="1"/>
  <c r="P74" i="1" s="1"/>
  <c r="CP74" i="1" s="1"/>
  <c r="O74" i="1" s="1"/>
  <c r="CQ73" i="1"/>
  <c r="P73" i="1" s="1"/>
  <c r="CP73" i="1" s="1"/>
  <c r="O73" i="1" s="1"/>
  <c r="CQ72" i="1"/>
  <c r="P72" i="1" s="1"/>
  <c r="CP72" i="1" s="1"/>
  <c r="O72" i="1" s="1"/>
  <c r="AD70" i="1"/>
  <c r="CS70" i="1"/>
  <c r="R70" i="1" s="1"/>
  <c r="GK70" i="1" s="1"/>
  <c r="AD69" i="1"/>
  <c r="CS69" i="1"/>
  <c r="R69" i="1" s="1"/>
  <c r="GK69" i="1" s="1"/>
  <c r="AD68" i="1"/>
  <c r="CS68" i="1"/>
  <c r="R68" i="1" s="1"/>
  <c r="GK68" i="1" s="1"/>
  <c r="CQ66" i="1"/>
  <c r="P66" i="1" s="1"/>
  <c r="CP66" i="1" s="1"/>
  <c r="O66" i="1" s="1"/>
  <c r="GM64" i="1"/>
  <c r="CY63" i="1"/>
  <c r="X63" i="1" s="1"/>
  <c r="CZ63" i="1"/>
  <c r="Y63" i="1" s="1"/>
  <c r="CX54" i="3"/>
  <c r="CX56" i="3"/>
  <c r="CX58" i="3"/>
  <c r="CX53" i="3"/>
  <c r="CX55" i="3"/>
  <c r="CX57" i="3"/>
  <c r="R61" i="1"/>
  <c r="GK61" i="1" s="1"/>
  <c r="GM60" i="1"/>
  <c r="GX58" i="1"/>
  <c r="R58" i="1"/>
  <c r="GK58" i="1" s="1"/>
  <c r="GM57" i="1"/>
  <c r="CQ55" i="1"/>
  <c r="P55" i="1" s="1"/>
  <c r="CP55" i="1" s="1"/>
  <c r="O55" i="1" s="1"/>
  <c r="CY55" i="1"/>
  <c r="X55" i="1" s="1"/>
  <c r="CZ55" i="1"/>
  <c r="Y55" i="1" s="1"/>
  <c r="GM54" i="1"/>
  <c r="GP54" i="1"/>
  <c r="GM46" i="1"/>
  <c r="CX26" i="3"/>
  <c r="CX28" i="3"/>
  <c r="CX30" i="3"/>
  <c r="CX25" i="3"/>
  <c r="CX27" i="3"/>
  <c r="CX29" i="3"/>
  <c r="GX45" i="1"/>
  <c r="R45" i="1"/>
  <c r="GK45" i="1" s="1"/>
  <c r="GM44" i="1"/>
  <c r="GX42" i="1"/>
  <c r="R42" i="1"/>
  <c r="GK42" i="1" s="1"/>
  <c r="GM41" i="1"/>
  <c r="GM39" i="1"/>
  <c r="GP39" i="1"/>
  <c r="CY38" i="1"/>
  <c r="X38" i="1" s="1"/>
  <c r="CZ38" i="1"/>
  <c r="Y38" i="1" s="1"/>
  <c r="BB153" i="1"/>
  <c r="F137" i="1"/>
  <c r="BC95" i="1"/>
  <c r="AO95" i="1"/>
  <c r="CS92" i="1"/>
  <c r="R92" i="1" s="1"/>
  <c r="GK92" i="1" s="1"/>
  <c r="CQ92" i="1"/>
  <c r="P92" i="1" s="1"/>
  <c r="CS90" i="1"/>
  <c r="R90" i="1" s="1"/>
  <c r="GK90" i="1" s="1"/>
  <c r="CQ90" i="1"/>
  <c r="P90" i="1" s="1"/>
  <c r="CP90" i="1" s="1"/>
  <c r="O90" i="1" s="1"/>
  <c r="CS89" i="1"/>
  <c r="R89" i="1" s="1"/>
  <c r="GK89" i="1" s="1"/>
  <c r="CQ89" i="1"/>
  <c r="P89" i="1" s="1"/>
  <c r="CP89" i="1" s="1"/>
  <c r="O89" i="1" s="1"/>
  <c r="CS88" i="1"/>
  <c r="R88" i="1" s="1"/>
  <c r="GK88" i="1" s="1"/>
  <c r="CQ88" i="1"/>
  <c r="P88" i="1" s="1"/>
  <c r="CP88" i="1" s="1"/>
  <c r="O88" i="1" s="1"/>
  <c r="CS86" i="1"/>
  <c r="R86" i="1" s="1"/>
  <c r="GK86" i="1" s="1"/>
  <c r="CQ86" i="1"/>
  <c r="P86" i="1" s="1"/>
  <c r="CP86" i="1" s="1"/>
  <c r="O86" i="1" s="1"/>
  <c r="CX102" i="3"/>
  <c r="CX104" i="3"/>
  <c r="CX106" i="3"/>
  <c r="CX101" i="3"/>
  <c r="CX105" i="3"/>
  <c r="CX103" i="3"/>
  <c r="CS85" i="1"/>
  <c r="R85" i="1" s="1"/>
  <c r="GK85" i="1" s="1"/>
  <c r="CQ85" i="1"/>
  <c r="P85" i="1" s="1"/>
  <c r="CP85" i="1" s="1"/>
  <c r="O85" i="1" s="1"/>
  <c r="CX96" i="3"/>
  <c r="CX98" i="3"/>
  <c r="CX100" i="3"/>
  <c r="CX97" i="3"/>
  <c r="CX95" i="3"/>
  <c r="CX99" i="3"/>
  <c r="CR84" i="1"/>
  <c r="Q84" i="1" s="1"/>
  <c r="AB84" i="1"/>
  <c r="CQ84" i="1"/>
  <c r="P84" i="1" s="1"/>
  <c r="CP84" i="1" s="1"/>
  <c r="O84" i="1" s="1"/>
  <c r="AD82" i="1"/>
  <c r="AB82" i="1" s="1"/>
  <c r="CS82" i="1"/>
  <c r="R82" i="1" s="1"/>
  <c r="GK82" i="1" s="1"/>
  <c r="AD81" i="1"/>
  <c r="AB81" i="1" s="1"/>
  <c r="CS81" i="1"/>
  <c r="R81" i="1" s="1"/>
  <c r="GK81" i="1" s="1"/>
  <c r="AD80" i="1"/>
  <c r="AB80" i="1" s="1"/>
  <c r="CS80" i="1"/>
  <c r="R80" i="1" s="1"/>
  <c r="GK80" i="1" s="1"/>
  <c r="CR78" i="1"/>
  <c r="Q78" i="1" s="1"/>
  <c r="AB78" i="1"/>
  <c r="CQ78" i="1"/>
  <c r="P78" i="1" s="1"/>
  <c r="CP78" i="1" s="1"/>
  <c r="O78" i="1" s="1"/>
  <c r="CR77" i="1"/>
  <c r="Q77" i="1" s="1"/>
  <c r="AB77" i="1"/>
  <c r="CQ77" i="1"/>
  <c r="P77" i="1" s="1"/>
  <c r="CP77" i="1" s="1"/>
  <c r="O77" i="1" s="1"/>
  <c r="CR76" i="1"/>
  <c r="Q76" i="1" s="1"/>
  <c r="AB76" i="1"/>
  <c r="CQ76" i="1"/>
  <c r="P76" i="1" s="1"/>
  <c r="CP76" i="1" s="1"/>
  <c r="O76" i="1" s="1"/>
  <c r="AD74" i="1"/>
  <c r="AB74" i="1" s="1"/>
  <c r="CS74" i="1"/>
  <c r="R74" i="1" s="1"/>
  <c r="GK74" i="1" s="1"/>
  <c r="AD73" i="1"/>
  <c r="AB73" i="1" s="1"/>
  <c r="CS73" i="1"/>
  <c r="R73" i="1" s="1"/>
  <c r="GK73" i="1" s="1"/>
  <c r="AD72" i="1"/>
  <c r="AB72" i="1" s="1"/>
  <c r="CS72" i="1"/>
  <c r="R72" i="1" s="1"/>
  <c r="GK72" i="1" s="1"/>
  <c r="CR70" i="1"/>
  <c r="Q70" i="1" s="1"/>
  <c r="AB70" i="1"/>
  <c r="CQ70" i="1"/>
  <c r="P70" i="1" s="1"/>
  <c r="CP70" i="1" s="1"/>
  <c r="O70" i="1" s="1"/>
  <c r="CR69" i="1"/>
  <c r="Q69" i="1" s="1"/>
  <c r="AB69" i="1"/>
  <c r="CQ69" i="1"/>
  <c r="P69" i="1" s="1"/>
  <c r="CP69" i="1" s="1"/>
  <c r="O69" i="1" s="1"/>
  <c r="CR68" i="1"/>
  <c r="Q68" i="1" s="1"/>
  <c r="AB68" i="1"/>
  <c r="CQ68" i="1"/>
  <c r="P68" i="1" s="1"/>
  <c r="CP68" i="1" s="1"/>
  <c r="O68" i="1" s="1"/>
  <c r="AD66" i="1"/>
  <c r="AB66" i="1" s="1"/>
  <c r="CS66" i="1"/>
  <c r="R66" i="1" s="1"/>
  <c r="GK66" i="1" s="1"/>
  <c r="CP65" i="1"/>
  <c r="O65" i="1" s="1"/>
  <c r="GP64" i="1"/>
  <c r="AD63" i="1"/>
  <c r="CS63" i="1"/>
  <c r="R63" i="1" s="1"/>
  <c r="GK63" i="1" s="1"/>
  <c r="CR63" i="1"/>
  <c r="Q63" i="1" s="1"/>
  <c r="CP62" i="1"/>
  <c r="O62" i="1" s="1"/>
  <c r="CX60" i="3"/>
  <c r="CX62" i="3"/>
  <c r="CX64" i="3"/>
  <c r="CX59" i="3"/>
  <c r="CX61" i="3"/>
  <c r="CX63" i="3"/>
  <c r="GX62" i="1"/>
  <c r="GX61" i="1"/>
  <c r="AD59" i="1"/>
  <c r="CS59" i="1"/>
  <c r="R59" i="1" s="1"/>
  <c r="GK59" i="1" s="1"/>
  <c r="CR59" i="1"/>
  <c r="Q59" i="1" s="1"/>
  <c r="V58" i="1"/>
  <c r="GM52" i="1"/>
  <c r="GP52" i="1"/>
  <c r="CY51" i="1"/>
  <c r="X51" i="1" s="1"/>
  <c r="CZ51" i="1"/>
  <c r="Y51" i="1" s="1"/>
  <c r="GM49" i="1"/>
  <c r="GP49" i="1"/>
  <c r="GM48" i="1"/>
  <c r="GP48" i="1"/>
  <c r="V45" i="1"/>
  <c r="AD43" i="1"/>
  <c r="CS43" i="1"/>
  <c r="R43" i="1" s="1"/>
  <c r="GK43" i="1" s="1"/>
  <c r="CR43" i="1"/>
  <c r="Q43" i="1" s="1"/>
  <c r="V42" i="1"/>
  <c r="AI95" i="1" s="1"/>
  <c r="CY37" i="1"/>
  <c r="X37" i="1" s="1"/>
  <c r="CZ37" i="1"/>
  <c r="Y37" i="1" s="1"/>
  <c r="CQ36" i="1"/>
  <c r="P36" i="1" s="1"/>
  <c r="CP36" i="1" s="1"/>
  <c r="O36" i="1" s="1"/>
  <c r="CY36" i="1"/>
  <c r="X36" i="1" s="1"/>
  <c r="CZ36" i="1"/>
  <c r="Y36" i="1" s="1"/>
  <c r="GM35" i="1"/>
  <c r="GN35" i="1"/>
  <c r="CY34" i="1"/>
  <c r="X34" i="1" s="1"/>
  <c r="CZ34" i="1"/>
  <c r="Y34" i="1" s="1"/>
  <c r="CY32" i="1"/>
  <c r="X32" i="1" s="1"/>
  <c r="CZ32" i="1"/>
  <c r="Y32" i="1" s="1"/>
  <c r="CX88" i="3"/>
  <c r="CX90" i="3"/>
  <c r="CX92" i="3"/>
  <c r="CX87" i="3"/>
  <c r="CX91" i="3"/>
  <c r="CX89" i="3"/>
  <c r="CX82" i="3"/>
  <c r="CX84" i="3"/>
  <c r="CX86" i="3"/>
  <c r="CX83" i="3"/>
  <c r="CX85" i="3"/>
  <c r="CX81" i="3"/>
  <c r="CX74" i="3"/>
  <c r="CX76" i="3"/>
  <c r="CX78" i="3"/>
  <c r="CX73" i="3"/>
  <c r="CX75" i="3"/>
  <c r="CX77" i="3"/>
  <c r="CX68" i="3"/>
  <c r="CX70" i="3"/>
  <c r="CX72" i="3"/>
  <c r="CX67" i="3"/>
  <c r="CX69" i="3"/>
  <c r="CX71" i="3"/>
  <c r="AB63" i="1"/>
  <c r="CQ63" i="1"/>
  <c r="P63" i="1" s="1"/>
  <c r="CP63" i="1" s="1"/>
  <c r="O63" i="1" s="1"/>
  <c r="T61" i="1"/>
  <c r="Q61" i="1"/>
  <c r="CP61" i="1" s="1"/>
  <c r="O61" i="1" s="1"/>
  <c r="W61" i="1"/>
  <c r="U61" i="1"/>
  <c r="S61" i="1"/>
  <c r="CY59" i="1"/>
  <c r="X59" i="1" s="1"/>
  <c r="CZ59" i="1"/>
  <c r="Y59" i="1" s="1"/>
  <c r="T58" i="1"/>
  <c r="Q58" i="1"/>
  <c r="CP58" i="1" s="1"/>
  <c r="O58" i="1" s="1"/>
  <c r="W58" i="1"/>
  <c r="U58" i="1"/>
  <c r="S58" i="1"/>
  <c r="CP56" i="1"/>
  <c r="O56" i="1" s="1"/>
  <c r="CP53" i="1"/>
  <c r="O53" i="1" s="1"/>
  <c r="CX40" i="3"/>
  <c r="CX42" i="3"/>
  <c r="CX44" i="3"/>
  <c r="CX39" i="3"/>
  <c r="CX41" i="3"/>
  <c r="CX43" i="3"/>
  <c r="GX53" i="1"/>
  <c r="AD51" i="1"/>
  <c r="CS51" i="1"/>
  <c r="R51" i="1" s="1"/>
  <c r="GK51" i="1" s="1"/>
  <c r="CR51" i="1"/>
  <c r="Q51" i="1" s="1"/>
  <c r="CP50" i="1"/>
  <c r="O50" i="1" s="1"/>
  <c r="CQ47" i="1"/>
  <c r="P47" i="1" s="1"/>
  <c r="CP47" i="1" s="1"/>
  <c r="O47" i="1" s="1"/>
  <c r="T45" i="1"/>
  <c r="Q45" i="1"/>
  <c r="CP45" i="1" s="1"/>
  <c r="O45" i="1" s="1"/>
  <c r="W45" i="1"/>
  <c r="U45" i="1"/>
  <c r="S45" i="1"/>
  <c r="CY43" i="1"/>
  <c r="X43" i="1" s="1"/>
  <c r="CZ43" i="1"/>
  <c r="Y43" i="1" s="1"/>
  <c r="T42" i="1"/>
  <c r="Q42" i="1"/>
  <c r="CP42" i="1" s="1"/>
  <c r="O42" i="1" s="1"/>
  <c r="W42" i="1"/>
  <c r="U42" i="1"/>
  <c r="S42" i="1"/>
  <c r="CP40" i="1"/>
  <c r="O40" i="1" s="1"/>
  <c r="AD38" i="1"/>
  <c r="CS38" i="1"/>
  <c r="R38" i="1" s="1"/>
  <c r="GK38" i="1" s="1"/>
  <c r="CR38" i="1"/>
  <c r="Q38" i="1" s="1"/>
  <c r="AB59" i="1"/>
  <c r="CQ59" i="1"/>
  <c r="P59" i="1" s="1"/>
  <c r="AD55" i="1"/>
  <c r="AB55" i="1" s="1"/>
  <c r="CS55" i="1"/>
  <c r="R55" i="1" s="1"/>
  <c r="GK55" i="1" s="1"/>
  <c r="CX46" i="3"/>
  <c r="CX48" i="3"/>
  <c r="CX50" i="3"/>
  <c r="CX45" i="3"/>
  <c r="CX47" i="3"/>
  <c r="CX49" i="3"/>
  <c r="AB51" i="1"/>
  <c r="CQ51" i="1"/>
  <c r="P51" i="1" s="1"/>
  <c r="AD47" i="1"/>
  <c r="AB47" i="1" s="1"/>
  <c r="CS47" i="1"/>
  <c r="R47" i="1" s="1"/>
  <c r="GK47" i="1" s="1"/>
  <c r="CX32" i="3"/>
  <c r="CX34" i="3"/>
  <c r="CX36" i="3"/>
  <c r="CX31" i="3"/>
  <c r="CX33" i="3"/>
  <c r="CX35" i="3"/>
  <c r="AB43" i="1"/>
  <c r="CQ43" i="1"/>
  <c r="P43" i="1" s="1"/>
  <c r="AB38" i="1"/>
  <c r="CQ38" i="1"/>
  <c r="P38" i="1" s="1"/>
  <c r="CP38" i="1" s="1"/>
  <c r="O38" i="1" s="1"/>
  <c r="CY33" i="1"/>
  <c r="X33" i="1" s="1"/>
  <c r="CZ33" i="1"/>
  <c r="Y33" i="1" s="1"/>
  <c r="GM29" i="1"/>
  <c r="GP29" i="1"/>
  <c r="CY31" i="1"/>
  <c r="X31" i="1" s="1"/>
  <c r="CZ31" i="1"/>
  <c r="Y31" i="1" s="1"/>
  <c r="T30" i="1"/>
  <c r="AG95" i="1" s="1"/>
  <c r="Q30" i="1"/>
  <c r="W30" i="1"/>
  <c r="AJ95" i="1" s="1"/>
  <c r="U30" i="1"/>
  <c r="AH95" i="1" s="1"/>
  <c r="S30" i="1"/>
  <c r="CX20" i="3"/>
  <c r="CX22" i="3"/>
  <c r="CX24" i="3"/>
  <c r="CX19" i="3"/>
  <c r="CX21" i="3"/>
  <c r="CX23" i="3"/>
  <c r="CP37" i="1"/>
  <c r="O37" i="1" s="1"/>
  <c r="AD34" i="1"/>
  <c r="CS34" i="1"/>
  <c r="R34" i="1" s="1"/>
  <c r="GK34" i="1" s="1"/>
  <c r="CR34" i="1"/>
  <c r="Q34" i="1" s="1"/>
  <c r="AD33" i="1"/>
  <c r="CS33" i="1"/>
  <c r="R33" i="1" s="1"/>
  <c r="GK33" i="1" s="1"/>
  <c r="CR33" i="1"/>
  <c r="Q33" i="1" s="1"/>
  <c r="AD32" i="1"/>
  <c r="CS32" i="1"/>
  <c r="R32" i="1" s="1"/>
  <c r="GK32" i="1" s="1"/>
  <c r="CR32" i="1"/>
  <c r="Q32" i="1" s="1"/>
  <c r="AD31" i="1"/>
  <c r="CS31" i="1"/>
  <c r="R31" i="1" s="1"/>
  <c r="CR31" i="1"/>
  <c r="Q31" i="1" s="1"/>
  <c r="CP30" i="1"/>
  <c r="O30" i="1" s="1"/>
  <c r="CX8" i="3"/>
  <c r="CX10" i="3"/>
  <c r="CX12" i="3"/>
  <c r="CX7" i="3"/>
  <c r="CX9" i="3"/>
  <c r="CX11" i="3"/>
  <c r="GX30" i="1"/>
  <c r="CJ95" i="1" s="1"/>
  <c r="GM28" i="1"/>
  <c r="GP28" i="1"/>
  <c r="AD36" i="1"/>
  <c r="AB36" i="1" s="1"/>
  <c r="CS36" i="1"/>
  <c r="R36" i="1" s="1"/>
  <c r="GK36" i="1" s="1"/>
  <c r="AB34" i="1"/>
  <c r="CQ34" i="1"/>
  <c r="P34" i="1" s="1"/>
  <c r="CP34" i="1" s="1"/>
  <c r="O34" i="1" s="1"/>
  <c r="AB33" i="1"/>
  <c r="CQ33" i="1"/>
  <c r="P33" i="1" s="1"/>
  <c r="CP33" i="1" s="1"/>
  <c r="O33" i="1" s="1"/>
  <c r="AB32" i="1"/>
  <c r="CQ32" i="1"/>
  <c r="P32" i="1" s="1"/>
  <c r="CP32" i="1" s="1"/>
  <c r="O32" i="1" s="1"/>
  <c r="AB31" i="1"/>
  <c r="CQ31" i="1"/>
  <c r="P31" i="1" s="1"/>
  <c r="CX2" i="3"/>
  <c r="CX4" i="3"/>
  <c r="CX6" i="3"/>
  <c r="CX1" i="3"/>
  <c r="CX3" i="3"/>
  <c r="CX5" i="3"/>
  <c r="CX14" i="3"/>
  <c r="CX16" i="3"/>
  <c r="CX18" i="3"/>
  <c r="CX13" i="3"/>
  <c r="CX15" i="3"/>
  <c r="CX17" i="3"/>
  <c r="GN75" i="1" l="1"/>
  <c r="GN67" i="1"/>
  <c r="GN83" i="1"/>
  <c r="P440" i="5"/>
  <c r="K440" i="5"/>
  <c r="E23" i="6"/>
  <c r="O55" i="7"/>
  <c r="F23" i="6" s="1"/>
  <c r="O49" i="7"/>
  <c r="F22" i="6" s="1"/>
  <c r="E22" i="6"/>
  <c r="K389" i="5"/>
  <c r="P389" i="5"/>
  <c r="E21" i="6"/>
  <c r="O43" i="7"/>
  <c r="F21" i="6" s="1"/>
  <c r="P338" i="5"/>
  <c r="K338" i="5"/>
  <c r="O37" i="7"/>
  <c r="F20" i="6" s="1"/>
  <c r="E20" i="6"/>
  <c r="K287" i="5"/>
  <c r="P287" i="5"/>
  <c r="AQ95" i="1"/>
  <c r="AQ26" i="1" s="1"/>
  <c r="CG95" i="1"/>
  <c r="CG26" i="1" s="1"/>
  <c r="E19" i="6"/>
  <c r="O31" i="7"/>
  <c r="F19" i="6" s="1"/>
  <c r="CP59" i="1"/>
  <c r="O59" i="1" s="1"/>
  <c r="J235" i="5"/>
  <c r="I236" i="5" s="1"/>
  <c r="CP51" i="1"/>
  <c r="O51" i="1" s="1"/>
  <c r="J184" i="5"/>
  <c r="I185" i="5" s="1"/>
  <c r="O25" i="7"/>
  <c r="F18" i="6" s="1"/>
  <c r="E18" i="6"/>
  <c r="CP43" i="1"/>
  <c r="O43" i="1" s="1"/>
  <c r="J133" i="5"/>
  <c r="I134" i="5" s="1"/>
  <c r="O19" i="7"/>
  <c r="F17" i="6" s="1"/>
  <c r="E17" i="6"/>
  <c r="AT95" i="1"/>
  <c r="AT26" i="1" s="1"/>
  <c r="E16" i="6"/>
  <c r="O13" i="7"/>
  <c r="F16" i="6" s="1"/>
  <c r="CI95" i="1"/>
  <c r="CI26" i="1" s="1"/>
  <c r="K83" i="5"/>
  <c r="P83" i="5"/>
  <c r="CP92" i="1"/>
  <c r="O92" i="1" s="1"/>
  <c r="GM92" i="1" s="1"/>
  <c r="J443" i="5"/>
  <c r="I447" i="5" s="1"/>
  <c r="AP95" i="1"/>
  <c r="F104" i="1" s="1"/>
  <c r="GN93" i="1"/>
  <c r="R448" i="5"/>
  <c r="K449" i="5"/>
  <c r="P449" i="5"/>
  <c r="P387" i="5"/>
  <c r="AI26" i="1"/>
  <c r="V95" i="1"/>
  <c r="CP31" i="1"/>
  <c r="O31" i="1" s="1"/>
  <c r="AC95" i="1"/>
  <c r="GP34" i="1"/>
  <c r="GM34" i="1"/>
  <c r="CJ26" i="1"/>
  <c r="BA95" i="1"/>
  <c r="GP37" i="1"/>
  <c r="GM37" i="1"/>
  <c r="AH26" i="1"/>
  <c r="U95" i="1"/>
  <c r="AD95" i="1"/>
  <c r="GP38" i="1"/>
  <c r="GM38" i="1"/>
  <c r="GN43" i="1"/>
  <c r="GM43" i="1"/>
  <c r="GN51" i="1"/>
  <c r="GM51" i="1"/>
  <c r="GN59" i="1"/>
  <c r="GM59" i="1"/>
  <c r="CZ42" i="1"/>
  <c r="Y42" i="1" s="1"/>
  <c r="CY42" i="1"/>
  <c r="X42" i="1" s="1"/>
  <c r="GM42" i="1" s="1"/>
  <c r="GP47" i="1"/>
  <c r="GM47" i="1"/>
  <c r="GM50" i="1"/>
  <c r="GP50" i="1"/>
  <c r="GM56" i="1"/>
  <c r="GP56" i="1"/>
  <c r="CZ61" i="1"/>
  <c r="Y61" i="1" s="1"/>
  <c r="CY61" i="1"/>
  <c r="X61" i="1" s="1"/>
  <c r="GM61" i="1" s="1"/>
  <c r="GM62" i="1"/>
  <c r="GP62" i="1"/>
  <c r="GP68" i="1"/>
  <c r="GM68" i="1"/>
  <c r="GP70" i="1"/>
  <c r="GM70" i="1"/>
  <c r="GP77" i="1"/>
  <c r="GM77" i="1"/>
  <c r="GP84" i="1"/>
  <c r="GM84" i="1"/>
  <c r="BB18" i="1"/>
  <c r="F166" i="1"/>
  <c r="GP55" i="1"/>
  <c r="GM55" i="1"/>
  <c r="GP66" i="1"/>
  <c r="GM66" i="1"/>
  <c r="GP72" i="1"/>
  <c r="GM72" i="1"/>
  <c r="GP73" i="1"/>
  <c r="GM73" i="1"/>
  <c r="GP74" i="1"/>
  <c r="GM74" i="1"/>
  <c r="GP80" i="1"/>
  <c r="GM80" i="1"/>
  <c r="GP81" i="1"/>
  <c r="GM81" i="1"/>
  <c r="GP82" i="1"/>
  <c r="GM82" i="1"/>
  <c r="GM91" i="1"/>
  <c r="GN91" i="1"/>
  <c r="GM87" i="1"/>
  <c r="GM93" i="1"/>
  <c r="GP32" i="1"/>
  <c r="GM32" i="1"/>
  <c r="GP33" i="1"/>
  <c r="GM33" i="1"/>
  <c r="AB95" i="1"/>
  <c r="GK31" i="1"/>
  <c r="AE95" i="1"/>
  <c r="CZ30" i="1"/>
  <c r="Y30" i="1" s="1"/>
  <c r="CY30" i="1"/>
  <c r="X30" i="1" s="1"/>
  <c r="AF95" i="1"/>
  <c r="AJ26" i="1"/>
  <c r="W95" i="1"/>
  <c r="AG26" i="1"/>
  <c r="T95" i="1"/>
  <c r="GM40" i="1"/>
  <c r="GP40" i="1"/>
  <c r="CZ45" i="1"/>
  <c r="Y45" i="1" s="1"/>
  <c r="CY45" i="1"/>
  <c r="X45" i="1" s="1"/>
  <c r="GM45" i="1" s="1"/>
  <c r="GM53" i="1"/>
  <c r="GP53" i="1"/>
  <c r="CZ58" i="1"/>
  <c r="Y58" i="1" s="1"/>
  <c r="CY58" i="1"/>
  <c r="X58" i="1" s="1"/>
  <c r="GM58" i="1" s="1"/>
  <c r="GP63" i="1"/>
  <c r="GM63" i="1"/>
  <c r="GP36" i="1"/>
  <c r="GM36" i="1"/>
  <c r="GP65" i="1"/>
  <c r="GM65" i="1"/>
  <c r="GP69" i="1"/>
  <c r="GM69" i="1"/>
  <c r="GP76" i="1"/>
  <c r="GM76" i="1"/>
  <c r="GP78" i="1"/>
  <c r="GM78" i="1"/>
  <c r="GP85" i="1"/>
  <c r="GM85" i="1"/>
  <c r="GP86" i="1"/>
  <c r="GM86" i="1"/>
  <c r="GP88" i="1"/>
  <c r="GM88" i="1"/>
  <c r="GP89" i="1"/>
  <c r="GM89" i="1"/>
  <c r="GP90" i="1"/>
  <c r="GM90" i="1"/>
  <c r="GP92" i="1"/>
  <c r="AO26" i="1"/>
  <c r="F99" i="1"/>
  <c r="AO124" i="1"/>
  <c r="BC26" i="1"/>
  <c r="F111" i="1"/>
  <c r="BC124" i="1"/>
  <c r="AQ124" i="1" l="1"/>
  <c r="AP124" i="1"/>
  <c r="AX95" i="1"/>
  <c r="E25" i="6"/>
  <c r="F105" i="1"/>
  <c r="AP26" i="1"/>
  <c r="AT124" i="1"/>
  <c r="AT22" i="1" s="1"/>
  <c r="P236" i="5"/>
  <c r="K236" i="5"/>
  <c r="F113" i="1"/>
  <c r="CB95" i="1"/>
  <c r="CB26" i="1" s="1"/>
  <c r="K185" i="5"/>
  <c r="P185" i="5"/>
  <c r="AZ95" i="1"/>
  <c r="AZ26" i="1" s="1"/>
  <c r="P134" i="5"/>
  <c r="K134" i="5"/>
  <c r="K447" i="5"/>
  <c r="P447" i="5"/>
  <c r="I453" i="5" s="1"/>
  <c r="BC22" i="1"/>
  <c r="F140" i="1"/>
  <c r="BC153" i="1"/>
  <c r="AK95" i="1"/>
  <c r="AE26" i="1"/>
  <c r="R95" i="1"/>
  <c r="AB26" i="1"/>
  <c r="O95" i="1"/>
  <c r="GM30" i="1"/>
  <c r="AX26" i="1"/>
  <c r="F102" i="1"/>
  <c r="AX124" i="1"/>
  <c r="AQ22" i="1"/>
  <c r="F134" i="1"/>
  <c r="AQ153" i="1"/>
  <c r="U26" i="1"/>
  <c r="F117" i="1"/>
  <c r="U124" i="1"/>
  <c r="BA26" i="1"/>
  <c r="F115" i="1"/>
  <c r="BA124" i="1"/>
  <c r="AC26" i="1"/>
  <c r="CE95" i="1"/>
  <c r="P95" i="1"/>
  <c r="CF95" i="1"/>
  <c r="CH95" i="1"/>
  <c r="GP61" i="1"/>
  <c r="GP45" i="1"/>
  <c r="GP42" i="1"/>
  <c r="V26" i="1"/>
  <c r="V124" i="1"/>
  <c r="F118" i="1"/>
  <c r="GP58" i="1"/>
  <c r="AP22" i="1"/>
  <c r="F133" i="1"/>
  <c r="G16" i="2" s="1"/>
  <c r="G18" i="2" s="1"/>
  <c r="AP153" i="1"/>
  <c r="AO22" i="1"/>
  <c r="F128" i="1"/>
  <c r="AO153" i="1"/>
  <c r="T26" i="1"/>
  <c r="T124" i="1"/>
  <c r="F116" i="1"/>
  <c r="W26" i="1"/>
  <c r="F119" i="1"/>
  <c r="W124" i="1"/>
  <c r="AF26" i="1"/>
  <c r="S95" i="1"/>
  <c r="AL95" i="1"/>
  <c r="GP30" i="1"/>
  <c r="CD95" i="1" s="1"/>
  <c r="AD26" i="1"/>
  <c r="Q95" i="1"/>
  <c r="GP31" i="1"/>
  <c r="GM31" i="1"/>
  <c r="F142" i="1" l="1"/>
  <c r="F16" i="2" s="1"/>
  <c r="F18" i="2" s="1"/>
  <c r="AT153" i="1"/>
  <c r="F171" i="1" s="1"/>
  <c r="I22" i="5" s="1"/>
  <c r="AZ124" i="1"/>
  <c r="AZ22" i="1" s="1"/>
  <c r="F106" i="1"/>
  <c r="AS95" i="1"/>
  <c r="F112" i="1" s="1"/>
  <c r="I451" i="5"/>
  <c r="CD26" i="1"/>
  <c r="AU95" i="1"/>
  <c r="S26" i="1"/>
  <c r="F110" i="1"/>
  <c r="S124" i="1"/>
  <c r="W22" i="1"/>
  <c r="W153" i="1"/>
  <c r="F148" i="1"/>
  <c r="T22" i="1"/>
  <c r="F145" i="1"/>
  <c r="T153" i="1"/>
  <c r="AO18" i="1"/>
  <c r="F157" i="1"/>
  <c r="V22" i="1"/>
  <c r="F147" i="1"/>
  <c r="V153" i="1"/>
  <c r="CF26" i="1"/>
  <c r="AW95" i="1"/>
  <c r="BA22" i="1"/>
  <c r="F144" i="1"/>
  <c r="BA153" i="1"/>
  <c r="AQ18" i="1"/>
  <c r="F163" i="1"/>
  <c r="CA95" i="1"/>
  <c r="AS26" i="1"/>
  <c r="AS124" i="1"/>
  <c r="BC18" i="1"/>
  <c r="F169" i="1"/>
  <c r="F135" i="1"/>
  <c r="AZ153" i="1"/>
  <c r="AL26" i="1"/>
  <c r="Y95" i="1"/>
  <c r="AP18" i="1"/>
  <c r="F162" i="1"/>
  <c r="I23" i="5" s="1"/>
  <c r="CH26" i="1"/>
  <c r="AY95" i="1"/>
  <c r="P26" i="1"/>
  <c r="P124" i="1"/>
  <c r="F98" i="1"/>
  <c r="U22" i="1"/>
  <c r="U153" i="1"/>
  <c r="F146" i="1"/>
  <c r="AX22" i="1"/>
  <c r="F131" i="1"/>
  <c r="AX153" i="1"/>
  <c r="O26" i="1"/>
  <c r="F97" i="1"/>
  <c r="O124" i="1"/>
  <c r="R26" i="1"/>
  <c r="F109" i="1"/>
  <c r="R124" i="1"/>
  <c r="AK26" i="1"/>
  <c r="X95" i="1"/>
  <c r="Q26" i="1"/>
  <c r="F107" i="1"/>
  <c r="Q124" i="1"/>
  <c r="CE26" i="1"/>
  <c r="AV95" i="1"/>
  <c r="AT18" i="1" l="1"/>
  <c r="AV26" i="1"/>
  <c r="F100" i="1"/>
  <c r="AV124" i="1"/>
  <c r="CA26" i="1"/>
  <c r="AR95" i="1"/>
  <c r="AW26" i="1"/>
  <c r="F101" i="1"/>
  <c r="AW124" i="1"/>
  <c r="V18" i="1"/>
  <c r="F176" i="1"/>
  <c r="AU26" i="1"/>
  <c r="AU124" i="1"/>
  <c r="F114" i="1"/>
  <c r="Q22" i="1"/>
  <c r="Q153" i="1"/>
  <c r="F136" i="1"/>
  <c r="O22" i="1"/>
  <c r="O153" i="1"/>
  <c r="F126" i="1"/>
  <c r="P22" i="1"/>
  <c r="F127" i="1"/>
  <c r="P153" i="1"/>
  <c r="AY26" i="1"/>
  <c r="F103" i="1"/>
  <c r="AY124" i="1"/>
  <c r="Y26" i="1"/>
  <c r="F121" i="1"/>
  <c r="Y124" i="1"/>
  <c r="AZ18" i="1"/>
  <c r="F164" i="1"/>
  <c r="AS22" i="1"/>
  <c r="F141" i="1"/>
  <c r="E16" i="2" s="1"/>
  <c r="AS153" i="1"/>
  <c r="X26" i="1"/>
  <c r="X124" i="1"/>
  <c r="F120" i="1"/>
  <c r="R22" i="1"/>
  <c r="F138" i="1"/>
  <c r="R153" i="1"/>
  <c r="AX18" i="1"/>
  <c r="F160" i="1"/>
  <c r="U18" i="1"/>
  <c r="F175" i="1"/>
  <c r="BA18" i="1"/>
  <c r="F173" i="1"/>
  <c r="T18" i="1"/>
  <c r="F174" i="1"/>
  <c r="W18" i="1"/>
  <c r="F177" i="1"/>
  <c r="S22" i="1"/>
  <c r="F139" i="1"/>
  <c r="J16" i="2" s="1"/>
  <c r="J18" i="2" s="1"/>
  <c r="S153" i="1"/>
  <c r="R18" i="1" l="1"/>
  <c r="F167" i="1"/>
  <c r="X22" i="1"/>
  <c r="F149" i="1"/>
  <c r="X153" i="1"/>
  <c r="AS18" i="1"/>
  <c r="F170" i="1"/>
  <c r="I21" i="5" s="1"/>
  <c r="AY22" i="1"/>
  <c r="F132" i="1"/>
  <c r="AY153" i="1"/>
  <c r="Q18" i="1"/>
  <c r="F165" i="1"/>
  <c r="AR26" i="1"/>
  <c r="F122" i="1"/>
  <c r="AR124" i="1"/>
  <c r="AV22" i="1"/>
  <c r="F129" i="1"/>
  <c r="AV153" i="1"/>
  <c r="S18" i="1"/>
  <c r="F168" i="1"/>
  <c r="I25" i="5" s="1"/>
  <c r="E18" i="2"/>
  <c r="Y22" i="1"/>
  <c r="Y153" i="1"/>
  <c r="F150" i="1"/>
  <c r="P18" i="1"/>
  <c r="F156" i="1"/>
  <c r="O18" i="1"/>
  <c r="F155" i="1"/>
  <c r="AU22" i="1"/>
  <c r="F143" i="1"/>
  <c r="H16" i="2" s="1"/>
  <c r="H18" i="2" s="1"/>
  <c r="AU153" i="1"/>
  <c r="AW22" i="1"/>
  <c r="F130" i="1"/>
  <c r="AW153" i="1"/>
  <c r="AW18" i="1" l="1"/>
  <c r="F159" i="1"/>
  <c r="I16" i="2"/>
  <c r="I18" i="2" s="1"/>
  <c r="AR22" i="1"/>
  <c r="F151" i="1"/>
  <c r="AR153" i="1"/>
  <c r="X18" i="1"/>
  <c r="F178" i="1"/>
  <c r="AU18" i="1"/>
  <c r="F172" i="1"/>
  <c r="I24" i="5" s="1"/>
  <c r="Y18" i="1"/>
  <c r="F179" i="1"/>
  <c r="AV18" i="1"/>
  <c r="F158" i="1"/>
  <c r="AY18" i="1"/>
  <c r="F161" i="1"/>
  <c r="AR18" i="1" l="1"/>
  <c r="F180" i="1"/>
  <c r="F181" i="1" l="1"/>
  <c r="I454" i="5" s="1"/>
  <c r="I20" i="5"/>
  <c r="F182" i="1" l="1"/>
  <c r="I455" i="5" l="1"/>
  <c r="F183" i="1"/>
  <c r="I456" i="5" s="1"/>
</calcChain>
</file>

<file path=xl/sharedStrings.xml><?xml version="1.0" encoding="utf-8"?>
<sst xmlns="http://schemas.openxmlformats.org/spreadsheetml/2006/main" count="5388" uniqueCount="352">
  <si>
    <t>Smeta.RU  (495) 974-1589</t>
  </si>
  <si>
    <t>_PS_</t>
  </si>
  <si>
    <t>Smeta.RU</t>
  </si>
  <si>
    <t/>
  </si>
  <si>
    <t>Новый объект</t>
  </si>
  <si>
    <t>МАФ + метки (ул. Нижегородская, д. 3)</t>
  </si>
  <si>
    <t>Ю.С. Леонова</t>
  </si>
  <si>
    <t>Заказчик</t>
  </si>
  <si>
    <t>ГБУ "Жилищник Таганского района"</t>
  </si>
  <si>
    <t>Сметные нормы списания</t>
  </si>
  <si>
    <t>Коды ОКП для СН-2012 - 2021 г.</t>
  </si>
  <si>
    <t>СН-2012 - 2021 г_глава_1-5,7</t>
  </si>
  <si>
    <t>Типовой расчет для СН-2012 - 2021 г</t>
  </si>
  <si>
    <t>СН-2012-2021 г. База данных "Сборник стоимостных нормативов"</t>
  </si>
  <si>
    <t>Поправки для СН-2012-2021 в ценах на 01.10.2020 г</t>
  </si>
  <si>
    <t>Новая локальная смета</t>
  </si>
  <si>
    <t>Новый раздел</t>
  </si>
  <si>
    <t>Установка спортивных тренажеров</t>
  </si>
  <si>
    <t>1</t>
  </si>
  <si>
    <t>1.1-3303-2-1/1</t>
  </si>
  <si>
    <t>Разработка грунта вручную в траншеях глубиной до 2 м без креплений с откосами группа грунтов 1-3</t>
  </si>
  <si>
    <t>100 м3</t>
  </si>
  <si>
    <t>СН-2012-2021.1. База. Сб.1-3303-2-1/1</t>
  </si>
  <si>
    <t>СН-2012</t>
  </si>
  <si>
    <t>Подрядные работы, гл. 1-5,7</t>
  </si>
  <si>
    <t>работа</t>
  </si>
  <si>
    <t>2</t>
  </si>
  <si>
    <t>1.2-3103-29-1/1</t>
  </si>
  <si>
    <t>Устройство песчаного основания под фундаменты</t>
  </si>
  <si>
    <t>м3</t>
  </si>
  <si>
    <t>СН-2012-2021.1. База. Сб.2-3103-29-1/1</t>
  </si>
  <si>
    <t>3</t>
  </si>
  <si>
    <t>1.2-3103-29-2/1</t>
  </si>
  <si>
    <t>Устройство щебеночного основания под фундаменты</t>
  </si>
  <si>
    <t>СН-2012-2021.1. База. Сб.2-3103-29-2/1</t>
  </si>
  <si>
    <t>4</t>
  </si>
  <si>
    <t>1.2-3103-2-13/1</t>
  </si>
  <si>
    <t>Устройство фундаментов-столбов бетонных</t>
  </si>
  <si>
    <t>СН-2012-2021.1. База. Сб.2-3103-2-13/1</t>
  </si>
  <si>
    <t>5</t>
  </si>
  <si>
    <t>1.50-3203-3-7/1</t>
  </si>
  <si>
    <t>Установка закладных деталей весом до 4 кг</t>
  </si>
  <si>
    <t>т</t>
  </si>
  <si>
    <t>СН-2012-2021.1. База. Сб.50-3203-3-7/1</t>
  </si>
  <si>
    <t>5,1</t>
  </si>
  <si>
    <t>21.7-7-41</t>
  </si>
  <si>
    <t>Деталь закладная дополнительная для монтажа малых форм</t>
  </si>
  <si>
    <t>шт.</t>
  </si>
  <si>
    <t>СН-2012-2021.21. База. Р.7, о.7, поз.41</t>
  </si>
  <si>
    <t>5,2</t>
  </si>
  <si>
    <t>21.3-4-24</t>
  </si>
  <si>
    <t>Арматурные заготовки (стержни, хомуты и т.п.), не собранные в каркасы или сетки, закладные и накладные детали, со сваркой</t>
  </si>
  <si>
    <t>СН-2012-2021.21. База. Р.3, о.4, поз.24</t>
  </si>
  <si>
    <t>6</t>
  </si>
  <si>
    <t>Цена поставщика</t>
  </si>
  <si>
    <t>Уличный тренажер "Жим от груди" арт. ЛГТУ-01, размеры 875х1597х1948 мм (Базисная стоимость: 96 765,15 = 113 841,35/1,2 + 2% Транспорт.)</t>
  </si>
  <si>
    <t>Материалы</t>
  </si>
  <si>
    <t>Материалы, изделия и конструкции</t>
  </si>
  <si>
    <t>94 867,79 +  2% Трансп</t>
  </si>
  <si>
    <t>7</t>
  </si>
  <si>
    <t>8</t>
  </si>
  <si>
    <t>9</t>
  </si>
  <si>
    <t>10</t>
  </si>
  <si>
    <t>11</t>
  </si>
  <si>
    <t>11,1</t>
  </si>
  <si>
    <t>11,2</t>
  </si>
  <si>
    <t>12</t>
  </si>
  <si>
    <t>Уличный тренажер "Жим ногами горизонтальный" арт. ЛГТУ-03, размеры 500х1777х1548 мм (Базисная стоимость: 50 862,81 = 59838,60/1,2 + 2% Транспорт.)</t>
  </si>
  <si>
    <t>49 865,5 +  2% Трансп</t>
  </si>
  <si>
    <t>13</t>
  </si>
  <si>
    <t>14</t>
  </si>
  <si>
    <t>15</t>
  </si>
  <si>
    <t>16</t>
  </si>
  <si>
    <t>17</t>
  </si>
  <si>
    <t>17,1</t>
  </si>
  <si>
    <t>17,2</t>
  </si>
  <si>
    <t>18</t>
  </si>
  <si>
    <t>Уличный тренажер "Тренажер для приводящих мышц бедра" арт. ЛГТУ-04, размеры 797х1098х1426 мм  (Базисная стоимость: 57 243,68 = 67 345,50/1,2 + 2% Транспорт.)</t>
  </si>
  <si>
    <t>56 121,25 +  2% Трансп</t>
  </si>
  <si>
    <t>19</t>
  </si>
  <si>
    <t>20</t>
  </si>
  <si>
    <t>21</t>
  </si>
  <si>
    <t>22</t>
  </si>
  <si>
    <t>23</t>
  </si>
  <si>
    <t>23,1</t>
  </si>
  <si>
    <t>23,2</t>
  </si>
  <si>
    <t>24</t>
  </si>
  <si>
    <t>Уличный тренажер "Брусья" арт. ЛГТУ-05, размеры 580х1740х1550 мм (Базисная стоимость: 38 634,84 = 45 452,75/1,2 + 2% Транспорт.)</t>
  </si>
  <si>
    <t>37 877,29 +  2% Трансп</t>
  </si>
  <si>
    <t>25</t>
  </si>
  <si>
    <t>26</t>
  </si>
  <si>
    <t>27</t>
  </si>
  <si>
    <t>28</t>
  </si>
  <si>
    <t>29</t>
  </si>
  <si>
    <t>29,1</t>
  </si>
  <si>
    <t>29,2</t>
  </si>
  <si>
    <t>30</t>
  </si>
  <si>
    <t>Уличный тренажер "Хос Райдер" арт. ЛГТУ-10, размеры 725х928х1109 мм (Базисная стоимость: 45 723,88 = 53 792,80/1,2 + 2% Транспорт.)</t>
  </si>
  <si>
    <t>44 827,33 +  2% Трансп</t>
  </si>
  <si>
    <t>31</t>
  </si>
  <si>
    <t>32</t>
  </si>
  <si>
    <t>33</t>
  </si>
  <si>
    <t>34</t>
  </si>
  <si>
    <t>35</t>
  </si>
  <si>
    <t>35,1</t>
  </si>
  <si>
    <t>35,2</t>
  </si>
  <si>
    <t>36</t>
  </si>
  <si>
    <t>Уличный тренажер "Воздушный ходок" арт. ЛГТУ-15, размеры 481х1071х1518 мм (Базисная стоимость: 43 242,43 = 50 873,45/1,2 + 2% Транспорт.)</t>
  </si>
  <si>
    <t>42 394,54 +  2% Трансп</t>
  </si>
  <si>
    <t>37</t>
  </si>
  <si>
    <t>38</t>
  </si>
  <si>
    <t>39</t>
  </si>
  <si>
    <t>40</t>
  </si>
  <si>
    <t>41</t>
  </si>
  <si>
    <t>41,1</t>
  </si>
  <si>
    <t>41,2</t>
  </si>
  <si>
    <t>42</t>
  </si>
  <si>
    <t>Уличный тренажер "Орбитрек" арт. ЛГТУ-16, размеры 844х1230х2051 мм (Базисная стоимость: 65 926,72 = 77 560,85/1,2 + 2% Транспорт.)</t>
  </si>
  <si>
    <t>64 634,04 +  2% Трансп</t>
  </si>
  <si>
    <t>43</t>
  </si>
  <si>
    <t>44</t>
  </si>
  <si>
    <t>45</t>
  </si>
  <si>
    <t>46</t>
  </si>
  <si>
    <t>47</t>
  </si>
  <si>
    <t>47,1</t>
  </si>
  <si>
    <t>47,2</t>
  </si>
  <si>
    <t>48</t>
  </si>
  <si>
    <t>Уличный тренажер "Батерфляй" арт. ЛГТУ-228, размеры 844х1230х2051 мм (Базисная стоимость: 78 332,35 = 92 155,70/1,2 + 2% Транспорт.)</t>
  </si>
  <si>
    <t>76 796,42 +  2% Трансп</t>
  </si>
  <si>
    <t>49</t>
  </si>
  <si>
    <t>1.50-3203-40-1/1</t>
  </si>
  <si>
    <t>Постановка болтов нормальной точности</t>
  </si>
  <si>
    <t>100 шт.</t>
  </si>
  <si>
    <t>СН-2012-2021.1. База. Сб.50-3203-40-1/1</t>
  </si>
  <si>
    <t>50</t>
  </si>
  <si>
    <t>RFID метка UHF CONFIDEX Ironside Slim, М4Е (84x21x10 мм.)  Базисная стоимость: 230,00 = [276,00 / 1,2 ]</t>
  </si>
  <si>
    <t>230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</si>
  <si>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</si>
  <si>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</si>
  <si>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</si>
  <si>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</si>
  <si>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</si>
  <si>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</si>
  <si>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</si>
  <si>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</si>
  <si>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</si>
  <si>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</si>
  <si>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</si>
  <si>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</si>
  <si>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</si>
  <si>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</si>
  <si>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</si>
  <si>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</si>
  <si>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</si>
  <si>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</si>
  <si>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</si>
  <si>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</si>
  <si>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</si>
  <si>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</si>
  <si>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</si>
  <si>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</si>
  <si>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</si>
  <si>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</si>
  <si>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</si>
  <si>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</si>
  <si>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</si>
  <si>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</si>
  <si>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</si>
  <si>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</si>
  <si>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</si>
  <si>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</si>
  <si>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</si>
  <si>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</si>
  <si>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</si>
  <si>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</si>
  <si>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</si>
  <si>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</si>
  <si>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</si>
  <si>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</si>
  <si>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</si>
  <si>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</si>
  <si>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</si>
  <si>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</si>
  <si>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</si>
  <si>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</si>
  <si>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</si>
  <si>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</si>
  <si>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</si>
  <si>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</si>
  <si>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</si>
  <si>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 20%</t>
  </si>
  <si>
    <t>Уровень цен на 01.10.2020 г</t>
  </si>
  <si>
    <t>_OBSM_</t>
  </si>
  <si>
    <t>9999990008</t>
  </si>
  <si>
    <t>Трудозатраты рабочих</t>
  </si>
  <si>
    <t>чел.-ч.</t>
  </si>
  <si>
    <t>22.1-10-4</t>
  </si>
  <si>
    <t>СН-2012-2021.22. База. п.1-10-4 (101001)</t>
  </si>
  <si>
    <t>Компрессоры с дизельным двигателем прицепные до 2,5 м3/мин</t>
  </si>
  <si>
    <t>маш.-ч</t>
  </si>
  <si>
    <t>22.1-30-1</t>
  </si>
  <si>
    <t>СН-2012-2021.22. База. п.1-30-1 (301201)</t>
  </si>
  <si>
    <t>Трамбовки пневматические</t>
  </si>
  <si>
    <t>22.1-4-3</t>
  </si>
  <si>
    <t>СН-2012-2021.22. База. п.1-4-3 (040103)</t>
  </si>
  <si>
    <t>Погрузчики универсальные на пневмоколесном ходу, грузоподъемность до 3 т</t>
  </si>
  <si>
    <t>21.1-12-11</t>
  </si>
  <si>
    <t>СН-2012-2021.21. База. Р.1, о.12, поз.11</t>
  </si>
  <si>
    <t>Песок для строительных работ, рядовой</t>
  </si>
  <si>
    <t>21.1-25-13</t>
  </si>
  <si>
    <t>СН-2012-2021.21. База. Р.1, о.25, поз.13</t>
  </si>
  <si>
    <t>Вода</t>
  </si>
  <si>
    <t>21.1-12-45</t>
  </si>
  <si>
    <t>СН-2012-2021.21. База. Р.1, о.12, поз.45</t>
  </si>
  <si>
    <t>Щебень из естественного камня для строительных работ, рядовой, марка 300-200</t>
  </si>
  <si>
    <t>21.1-11-21</t>
  </si>
  <si>
    <t>СН-2012-2021.21. База. Р.1, о.11, поз.21</t>
  </si>
  <si>
    <t>Болты строительные черные с гайками и шайбами (10х100мм)</t>
  </si>
  <si>
    <t>22.1-30-26</t>
  </si>
  <si>
    <t>СН-2012-2021.22. База. п.1-30-26 (306001)</t>
  </si>
  <si>
    <t>Пилы ручные электрические</t>
  </si>
  <si>
    <t>22.1-4-12</t>
  </si>
  <si>
    <t>СН-2012-2021.22. База. п.1-4-12 (040205)</t>
  </si>
  <si>
    <t>Погрузчики на автомобильном ходу, грузоподъемность до 5 т</t>
  </si>
  <si>
    <t>22.1-6-52</t>
  </si>
  <si>
    <t>СН-2012-2021.22. База. п.1-6-52 (069402)</t>
  </si>
  <si>
    <t>Вибраторы глубинные</t>
  </si>
  <si>
    <t>21.1-10-6</t>
  </si>
  <si>
    <t>СН-2012-2021.21. База. Р.1, о.10, поз.6</t>
  </si>
  <si>
    <t>Катанка (проволока катаная) общего назначения (углеродистая) кипящая и полуспокойная, марка БСт0, БСт1кп-3кп, БСт1пс-3пс, диаметр 5,5-6,5 мм</t>
  </si>
  <si>
    <t>21.1-11-46</t>
  </si>
  <si>
    <t>СН-2012-2021.21. База. Р.1, о.11, поз.46</t>
  </si>
  <si>
    <t>Гвозди строительные</t>
  </si>
  <si>
    <t>21.1-20-17</t>
  </si>
  <si>
    <t>СН-2012-2021.21. База. Р.1, о.20, поз.17</t>
  </si>
  <si>
    <t>Мешковина</t>
  </si>
  <si>
    <t>м2</t>
  </si>
  <si>
    <t>21.1-2-4</t>
  </si>
  <si>
    <t>СН-2012-2021.21. База. Р.1, о.2, поз.4</t>
  </si>
  <si>
    <t>Известь негашеная комовая</t>
  </si>
  <si>
    <t>21.1-9-57</t>
  </si>
  <si>
    <t>СН-2012-2021.21. База. Р.1, о.9, поз.57</t>
  </si>
  <si>
    <t>Доски хвойных пород, обрезные, длина 2-6,5 м, сорт III, толщина 40-60 мм</t>
  </si>
  <si>
    <t>21.3-1-64</t>
  </si>
  <si>
    <t>СН-2012-2021.21. База. Р.3, о.1, поз.64</t>
  </si>
  <si>
    <t>Смеси бетонные, БСГ, тяжелого бетона на гранитном щебне, класс прочности: В7,5 (М100); П3, фракция 5-20</t>
  </si>
  <si>
    <t>21.9-11-2</t>
  </si>
  <si>
    <t>СН-2012-2021.21. База. Р.9, о.11, поз.2</t>
  </si>
  <si>
    <t>Щиты деревянные для фундаментов, колонн, балок, перекрытий, стен, перегородок и других конструкций из досок, толщина 25 мм</t>
  </si>
  <si>
    <t>"СОГЛАСОВАНО"</t>
  </si>
  <si>
    <t>"УТВЕРЖДАЮ"</t>
  </si>
  <si>
    <t>Форма № 1а (глава 1-5)</t>
  </si>
  <si>
    <t>"_____"________________ 2021 г.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</si>
  <si>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</si>
  <si>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</si>
  <si>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</si>
  <si>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</si>
  <si>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</si>
  <si>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</si>
  <si>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</si>
  <si>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</si>
  <si>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</si>
  <si>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</si>
  <si>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</si>
  <si>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</si>
  <si>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</si>
  <si>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</si>
  <si>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</si>
  <si>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</si>
  <si>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</si>
  <si>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</si>
  <si>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</si>
  <si>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</si>
  <si>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</si>
  <si>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</si>
  <si>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>Составлен(а) в уровне текущих (прогнозных) цен октябрь 2020 года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</si>
  <si>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</si>
  <si>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</si>
  <si>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</si>
  <si>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</si>
  <si>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</si>
  <si>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</si>
  <si>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</si>
  <si>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</si>
  <si>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МР</t>
  </si>
  <si>
    <t>НР и СП от ЗПМ</t>
  </si>
  <si>
    <t xml:space="preserve">Составил   </t>
  </si>
  <si>
    <t>[должность,подпись(инициалы,фамилия)]</t>
  </si>
  <si>
    <t xml:space="preserve">Проверил  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</si>
  <si>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</si>
  <si>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</si>
  <si>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</si>
  <si>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</si>
  <si>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</si>
  <si>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</si>
  <si>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</si>
  <si>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</si>
  <si>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</si>
  <si>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</si>
  <si>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</si>
  <si>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</si>
  <si>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</si>
  <si>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</si>
  <si>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</si>
  <si>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</si>
  <si>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</si>
  <si>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</si>
  <si>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</si>
  <si>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</si>
  <si>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</si>
  <si>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</si>
  <si>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</si>
  <si>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</si>
  <si>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</si>
  <si>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</si>
  <si>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</si>
  <si>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</si>
  <si>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</si>
  <si>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</si>
  <si>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</si>
  <si>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</si>
  <si>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</si>
  <si>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</si>
  <si>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Обоснование</t>
  </si>
  <si>
    <t>Наименование</t>
  </si>
  <si>
    <t>Объем</t>
  </si>
  <si>
    <t>Текущая</t>
  </si>
  <si>
    <t>цена</t>
  </si>
  <si>
    <t>стоимость</t>
  </si>
  <si>
    <t xml:space="preserve">Материальные ресурсы </t>
  </si>
  <si>
    <t xml:space="preserve">Итого материальные ресурсы 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</si>
  <si>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</si>
  <si>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</si>
  <si>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</si>
  <si>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</si>
  <si>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</si>
  <si>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</si>
  <si>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</si>
  <si>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</si>
  <si>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Подписи членов комиссии:</t>
  </si>
  <si>
    <t>Директор ГБУ "Жилищник Таганского района"</t>
  </si>
  <si>
    <t>Выполнение работ по установке МАФ на дворовых территориях Таганского района в 2021 году по адресу: ул. Нижегородская, д. 3</t>
  </si>
  <si>
    <t>установка спортивных тренажеров по адресу: ул. Нижегородская, д. 3</t>
  </si>
  <si>
    <r>
      <t xml:space="preserve">Уличный тренажер "Жим от груди" арт. ЛГТУ-01, размеры 875х1597х1948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</si>
  <si>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"Жим ногами горизонтальный" арт. ЛГТУ-03, размеры 500х1777х1548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</si>
  <si>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"Тренажер для приводящих мышц бедра" арт. ЛГТУ-04, размеры 797х1098х1426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</si>
  <si>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"Брусья" арт. ЛГТУ-05, размеры 580х1740х1550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</si>
  <si>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"Хос Райдер" арт. ЛГТУ-10, размеры 725х928х1109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</si>
  <si>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"Воздушный ходок" арт. ЛГТУ-15, размеры 481х1071х1518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</si>
  <si>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"Орбитрек" арт. ЛГТУ-16, размеры 844х1230х2051 мм </t>
    </r>
    <r>
      <rPr>
        <i/>
        <sz val="10"/>
        <rFont val="Arial"/>
        <family val="2"/>
        <charset val="204"/>
      </rPr>
      <t xml:space="preserve">
</t>
    </r>
  </si>
  <si>
    <r>
      <t xml:space="preserve">Уличный тренажер "Батерфляй" арт. ЛГТУ-228, размеры 844х1230х2051 мм </t>
    </r>
    <r>
      <rPr>
        <i/>
        <sz val="10"/>
        <rFont val="Arial"/>
        <family val="2"/>
        <charset val="204"/>
      </rPr>
      <t xml:space="preserve">
</t>
    </r>
  </si>
  <si>
    <r>
      <t xml:space="preserve">RFID метка UHF CONFIDEX Ironside Slim, М4Е (84x21x10 мм.) </t>
    </r>
    <r>
      <rPr>
        <i/>
        <sz val="1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</si>
</sst>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#,##0.00####;[Red]\-\ #,##0.00####"/>
    <numFmt numFmtId="166" formatCode="#,##0.00;[Red]\-\ #,##0.00"/>
    <numFmt numFmtId="167" formatCode="#,##0.0000"/>
  </numFmts>
  <fonts count="20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sz val="13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164" fontId="10" fillId="0" borderId="0" xfId="0" applyNumberFormat="1" applyFont="1"/>
    <xf numFmtId="1" fontId="10" fillId="0" borderId="0" xfId="0" applyNumberFormat="1" applyFont="1"/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6" fontId="0" fillId="0" borderId="0" xfId="0" applyNumberFormat="1"/>
    <xf numFmtId="0" fontId="17" fillId="0" borderId="0" xfId="0" applyFont="1" applyAlignment="1">
      <alignment horizontal="right"/>
    </xf>
    <xf numFmtId="0" fontId="0" fillId="0" borderId="6" xfId="0" applyBorder="1"/>
    <xf numFmtId="166" fontId="17" fillId="0" borderId="6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right" wrapText="1"/>
    </xf>
    <xf numFmtId="0" fontId="17" fillId="0" borderId="0" xfId="0" applyFont="1"/>
    <xf numFmtId="0" fontId="10" fillId="0" borderId="1" xfId="0" applyFont="1" applyBorder="1"/>
    <xf numFmtId="0" fontId="10" fillId="0" borderId="3" xfId="0" applyFont="1" applyBorder="1" applyAlignment="1">
      <alignment horizontal="right"/>
    </xf>
    <xf numFmtId="49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right" wrapText="1"/>
    </xf>
    <xf numFmtId="166" fontId="10" fillId="0" borderId="3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0" fontId="19" fillId="0" borderId="0" xfId="0" applyFont="1"/>
    <xf numFmtId="167" fontId="0" fillId="0" borderId="0" xfId="0" applyNumberFormat="1"/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6" fontId="17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66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right"/>
    </xf>
    <xf numFmtId="166" fontId="17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3"/>
  <sheetViews>
    <sheetView tabSelected="1" topLeftCell="A433" zoomScaleNormal="100" workbookViewId="0">
      <selection activeCell="E452" sqref="E452"/>
    </sheetView>
  </sheetViews>
  <sheetFormatPr defaultRowHeight="12.75" x14ac:dyDescent="0.2"/>
  <cols>
    <col min="1" max="1" width="5.7109375" customWidth="1"/>
    <col min="2" max="2" width="13.28515625" customWidth="1"/>
    <col min="3" max="3" width="53" customWidth="1"/>
    <col min="4" max="6" width="11.7109375" customWidth="1"/>
    <col min="7" max="7" width="12.7109375" customWidth="1"/>
    <col min="9" max="11" width="12.7109375" customWidth="1"/>
    <col min="12" max="13" width="14.140625" style="52" customWidth="1"/>
    <col min="15" max="36" width="0" hidden="1" customWidth="1"/>
  </cols>
  <sheetData>
    <row r="1" spans="1:11" x14ac:dyDescent="0.2">
      <c r="A1" s="8" t="str">
        <f>CONCATENATE(Source!B1, "     СН-2012 (© ОАО МЦЦС 'Мосстройцены', ", "2021", ")")</f>
        <v>Smeta.RU  (495) 974-1589     СН-2012 (© ОАО МЦЦС 'Мосстройцены', 2021)</v>
      </c>
    </row>
    <row r="2" spans="1:11" ht="14.25" x14ac:dyDescent="0.2">
      <c r="A2" s="9"/>
      <c r="B2" s="9"/>
      <c r="C2" s="9"/>
      <c r="D2" s="9"/>
      <c r="E2" s="9"/>
      <c r="F2" s="9"/>
      <c r="G2" s="9"/>
      <c r="H2" s="9"/>
      <c r="I2" s="9"/>
      <c r="J2" s="54" t="s">
        <v>251</v>
      </c>
      <c r="K2" s="54"/>
    </row>
    <row r="3" spans="1:11" ht="16.5" x14ac:dyDescent="0.25">
      <c r="A3" s="11"/>
      <c r="B3" s="59" t="s">
        <v>249</v>
      </c>
      <c r="C3" s="59"/>
      <c r="D3" s="59"/>
      <c r="E3" s="59"/>
      <c r="F3" s="10"/>
      <c r="G3" s="59" t="s">
        <v>250</v>
      </c>
      <c r="H3" s="59"/>
      <c r="I3" s="59"/>
      <c r="J3" s="59"/>
      <c r="K3" s="59"/>
    </row>
    <row r="4" spans="1:11" ht="14.25" x14ac:dyDescent="0.2">
      <c r="A4" s="10"/>
      <c r="B4" s="60"/>
      <c r="C4" s="60"/>
      <c r="D4" s="60"/>
      <c r="E4" s="60"/>
      <c r="F4" s="10"/>
      <c r="G4" s="60" t="s">
        <v>340</v>
      </c>
      <c r="H4" s="60"/>
      <c r="I4" s="60"/>
      <c r="J4" s="60"/>
      <c r="K4" s="60"/>
    </row>
    <row r="5" spans="1:11" ht="14.25" x14ac:dyDescent="0.2">
      <c r="A5" s="12"/>
      <c r="B5" s="12"/>
      <c r="C5" s="13"/>
      <c r="D5" s="13"/>
      <c r="E5" s="13"/>
      <c r="F5" s="10"/>
      <c r="G5" s="14"/>
      <c r="H5" s="13"/>
      <c r="I5" s="13"/>
      <c r="J5" s="13"/>
      <c r="K5" s="14"/>
    </row>
    <row r="6" spans="1:11" ht="14.25" x14ac:dyDescent="0.2">
      <c r="A6" s="14"/>
      <c r="B6" s="60" t="str">
        <f>CONCATENATE("______________________ ", IF(Source!AL12&lt;&gt;"", Source!AL12, ""))</f>
        <v xml:space="preserve">______________________ </v>
      </c>
      <c r="C6" s="60"/>
      <c r="D6" s="60"/>
      <c r="E6" s="60"/>
      <c r="F6" s="10"/>
      <c r="G6" s="60" t="str">
        <f>CONCATENATE("______________________ С.В. Холопов")</f>
        <v>______________________ С.В. Холопов</v>
      </c>
      <c r="H6" s="60"/>
      <c r="I6" s="60"/>
      <c r="J6" s="60"/>
      <c r="K6" s="60"/>
    </row>
    <row r="7" spans="1:11" ht="14.25" x14ac:dyDescent="0.2">
      <c r="A7" s="15"/>
      <c r="B7" s="53" t="s">
        <v>252</v>
      </c>
      <c r="C7" s="53"/>
      <c r="D7" s="53"/>
      <c r="E7" s="53"/>
      <c r="F7" s="10"/>
      <c r="G7" s="53" t="s">
        <v>252</v>
      </c>
      <c r="H7" s="53"/>
      <c r="I7" s="53"/>
      <c r="J7" s="53"/>
      <c r="K7" s="53"/>
    </row>
    <row r="9" spans="1:11" ht="14.2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55" t="str">
        <f>CONCATENATE( "ЛОКАЛЬНАЯ СМЕТА № ",IF(Source!F12&lt;&gt;"Новый объект", Source!F12, ""))</f>
        <v xml:space="preserve">ЛОКАЛЬНАЯ СМЕТА № 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253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hidden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4.25" hidden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 x14ac:dyDescent="0.25">
      <c r="A15" s="55" t="s">
        <v>341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57" t="s">
        <v>254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4.2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x14ac:dyDescent="0.2">
      <c r="A18" s="63" t="str">
        <f>CONCATENATE( "Основание: чертежи № ", Source!J12)</f>
        <v xml:space="preserve">Основание: чертежи № 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4.2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 x14ac:dyDescent="0.2">
      <c r="A20" s="10"/>
      <c r="B20" s="10"/>
      <c r="C20" s="10"/>
      <c r="D20" s="10"/>
      <c r="E20" s="10"/>
      <c r="F20" s="60" t="s">
        <v>255</v>
      </c>
      <c r="G20" s="60"/>
      <c r="H20" s="60"/>
      <c r="I20" s="61">
        <f>(Source!F180/1000)</f>
        <v>645.26357999999993</v>
      </c>
      <c r="J20" s="54"/>
      <c r="K20" s="10" t="s">
        <v>256</v>
      </c>
    </row>
    <row r="21" spans="1:11" ht="14.25" hidden="1" x14ac:dyDescent="0.2">
      <c r="A21" s="10"/>
      <c r="B21" s="10"/>
      <c r="C21" s="10"/>
      <c r="D21" s="10"/>
      <c r="E21" s="10"/>
      <c r="F21" s="60" t="s">
        <v>257</v>
      </c>
      <c r="G21" s="60"/>
      <c r="H21" s="60"/>
      <c r="I21" s="61">
        <f>(Source!F170)/1000</f>
        <v>556.22503000000006</v>
      </c>
      <c r="J21" s="54"/>
      <c r="K21" s="10" t="s">
        <v>256</v>
      </c>
    </row>
    <row r="22" spans="1:11" ht="14.25" hidden="1" x14ac:dyDescent="0.2">
      <c r="A22" s="10"/>
      <c r="B22" s="10"/>
      <c r="C22" s="10"/>
      <c r="D22" s="10"/>
      <c r="E22" s="10"/>
      <c r="F22" s="60" t="s">
        <v>258</v>
      </c>
      <c r="G22" s="60"/>
      <c r="H22" s="60"/>
      <c r="I22" s="61">
        <f>(Source!F171)/1000</f>
        <v>0</v>
      </c>
      <c r="J22" s="54"/>
      <c r="K22" s="10" t="s">
        <v>256</v>
      </c>
    </row>
    <row r="23" spans="1:11" ht="14.25" hidden="1" x14ac:dyDescent="0.2">
      <c r="A23" s="10"/>
      <c r="B23" s="10"/>
      <c r="C23" s="10"/>
      <c r="D23" s="10"/>
      <c r="E23" s="10"/>
      <c r="F23" s="60" t="s">
        <v>259</v>
      </c>
      <c r="G23" s="60"/>
      <c r="H23" s="60"/>
      <c r="I23" s="61">
        <f>(Source!F162)/1000</f>
        <v>0</v>
      </c>
      <c r="J23" s="54"/>
      <c r="K23" s="10" t="s">
        <v>256</v>
      </c>
    </row>
    <row r="24" spans="1:11" ht="14.25" hidden="1" x14ac:dyDescent="0.2">
      <c r="A24" s="10"/>
      <c r="B24" s="10"/>
      <c r="C24" s="10"/>
      <c r="D24" s="10"/>
      <c r="E24" s="10"/>
      <c r="F24" s="60" t="s">
        <v>260</v>
      </c>
      <c r="G24" s="60"/>
      <c r="H24" s="60"/>
      <c r="I24" s="61">
        <f>(Source!F172+Source!F173)/1000</f>
        <v>89.038550000000001</v>
      </c>
      <c r="J24" s="54"/>
      <c r="K24" s="10" t="s">
        <v>256</v>
      </c>
    </row>
    <row r="25" spans="1:11" ht="14.25" x14ac:dyDescent="0.2">
      <c r="A25" s="10"/>
      <c r="B25" s="10"/>
      <c r="C25" s="10"/>
      <c r="D25" s="10"/>
      <c r="E25" s="10"/>
      <c r="F25" s="60" t="s">
        <v>261</v>
      </c>
      <c r="G25" s="60"/>
      <c r="H25" s="60"/>
      <c r="I25" s="61">
        <f>(Source!F168+ Source!F167)/1000</f>
        <v>41.977460000000001</v>
      </c>
      <c r="J25" s="54"/>
      <c r="K25" s="10" t="s">
        <v>256</v>
      </c>
    </row>
    <row r="26" spans="1:11" ht="14.25" x14ac:dyDescent="0.2">
      <c r="A26" s="10" t="s">
        <v>275</v>
      </c>
      <c r="B26" s="10"/>
      <c r="C26" s="10"/>
      <c r="D26" s="16"/>
      <c r="E26" s="17"/>
      <c r="F26" s="10"/>
      <c r="G26" s="10"/>
      <c r="H26" s="10"/>
      <c r="I26" s="10"/>
      <c r="J26" s="10"/>
      <c r="K26" s="10"/>
    </row>
    <row r="27" spans="1:11" ht="14.25" x14ac:dyDescent="0.2">
      <c r="A27" s="64" t="s">
        <v>262</v>
      </c>
      <c r="B27" s="64" t="s">
        <v>263</v>
      </c>
      <c r="C27" s="64" t="s">
        <v>264</v>
      </c>
      <c r="D27" s="64" t="s">
        <v>265</v>
      </c>
      <c r="E27" s="64" t="s">
        <v>266</v>
      </c>
      <c r="F27" s="64" t="s">
        <v>267</v>
      </c>
      <c r="G27" s="64" t="s">
        <v>268</v>
      </c>
      <c r="H27" s="64" t="s">
        <v>269</v>
      </c>
      <c r="I27" s="64" t="s">
        <v>270</v>
      </c>
      <c r="J27" s="64" t="s">
        <v>271</v>
      </c>
      <c r="K27" s="18" t="s">
        <v>272</v>
      </c>
    </row>
    <row r="28" spans="1:11" ht="28.5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19" t="s">
        <v>273</v>
      </c>
    </row>
    <row r="29" spans="1:11" ht="28.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19" t="s">
        <v>274</v>
      </c>
    </row>
    <row r="30" spans="1:11" ht="14.25" x14ac:dyDescent="0.2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  <c r="K30" s="19">
        <v>11</v>
      </c>
    </row>
    <row r="32" spans="1:11" ht="16.5" x14ac:dyDescent="0.25">
      <c r="A32" s="67" t="str">
        <f>CONCATENATE("Раздел: ",IF(Source!G24&lt;&gt;"Новый раздел", Source!G24, ""))</f>
        <v>Раздел: Установка спортивных тренажеров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22" ht="28.5" x14ac:dyDescent="0.2">
      <c r="A33" s="20" t="str">
        <f>Source!E28</f>
        <v>1</v>
      </c>
      <c r="B33" s="21" t="str">
        <f>Source!F28</f>
        <v>1.1-3303-2-1/1</v>
      </c>
      <c r="C33" s="21" t="str">
        <f>Source!G28</f>
        <v>Разработка грунта вручную в траншеях глубиной до 2 м без креплений с откосами группа грунтов 1-3</v>
      </c>
      <c r="D33" s="22" t="str">
        <f>Source!H28</f>
        <v>100 м3</v>
      </c>
      <c r="E33" s="9">
        <f>Source!I28</f>
        <v>4.8999999999999998E-3</v>
      </c>
      <c r="F33" s="24"/>
      <c r="G33" s="23"/>
      <c r="H33" s="9"/>
      <c r="I33" s="9"/>
      <c r="J33" s="25"/>
      <c r="K33" s="25"/>
      <c r="Q33">
        <f>ROUND((Source!BZ28/100)*ROUND((Source!AF28*Source!AV28)*Source!I28, 2), 2)</f>
        <v>143.88999999999999</v>
      </c>
      <c r="R33">
        <f>Source!X28</f>
        <v>143.88999999999999</v>
      </c>
      <c r="S33">
        <f>ROUND((Source!CA28/100)*ROUND((Source!AF28*Source!AV28)*Source!I28, 2), 2)</f>
        <v>20.56</v>
      </c>
      <c r="T33">
        <f>Source!Y28</f>
        <v>20.56</v>
      </c>
      <c r="U33">
        <f>ROUND((175/100)*ROUND((Source!AE28*Source!AV28)*Source!I28, 2), 2)</f>
        <v>0</v>
      </c>
      <c r="V33">
        <f>ROUND((108/100)*ROUND(Source!CS28*Source!I28, 2), 2)</f>
        <v>0</v>
      </c>
    </row>
    <row r="34" spans="1:22" x14ac:dyDescent="0.2">
      <c r="C34" s="26" t="str">
        <f>"Объем: "&amp;Source!I28&amp;"=0,7*"&amp;"0,7*"&amp;"1/"&amp;"100"</f>
        <v>Объем: 0,0049=0,7*0,7*1/100</v>
      </c>
    </row>
    <row r="35" spans="1:22" ht="14.25" x14ac:dyDescent="0.2">
      <c r="A35" s="20"/>
      <c r="B35" s="21"/>
      <c r="C35" s="21" t="s">
        <v>276</v>
      </c>
      <c r="D35" s="22"/>
      <c r="E35" s="9"/>
      <c r="F35" s="24">
        <f>Source!AO28</f>
        <v>41951.1</v>
      </c>
      <c r="G35" s="23" t="str">
        <f>Source!DG28</f>
        <v/>
      </c>
      <c r="H35" s="9">
        <f>Source!AV28</f>
        <v>1</v>
      </c>
      <c r="I35" s="9">
        <f>IF(Source!BA28&lt;&gt; 0, Source!BA28, 1)</f>
        <v>1</v>
      </c>
      <c r="J35" s="25">
        <f>Source!S28</f>
        <v>205.56</v>
      </c>
      <c r="K35" s="25"/>
    </row>
    <row r="36" spans="1:22" ht="14.25" x14ac:dyDescent="0.2">
      <c r="A36" s="20"/>
      <c r="B36" s="21"/>
      <c r="C36" s="21" t="s">
        <v>277</v>
      </c>
      <c r="D36" s="22" t="s">
        <v>278</v>
      </c>
      <c r="E36" s="9">
        <f>Source!AT28</f>
        <v>70</v>
      </c>
      <c r="F36" s="24"/>
      <c r="G36" s="23"/>
      <c r="H36" s="9"/>
      <c r="I36" s="9"/>
      <c r="J36" s="25">
        <f>SUM(R33:R35)</f>
        <v>143.88999999999999</v>
      </c>
      <c r="K36" s="25"/>
    </row>
    <row r="37" spans="1:22" ht="14.25" x14ac:dyDescent="0.2">
      <c r="A37" s="20"/>
      <c r="B37" s="21"/>
      <c r="C37" s="21" t="s">
        <v>279</v>
      </c>
      <c r="D37" s="22" t="s">
        <v>278</v>
      </c>
      <c r="E37" s="9">
        <f>Source!AU28</f>
        <v>10</v>
      </c>
      <c r="F37" s="24"/>
      <c r="G37" s="23"/>
      <c r="H37" s="9"/>
      <c r="I37" s="9"/>
      <c r="J37" s="25">
        <f>SUM(T33:T36)</f>
        <v>20.56</v>
      </c>
      <c r="K37" s="25"/>
    </row>
    <row r="38" spans="1:22" ht="14.25" x14ac:dyDescent="0.2">
      <c r="A38" s="20"/>
      <c r="B38" s="21"/>
      <c r="C38" s="21" t="s">
        <v>280</v>
      </c>
      <c r="D38" s="22" t="s">
        <v>281</v>
      </c>
      <c r="E38" s="9">
        <f>Source!AQ28</f>
        <v>221.6</v>
      </c>
      <c r="F38" s="24"/>
      <c r="G38" s="23" t="str">
        <f>Source!DI28</f>
        <v/>
      </c>
      <c r="H38" s="9">
        <f>Source!AV28</f>
        <v>1</v>
      </c>
      <c r="I38" s="9"/>
      <c r="J38" s="25"/>
      <c r="K38" s="25">
        <f>Source!U28</f>
        <v>1.0858399999999999</v>
      </c>
    </row>
    <row r="39" spans="1:22" ht="15" x14ac:dyDescent="0.25">
      <c r="A39" s="29"/>
      <c r="B39" s="29"/>
      <c r="C39" s="29"/>
      <c r="D39" s="29"/>
      <c r="E39" s="29"/>
      <c r="F39" s="29"/>
      <c r="G39" s="29"/>
      <c r="H39" s="29"/>
      <c r="I39" s="66">
        <f>J35+J36+J37</f>
        <v>370.01</v>
      </c>
      <c r="J39" s="66"/>
      <c r="K39" s="30">
        <f>IF(Source!I28&lt;&gt;0, ROUND(I39/Source!I28, 2), 0)</f>
        <v>75512.240000000005</v>
      </c>
      <c r="P39" s="27">
        <f>I39</f>
        <v>370.01</v>
      </c>
    </row>
    <row r="40" spans="1:22" ht="30" customHeight="1" x14ac:dyDescent="0.2">
      <c r="A40" s="20" t="str">
        <f>Source!E29</f>
        <v>2</v>
      </c>
      <c r="B40" s="21" t="str">
        <f>Source!F29</f>
        <v>1.2-3103-29-1/1</v>
      </c>
      <c r="C40" s="21" t="str">
        <f>Source!G29</f>
        <v>Устройство песчаного основания под фундаменты</v>
      </c>
      <c r="D40" s="22" t="str">
        <f>Source!H29</f>
        <v>м3</v>
      </c>
      <c r="E40" s="9">
        <f>Source!I29</f>
        <v>4.9000000000000002E-2</v>
      </c>
      <c r="F40" s="24"/>
      <c r="G40" s="23"/>
      <c r="H40" s="9"/>
      <c r="I40" s="9"/>
      <c r="J40" s="25"/>
      <c r="K40" s="25"/>
      <c r="Q40">
        <f>ROUND((Source!BZ29/100)*ROUND((Source!AF29*Source!AV29)*Source!I29, 2), 2)</f>
        <v>5.71</v>
      </c>
      <c r="R40">
        <f>Source!X29</f>
        <v>5.71</v>
      </c>
      <c r="S40">
        <f>ROUND((Source!CA29/100)*ROUND((Source!AF29*Source!AV29)*Source!I29, 2), 2)</f>
        <v>0.82</v>
      </c>
      <c r="T40">
        <f>Source!Y29</f>
        <v>0.82</v>
      </c>
      <c r="U40">
        <f>ROUND((175/100)*ROUND((Source!AE29*Source!AV29)*Source!I29, 2), 2)</f>
        <v>10.64</v>
      </c>
      <c r="V40">
        <f>ROUND((108/100)*ROUND(Source!CS29*Source!I29, 2), 2)</f>
        <v>6.57</v>
      </c>
    </row>
    <row r="41" spans="1:22" x14ac:dyDescent="0.2">
      <c r="C41" s="26" t="str">
        <f>"Объем: "&amp;Source!I29&amp;"=0,7*"&amp;"0,7*"&amp;"0,1"</f>
        <v>Объем: 0,049=0,7*0,7*0,1</v>
      </c>
    </row>
    <row r="42" spans="1:22" ht="14.25" x14ac:dyDescent="0.2">
      <c r="A42" s="20"/>
      <c r="B42" s="21"/>
      <c r="C42" s="21" t="s">
        <v>276</v>
      </c>
      <c r="D42" s="22"/>
      <c r="E42" s="9"/>
      <c r="F42" s="24">
        <f>Source!AO29</f>
        <v>166.52</v>
      </c>
      <c r="G42" s="23" t="str">
        <f>Source!DG29</f>
        <v/>
      </c>
      <c r="H42" s="9">
        <f>Source!AV29</f>
        <v>1</v>
      </c>
      <c r="I42" s="9">
        <f>IF(Source!BA29&lt;&gt; 0, Source!BA29, 1)</f>
        <v>1</v>
      </c>
      <c r="J42" s="25">
        <f>Source!S29</f>
        <v>8.16</v>
      </c>
      <c r="K42" s="25"/>
    </row>
    <row r="43" spans="1:22" ht="14.25" x14ac:dyDescent="0.2">
      <c r="A43" s="20"/>
      <c r="B43" s="21"/>
      <c r="C43" s="21" t="s">
        <v>282</v>
      </c>
      <c r="D43" s="22"/>
      <c r="E43" s="9"/>
      <c r="F43" s="24">
        <f>Source!AM29</f>
        <v>210.68</v>
      </c>
      <c r="G43" s="23" t="str">
        <f>Source!DE29</f>
        <v/>
      </c>
      <c r="H43" s="9">
        <f>Source!AV29</f>
        <v>1</v>
      </c>
      <c r="I43" s="9">
        <f>IF(Source!BB29&lt;&gt; 0, Source!BB29, 1)</f>
        <v>1</v>
      </c>
      <c r="J43" s="25">
        <f>Source!Q29</f>
        <v>10.32</v>
      </c>
      <c r="K43" s="25"/>
    </row>
    <row r="44" spans="1:22" ht="14.25" x14ac:dyDescent="0.2">
      <c r="A44" s="20"/>
      <c r="B44" s="21"/>
      <c r="C44" s="21" t="s">
        <v>283</v>
      </c>
      <c r="D44" s="22"/>
      <c r="E44" s="9"/>
      <c r="F44" s="24">
        <f>Source!AN29</f>
        <v>124.16</v>
      </c>
      <c r="G44" s="23" t="str">
        <f>Source!DF29</f>
        <v/>
      </c>
      <c r="H44" s="9">
        <f>Source!AV29</f>
        <v>1</v>
      </c>
      <c r="I44" s="9">
        <f>IF(Source!BS29&lt;&gt; 0, Source!BS29, 1)</f>
        <v>1</v>
      </c>
      <c r="J44" s="31">
        <f>Source!R29</f>
        <v>6.08</v>
      </c>
      <c r="K44" s="25"/>
    </row>
    <row r="45" spans="1:22" ht="14.25" x14ac:dyDescent="0.2">
      <c r="A45" s="20"/>
      <c r="B45" s="21"/>
      <c r="C45" s="21" t="s">
        <v>284</v>
      </c>
      <c r="D45" s="22"/>
      <c r="E45" s="9"/>
      <c r="F45" s="24">
        <f>Source!AL29</f>
        <v>655.15</v>
      </c>
      <c r="G45" s="23" t="str">
        <f>Source!DD29</f>
        <v/>
      </c>
      <c r="H45" s="9">
        <f>Source!AW29</f>
        <v>1</v>
      </c>
      <c r="I45" s="9">
        <f>IF(Source!BC29&lt;&gt; 0, Source!BC29, 1)</f>
        <v>1</v>
      </c>
      <c r="J45" s="25">
        <f>Source!P29</f>
        <v>32.1</v>
      </c>
      <c r="K45" s="25"/>
    </row>
    <row r="46" spans="1:22" ht="14.25" x14ac:dyDescent="0.2">
      <c r="A46" s="20"/>
      <c r="B46" s="21"/>
      <c r="C46" s="21" t="s">
        <v>277</v>
      </c>
      <c r="D46" s="22" t="s">
        <v>278</v>
      </c>
      <c r="E46" s="9">
        <f>Source!AT29</f>
        <v>70</v>
      </c>
      <c r="F46" s="24"/>
      <c r="G46" s="23"/>
      <c r="H46" s="9"/>
      <c r="I46" s="9"/>
      <c r="J46" s="25">
        <f>SUM(R40:R45)</f>
        <v>5.71</v>
      </c>
      <c r="K46" s="25"/>
    </row>
    <row r="47" spans="1:22" ht="14.25" x14ac:dyDescent="0.2">
      <c r="A47" s="20"/>
      <c r="B47" s="21"/>
      <c r="C47" s="21" t="s">
        <v>279</v>
      </c>
      <c r="D47" s="22" t="s">
        <v>278</v>
      </c>
      <c r="E47" s="9">
        <f>Source!AU29</f>
        <v>10</v>
      </c>
      <c r="F47" s="24"/>
      <c r="G47" s="23"/>
      <c r="H47" s="9"/>
      <c r="I47" s="9"/>
      <c r="J47" s="25">
        <f>SUM(T40:T46)</f>
        <v>0.82</v>
      </c>
      <c r="K47" s="25"/>
    </row>
    <row r="48" spans="1:22" ht="14.25" x14ac:dyDescent="0.2">
      <c r="A48" s="20"/>
      <c r="B48" s="21"/>
      <c r="C48" s="21" t="s">
        <v>285</v>
      </c>
      <c r="D48" s="22" t="s">
        <v>278</v>
      </c>
      <c r="E48" s="9">
        <f>108</f>
        <v>108</v>
      </c>
      <c r="F48" s="24"/>
      <c r="G48" s="23"/>
      <c r="H48" s="9"/>
      <c r="I48" s="9"/>
      <c r="J48" s="25">
        <f>SUM(V40:V47)</f>
        <v>6.57</v>
      </c>
      <c r="K48" s="25"/>
    </row>
    <row r="49" spans="1:22" ht="14.25" x14ac:dyDescent="0.2">
      <c r="A49" s="20"/>
      <c r="B49" s="21"/>
      <c r="C49" s="21" t="s">
        <v>280</v>
      </c>
      <c r="D49" s="22" t="s">
        <v>281</v>
      </c>
      <c r="E49" s="9">
        <f>Source!AQ29</f>
        <v>0.9</v>
      </c>
      <c r="F49" s="24"/>
      <c r="G49" s="23" t="str">
        <f>Source!DI29</f>
        <v/>
      </c>
      <c r="H49" s="9">
        <f>Source!AV29</f>
        <v>1</v>
      </c>
      <c r="I49" s="9"/>
      <c r="J49" s="25"/>
      <c r="K49" s="25">
        <f>Source!U29</f>
        <v>4.41E-2</v>
      </c>
    </row>
    <row r="50" spans="1:22" ht="15" x14ac:dyDescent="0.25">
      <c r="A50" s="29"/>
      <c r="B50" s="29"/>
      <c r="C50" s="29"/>
      <c r="D50" s="29"/>
      <c r="E50" s="29"/>
      <c r="F50" s="29"/>
      <c r="G50" s="29"/>
      <c r="H50" s="29"/>
      <c r="I50" s="66">
        <f>J42+J43+J45+J46+J47+J48</f>
        <v>63.68</v>
      </c>
      <c r="J50" s="66"/>
      <c r="K50" s="30">
        <f>IF(Source!I29&lt;&gt;0, ROUND(I50/Source!I29, 2), 0)</f>
        <v>1299.5899999999999</v>
      </c>
      <c r="P50" s="27">
        <f>I50</f>
        <v>63.68</v>
      </c>
    </row>
    <row r="51" spans="1:22" ht="28.5" x14ac:dyDescent="0.2">
      <c r="A51" s="20" t="str">
        <f>Source!E30</f>
        <v>3</v>
      </c>
      <c r="B51" s="21" t="str">
        <f>Source!F30</f>
        <v>1.2-3103-29-2/1</v>
      </c>
      <c r="C51" s="21" t="str">
        <f>Source!G30</f>
        <v>Устройство щебеночного основания под фундаменты</v>
      </c>
      <c r="D51" s="22" t="str">
        <f>Source!H30</f>
        <v>м3</v>
      </c>
      <c r="E51" s="9">
        <f>Source!I30</f>
        <v>9.8000000000000004E-2</v>
      </c>
      <c r="F51" s="24"/>
      <c r="G51" s="23"/>
      <c r="H51" s="9"/>
      <c r="I51" s="9"/>
      <c r="J51" s="25"/>
      <c r="K51" s="25"/>
      <c r="Q51">
        <f>ROUND((Source!BZ30/100)*ROUND((Source!AF30*Source!AV30)*Source!I30, 2), 2)</f>
        <v>12.44</v>
      </c>
      <c r="R51">
        <f>Source!X30</f>
        <v>12.44</v>
      </c>
      <c r="S51">
        <f>ROUND((Source!CA30/100)*ROUND((Source!AF30*Source!AV30)*Source!I30, 2), 2)</f>
        <v>1.78</v>
      </c>
      <c r="T51">
        <f>Source!Y30</f>
        <v>1.78</v>
      </c>
      <c r="U51">
        <f>ROUND((175/100)*ROUND((Source!AE30*Source!AV30)*Source!I30, 2), 2)</f>
        <v>23.17</v>
      </c>
      <c r="V51">
        <f>ROUND((108/100)*ROUND(Source!CS30*Source!I30, 2), 2)</f>
        <v>14.3</v>
      </c>
    </row>
    <row r="52" spans="1:22" x14ac:dyDescent="0.2">
      <c r="C52" s="26" t="str">
        <f>"Объем: "&amp;Source!I30&amp;"=0,7*"&amp;"0,7*"&amp;"0,2"</f>
        <v>Объем: 0,098=0,7*0,7*0,2</v>
      </c>
    </row>
    <row r="53" spans="1:22" ht="14.25" x14ac:dyDescent="0.2">
      <c r="A53" s="20"/>
      <c r="B53" s="21"/>
      <c r="C53" s="21" t="s">
        <v>276</v>
      </c>
      <c r="D53" s="22"/>
      <c r="E53" s="9"/>
      <c r="F53" s="24">
        <f>Source!AO30</f>
        <v>181.32</v>
      </c>
      <c r="G53" s="23" t="str">
        <f>Source!DG30</f>
        <v/>
      </c>
      <c r="H53" s="9">
        <f>Source!AV30</f>
        <v>1</v>
      </c>
      <c r="I53" s="9">
        <f>IF(Source!BA30&lt;&gt; 0, Source!BA30, 1)</f>
        <v>1</v>
      </c>
      <c r="J53" s="25">
        <f>Source!S30</f>
        <v>17.77</v>
      </c>
      <c r="K53" s="25"/>
    </row>
    <row r="54" spans="1:22" ht="14.25" x14ac:dyDescent="0.2">
      <c r="A54" s="20"/>
      <c r="B54" s="21"/>
      <c r="C54" s="21" t="s">
        <v>282</v>
      </c>
      <c r="D54" s="22"/>
      <c r="E54" s="9"/>
      <c r="F54" s="24">
        <f>Source!AM30</f>
        <v>224.99</v>
      </c>
      <c r="G54" s="23" t="str">
        <f>Source!DE30</f>
        <v/>
      </c>
      <c r="H54" s="9">
        <f>Source!AV30</f>
        <v>1</v>
      </c>
      <c r="I54" s="9">
        <f>IF(Source!BB30&lt;&gt; 0, Source!BB30, 1)</f>
        <v>1</v>
      </c>
      <c r="J54" s="25">
        <f>Source!Q30</f>
        <v>22.05</v>
      </c>
      <c r="K54" s="25"/>
    </row>
    <row r="55" spans="1:22" ht="14.25" x14ac:dyDescent="0.2">
      <c r="A55" s="20"/>
      <c r="B55" s="21"/>
      <c r="C55" s="21" t="s">
        <v>283</v>
      </c>
      <c r="D55" s="22"/>
      <c r="E55" s="9"/>
      <c r="F55" s="24">
        <f>Source!AN30</f>
        <v>135.08000000000001</v>
      </c>
      <c r="G55" s="23" t="str">
        <f>Source!DF30</f>
        <v/>
      </c>
      <c r="H55" s="9">
        <f>Source!AV30</f>
        <v>1</v>
      </c>
      <c r="I55" s="9">
        <f>IF(Source!BS30&lt;&gt; 0, Source!BS30, 1)</f>
        <v>1</v>
      </c>
      <c r="J55" s="31">
        <f>Source!R30</f>
        <v>13.24</v>
      </c>
      <c r="K55" s="25"/>
    </row>
    <row r="56" spans="1:22" ht="14.25" x14ac:dyDescent="0.2">
      <c r="A56" s="20"/>
      <c r="B56" s="21"/>
      <c r="C56" s="21" t="s">
        <v>284</v>
      </c>
      <c r="D56" s="22"/>
      <c r="E56" s="9"/>
      <c r="F56" s="24">
        <f>Source!AL30</f>
        <v>1657.26</v>
      </c>
      <c r="G56" s="23" t="str">
        <f>Source!DD30</f>
        <v/>
      </c>
      <c r="H56" s="9">
        <f>Source!AW30</f>
        <v>1</v>
      </c>
      <c r="I56" s="9">
        <f>IF(Source!BC30&lt;&gt; 0, Source!BC30, 1)</f>
        <v>1</v>
      </c>
      <c r="J56" s="25">
        <f>Source!P30</f>
        <v>162.41</v>
      </c>
      <c r="K56" s="25"/>
    </row>
    <row r="57" spans="1:22" ht="14.25" x14ac:dyDescent="0.2">
      <c r="A57" s="20"/>
      <c r="B57" s="21"/>
      <c r="C57" s="21" t="s">
        <v>277</v>
      </c>
      <c r="D57" s="22" t="s">
        <v>278</v>
      </c>
      <c r="E57" s="9">
        <f>Source!AT30</f>
        <v>70</v>
      </c>
      <c r="F57" s="24"/>
      <c r="G57" s="23"/>
      <c r="H57" s="9"/>
      <c r="I57" s="9"/>
      <c r="J57" s="25">
        <f>SUM(R51:R56)</f>
        <v>12.44</v>
      </c>
      <c r="K57" s="25"/>
    </row>
    <row r="58" spans="1:22" ht="14.25" x14ac:dyDescent="0.2">
      <c r="A58" s="20"/>
      <c r="B58" s="21"/>
      <c r="C58" s="21" t="s">
        <v>279</v>
      </c>
      <c r="D58" s="22" t="s">
        <v>278</v>
      </c>
      <c r="E58" s="9">
        <f>Source!AU30</f>
        <v>10</v>
      </c>
      <c r="F58" s="24"/>
      <c r="G58" s="23"/>
      <c r="H58" s="9"/>
      <c r="I58" s="9"/>
      <c r="J58" s="25">
        <f>SUM(T51:T57)</f>
        <v>1.78</v>
      </c>
      <c r="K58" s="25"/>
    </row>
    <row r="59" spans="1:22" ht="14.25" x14ac:dyDescent="0.2">
      <c r="A59" s="20"/>
      <c r="B59" s="21"/>
      <c r="C59" s="21" t="s">
        <v>285</v>
      </c>
      <c r="D59" s="22" t="s">
        <v>278</v>
      </c>
      <c r="E59" s="9">
        <f>108</f>
        <v>108</v>
      </c>
      <c r="F59" s="24"/>
      <c r="G59" s="23"/>
      <c r="H59" s="9"/>
      <c r="I59" s="9"/>
      <c r="J59" s="25">
        <f>SUM(V51:V58)</f>
        <v>14.3</v>
      </c>
      <c r="K59" s="25"/>
    </row>
    <row r="60" spans="1:22" ht="14.25" x14ac:dyDescent="0.2">
      <c r="A60" s="20"/>
      <c r="B60" s="21"/>
      <c r="C60" s="21" t="s">
        <v>280</v>
      </c>
      <c r="D60" s="22" t="s">
        <v>281</v>
      </c>
      <c r="E60" s="9">
        <f>Source!AQ30</f>
        <v>0.98</v>
      </c>
      <c r="F60" s="24"/>
      <c r="G60" s="23" t="str">
        <f>Source!DI30</f>
        <v/>
      </c>
      <c r="H60" s="9">
        <f>Source!AV30</f>
        <v>1</v>
      </c>
      <c r="I60" s="9"/>
      <c r="J60" s="25"/>
      <c r="K60" s="25">
        <f>Source!U30</f>
        <v>9.604E-2</v>
      </c>
    </row>
    <row r="61" spans="1:22" ht="15" x14ac:dyDescent="0.25">
      <c r="A61" s="29"/>
      <c r="B61" s="29"/>
      <c r="C61" s="29"/>
      <c r="D61" s="29"/>
      <c r="E61" s="29"/>
      <c r="F61" s="29"/>
      <c r="G61" s="29"/>
      <c r="H61" s="29"/>
      <c r="I61" s="66">
        <f>J53+J54+J56+J57+J58+J59</f>
        <v>230.75</v>
      </c>
      <c r="J61" s="66"/>
      <c r="K61" s="30">
        <f>IF(Source!I30&lt;&gt;0, ROUND(I61/Source!I30, 2), 0)</f>
        <v>2354.59</v>
      </c>
      <c r="P61" s="27">
        <f>I61</f>
        <v>230.75</v>
      </c>
    </row>
    <row r="62" spans="1:22" ht="28.5" x14ac:dyDescent="0.2">
      <c r="A62" s="20" t="str">
        <f>Source!E31</f>
        <v>4</v>
      </c>
      <c r="B62" s="21" t="str">
        <f>Source!F31</f>
        <v>1.2-3103-2-13/1</v>
      </c>
      <c r="C62" s="21" t="str">
        <f>Source!G31</f>
        <v>Устройство фундаментов-столбов бетонных</v>
      </c>
      <c r="D62" s="22" t="str">
        <f>Source!H31</f>
        <v>100 м3</v>
      </c>
      <c r="E62" s="9">
        <f>Source!I31</f>
        <v>3.4299999999999999E-3</v>
      </c>
      <c r="F62" s="24"/>
      <c r="G62" s="23"/>
      <c r="H62" s="9"/>
      <c r="I62" s="9"/>
      <c r="J62" s="25"/>
      <c r="K62" s="25"/>
      <c r="Q62">
        <f>ROUND((Source!BZ31/100)*ROUND((Source!AF31*Source!AV31)*Source!I31, 2), 2)</f>
        <v>273.52</v>
      </c>
      <c r="R62">
        <f>Source!X31</f>
        <v>273.52</v>
      </c>
      <c r="S62">
        <f>ROUND((Source!CA31/100)*ROUND((Source!AF31*Source!AV31)*Source!I31, 2), 2)</f>
        <v>39.07</v>
      </c>
      <c r="T62">
        <f>Source!Y31</f>
        <v>39.07</v>
      </c>
      <c r="U62">
        <f>ROUND((175/100)*ROUND((Source!AE31*Source!AV31)*Source!I31, 2), 2)</f>
        <v>1.24</v>
      </c>
      <c r="V62">
        <f>ROUND((108/100)*ROUND(Source!CS31*Source!I31, 2), 2)</f>
        <v>0.77</v>
      </c>
    </row>
    <row r="63" spans="1:22" x14ac:dyDescent="0.2">
      <c r="C63" s="26" t="str">
        <f>"Объем: "&amp;Source!I31&amp;"=(0,7*"&amp;"0,7*"&amp;"0,7)/"&amp;"100"</f>
        <v>Объем: 0,00343=(0,7*0,7*0,7)/100</v>
      </c>
    </row>
    <row r="64" spans="1:22" ht="14.25" x14ac:dyDescent="0.2">
      <c r="A64" s="20"/>
      <c r="B64" s="21"/>
      <c r="C64" s="21" t="s">
        <v>276</v>
      </c>
      <c r="D64" s="22"/>
      <c r="E64" s="9"/>
      <c r="F64" s="24">
        <f>Source!AO31</f>
        <v>113917.16</v>
      </c>
      <c r="G64" s="23" t="str">
        <f>Source!DG31</f>
        <v/>
      </c>
      <c r="H64" s="9">
        <f>Source!AV31</f>
        <v>1</v>
      </c>
      <c r="I64" s="9">
        <f>IF(Source!BA31&lt;&gt; 0, Source!BA31, 1)</f>
        <v>1</v>
      </c>
      <c r="J64" s="25">
        <f>Source!S31</f>
        <v>390.74</v>
      </c>
      <c r="K64" s="25"/>
    </row>
    <row r="65" spans="1:22" ht="14.25" x14ac:dyDescent="0.2">
      <c r="A65" s="20"/>
      <c r="B65" s="21"/>
      <c r="C65" s="21" t="s">
        <v>282</v>
      </c>
      <c r="D65" s="22"/>
      <c r="E65" s="9"/>
      <c r="F65" s="24">
        <f>Source!AM31</f>
        <v>547.28</v>
      </c>
      <c r="G65" s="23" t="str">
        <f>Source!DE31</f>
        <v/>
      </c>
      <c r="H65" s="9">
        <f>Source!AV31</f>
        <v>1</v>
      </c>
      <c r="I65" s="9">
        <f>IF(Source!BB31&lt;&gt; 0, Source!BB31, 1)</f>
        <v>1</v>
      </c>
      <c r="J65" s="25">
        <f>Source!Q31</f>
        <v>1.88</v>
      </c>
      <c r="K65" s="25"/>
    </row>
    <row r="66" spans="1:22" ht="14.25" x14ac:dyDescent="0.2">
      <c r="A66" s="20"/>
      <c r="B66" s="21"/>
      <c r="C66" s="21" t="s">
        <v>283</v>
      </c>
      <c r="D66" s="22"/>
      <c r="E66" s="9"/>
      <c r="F66" s="24">
        <f>Source!AN31</f>
        <v>206.05</v>
      </c>
      <c r="G66" s="23" t="str">
        <f>Source!DF31</f>
        <v/>
      </c>
      <c r="H66" s="9">
        <f>Source!AV31</f>
        <v>1</v>
      </c>
      <c r="I66" s="9">
        <f>IF(Source!BS31&lt;&gt; 0, Source!BS31, 1)</f>
        <v>1</v>
      </c>
      <c r="J66" s="31">
        <f>Source!R31</f>
        <v>0.71</v>
      </c>
      <c r="K66" s="25"/>
    </row>
    <row r="67" spans="1:22" ht="14.25" x14ac:dyDescent="0.2">
      <c r="A67" s="20"/>
      <c r="B67" s="21"/>
      <c r="C67" s="21" t="s">
        <v>284</v>
      </c>
      <c r="D67" s="22"/>
      <c r="E67" s="9"/>
      <c r="F67" s="24">
        <f>Source!AL31</f>
        <v>363129.4</v>
      </c>
      <c r="G67" s="23" t="str">
        <f>Source!DD31</f>
        <v/>
      </c>
      <c r="H67" s="9">
        <f>Source!AW31</f>
        <v>1</v>
      </c>
      <c r="I67" s="9">
        <f>IF(Source!BC31&lt;&gt; 0, Source!BC31, 1)</f>
        <v>1</v>
      </c>
      <c r="J67" s="25">
        <f>Source!P31</f>
        <v>1245.53</v>
      </c>
      <c r="K67" s="25"/>
    </row>
    <row r="68" spans="1:22" ht="14.25" x14ac:dyDescent="0.2">
      <c r="A68" s="20"/>
      <c r="B68" s="21"/>
      <c r="C68" s="21" t="s">
        <v>277</v>
      </c>
      <c r="D68" s="22" t="s">
        <v>278</v>
      </c>
      <c r="E68" s="9">
        <f>Source!AT31</f>
        <v>70</v>
      </c>
      <c r="F68" s="24"/>
      <c r="G68" s="23"/>
      <c r="H68" s="9"/>
      <c r="I68" s="9"/>
      <c r="J68" s="25">
        <f>SUM(R62:R67)</f>
        <v>273.52</v>
      </c>
      <c r="K68" s="25"/>
    </row>
    <row r="69" spans="1:22" ht="14.25" x14ac:dyDescent="0.2">
      <c r="A69" s="20"/>
      <c r="B69" s="21"/>
      <c r="C69" s="21" t="s">
        <v>279</v>
      </c>
      <c r="D69" s="22" t="s">
        <v>278</v>
      </c>
      <c r="E69" s="9">
        <f>Source!AU31</f>
        <v>10</v>
      </c>
      <c r="F69" s="24"/>
      <c r="G69" s="23"/>
      <c r="H69" s="9"/>
      <c r="I69" s="9"/>
      <c r="J69" s="25">
        <f>SUM(T62:T68)</f>
        <v>39.07</v>
      </c>
      <c r="K69" s="25"/>
    </row>
    <row r="70" spans="1:22" ht="14.25" x14ac:dyDescent="0.2">
      <c r="A70" s="20"/>
      <c r="B70" s="21"/>
      <c r="C70" s="21" t="s">
        <v>285</v>
      </c>
      <c r="D70" s="22" t="s">
        <v>278</v>
      </c>
      <c r="E70" s="9">
        <f>108</f>
        <v>108</v>
      </c>
      <c r="F70" s="24"/>
      <c r="G70" s="23"/>
      <c r="H70" s="9"/>
      <c r="I70" s="9"/>
      <c r="J70" s="25">
        <f>SUM(V62:V69)</f>
        <v>0.77</v>
      </c>
      <c r="K70" s="25"/>
    </row>
    <row r="71" spans="1:22" ht="14.25" x14ac:dyDescent="0.2">
      <c r="A71" s="20"/>
      <c r="B71" s="21"/>
      <c r="C71" s="21" t="s">
        <v>280</v>
      </c>
      <c r="D71" s="22" t="s">
        <v>281</v>
      </c>
      <c r="E71" s="9">
        <f>Source!AQ31</f>
        <v>563.5</v>
      </c>
      <c r="F71" s="24"/>
      <c r="G71" s="23" t="str">
        <f>Source!DI31</f>
        <v/>
      </c>
      <c r="H71" s="9">
        <f>Source!AV31</f>
        <v>1</v>
      </c>
      <c r="I71" s="9"/>
      <c r="J71" s="25"/>
      <c r="K71" s="25">
        <f>Source!U31</f>
        <v>1.9328049999999999</v>
      </c>
    </row>
    <row r="72" spans="1:22" ht="15" x14ac:dyDescent="0.25">
      <c r="A72" s="29"/>
      <c r="B72" s="29"/>
      <c r="C72" s="29"/>
      <c r="D72" s="29"/>
      <c r="E72" s="29"/>
      <c r="F72" s="29"/>
      <c r="G72" s="29"/>
      <c r="H72" s="29"/>
      <c r="I72" s="66">
        <f>J64+J65+J67+J68+J69+J70</f>
        <v>1951.51</v>
      </c>
      <c r="J72" s="66"/>
      <c r="K72" s="30">
        <f>IF(Source!I31&lt;&gt;0, ROUND(I72/Source!I31, 2), 0)</f>
        <v>568953.35</v>
      </c>
      <c r="P72" s="27">
        <f>I72</f>
        <v>1951.51</v>
      </c>
    </row>
    <row r="73" spans="1:22" ht="28.5" x14ac:dyDescent="0.2">
      <c r="A73" s="20" t="str">
        <f>Source!E32</f>
        <v>5</v>
      </c>
      <c r="B73" s="21" t="str">
        <f>Source!F32</f>
        <v>1.50-3203-3-7/1</v>
      </c>
      <c r="C73" s="21" t="str">
        <f>Source!G32</f>
        <v>Установка закладных деталей весом до 4 кг</v>
      </c>
      <c r="D73" s="22" t="str">
        <f>Source!H32</f>
        <v>т</v>
      </c>
      <c r="E73" s="9">
        <f>Source!I32</f>
        <v>0.09</v>
      </c>
      <c r="F73" s="24"/>
      <c r="G73" s="23"/>
      <c r="H73" s="9"/>
      <c r="I73" s="9"/>
      <c r="J73" s="25"/>
      <c r="K73" s="25"/>
      <c r="Q73">
        <f>ROUND((Source!BZ32/100)*ROUND((Source!AF32*Source!AV32)*Source!I32, 2), 2)</f>
        <v>3216.61</v>
      </c>
      <c r="R73">
        <f>Source!X32</f>
        <v>3216.61</v>
      </c>
      <c r="S73">
        <f>ROUND((Source!CA32/100)*ROUND((Source!AF32*Source!AV32)*Source!I32, 2), 2)</f>
        <v>459.52</v>
      </c>
      <c r="T73">
        <f>Source!Y32</f>
        <v>459.52</v>
      </c>
      <c r="U73">
        <f>ROUND((175/100)*ROUND((Source!AE32*Source!AV32)*Source!I32, 2), 2)</f>
        <v>0</v>
      </c>
      <c r="V73">
        <f>ROUND((108/100)*ROUND(Source!CS32*Source!I32, 2), 2)</f>
        <v>0</v>
      </c>
    </row>
    <row r="74" spans="1:22" ht="14.25" x14ac:dyDescent="0.2">
      <c r="A74" s="20"/>
      <c r="B74" s="21"/>
      <c r="C74" s="21" t="s">
        <v>276</v>
      </c>
      <c r="D74" s="22"/>
      <c r="E74" s="9"/>
      <c r="F74" s="24">
        <f>Source!AO32</f>
        <v>51057.17</v>
      </c>
      <c r="G74" s="23" t="str">
        <f>Source!DG32</f>
        <v/>
      </c>
      <c r="H74" s="9">
        <f>Source!AV32</f>
        <v>1</v>
      </c>
      <c r="I74" s="9">
        <f>IF(Source!BA32&lt;&gt; 0, Source!BA32, 1)</f>
        <v>1</v>
      </c>
      <c r="J74" s="25">
        <f>Source!S32</f>
        <v>4595.1499999999996</v>
      </c>
      <c r="K74" s="25"/>
    </row>
    <row r="75" spans="1:22" ht="14.25" x14ac:dyDescent="0.2">
      <c r="A75" s="20"/>
      <c r="B75" s="21"/>
      <c r="C75" s="21" t="s">
        <v>284</v>
      </c>
      <c r="D75" s="22"/>
      <c r="E75" s="9"/>
      <c r="F75" s="24">
        <f>Source!AL32</f>
        <v>53233.52</v>
      </c>
      <c r="G75" s="23" t="str">
        <f>Source!DD32</f>
        <v/>
      </c>
      <c r="H75" s="9">
        <f>Source!AW32</f>
        <v>1</v>
      </c>
      <c r="I75" s="9">
        <f>IF(Source!BC32&lt;&gt; 0, Source!BC32, 1)</f>
        <v>1</v>
      </c>
      <c r="J75" s="25">
        <f>Source!P32</f>
        <v>4791.0200000000004</v>
      </c>
      <c r="K75" s="25"/>
    </row>
    <row r="76" spans="1:22" ht="28.5" x14ac:dyDescent="0.2">
      <c r="A76" s="20" t="str">
        <f>Source!E33</f>
        <v>5,1</v>
      </c>
      <c r="B76" s="21" t="str">
        <f>Source!F33</f>
        <v>21.7-7-41</v>
      </c>
      <c r="C76" s="21" t="str">
        <f>Source!G33</f>
        <v>Деталь закладная дополнительная для монтажа малых форм</v>
      </c>
      <c r="D76" s="22" t="str">
        <f>Source!H33</f>
        <v>шт.</v>
      </c>
      <c r="E76" s="9">
        <f>Source!I33</f>
        <v>0.99999999999999989</v>
      </c>
      <c r="F76" s="24">
        <f>Source!AK33</f>
        <v>210</v>
      </c>
      <c r="G76" s="32" t="s">
        <v>3</v>
      </c>
      <c r="H76" s="9">
        <f>Source!AW33</f>
        <v>1</v>
      </c>
      <c r="I76" s="9">
        <f>IF(Source!BC33&lt;&gt; 0, Source!BC33, 1)</f>
        <v>1</v>
      </c>
      <c r="J76" s="25">
        <f>Source!O33</f>
        <v>210</v>
      </c>
      <c r="K76" s="25"/>
      <c r="Q76">
        <f>ROUND((Source!BZ33/100)*ROUND((Source!AF33*Source!AV33)*Source!I33, 2), 2)</f>
        <v>0</v>
      </c>
      <c r="R76">
        <f>Source!X33</f>
        <v>0</v>
      </c>
      <c r="S76">
        <f>ROUND((Source!CA33/100)*ROUND((Source!AF33*Source!AV33)*Source!I33, 2), 2)</f>
        <v>0</v>
      </c>
      <c r="T76">
        <f>Source!Y33</f>
        <v>0</v>
      </c>
      <c r="U76">
        <f>ROUND((175/100)*ROUND((Source!AE33*Source!AV33)*Source!I33, 2), 2)</f>
        <v>0</v>
      </c>
      <c r="V76">
        <f>ROUND((108/100)*ROUND(Source!CS33*Source!I33, 2), 2)</f>
        <v>0</v>
      </c>
    </row>
    <row r="77" spans="1:22" ht="45.75" customHeight="1" x14ac:dyDescent="0.2">
      <c r="A77" s="20" t="str">
        <f>Source!E34</f>
        <v>5,2</v>
      </c>
      <c r="B77" s="21" t="str">
        <f>Source!F34</f>
        <v>21.3-4-24</v>
      </c>
      <c r="C77" s="21" t="str">
        <f>Source!G34</f>
        <v>Арматурные заготовки (стержни, хомуты и т.п.), не собранные в каркасы или сетки, закладные и накладные детали, со сваркой</v>
      </c>
      <c r="D77" s="22" t="str">
        <f>Source!H34</f>
        <v>т</v>
      </c>
      <c r="E77" s="9">
        <f>Source!I34</f>
        <v>-0.09</v>
      </c>
      <c r="F77" s="24">
        <f>Source!AK34</f>
        <v>53233.52</v>
      </c>
      <c r="G77" s="32" t="s">
        <v>3</v>
      </c>
      <c r="H77" s="9">
        <f>Source!AW34</f>
        <v>1</v>
      </c>
      <c r="I77" s="9">
        <f>IF(Source!BC34&lt;&gt; 0, Source!BC34, 1)</f>
        <v>1</v>
      </c>
      <c r="J77" s="25">
        <f>Source!O34</f>
        <v>-4791.0200000000004</v>
      </c>
      <c r="K77" s="25"/>
      <c r="Q77">
        <f>ROUND((Source!BZ34/100)*ROUND((Source!AF34*Source!AV34)*Source!I34, 2), 2)</f>
        <v>0</v>
      </c>
      <c r="R77">
        <f>Source!X34</f>
        <v>0</v>
      </c>
      <c r="S77">
        <f>ROUND((Source!CA34/100)*ROUND((Source!AF34*Source!AV34)*Source!I34, 2), 2)</f>
        <v>0</v>
      </c>
      <c r="T77">
        <f>Source!Y34</f>
        <v>0</v>
      </c>
      <c r="U77">
        <f>ROUND((175/100)*ROUND((Source!AE34*Source!AV34)*Source!I34, 2), 2)</f>
        <v>0</v>
      </c>
      <c r="V77">
        <f>ROUND((108/100)*ROUND(Source!CS34*Source!I34, 2), 2)</f>
        <v>0</v>
      </c>
    </row>
    <row r="78" spans="1:22" ht="14.25" x14ac:dyDescent="0.2">
      <c r="A78" s="20"/>
      <c r="B78" s="21"/>
      <c r="C78" s="21" t="s">
        <v>277</v>
      </c>
      <c r="D78" s="22" t="s">
        <v>278</v>
      </c>
      <c r="E78" s="9">
        <f>Source!AT32</f>
        <v>70</v>
      </c>
      <c r="F78" s="24"/>
      <c r="G78" s="23"/>
      <c r="H78" s="9"/>
      <c r="I78" s="9"/>
      <c r="J78" s="25">
        <f>SUM(R73:R77)</f>
        <v>3216.61</v>
      </c>
      <c r="K78" s="25"/>
    </row>
    <row r="79" spans="1:22" ht="14.25" x14ac:dyDescent="0.2">
      <c r="A79" s="20"/>
      <c r="B79" s="21"/>
      <c r="C79" s="21" t="s">
        <v>279</v>
      </c>
      <c r="D79" s="22" t="s">
        <v>278</v>
      </c>
      <c r="E79" s="9">
        <f>Source!AU32</f>
        <v>10</v>
      </c>
      <c r="F79" s="24"/>
      <c r="G79" s="23"/>
      <c r="H79" s="9"/>
      <c r="I79" s="9"/>
      <c r="J79" s="25">
        <f>SUM(T73:T78)</f>
        <v>459.52</v>
      </c>
      <c r="K79" s="25"/>
    </row>
    <row r="80" spans="1:22" ht="14.25" x14ac:dyDescent="0.2">
      <c r="A80" s="20"/>
      <c r="B80" s="21"/>
      <c r="C80" s="21" t="s">
        <v>280</v>
      </c>
      <c r="D80" s="22" t="s">
        <v>281</v>
      </c>
      <c r="E80" s="9">
        <f>Source!AQ32</f>
        <v>227.7</v>
      </c>
      <c r="F80" s="24"/>
      <c r="G80" s="23" t="str">
        <f>Source!DI32</f>
        <v/>
      </c>
      <c r="H80" s="9">
        <f>Source!AV32</f>
        <v>1</v>
      </c>
      <c r="I80" s="9"/>
      <c r="J80" s="25"/>
      <c r="K80" s="25">
        <f>Source!U32</f>
        <v>20.492999999999999</v>
      </c>
    </row>
    <row r="81" spans="1:22" ht="15" x14ac:dyDescent="0.25">
      <c r="A81" s="29"/>
      <c r="B81" s="29"/>
      <c r="C81" s="29"/>
      <c r="D81" s="29"/>
      <c r="E81" s="29"/>
      <c r="F81" s="29"/>
      <c r="G81" s="29"/>
      <c r="H81" s="29"/>
      <c r="I81" s="66">
        <f>J74+J75+J78+J79+SUM(J76:J77)</f>
        <v>8481.2800000000007</v>
      </c>
      <c r="J81" s="66"/>
      <c r="K81" s="30">
        <f>IF(Source!I32&lt;&gt;0, ROUND(I81/Source!I32, 2), 0)</f>
        <v>94236.44</v>
      </c>
      <c r="P81" s="27">
        <f>I81</f>
        <v>8481.2800000000007</v>
      </c>
    </row>
    <row r="82" spans="1:22" ht="41.25" x14ac:dyDescent="0.2">
      <c r="A82" s="20" t="str">
        <f>Source!E35</f>
        <v>6</v>
      </c>
      <c r="B82" s="21" t="str">
        <f>Source!F35</f>
        <v>Цена поставщика</v>
      </c>
      <c r="C82" s="21" t="s">
        <v>343</v>
      </c>
      <c r="D82" s="22" t="str">
        <f>Source!H35</f>
        <v>шт.</v>
      </c>
      <c r="E82" s="9">
        <f>Source!I35</f>
        <v>1</v>
      </c>
      <c r="F82" s="24">
        <f>Source!AL35</f>
        <v>108411.1</v>
      </c>
      <c r="G82" s="23" t="str">
        <f>Source!DD35</f>
        <v/>
      </c>
      <c r="H82" s="9">
        <f>Source!AW35</f>
        <v>1</v>
      </c>
      <c r="I82" s="9">
        <f>IF(Source!BC35&lt;&gt; 0, Source!BC35, 1)</f>
        <v>1</v>
      </c>
      <c r="J82" s="25">
        <f>Source!P35</f>
        <v>108411.1</v>
      </c>
      <c r="K82" s="25"/>
      <c r="Q82">
        <f>ROUND((Source!BZ35/100)*ROUND((Source!AF35*Source!AV35)*Source!I35, 2), 2)</f>
        <v>0</v>
      </c>
      <c r="R82">
        <f>Source!X35</f>
        <v>0</v>
      </c>
      <c r="S82">
        <f>ROUND((Source!CA35/100)*ROUND((Source!AF35*Source!AV35)*Source!I35, 2), 2)</f>
        <v>0</v>
      </c>
      <c r="T82">
        <f>Source!Y35</f>
        <v>0</v>
      </c>
      <c r="U82">
        <f>ROUND((175/100)*ROUND((Source!AE35*Source!AV35)*Source!I35, 2), 2)</f>
        <v>0</v>
      </c>
      <c r="V82">
        <f>ROUND((108/100)*ROUND(Source!CS35*Source!I35, 2), 2)</f>
        <v>0</v>
      </c>
    </row>
    <row r="83" spans="1:22" ht="15" x14ac:dyDescent="0.25">
      <c r="A83" s="29"/>
      <c r="B83" s="29"/>
      <c r="C83" s="29"/>
      <c r="D83" s="29"/>
      <c r="E83" s="29"/>
      <c r="F83" s="29"/>
      <c r="G83" s="29"/>
      <c r="H83" s="29"/>
      <c r="I83" s="66">
        <f>J82</f>
        <v>108411.1</v>
      </c>
      <c r="J83" s="66"/>
      <c r="K83" s="30">
        <f>IF(Source!I35&lt;&gt;0, ROUND(I83/Source!I35, 2), 0)</f>
        <v>108411.1</v>
      </c>
      <c r="P83" s="27">
        <f>I83</f>
        <v>108411.1</v>
      </c>
    </row>
    <row r="84" spans="1:22" ht="28.5" x14ac:dyDescent="0.2">
      <c r="A84" s="20" t="str">
        <f>Source!E36</f>
        <v>7</v>
      </c>
      <c r="B84" s="21" t="str">
        <f>Source!F36</f>
        <v>1.1-3303-2-1/1</v>
      </c>
      <c r="C84" s="21" t="str">
        <f>Source!G36</f>
        <v>Разработка грунта вручную в траншеях глубиной до 2 м без креплений с откосами группа грунтов 1-3</v>
      </c>
      <c r="D84" s="22" t="str">
        <f>Source!H36</f>
        <v>100 м3</v>
      </c>
      <c r="E84" s="9">
        <f>Source!I36</f>
        <v>4.8999999999999998E-3</v>
      </c>
      <c r="F84" s="24"/>
      <c r="G84" s="23"/>
      <c r="H84" s="9"/>
      <c r="I84" s="9"/>
      <c r="J84" s="25"/>
      <c r="K84" s="25"/>
      <c r="Q84">
        <f>ROUND((Source!BZ36/100)*ROUND((Source!AF36*Source!AV36)*Source!I36, 2), 2)</f>
        <v>143.88999999999999</v>
      </c>
      <c r="R84">
        <f>Source!X36</f>
        <v>143.88999999999999</v>
      </c>
      <c r="S84">
        <f>ROUND((Source!CA36/100)*ROUND((Source!AF36*Source!AV36)*Source!I36, 2), 2)</f>
        <v>20.56</v>
      </c>
      <c r="T84">
        <f>Source!Y36</f>
        <v>20.56</v>
      </c>
      <c r="U84">
        <f>ROUND((175/100)*ROUND((Source!AE36*Source!AV36)*Source!I36, 2), 2)</f>
        <v>0</v>
      </c>
      <c r="V84">
        <f>ROUND((108/100)*ROUND(Source!CS36*Source!I36, 2), 2)</f>
        <v>0</v>
      </c>
    </row>
    <row r="85" spans="1:22" x14ac:dyDescent="0.2">
      <c r="C85" s="26" t="str">
        <f>"Объем: "&amp;Source!I36&amp;"=0,7*"&amp;"0,7*"&amp;"1/"&amp;"100"</f>
        <v>Объем: 0,0049=0,7*0,7*1/100</v>
      </c>
    </row>
    <row r="86" spans="1:22" ht="14.25" x14ac:dyDescent="0.2">
      <c r="A86" s="20"/>
      <c r="B86" s="21"/>
      <c r="C86" s="21" t="s">
        <v>276</v>
      </c>
      <c r="D86" s="22"/>
      <c r="E86" s="9"/>
      <c r="F86" s="24">
        <f>Source!AO36</f>
        <v>41951.1</v>
      </c>
      <c r="G86" s="23" t="str">
        <f>Source!DG36</f>
        <v/>
      </c>
      <c r="H86" s="9">
        <f>Source!AV36</f>
        <v>1</v>
      </c>
      <c r="I86" s="9">
        <f>IF(Source!BA36&lt;&gt; 0, Source!BA36, 1)</f>
        <v>1</v>
      </c>
      <c r="J86" s="25">
        <f>Source!S36</f>
        <v>205.56</v>
      </c>
      <c r="K86" s="25"/>
    </row>
    <row r="87" spans="1:22" ht="14.25" x14ac:dyDescent="0.2">
      <c r="A87" s="20"/>
      <c r="B87" s="21"/>
      <c r="C87" s="21" t="s">
        <v>277</v>
      </c>
      <c r="D87" s="22" t="s">
        <v>278</v>
      </c>
      <c r="E87" s="9">
        <f>Source!AT36</f>
        <v>70</v>
      </c>
      <c r="F87" s="24"/>
      <c r="G87" s="23"/>
      <c r="H87" s="9"/>
      <c r="I87" s="9"/>
      <c r="J87" s="25">
        <f>SUM(R84:R86)</f>
        <v>143.88999999999999</v>
      </c>
      <c r="K87" s="25"/>
    </row>
    <row r="88" spans="1:22" ht="14.25" x14ac:dyDescent="0.2">
      <c r="A88" s="20"/>
      <c r="B88" s="21"/>
      <c r="C88" s="21" t="s">
        <v>279</v>
      </c>
      <c r="D88" s="22" t="s">
        <v>278</v>
      </c>
      <c r="E88" s="9">
        <f>Source!AU36</f>
        <v>10</v>
      </c>
      <c r="F88" s="24"/>
      <c r="G88" s="23"/>
      <c r="H88" s="9"/>
      <c r="I88" s="9"/>
      <c r="J88" s="25">
        <f>SUM(T84:T87)</f>
        <v>20.56</v>
      </c>
      <c r="K88" s="25"/>
    </row>
    <row r="89" spans="1:22" ht="14.25" x14ac:dyDescent="0.2">
      <c r="A89" s="20"/>
      <c r="B89" s="21"/>
      <c r="C89" s="21" t="s">
        <v>280</v>
      </c>
      <c r="D89" s="22" t="s">
        <v>281</v>
      </c>
      <c r="E89" s="9">
        <f>Source!AQ36</f>
        <v>221.6</v>
      </c>
      <c r="F89" s="24"/>
      <c r="G89" s="23" t="str">
        <f>Source!DI36</f>
        <v/>
      </c>
      <c r="H89" s="9">
        <f>Source!AV36</f>
        <v>1</v>
      </c>
      <c r="I89" s="9"/>
      <c r="J89" s="25"/>
      <c r="K89" s="25">
        <f>Source!U36</f>
        <v>1.0858399999999999</v>
      </c>
    </row>
    <row r="90" spans="1:22" ht="15" x14ac:dyDescent="0.25">
      <c r="A90" s="29"/>
      <c r="B90" s="29"/>
      <c r="C90" s="29"/>
      <c r="D90" s="29"/>
      <c r="E90" s="29"/>
      <c r="F90" s="29"/>
      <c r="G90" s="29"/>
      <c r="H90" s="29"/>
      <c r="I90" s="66">
        <f>J86+J87+J88</f>
        <v>370.01</v>
      </c>
      <c r="J90" s="66"/>
      <c r="K90" s="30">
        <f>IF(Source!I36&lt;&gt;0, ROUND(I90/Source!I36, 2), 0)</f>
        <v>75512.240000000005</v>
      </c>
      <c r="P90" s="27">
        <f>I90</f>
        <v>370.01</v>
      </c>
    </row>
    <row r="91" spans="1:22" ht="28.5" x14ac:dyDescent="0.2">
      <c r="A91" s="20" t="str">
        <f>Source!E37</f>
        <v>8</v>
      </c>
      <c r="B91" s="21" t="str">
        <f>Source!F37</f>
        <v>1.2-3103-29-1/1</v>
      </c>
      <c r="C91" s="21" t="str">
        <f>Source!G37</f>
        <v>Устройство песчаного основания под фундаменты</v>
      </c>
      <c r="D91" s="22" t="str">
        <f>Source!H37</f>
        <v>м3</v>
      </c>
      <c r="E91" s="9">
        <f>Source!I37</f>
        <v>4.9000000000000002E-2</v>
      </c>
      <c r="F91" s="24"/>
      <c r="G91" s="23"/>
      <c r="H91" s="9"/>
      <c r="I91" s="9"/>
      <c r="J91" s="25"/>
      <c r="K91" s="25"/>
      <c r="Q91">
        <f>ROUND((Source!BZ37/100)*ROUND((Source!AF37*Source!AV37)*Source!I37, 2), 2)</f>
        <v>5.71</v>
      </c>
      <c r="R91">
        <f>Source!X37</f>
        <v>5.71</v>
      </c>
      <c r="S91">
        <f>ROUND((Source!CA37/100)*ROUND((Source!AF37*Source!AV37)*Source!I37, 2), 2)</f>
        <v>0.82</v>
      </c>
      <c r="T91">
        <f>Source!Y37</f>
        <v>0.82</v>
      </c>
      <c r="U91">
        <f>ROUND((175/100)*ROUND((Source!AE37*Source!AV37)*Source!I37, 2), 2)</f>
        <v>10.64</v>
      </c>
      <c r="V91">
        <f>ROUND((108/100)*ROUND(Source!CS37*Source!I37, 2), 2)</f>
        <v>6.57</v>
      </c>
    </row>
    <row r="92" spans="1:22" x14ac:dyDescent="0.2">
      <c r="C92" s="26" t="str">
        <f>"Объем: "&amp;Source!I37&amp;"=0,7*"&amp;"0,7*"&amp;"0,1"</f>
        <v>Объем: 0,049=0,7*0,7*0,1</v>
      </c>
    </row>
    <row r="93" spans="1:22" ht="14.25" x14ac:dyDescent="0.2">
      <c r="A93" s="20"/>
      <c r="B93" s="21"/>
      <c r="C93" s="21" t="s">
        <v>276</v>
      </c>
      <c r="D93" s="22"/>
      <c r="E93" s="9"/>
      <c r="F93" s="24">
        <f>Source!AO37</f>
        <v>166.52</v>
      </c>
      <c r="G93" s="23" t="str">
        <f>Source!DG37</f>
        <v/>
      </c>
      <c r="H93" s="9">
        <f>Source!AV37</f>
        <v>1</v>
      </c>
      <c r="I93" s="9">
        <f>IF(Source!BA37&lt;&gt; 0, Source!BA37, 1)</f>
        <v>1</v>
      </c>
      <c r="J93" s="25">
        <f>Source!S37</f>
        <v>8.16</v>
      </c>
      <c r="K93" s="25"/>
    </row>
    <row r="94" spans="1:22" ht="14.25" x14ac:dyDescent="0.2">
      <c r="A94" s="20"/>
      <c r="B94" s="21"/>
      <c r="C94" s="21" t="s">
        <v>282</v>
      </c>
      <c r="D94" s="22"/>
      <c r="E94" s="9"/>
      <c r="F94" s="24">
        <f>Source!AM37</f>
        <v>210.68</v>
      </c>
      <c r="G94" s="23" t="str">
        <f>Source!DE37</f>
        <v/>
      </c>
      <c r="H94" s="9">
        <f>Source!AV37</f>
        <v>1</v>
      </c>
      <c r="I94" s="9">
        <f>IF(Source!BB37&lt;&gt; 0, Source!BB37, 1)</f>
        <v>1</v>
      </c>
      <c r="J94" s="25">
        <f>Source!Q37</f>
        <v>10.32</v>
      </c>
      <c r="K94" s="25"/>
    </row>
    <row r="95" spans="1:22" ht="14.25" x14ac:dyDescent="0.2">
      <c r="A95" s="20"/>
      <c r="B95" s="21"/>
      <c r="C95" s="21" t="s">
        <v>283</v>
      </c>
      <c r="D95" s="22"/>
      <c r="E95" s="9"/>
      <c r="F95" s="24">
        <f>Source!AN37</f>
        <v>124.16</v>
      </c>
      <c r="G95" s="23" t="str">
        <f>Source!DF37</f>
        <v/>
      </c>
      <c r="H95" s="9">
        <f>Source!AV37</f>
        <v>1</v>
      </c>
      <c r="I95" s="9">
        <f>IF(Source!BS37&lt;&gt; 0, Source!BS37, 1)</f>
        <v>1</v>
      </c>
      <c r="J95" s="31">
        <f>Source!R37</f>
        <v>6.08</v>
      </c>
      <c r="K95" s="25"/>
    </row>
    <row r="96" spans="1:22" ht="14.25" x14ac:dyDescent="0.2">
      <c r="A96" s="20"/>
      <c r="B96" s="21"/>
      <c r="C96" s="21" t="s">
        <v>284</v>
      </c>
      <c r="D96" s="22"/>
      <c r="E96" s="9"/>
      <c r="F96" s="24">
        <f>Source!AL37</f>
        <v>655.15</v>
      </c>
      <c r="G96" s="23" t="str">
        <f>Source!DD37</f>
        <v/>
      </c>
      <c r="H96" s="9">
        <f>Source!AW37</f>
        <v>1</v>
      </c>
      <c r="I96" s="9">
        <f>IF(Source!BC37&lt;&gt; 0, Source!BC37, 1)</f>
        <v>1</v>
      </c>
      <c r="J96" s="25">
        <f>Source!P37</f>
        <v>32.1</v>
      </c>
      <c r="K96" s="25"/>
    </row>
    <row r="97" spans="1:22" ht="14.25" x14ac:dyDescent="0.2">
      <c r="A97" s="20"/>
      <c r="B97" s="21"/>
      <c r="C97" s="21" t="s">
        <v>277</v>
      </c>
      <c r="D97" s="22" t="s">
        <v>278</v>
      </c>
      <c r="E97" s="9">
        <f>Source!AT37</f>
        <v>70</v>
      </c>
      <c r="F97" s="24"/>
      <c r="G97" s="23"/>
      <c r="H97" s="9"/>
      <c r="I97" s="9"/>
      <c r="J97" s="25">
        <f>SUM(R91:R96)</f>
        <v>5.71</v>
      </c>
      <c r="K97" s="25"/>
    </row>
    <row r="98" spans="1:22" ht="14.25" x14ac:dyDescent="0.2">
      <c r="A98" s="20"/>
      <c r="B98" s="21"/>
      <c r="C98" s="21" t="s">
        <v>279</v>
      </c>
      <c r="D98" s="22" t="s">
        <v>278</v>
      </c>
      <c r="E98" s="9">
        <f>Source!AU37</f>
        <v>10</v>
      </c>
      <c r="F98" s="24"/>
      <c r="G98" s="23"/>
      <c r="H98" s="9"/>
      <c r="I98" s="9"/>
      <c r="J98" s="25">
        <f>SUM(T91:T97)</f>
        <v>0.82</v>
      </c>
      <c r="K98" s="25"/>
    </row>
    <row r="99" spans="1:22" ht="14.25" x14ac:dyDescent="0.2">
      <c r="A99" s="20"/>
      <c r="B99" s="21"/>
      <c r="C99" s="21" t="s">
        <v>285</v>
      </c>
      <c r="D99" s="22" t="s">
        <v>278</v>
      </c>
      <c r="E99" s="9">
        <f>108</f>
        <v>108</v>
      </c>
      <c r="F99" s="24"/>
      <c r="G99" s="23"/>
      <c r="H99" s="9"/>
      <c r="I99" s="9"/>
      <c r="J99" s="25">
        <f>SUM(V91:V98)</f>
        <v>6.57</v>
      </c>
      <c r="K99" s="25"/>
    </row>
    <row r="100" spans="1:22" ht="14.25" x14ac:dyDescent="0.2">
      <c r="A100" s="20"/>
      <c r="B100" s="21"/>
      <c r="C100" s="21" t="s">
        <v>280</v>
      </c>
      <c r="D100" s="22" t="s">
        <v>281</v>
      </c>
      <c r="E100" s="9">
        <f>Source!AQ37</f>
        <v>0.9</v>
      </c>
      <c r="F100" s="24"/>
      <c r="G100" s="23" t="str">
        <f>Source!DI37</f>
        <v/>
      </c>
      <c r="H100" s="9">
        <f>Source!AV37</f>
        <v>1</v>
      </c>
      <c r="I100" s="9"/>
      <c r="J100" s="25"/>
      <c r="K100" s="25">
        <f>Source!U37</f>
        <v>4.41E-2</v>
      </c>
    </row>
    <row r="101" spans="1:22" ht="15" x14ac:dyDescent="0.25">
      <c r="A101" s="29"/>
      <c r="B101" s="29"/>
      <c r="C101" s="29"/>
      <c r="D101" s="29"/>
      <c r="E101" s="29"/>
      <c r="F101" s="29"/>
      <c r="G101" s="29"/>
      <c r="H101" s="29"/>
      <c r="I101" s="66">
        <f>J93+J94+J96+J97+J98+J99</f>
        <v>63.68</v>
      </c>
      <c r="J101" s="66"/>
      <c r="K101" s="30">
        <f>IF(Source!I37&lt;&gt;0, ROUND(I101/Source!I37, 2), 0)</f>
        <v>1299.5899999999999</v>
      </c>
      <c r="P101" s="27">
        <f>I101</f>
        <v>63.68</v>
      </c>
    </row>
    <row r="102" spans="1:22" ht="28.5" x14ac:dyDescent="0.2">
      <c r="A102" s="20" t="str">
        <f>Source!E38</f>
        <v>9</v>
      </c>
      <c r="B102" s="21" t="str">
        <f>Source!F38</f>
        <v>1.2-3103-29-2/1</v>
      </c>
      <c r="C102" s="21" t="str">
        <f>Source!G38</f>
        <v>Устройство щебеночного основания под фундаменты</v>
      </c>
      <c r="D102" s="22" t="str">
        <f>Source!H38</f>
        <v>м3</v>
      </c>
      <c r="E102" s="9">
        <f>Source!I38</f>
        <v>9.8000000000000004E-2</v>
      </c>
      <c r="F102" s="24"/>
      <c r="G102" s="23"/>
      <c r="H102" s="9"/>
      <c r="I102" s="9"/>
      <c r="J102" s="25"/>
      <c r="K102" s="25"/>
      <c r="Q102">
        <f>ROUND((Source!BZ38/100)*ROUND((Source!AF38*Source!AV38)*Source!I38, 2), 2)</f>
        <v>12.44</v>
      </c>
      <c r="R102">
        <f>Source!X38</f>
        <v>12.44</v>
      </c>
      <c r="S102">
        <f>ROUND((Source!CA38/100)*ROUND((Source!AF38*Source!AV38)*Source!I38, 2), 2)</f>
        <v>1.78</v>
      </c>
      <c r="T102">
        <f>Source!Y38</f>
        <v>1.78</v>
      </c>
      <c r="U102">
        <f>ROUND((175/100)*ROUND((Source!AE38*Source!AV38)*Source!I38, 2), 2)</f>
        <v>23.17</v>
      </c>
      <c r="V102">
        <f>ROUND((108/100)*ROUND(Source!CS38*Source!I38, 2), 2)</f>
        <v>14.3</v>
      </c>
    </row>
    <row r="103" spans="1:22" x14ac:dyDescent="0.2">
      <c r="C103" s="26" t="str">
        <f>"Объем: "&amp;Source!I38&amp;"=0,7*"&amp;"0,7*"&amp;"0,2"</f>
        <v>Объем: 0,098=0,7*0,7*0,2</v>
      </c>
    </row>
    <row r="104" spans="1:22" ht="14.25" x14ac:dyDescent="0.2">
      <c r="A104" s="20"/>
      <c r="B104" s="21"/>
      <c r="C104" s="21" t="s">
        <v>276</v>
      </c>
      <c r="D104" s="22"/>
      <c r="E104" s="9"/>
      <c r="F104" s="24">
        <f>Source!AO38</f>
        <v>181.32</v>
      </c>
      <c r="G104" s="23" t="str">
        <f>Source!DG38</f>
        <v/>
      </c>
      <c r="H104" s="9">
        <f>Source!AV38</f>
        <v>1</v>
      </c>
      <c r="I104" s="9">
        <f>IF(Source!BA38&lt;&gt; 0, Source!BA38, 1)</f>
        <v>1</v>
      </c>
      <c r="J104" s="25">
        <f>Source!S38</f>
        <v>17.77</v>
      </c>
      <c r="K104" s="25"/>
    </row>
    <row r="105" spans="1:22" ht="14.25" x14ac:dyDescent="0.2">
      <c r="A105" s="20"/>
      <c r="B105" s="21"/>
      <c r="C105" s="21" t="s">
        <v>282</v>
      </c>
      <c r="D105" s="22"/>
      <c r="E105" s="9"/>
      <c r="F105" s="24">
        <f>Source!AM38</f>
        <v>224.99</v>
      </c>
      <c r="G105" s="23" t="str">
        <f>Source!DE38</f>
        <v/>
      </c>
      <c r="H105" s="9">
        <f>Source!AV38</f>
        <v>1</v>
      </c>
      <c r="I105" s="9">
        <f>IF(Source!BB38&lt;&gt; 0, Source!BB38, 1)</f>
        <v>1</v>
      </c>
      <c r="J105" s="25">
        <f>Source!Q38</f>
        <v>22.05</v>
      </c>
      <c r="K105" s="25"/>
    </row>
    <row r="106" spans="1:22" ht="14.25" x14ac:dyDescent="0.2">
      <c r="A106" s="20"/>
      <c r="B106" s="21"/>
      <c r="C106" s="21" t="s">
        <v>283</v>
      </c>
      <c r="D106" s="22"/>
      <c r="E106" s="9"/>
      <c r="F106" s="24">
        <f>Source!AN38</f>
        <v>135.08000000000001</v>
      </c>
      <c r="G106" s="23" t="str">
        <f>Source!DF38</f>
        <v/>
      </c>
      <c r="H106" s="9">
        <f>Source!AV38</f>
        <v>1</v>
      </c>
      <c r="I106" s="9">
        <f>IF(Source!BS38&lt;&gt; 0, Source!BS38, 1)</f>
        <v>1</v>
      </c>
      <c r="J106" s="31">
        <f>Source!R38</f>
        <v>13.24</v>
      </c>
      <c r="K106" s="25"/>
    </row>
    <row r="107" spans="1:22" ht="14.25" x14ac:dyDescent="0.2">
      <c r="A107" s="20"/>
      <c r="B107" s="21"/>
      <c r="C107" s="21" t="s">
        <v>284</v>
      </c>
      <c r="D107" s="22"/>
      <c r="E107" s="9"/>
      <c r="F107" s="24">
        <f>Source!AL38</f>
        <v>1657.26</v>
      </c>
      <c r="G107" s="23" t="str">
        <f>Source!DD38</f>
        <v/>
      </c>
      <c r="H107" s="9">
        <f>Source!AW38</f>
        <v>1</v>
      </c>
      <c r="I107" s="9">
        <f>IF(Source!BC38&lt;&gt; 0, Source!BC38, 1)</f>
        <v>1</v>
      </c>
      <c r="J107" s="25">
        <f>Source!P38</f>
        <v>162.41</v>
      </c>
      <c r="K107" s="25"/>
    </row>
    <row r="108" spans="1:22" ht="14.25" x14ac:dyDescent="0.2">
      <c r="A108" s="20"/>
      <c r="B108" s="21"/>
      <c r="C108" s="21" t="s">
        <v>277</v>
      </c>
      <c r="D108" s="22" t="s">
        <v>278</v>
      </c>
      <c r="E108" s="9">
        <f>Source!AT38</f>
        <v>70</v>
      </c>
      <c r="F108" s="24"/>
      <c r="G108" s="23"/>
      <c r="H108" s="9"/>
      <c r="I108" s="9"/>
      <c r="J108" s="25">
        <f>SUM(R102:R107)</f>
        <v>12.44</v>
      </c>
      <c r="K108" s="25"/>
    </row>
    <row r="109" spans="1:22" ht="14.25" x14ac:dyDescent="0.2">
      <c r="A109" s="20"/>
      <c r="B109" s="21"/>
      <c r="C109" s="21" t="s">
        <v>279</v>
      </c>
      <c r="D109" s="22" t="s">
        <v>278</v>
      </c>
      <c r="E109" s="9">
        <f>Source!AU38</f>
        <v>10</v>
      </c>
      <c r="F109" s="24"/>
      <c r="G109" s="23"/>
      <c r="H109" s="9"/>
      <c r="I109" s="9"/>
      <c r="J109" s="25">
        <f>SUM(T102:T108)</f>
        <v>1.78</v>
      </c>
      <c r="K109" s="25"/>
    </row>
    <row r="110" spans="1:22" ht="14.25" x14ac:dyDescent="0.2">
      <c r="A110" s="20"/>
      <c r="B110" s="21"/>
      <c r="C110" s="21" t="s">
        <v>285</v>
      </c>
      <c r="D110" s="22" t="s">
        <v>278</v>
      </c>
      <c r="E110" s="9">
        <f>108</f>
        <v>108</v>
      </c>
      <c r="F110" s="24"/>
      <c r="G110" s="23"/>
      <c r="H110" s="9"/>
      <c r="I110" s="9"/>
      <c r="J110" s="25">
        <f>SUM(V102:V109)</f>
        <v>14.3</v>
      </c>
      <c r="K110" s="25"/>
    </row>
    <row r="111" spans="1:22" ht="14.25" x14ac:dyDescent="0.2">
      <c r="A111" s="20"/>
      <c r="B111" s="21"/>
      <c r="C111" s="21" t="s">
        <v>280</v>
      </c>
      <c r="D111" s="22" t="s">
        <v>281</v>
      </c>
      <c r="E111" s="9">
        <f>Source!AQ38</f>
        <v>0.98</v>
      </c>
      <c r="F111" s="24"/>
      <c r="G111" s="23" t="str">
        <f>Source!DI38</f>
        <v/>
      </c>
      <c r="H111" s="9">
        <f>Source!AV38</f>
        <v>1</v>
      </c>
      <c r="I111" s="9"/>
      <c r="J111" s="25"/>
      <c r="K111" s="25">
        <f>Source!U38</f>
        <v>9.604E-2</v>
      </c>
    </row>
    <row r="112" spans="1:22" ht="15" x14ac:dyDescent="0.25">
      <c r="A112" s="29"/>
      <c r="B112" s="29"/>
      <c r="C112" s="29"/>
      <c r="D112" s="29"/>
      <c r="E112" s="29"/>
      <c r="F112" s="29"/>
      <c r="G112" s="29"/>
      <c r="H112" s="29"/>
      <c r="I112" s="66">
        <f>J104+J105+J107+J108+J109+J110</f>
        <v>230.75</v>
      </c>
      <c r="J112" s="66"/>
      <c r="K112" s="30">
        <f>IF(Source!I38&lt;&gt;0, ROUND(I112/Source!I38, 2), 0)</f>
        <v>2354.59</v>
      </c>
      <c r="P112" s="27">
        <f>I112</f>
        <v>230.75</v>
      </c>
    </row>
    <row r="113" spans="1:22" ht="28.5" x14ac:dyDescent="0.2">
      <c r="A113" s="20" t="str">
        <f>Source!E39</f>
        <v>10</v>
      </c>
      <c r="B113" s="21" t="str">
        <f>Source!F39</f>
        <v>1.2-3103-2-13/1</v>
      </c>
      <c r="C113" s="21" t="str">
        <f>Source!G39</f>
        <v>Устройство фундаментов-столбов бетонных</v>
      </c>
      <c r="D113" s="22" t="str">
        <f>Source!H39</f>
        <v>100 м3</v>
      </c>
      <c r="E113" s="9">
        <f>Source!I39</f>
        <v>3.4299999999999999E-3</v>
      </c>
      <c r="F113" s="24"/>
      <c r="G113" s="23"/>
      <c r="H113" s="9"/>
      <c r="I113" s="9"/>
      <c r="J113" s="25"/>
      <c r="K113" s="25"/>
      <c r="Q113">
        <f>ROUND((Source!BZ39/100)*ROUND((Source!AF39*Source!AV39)*Source!I39, 2), 2)</f>
        <v>273.52</v>
      </c>
      <c r="R113">
        <f>Source!X39</f>
        <v>273.52</v>
      </c>
      <c r="S113">
        <f>ROUND((Source!CA39/100)*ROUND((Source!AF39*Source!AV39)*Source!I39, 2), 2)</f>
        <v>39.07</v>
      </c>
      <c r="T113">
        <f>Source!Y39</f>
        <v>39.07</v>
      </c>
      <c r="U113">
        <f>ROUND((175/100)*ROUND((Source!AE39*Source!AV39)*Source!I39, 2), 2)</f>
        <v>1.24</v>
      </c>
      <c r="V113">
        <f>ROUND((108/100)*ROUND(Source!CS39*Source!I39, 2), 2)</f>
        <v>0.77</v>
      </c>
    </row>
    <row r="114" spans="1:22" x14ac:dyDescent="0.2">
      <c r="C114" s="26" t="str">
        <f>"Объем: "&amp;Source!I39&amp;"=(0,7*"&amp;"0,7*"&amp;"0,7*"&amp;"1)/"&amp;"100"</f>
        <v>Объем: 0,00343=(0,7*0,7*0,7*1)/100</v>
      </c>
    </row>
    <row r="115" spans="1:22" ht="14.25" x14ac:dyDescent="0.2">
      <c r="A115" s="20"/>
      <c r="B115" s="21"/>
      <c r="C115" s="21" t="s">
        <v>276</v>
      </c>
      <c r="D115" s="22"/>
      <c r="E115" s="9"/>
      <c r="F115" s="24">
        <f>Source!AO39</f>
        <v>113917.16</v>
      </c>
      <c r="G115" s="23" t="str">
        <f>Source!DG39</f>
        <v/>
      </c>
      <c r="H115" s="9">
        <f>Source!AV39</f>
        <v>1</v>
      </c>
      <c r="I115" s="9">
        <f>IF(Source!BA39&lt;&gt; 0, Source!BA39, 1)</f>
        <v>1</v>
      </c>
      <c r="J115" s="25">
        <f>Source!S39</f>
        <v>390.74</v>
      </c>
      <c r="K115" s="25"/>
    </row>
    <row r="116" spans="1:22" ht="14.25" x14ac:dyDescent="0.2">
      <c r="A116" s="20"/>
      <c r="B116" s="21"/>
      <c r="C116" s="21" t="s">
        <v>282</v>
      </c>
      <c r="D116" s="22"/>
      <c r="E116" s="9"/>
      <c r="F116" s="24">
        <f>Source!AM39</f>
        <v>547.28</v>
      </c>
      <c r="G116" s="23" t="str">
        <f>Source!DE39</f>
        <v/>
      </c>
      <c r="H116" s="9">
        <f>Source!AV39</f>
        <v>1</v>
      </c>
      <c r="I116" s="9">
        <f>IF(Source!BB39&lt;&gt; 0, Source!BB39, 1)</f>
        <v>1</v>
      </c>
      <c r="J116" s="25">
        <f>Source!Q39</f>
        <v>1.88</v>
      </c>
      <c r="K116" s="25"/>
    </row>
    <row r="117" spans="1:22" ht="14.25" x14ac:dyDescent="0.2">
      <c r="A117" s="20"/>
      <c r="B117" s="21"/>
      <c r="C117" s="21" t="s">
        <v>283</v>
      </c>
      <c r="D117" s="22"/>
      <c r="E117" s="9"/>
      <c r="F117" s="24">
        <f>Source!AN39</f>
        <v>206.05</v>
      </c>
      <c r="G117" s="23" t="str">
        <f>Source!DF39</f>
        <v/>
      </c>
      <c r="H117" s="9">
        <f>Source!AV39</f>
        <v>1</v>
      </c>
      <c r="I117" s="9">
        <f>IF(Source!BS39&lt;&gt; 0, Source!BS39, 1)</f>
        <v>1</v>
      </c>
      <c r="J117" s="31">
        <f>Source!R39</f>
        <v>0.71</v>
      </c>
      <c r="K117" s="25"/>
    </row>
    <row r="118" spans="1:22" ht="14.25" x14ac:dyDescent="0.2">
      <c r="A118" s="20"/>
      <c r="B118" s="21"/>
      <c r="C118" s="21" t="s">
        <v>284</v>
      </c>
      <c r="D118" s="22"/>
      <c r="E118" s="9"/>
      <c r="F118" s="24">
        <f>Source!AL39</f>
        <v>363129.4</v>
      </c>
      <c r="G118" s="23" t="str">
        <f>Source!DD39</f>
        <v/>
      </c>
      <c r="H118" s="9">
        <f>Source!AW39</f>
        <v>1</v>
      </c>
      <c r="I118" s="9">
        <f>IF(Source!BC39&lt;&gt; 0, Source!BC39, 1)</f>
        <v>1</v>
      </c>
      <c r="J118" s="25">
        <f>Source!P39</f>
        <v>1245.53</v>
      </c>
      <c r="K118" s="25"/>
    </row>
    <row r="119" spans="1:22" ht="14.25" x14ac:dyDescent="0.2">
      <c r="A119" s="20"/>
      <c r="B119" s="21"/>
      <c r="C119" s="21" t="s">
        <v>277</v>
      </c>
      <c r="D119" s="22" t="s">
        <v>278</v>
      </c>
      <c r="E119" s="9">
        <f>Source!AT39</f>
        <v>70</v>
      </c>
      <c r="F119" s="24"/>
      <c r="G119" s="23"/>
      <c r="H119" s="9"/>
      <c r="I119" s="9"/>
      <c r="J119" s="25">
        <f>SUM(R113:R118)</f>
        <v>273.52</v>
      </c>
      <c r="K119" s="25"/>
    </row>
    <row r="120" spans="1:22" ht="14.25" x14ac:dyDescent="0.2">
      <c r="A120" s="20"/>
      <c r="B120" s="21"/>
      <c r="C120" s="21" t="s">
        <v>279</v>
      </c>
      <c r="D120" s="22" t="s">
        <v>278</v>
      </c>
      <c r="E120" s="9">
        <f>Source!AU39</f>
        <v>10</v>
      </c>
      <c r="F120" s="24"/>
      <c r="G120" s="23"/>
      <c r="H120" s="9"/>
      <c r="I120" s="9"/>
      <c r="J120" s="25">
        <f>SUM(T113:T119)</f>
        <v>39.07</v>
      </c>
      <c r="K120" s="25"/>
    </row>
    <row r="121" spans="1:22" ht="14.25" x14ac:dyDescent="0.2">
      <c r="A121" s="20"/>
      <c r="B121" s="21"/>
      <c r="C121" s="21" t="s">
        <v>285</v>
      </c>
      <c r="D121" s="22" t="s">
        <v>278</v>
      </c>
      <c r="E121" s="9">
        <f>108</f>
        <v>108</v>
      </c>
      <c r="F121" s="24"/>
      <c r="G121" s="23"/>
      <c r="H121" s="9"/>
      <c r="I121" s="9"/>
      <c r="J121" s="25">
        <f>SUM(V113:V120)</f>
        <v>0.77</v>
      </c>
      <c r="K121" s="25"/>
    </row>
    <row r="122" spans="1:22" ht="14.25" x14ac:dyDescent="0.2">
      <c r="A122" s="20"/>
      <c r="B122" s="21"/>
      <c r="C122" s="21" t="s">
        <v>280</v>
      </c>
      <c r="D122" s="22" t="s">
        <v>281</v>
      </c>
      <c r="E122" s="9">
        <f>Source!AQ39</f>
        <v>563.5</v>
      </c>
      <c r="F122" s="24"/>
      <c r="G122" s="23" t="str">
        <f>Source!DI39</f>
        <v/>
      </c>
      <c r="H122" s="9">
        <f>Source!AV39</f>
        <v>1</v>
      </c>
      <c r="I122" s="9"/>
      <c r="J122" s="25"/>
      <c r="K122" s="25">
        <f>Source!U39</f>
        <v>1.9328049999999999</v>
      </c>
    </row>
    <row r="123" spans="1:22" ht="15" x14ac:dyDescent="0.25">
      <c r="A123" s="29"/>
      <c r="B123" s="29"/>
      <c r="C123" s="29"/>
      <c r="D123" s="29"/>
      <c r="E123" s="29"/>
      <c r="F123" s="29"/>
      <c r="G123" s="29"/>
      <c r="H123" s="29"/>
      <c r="I123" s="66">
        <f>J115+J116+J118+J119+J120+J121</f>
        <v>1951.51</v>
      </c>
      <c r="J123" s="66"/>
      <c r="K123" s="30">
        <f>IF(Source!I39&lt;&gt;0, ROUND(I123/Source!I39, 2), 0)</f>
        <v>568953.35</v>
      </c>
      <c r="P123" s="27">
        <f>I123</f>
        <v>1951.51</v>
      </c>
    </row>
    <row r="124" spans="1:22" ht="28.5" x14ac:dyDescent="0.2">
      <c r="A124" s="20" t="str">
        <f>Source!E40</f>
        <v>11</v>
      </c>
      <c r="B124" s="21" t="str">
        <f>Source!F40</f>
        <v>1.50-3203-3-7/1</v>
      </c>
      <c r="C124" s="21" t="str">
        <f>Source!G40</f>
        <v>Установка закладных деталей весом до 4 кг</v>
      </c>
      <c r="D124" s="22" t="str">
        <f>Source!H40</f>
        <v>т</v>
      </c>
      <c r="E124" s="9">
        <f>Source!I40</f>
        <v>0.09</v>
      </c>
      <c r="F124" s="24"/>
      <c r="G124" s="23"/>
      <c r="H124" s="9"/>
      <c r="I124" s="9"/>
      <c r="J124" s="25"/>
      <c r="K124" s="25"/>
      <c r="Q124">
        <f>ROUND((Source!BZ40/100)*ROUND((Source!AF40*Source!AV40)*Source!I40, 2), 2)</f>
        <v>3216.61</v>
      </c>
      <c r="R124">
        <f>Source!X40</f>
        <v>3216.61</v>
      </c>
      <c r="S124">
        <f>ROUND((Source!CA40/100)*ROUND((Source!AF40*Source!AV40)*Source!I40, 2), 2)</f>
        <v>459.52</v>
      </c>
      <c r="T124">
        <f>Source!Y40</f>
        <v>459.52</v>
      </c>
      <c r="U124">
        <f>ROUND((175/100)*ROUND((Source!AE40*Source!AV40)*Source!I40, 2), 2)</f>
        <v>0</v>
      </c>
      <c r="V124">
        <f>ROUND((108/100)*ROUND(Source!CS40*Source!I40, 2), 2)</f>
        <v>0</v>
      </c>
    </row>
    <row r="125" spans="1:22" ht="14.25" x14ac:dyDescent="0.2">
      <c r="A125" s="20"/>
      <c r="B125" s="21"/>
      <c r="C125" s="21" t="s">
        <v>276</v>
      </c>
      <c r="D125" s="22"/>
      <c r="E125" s="9"/>
      <c r="F125" s="24">
        <f>Source!AO40</f>
        <v>51057.17</v>
      </c>
      <c r="G125" s="23" t="str">
        <f>Source!DG40</f>
        <v/>
      </c>
      <c r="H125" s="9">
        <f>Source!AV40</f>
        <v>1</v>
      </c>
      <c r="I125" s="9">
        <f>IF(Source!BA40&lt;&gt; 0, Source!BA40, 1)</f>
        <v>1</v>
      </c>
      <c r="J125" s="25">
        <f>Source!S40</f>
        <v>4595.1499999999996</v>
      </c>
      <c r="K125" s="25"/>
    </row>
    <row r="126" spans="1:22" ht="14.25" x14ac:dyDescent="0.2">
      <c r="A126" s="20"/>
      <c r="B126" s="21"/>
      <c r="C126" s="21" t="s">
        <v>284</v>
      </c>
      <c r="D126" s="22"/>
      <c r="E126" s="9"/>
      <c r="F126" s="24">
        <f>Source!AL40</f>
        <v>53233.52</v>
      </c>
      <c r="G126" s="23" t="str">
        <f>Source!DD40</f>
        <v/>
      </c>
      <c r="H126" s="9">
        <f>Source!AW40</f>
        <v>1</v>
      </c>
      <c r="I126" s="9">
        <f>IF(Source!BC40&lt;&gt; 0, Source!BC40, 1)</f>
        <v>1</v>
      </c>
      <c r="J126" s="25">
        <f>Source!P40</f>
        <v>4791.0200000000004</v>
      </c>
      <c r="K126" s="25"/>
    </row>
    <row r="127" spans="1:22" ht="28.5" x14ac:dyDescent="0.2">
      <c r="A127" s="20" t="str">
        <f>Source!E41</f>
        <v>11,1</v>
      </c>
      <c r="B127" s="21" t="str">
        <f>Source!F41</f>
        <v>21.7-7-41</v>
      </c>
      <c r="C127" s="21" t="str">
        <f>Source!G41</f>
        <v>Деталь закладная дополнительная для монтажа малых форм</v>
      </c>
      <c r="D127" s="22" t="str">
        <f>Source!H41</f>
        <v>шт.</v>
      </c>
      <c r="E127" s="9">
        <f>Source!I41</f>
        <v>0.99999999999999989</v>
      </c>
      <c r="F127" s="24">
        <f>Source!AK41</f>
        <v>210</v>
      </c>
      <c r="G127" s="32" t="s">
        <v>3</v>
      </c>
      <c r="H127" s="9">
        <f>Source!AW41</f>
        <v>1</v>
      </c>
      <c r="I127" s="9">
        <f>IF(Source!BC41&lt;&gt; 0, Source!BC41, 1)</f>
        <v>1</v>
      </c>
      <c r="J127" s="25">
        <f>Source!O41</f>
        <v>210</v>
      </c>
      <c r="K127" s="25"/>
      <c r="Q127">
        <f>ROUND((Source!BZ41/100)*ROUND((Source!AF41*Source!AV41)*Source!I41, 2), 2)</f>
        <v>0</v>
      </c>
      <c r="R127">
        <f>Source!X41</f>
        <v>0</v>
      </c>
      <c r="S127">
        <f>ROUND((Source!CA41/100)*ROUND((Source!AF41*Source!AV41)*Source!I41, 2), 2)</f>
        <v>0</v>
      </c>
      <c r="T127">
        <f>Source!Y41</f>
        <v>0</v>
      </c>
      <c r="U127">
        <f>ROUND((175/100)*ROUND((Source!AE41*Source!AV41)*Source!I41, 2), 2)</f>
        <v>0</v>
      </c>
      <c r="V127">
        <f>ROUND((108/100)*ROUND(Source!CS41*Source!I41, 2), 2)</f>
        <v>0</v>
      </c>
    </row>
    <row r="128" spans="1:22" ht="47.25" customHeight="1" x14ac:dyDescent="0.2">
      <c r="A128" s="20" t="str">
        <f>Source!E42</f>
        <v>11,2</v>
      </c>
      <c r="B128" s="21" t="str">
        <f>Source!F42</f>
        <v>21.3-4-24</v>
      </c>
      <c r="C128" s="21" t="str">
        <f>Source!G42</f>
        <v>Арматурные заготовки (стержни, хомуты и т.п.), не собранные в каркасы или сетки, закладные и накладные детали, со сваркой</v>
      </c>
      <c r="D128" s="22" t="str">
        <f>Source!H42</f>
        <v>т</v>
      </c>
      <c r="E128" s="9">
        <f>Source!I42</f>
        <v>-0.09</v>
      </c>
      <c r="F128" s="24">
        <f>Source!AK42</f>
        <v>53233.52</v>
      </c>
      <c r="G128" s="32" t="s">
        <v>3</v>
      </c>
      <c r="H128" s="9">
        <f>Source!AW42</f>
        <v>1</v>
      </c>
      <c r="I128" s="9">
        <f>IF(Source!BC42&lt;&gt; 0, Source!BC42, 1)</f>
        <v>1</v>
      </c>
      <c r="J128" s="25">
        <f>Source!O42</f>
        <v>-4791.0200000000004</v>
      </c>
      <c r="K128" s="25"/>
      <c r="Q128">
        <f>ROUND((Source!BZ42/100)*ROUND((Source!AF42*Source!AV42)*Source!I42, 2), 2)</f>
        <v>0</v>
      </c>
      <c r="R128">
        <f>Source!X42</f>
        <v>0</v>
      </c>
      <c r="S128">
        <f>ROUND((Source!CA42/100)*ROUND((Source!AF42*Source!AV42)*Source!I42, 2), 2)</f>
        <v>0</v>
      </c>
      <c r="T128">
        <f>Source!Y42</f>
        <v>0</v>
      </c>
      <c r="U128">
        <f>ROUND((175/100)*ROUND((Source!AE42*Source!AV42)*Source!I42, 2), 2)</f>
        <v>0</v>
      </c>
      <c r="V128">
        <f>ROUND((108/100)*ROUND(Source!CS42*Source!I42, 2), 2)</f>
        <v>0</v>
      </c>
    </row>
    <row r="129" spans="1:22" ht="14.25" x14ac:dyDescent="0.2">
      <c r="A129" s="20"/>
      <c r="B129" s="21"/>
      <c r="C129" s="21" t="s">
        <v>277</v>
      </c>
      <c r="D129" s="22" t="s">
        <v>278</v>
      </c>
      <c r="E129" s="9">
        <f>Source!AT40</f>
        <v>70</v>
      </c>
      <c r="F129" s="24"/>
      <c r="G129" s="23"/>
      <c r="H129" s="9"/>
      <c r="I129" s="9"/>
      <c r="J129" s="25">
        <f>SUM(R124:R128)</f>
        <v>3216.61</v>
      </c>
      <c r="K129" s="25"/>
    </row>
    <row r="130" spans="1:22" ht="14.25" x14ac:dyDescent="0.2">
      <c r="A130" s="20"/>
      <c r="B130" s="21"/>
      <c r="C130" s="21" t="s">
        <v>279</v>
      </c>
      <c r="D130" s="22" t="s">
        <v>278</v>
      </c>
      <c r="E130" s="9">
        <f>Source!AU40</f>
        <v>10</v>
      </c>
      <c r="F130" s="24"/>
      <c r="G130" s="23"/>
      <c r="H130" s="9"/>
      <c r="I130" s="9"/>
      <c r="J130" s="25">
        <f>SUM(T124:T129)</f>
        <v>459.52</v>
      </c>
      <c r="K130" s="25"/>
    </row>
    <row r="131" spans="1:22" ht="14.25" x14ac:dyDescent="0.2">
      <c r="A131" s="20"/>
      <c r="B131" s="21"/>
      <c r="C131" s="21" t="s">
        <v>280</v>
      </c>
      <c r="D131" s="22" t="s">
        <v>281</v>
      </c>
      <c r="E131" s="9">
        <f>Source!AQ40</f>
        <v>227.7</v>
      </c>
      <c r="F131" s="24"/>
      <c r="G131" s="23" t="str">
        <f>Source!DI40</f>
        <v/>
      </c>
      <c r="H131" s="9">
        <f>Source!AV40</f>
        <v>1</v>
      </c>
      <c r="I131" s="9"/>
      <c r="J131" s="25"/>
      <c r="K131" s="25">
        <f>Source!U40</f>
        <v>20.492999999999999</v>
      </c>
    </row>
    <row r="132" spans="1:22" ht="15" x14ac:dyDescent="0.25">
      <c r="A132" s="29"/>
      <c r="B132" s="29"/>
      <c r="C132" s="29"/>
      <c r="D132" s="29"/>
      <c r="E132" s="29"/>
      <c r="F132" s="29"/>
      <c r="G132" s="29"/>
      <c r="H132" s="29"/>
      <c r="I132" s="66">
        <f>J125+J126+J129+J130+SUM(J127:J128)</f>
        <v>8481.2800000000007</v>
      </c>
      <c r="J132" s="66"/>
      <c r="K132" s="30">
        <f>IF(Source!I40&lt;&gt;0, ROUND(I132/Source!I40, 2), 0)</f>
        <v>94236.44</v>
      </c>
      <c r="P132" s="27">
        <f>I132</f>
        <v>8481.2800000000007</v>
      </c>
    </row>
    <row r="133" spans="1:22" ht="57" customHeight="1" x14ac:dyDescent="0.2">
      <c r="A133" s="20" t="str">
        <f>Source!E43</f>
        <v>12</v>
      </c>
      <c r="B133" s="21" t="str">
        <f>Source!F43</f>
        <v>Цена поставщика</v>
      </c>
      <c r="C133" s="21" t="s">
        <v>344</v>
      </c>
      <c r="D133" s="22" t="str">
        <f>Source!H43</f>
        <v>шт.</v>
      </c>
      <c r="E133" s="9">
        <f>Source!I43</f>
        <v>1</v>
      </c>
      <c r="F133" s="24">
        <f>Source!AL43</f>
        <v>62508.75</v>
      </c>
      <c r="G133" s="23" t="str">
        <f>Source!DD43</f>
        <v/>
      </c>
      <c r="H133" s="9">
        <f>Source!AW43</f>
        <v>1</v>
      </c>
      <c r="I133" s="9">
        <f>IF(Source!BC43&lt;&gt; 0, Source!BC43, 1)</f>
        <v>1</v>
      </c>
      <c r="J133" s="25">
        <f>Source!P43</f>
        <v>62508.75</v>
      </c>
      <c r="K133" s="25"/>
      <c r="Q133">
        <f>ROUND((Source!BZ43/100)*ROUND((Source!AF43*Source!AV43)*Source!I43, 2), 2)</f>
        <v>0</v>
      </c>
      <c r="R133">
        <f>Source!X43</f>
        <v>0</v>
      </c>
      <c r="S133">
        <f>ROUND((Source!CA43/100)*ROUND((Source!AF43*Source!AV43)*Source!I43, 2), 2)</f>
        <v>0</v>
      </c>
      <c r="T133">
        <f>Source!Y43</f>
        <v>0</v>
      </c>
      <c r="U133">
        <f>ROUND((175/100)*ROUND((Source!AE43*Source!AV43)*Source!I43, 2), 2)</f>
        <v>0</v>
      </c>
      <c r="V133">
        <f>ROUND((108/100)*ROUND(Source!CS43*Source!I43, 2), 2)</f>
        <v>0</v>
      </c>
    </row>
    <row r="134" spans="1:22" ht="15" x14ac:dyDescent="0.25">
      <c r="A134" s="29"/>
      <c r="B134" s="29"/>
      <c r="C134" s="29"/>
      <c r="D134" s="29"/>
      <c r="E134" s="29"/>
      <c r="F134" s="29"/>
      <c r="G134" s="29"/>
      <c r="H134" s="29"/>
      <c r="I134" s="66">
        <f>J133</f>
        <v>62508.75</v>
      </c>
      <c r="J134" s="66"/>
      <c r="K134" s="30">
        <f>IF(Source!I43&lt;&gt;0, ROUND(I134/Source!I43, 2), 0)</f>
        <v>62508.75</v>
      </c>
      <c r="P134" s="27">
        <f>I134</f>
        <v>62508.75</v>
      </c>
    </row>
    <row r="135" spans="1:22" ht="32.25" customHeight="1" x14ac:dyDescent="0.2">
      <c r="A135" s="20" t="str">
        <f>Source!E44</f>
        <v>13</v>
      </c>
      <c r="B135" s="21" t="str">
        <f>Source!F44</f>
        <v>1.1-3303-2-1/1</v>
      </c>
      <c r="C135" s="21" t="str">
        <f>Source!G44</f>
        <v>Разработка грунта вручную в траншеях глубиной до 2 м без креплений с откосами группа грунтов 1-3</v>
      </c>
      <c r="D135" s="22" t="str">
        <f>Source!H44</f>
        <v>100 м3</v>
      </c>
      <c r="E135" s="9">
        <f>Source!I44</f>
        <v>4.8999999999999998E-3</v>
      </c>
      <c r="F135" s="24"/>
      <c r="G135" s="23"/>
      <c r="H135" s="9"/>
      <c r="I135" s="9"/>
      <c r="J135" s="25"/>
      <c r="K135" s="25"/>
      <c r="Q135">
        <f>ROUND((Source!BZ44/100)*ROUND((Source!AF44*Source!AV44)*Source!I44, 2), 2)</f>
        <v>143.88999999999999</v>
      </c>
      <c r="R135">
        <f>Source!X44</f>
        <v>143.88999999999999</v>
      </c>
      <c r="S135">
        <f>ROUND((Source!CA44/100)*ROUND((Source!AF44*Source!AV44)*Source!I44, 2), 2)</f>
        <v>20.56</v>
      </c>
      <c r="T135">
        <f>Source!Y44</f>
        <v>20.56</v>
      </c>
      <c r="U135">
        <f>ROUND((175/100)*ROUND((Source!AE44*Source!AV44)*Source!I44, 2), 2)</f>
        <v>0</v>
      </c>
      <c r="V135">
        <f>ROUND((108/100)*ROUND(Source!CS44*Source!I44, 2), 2)</f>
        <v>0</v>
      </c>
    </row>
    <row r="136" spans="1:22" x14ac:dyDescent="0.2">
      <c r="C136" s="26" t="str">
        <f>"Объем: "&amp;Source!I44&amp;"=0,7*"&amp;"0,7*"&amp;"1/"&amp;"100"</f>
        <v>Объем: 0,0049=0,7*0,7*1/100</v>
      </c>
    </row>
    <row r="137" spans="1:22" ht="14.25" x14ac:dyDescent="0.2">
      <c r="A137" s="20"/>
      <c r="B137" s="21"/>
      <c r="C137" s="21" t="s">
        <v>276</v>
      </c>
      <c r="D137" s="22"/>
      <c r="E137" s="9"/>
      <c r="F137" s="24">
        <f>Source!AO44</f>
        <v>41951.1</v>
      </c>
      <c r="G137" s="23" t="str">
        <f>Source!DG44</f>
        <v/>
      </c>
      <c r="H137" s="9">
        <f>Source!AV44</f>
        <v>1</v>
      </c>
      <c r="I137" s="9">
        <f>IF(Source!BA44&lt;&gt; 0, Source!BA44, 1)</f>
        <v>1</v>
      </c>
      <c r="J137" s="25">
        <f>Source!S44</f>
        <v>205.56</v>
      </c>
      <c r="K137" s="25"/>
    </row>
    <row r="138" spans="1:22" ht="14.25" x14ac:dyDescent="0.2">
      <c r="A138" s="20"/>
      <c r="B138" s="21"/>
      <c r="C138" s="21" t="s">
        <v>277</v>
      </c>
      <c r="D138" s="22" t="s">
        <v>278</v>
      </c>
      <c r="E138" s="9">
        <f>Source!AT44</f>
        <v>70</v>
      </c>
      <c r="F138" s="24"/>
      <c r="G138" s="23"/>
      <c r="H138" s="9"/>
      <c r="I138" s="9"/>
      <c r="J138" s="25">
        <f>SUM(R135:R137)</f>
        <v>143.88999999999999</v>
      </c>
      <c r="K138" s="25"/>
    </row>
    <row r="139" spans="1:22" ht="14.25" x14ac:dyDescent="0.2">
      <c r="A139" s="20"/>
      <c r="B139" s="21"/>
      <c r="C139" s="21" t="s">
        <v>279</v>
      </c>
      <c r="D139" s="22" t="s">
        <v>278</v>
      </c>
      <c r="E139" s="9">
        <f>Source!AU44</f>
        <v>10</v>
      </c>
      <c r="F139" s="24"/>
      <c r="G139" s="23"/>
      <c r="H139" s="9"/>
      <c r="I139" s="9"/>
      <c r="J139" s="25">
        <f>SUM(T135:T138)</f>
        <v>20.56</v>
      </c>
      <c r="K139" s="25"/>
    </row>
    <row r="140" spans="1:22" ht="14.25" x14ac:dyDescent="0.2">
      <c r="A140" s="20"/>
      <c r="B140" s="21"/>
      <c r="C140" s="21" t="s">
        <v>280</v>
      </c>
      <c r="D140" s="22" t="s">
        <v>281</v>
      </c>
      <c r="E140" s="9">
        <f>Source!AQ44</f>
        <v>221.6</v>
      </c>
      <c r="F140" s="24"/>
      <c r="G140" s="23" t="str">
        <f>Source!DI44</f>
        <v/>
      </c>
      <c r="H140" s="9">
        <f>Source!AV44</f>
        <v>1</v>
      </c>
      <c r="I140" s="9"/>
      <c r="J140" s="25"/>
      <c r="K140" s="25">
        <f>Source!U44</f>
        <v>1.0858399999999999</v>
      </c>
    </row>
    <row r="141" spans="1:22" ht="15" x14ac:dyDescent="0.25">
      <c r="A141" s="29"/>
      <c r="B141" s="29"/>
      <c r="C141" s="29"/>
      <c r="D141" s="29"/>
      <c r="E141" s="29"/>
      <c r="F141" s="29"/>
      <c r="G141" s="29"/>
      <c r="H141" s="29"/>
      <c r="I141" s="66">
        <f>J137+J138+J139</f>
        <v>370.01</v>
      </c>
      <c r="J141" s="66"/>
      <c r="K141" s="30">
        <f>IF(Source!I44&lt;&gt;0, ROUND(I141/Source!I44, 2), 0)</f>
        <v>75512.240000000005</v>
      </c>
      <c r="P141" s="27">
        <f>I141</f>
        <v>370.01</v>
      </c>
    </row>
    <row r="142" spans="1:22" ht="28.5" x14ac:dyDescent="0.2">
      <c r="A142" s="20" t="str">
        <f>Source!E45</f>
        <v>14</v>
      </c>
      <c r="B142" s="21" t="str">
        <f>Source!F45</f>
        <v>1.2-3103-29-1/1</v>
      </c>
      <c r="C142" s="21" t="str">
        <f>Source!G45</f>
        <v>Устройство песчаного основания под фундаменты</v>
      </c>
      <c r="D142" s="22" t="str">
        <f>Source!H45</f>
        <v>м3</v>
      </c>
      <c r="E142" s="9">
        <f>Source!I45</f>
        <v>4.9000000000000002E-2</v>
      </c>
      <c r="F142" s="24"/>
      <c r="G142" s="23"/>
      <c r="H142" s="9"/>
      <c r="I142" s="9"/>
      <c r="J142" s="25"/>
      <c r="K142" s="25"/>
      <c r="Q142">
        <f>ROUND((Source!BZ45/100)*ROUND((Source!AF45*Source!AV45)*Source!I45, 2), 2)</f>
        <v>5.71</v>
      </c>
      <c r="R142">
        <f>Source!X45</f>
        <v>5.71</v>
      </c>
      <c r="S142">
        <f>ROUND((Source!CA45/100)*ROUND((Source!AF45*Source!AV45)*Source!I45, 2), 2)</f>
        <v>0.82</v>
      </c>
      <c r="T142">
        <f>Source!Y45</f>
        <v>0.82</v>
      </c>
      <c r="U142">
        <f>ROUND((175/100)*ROUND((Source!AE45*Source!AV45)*Source!I45, 2), 2)</f>
        <v>10.64</v>
      </c>
      <c r="V142">
        <f>ROUND((108/100)*ROUND(Source!CS45*Source!I45, 2), 2)</f>
        <v>6.57</v>
      </c>
    </row>
    <row r="143" spans="1:22" x14ac:dyDescent="0.2">
      <c r="C143" s="26" t="str">
        <f>"Объем: "&amp;Source!I45&amp;"=0,7*"&amp;"0,7*"&amp;"0,1"</f>
        <v>Объем: 0,049=0,7*0,7*0,1</v>
      </c>
    </row>
    <row r="144" spans="1:22" ht="14.25" x14ac:dyDescent="0.2">
      <c r="A144" s="20"/>
      <c r="B144" s="21"/>
      <c r="C144" s="21" t="s">
        <v>276</v>
      </c>
      <c r="D144" s="22"/>
      <c r="E144" s="9"/>
      <c r="F144" s="24">
        <f>Source!AO45</f>
        <v>166.52</v>
      </c>
      <c r="G144" s="23" t="str">
        <f>Source!DG45</f>
        <v/>
      </c>
      <c r="H144" s="9">
        <f>Source!AV45</f>
        <v>1</v>
      </c>
      <c r="I144" s="9">
        <f>IF(Source!BA45&lt;&gt; 0, Source!BA45, 1)</f>
        <v>1</v>
      </c>
      <c r="J144" s="25">
        <f>Source!S45</f>
        <v>8.16</v>
      </c>
      <c r="K144" s="25"/>
    </row>
    <row r="145" spans="1:22" ht="14.25" x14ac:dyDescent="0.2">
      <c r="A145" s="20"/>
      <c r="B145" s="21"/>
      <c r="C145" s="21" t="s">
        <v>282</v>
      </c>
      <c r="D145" s="22"/>
      <c r="E145" s="9"/>
      <c r="F145" s="24">
        <f>Source!AM45</f>
        <v>210.68</v>
      </c>
      <c r="G145" s="23" t="str">
        <f>Source!DE45</f>
        <v/>
      </c>
      <c r="H145" s="9">
        <f>Source!AV45</f>
        <v>1</v>
      </c>
      <c r="I145" s="9">
        <f>IF(Source!BB45&lt;&gt; 0, Source!BB45, 1)</f>
        <v>1</v>
      </c>
      <c r="J145" s="25">
        <f>Source!Q45</f>
        <v>10.32</v>
      </c>
      <c r="K145" s="25"/>
    </row>
    <row r="146" spans="1:22" ht="14.25" x14ac:dyDescent="0.2">
      <c r="A146" s="20"/>
      <c r="B146" s="21"/>
      <c r="C146" s="21" t="s">
        <v>283</v>
      </c>
      <c r="D146" s="22"/>
      <c r="E146" s="9"/>
      <c r="F146" s="24">
        <f>Source!AN45</f>
        <v>124.16</v>
      </c>
      <c r="G146" s="23" t="str">
        <f>Source!DF45</f>
        <v/>
      </c>
      <c r="H146" s="9">
        <f>Source!AV45</f>
        <v>1</v>
      </c>
      <c r="I146" s="9">
        <f>IF(Source!BS45&lt;&gt; 0, Source!BS45, 1)</f>
        <v>1</v>
      </c>
      <c r="J146" s="31">
        <f>Source!R45</f>
        <v>6.08</v>
      </c>
      <c r="K146" s="25"/>
    </row>
    <row r="147" spans="1:22" ht="14.25" x14ac:dyDescent="0.2">
      <c r="A147" s="20"/>
      <c r="B147" s="21"/>
      <c r="C147" s="21" t="s">
        <v>284</v>
      </c>
      <c r="D147" s="22"/>
      <c r="E147" s="9"/>
      <c r="F147" s="24">
        <f>Source!AL45</f>
        <v>655.15</v>
      </c>
      <c r="G147" s="23" t="str">
        <f>Source!DD45</f>
        <v/>
      </c>
      <c r="H147" s="9">
        <f>Source!AW45</f>
        <v>1</v>
      </c>
      <c r="I147" s="9">
        <f>IF(Source!BC45&lt;&gt; 0, Source!BC45, 1)</f>
        <v>1</v>
      </c>
      <c r="J147" s="25">
        <f>Source!P45</f>
        <v>32.1</v>
      </c>
      <c r="K147" s="25"/>
    </row>
    <row r="148" spans="1:22" ht="14.25" x14ac:dyDescent="0.2">
      <c r="A148" s="20"/>
      <c r="B148" s="21"/>
      <c r="C148" s="21" t="s">
        <v>277</v>
      </c>
      <c r="D148" s="22" t="s">
        <v>278</v>
      </c>
      <c r="E148" s="9">
        <f>Source!AT45</f>
        <v>70</v>
      </c>
      <c r="F148" s="24"/>
      <c r="G148" s="23"/>
      <c r="H148" s="9"/>
      <c r="I148" s="9"/>
      <c r="J148" s="25">
        <f>SUM(R142:R147)</f>
        <v>5.71</v>
      </c>
      <c r="K148" s="25"/>
    </row>
    <row r="149" spans="1:22" ht="14.25" x14ac:dyDescent="0.2">
      <c r="A149" s="20"/>
      <c r="B149" s="21"/>
      <c r="C149" s="21" t="s">
        <v>279</v>
      </c>
      <c r="D149" s="22" t="s">
        <v>278</v>
      </c>
      <c r="E149" s="9">
        <f>Source!AU45</f>
        <v>10</v>
      </c>
      <c r="F149" s="24"/>
      <c r="G149" s="23"/>
      <c r="H149" s="9"/>
      <c r="I149" s="9"/>
      <c r="J149" s="25">
        <f>SUM(T142:T148)</f>
        <v>0.82</v>
      </c>
      <c r="K149" s="25"/>
    </row>
    <row r="150" spans="1:22" ht="14.25" x14ac:dyDescent="0.2">
      <c r="A150" s="20"/>
      <c r="B150" s="21"/>
      <c r="C150" s="21" t="s">
        <v>285</v>
      </c>
      <c r="D150" s="22" t="s">
        <v>278</v>
      </c>
      <c r="E150" s="9">
        <f>108</f>
        <v>108</v>
      </c>
      <c r="F150" s="24"/>
      <c r="G150" s="23"/>
      <c r="H150" s="9"/>
      <c r="I150" s="9"/>
      <c r="J150" s="25">
        <f>SUM(V142:V149)</f>
        <v>6.57</v>
      </c>
      <c r="K150" s="25"/>
    </row>
    <row r="151" spans="1:22" ht="14.25" x14ac:dyDescent="0.2">
      <c r="A151" s="20"/>
      <c r="B151" s="21"/>
      <c r="C151" s="21" t="s">
        <v>280</v>
      </c>
      <c r="D151" s="22" t="s">
        <v>281</v>
      </c>
      <c r="E151" s="9">
        <f>Source!AQ45</f>
        <v>0.9</v>
      </c>
      <c r="F151" s="24"/>
      <c r="G151" s="23" t="str">
        <f>Source!DI45</f>
        <v/>
      </c>
      <c r="H151" s="9">
        <f>Source!AV45</f>
        <v>1</v>
      </c>
      <c r="I151" s="9"/>
      <c r="J151" s="25"/>
      <c r="K151" s="25">
        <f>Source!U45</f>
        <v>4.41E-2</v>
      </c>
    </row>
    <row r="152" spans="1:22" ht="15" x14ac:dyDescent="0.25">
      <c r="A152" s="29"/>
      <c r="B152" s="29"/>
      <c r="C152" s="29"/>
      <c r="D152" s="29"/>
      <c r="E152" s="29"/>
      <c r="F152" s="29"/>
      <c r="G152" s="29"/>
      <c r="H152" s="29"/>
      <c r="I152" s="66">
        <f>J144+J145+J147+J148+J149+J150</f>
        <v>63.68</v>
      </c>
      <c r="J152" s="66"/>
      <c r="K152" s="30">
        <f>IF(Source!I45&lt;&gt;0, ROUND(I152/Source!I45, 2), 0)</f>
        <v>1299.5899999999999</v>
      </c>
      <c r="P152" s="27">
        <f>I152</f>
        <v>63.68</v>
      </c>
    </row>
    <row r="153" spans="1:22" ht="28.5" x14ac:dyDescent="0.2">
      <c r="A153" s="20" t="str">
        <f>Source!E46</f>
        <v>15</v>
      </c>
      <c r="B153" s="21" t="str">
        <f>Source!F46</f>
        <v>1.2-3103-29-2/1</v>
      </c>
      <c r="C153" s="21" t="str">
        <f>Source!G46</f>
        <v>Устройство щебеночного основания под фундаменты</v>
      </c>
      <c r="D153" s="22" t="str">
        <f>Source!H46</f>
        <v>м3</v>
      </c>
      <c r="E153" s="9">
        <f>Source!I46</f>
        <v>9.8000000000000004E-2</v>
      </c>
      <c r="F153" s="24"/>
      <c r="G153" s="23"/>
      <c r="H153" s="9"/>
      <c r="I153" s="9"/>
      <c r="J153" s="25"/>
      <c r="K153" s="25"/>
      <c r="Q153">
        <f>ROUND((Source!BZ46/100)*ROUND((Source!AF46*Source!AV46)*Source!I46, 2), 2)</f>
        <v>12.44</v>
      </c>
      <c r="R153">
        <f>Source!X46</f>
        <v>12.44</v>
      </c>
      <c r="S153">
        <f>ROUND((Source!CA46/100)*ROUND((Source!AF46*Source!AV46)*Source!I46, 2), 2)</f>
        <v>1.78</v>
      </c>
      <c r="T153">
        <f>Source!Y46</f>
        <v>1.78</v>
      </c>
      <c r="U153">
        <f>ROUND((175/100)*ROUND((Source!AE46*Source!AV46)*Source!I46, 2), 2)</f>
        <v>23.17</v>
      </c>
      <c r="V153">
        <f>ROUND((108/100)*ROUND(Source!CS46*Source!I46, 2), 2)</f>
        <v>14.3</v>
      </c>
    </row>
    <row r="154" spans="1:22" x14ac:dyDescent="0.2">
      <c r="C154" s="26" t="str">
        <f>"Объем: "&amp;Source!I46&amp;"=0,7*"&amp;"0,7*"&amp;"0,2"</f>
        <v>Объем: 0,098=0,7*0,7*0,2</v>
      </c>
    </row>
    <row r="155" spans="1:22" ht="14.25" x14ac:dyDescent="0.2">
      <c r="A155" s="20"/>
      <c r="B155" s="21"/>
      <c r="C155" s="21" t="s">
        <v>276</v>
      </c>
      <c r="D155" s="22"/>
      <c r="E155" s="9"/>
      <c r="F155" s="24">
        <f>Source!AO46</f>
        <v>181.32</v>
      </c>
      <c r="G155" s="23" t="str">
        <f>Source!DG46</f>
        <v/>
      </c>
      <c r="H155" s="9">
        <f>Source!AV46</f>
        <v>1</v>
      </c>
      <c r="I155" s="9">
        <f>IF(Source!BA46&lt;&gt; 0, Source!BA46, 1)</f>
        <v>1</v>
      </c>
      <c r="J155" s="25">
        <f>Source!S46</f>
        <v>17.77</v>
      </c>
      <c r="K155" s="25"/>
    </row>
    <row r="156" spans="1:22" ht="14.25" x14ac:dyDescent="0.2">
      <c r="A156" s="20"/>
      <c r="B156" s="21"/>
      <c r="C156" s="21" t="s">
        <v>282</v>
      </c>
      <c r="D156" s="22"/>
      <c r="E156" s="9"/>
      <c r="F156" s="24">
        <f>Source!AM46</f>
        <v>224.99</v>
      </c>
      <c r="G156" s="23" t="str">
        <f>Source!DE46</f>
        <v/>
      </c>
      <c r="H156" s="9">
        <f>Source!AV46</f>
        <v>1</v>
      </c>
      <c r="I156" s="9">
        <f>IF(Source!BB46&lt;&gt; 0, Source!BB46, 1)</f>
        <v>1</v>
      </c>
      <c r="J156" s="25">
        <f>Source!Q46</f>
        <v>22.05</v>
      </c>
      <c r="K156" s="25"/>
    </row>
    <row r="157" spans="1:22" ht="14.25" x14ac:dyDescent="0.2">
      <c r="A157" s="20"/>
      <c r="B157" s="21"/>
      <c r="C157" s="21" t="s">
        <v>283</v>
      </c>
      <c r="D157" s="22"/>
      <c r="E157" s="9"/>
      <c r="F157" s="24">
        <f>Source!AN46</f>
        <v>135.08000000000001</v>
      </c>
      <c r="G157" s="23" t="str">
        <f>Source!DF46</f>
        <v/>
      </c>
      <c r="H157" s="9">
        <f>Source!AV46</f>
        <v>1</v>
      </c>
      <c r="I157" s="9">
        <f>IF(Source!BS46&lt;&gt; 0, Source!BS46, 1)</f>
        <v>1</v>
      </c>
      <c r="J157" s="31">
        <f>Source!R46</f>
        <v>13.24</v>
      </c>
      <c r="K157" s="25"/>
    </row>
    <row r="158" spans="1:22" ht="14.25" x14ac:dyDescent="0.2">
      <c r="A158" s="20"/>
      <c r="B158" s="21"/>
      <c r="C158" s="21" t="s">
        <v>284</v>
      </c>
      <c r="D158" s="22"/>
      <c r="E158" s="9"/>
      <c r="F158" s="24">
        <f>Source!AL46</f>
        <v>1657.26</v>
      </c>
      <c r="G158" s="23" t="str">
        <f>Source!DD46</f>
        <v/>
      </c>
      <c r="H158" s="9">
        <f>Source!AW46</f>
        <v>1</v>
      </c>
      <c r="I158" s="9">
        <f>IF(Source!BC46&lt;&gt; 0, Source!BC46, 1)</f>
        <v>1</v>
      </c>
      <c r="J158" s="25">
        <f>Source!P46</f>
        <v>162.41</v>
      </c>
      <c r="K158" s="25"/>
    </row>
    <row r="159" spans="1:22" ht="14.25" x14ac:dyDescent="0.2">
      <c r="A159" s="20"/>
      <c r="B159" s="21"/>
      <c r="C159" s="21" t="s">
        <v>277</v>
      </c>
      <c r="D159" s="22" t="s">
        <v>278</v>
      </c>
      <c r="E159" s="9">
        <f>Source!AT46</f>
        <v>70</v>
      </c>
      <c r="F159" s="24"/>
      <c r="G159" s="23"/>
      <c r="H159" s="9"/>
      <c r="I159" s="9"/>
      <c r="J159" s="25">
        <f>SUM(R153:R158)</f>
        <v>12.44</v>
      </c>
      <c r="K159" s="25"/>
    </row>
    <row r="160" spans="1:22" ht="14.25" x14ac:dyDescent="0.2">
      <c r="A160" s="20"/>
      <c r="B160" s="21"/>
      <c r="C160" s="21" t="s">
        <v>279</v>
      </c>
      <c r="D160" s="22" t="s">
        <v>278</v>
      </c>
      <c r="E160" s="9">
        <f>Source!AU46</f>
        <v>10</v>
      </c>
      <c r="F160" s="24"/>
      <c r="G160" s="23"/>
      <c r="H160" s="9"/>
      <c r="I160" s="9"/>
      <c r="J160" s="25">
        <f>SUM(T153:T159)</f>
        <v>1.78</v>
      </c>
      <c r="K160" s="25"/>
    </row>
    <row r="161" spans="1:22" ht="14.25" x14ac:dyDescent="0.2">
      <c r="A161" s="20"/>
      <c r="B161" s="21"/>
      <c r="C161" s="21" t="s">
        <v>285</v>
      </c>
      <c r="D161" s="22" t="s">
        <v>278</v>
      </c>
      <c r="E161" s="9">
        <f>108</f>
        <v>108</v>
      </c>
      <c r="F161" s="24"/>
      <c r="G161" s="23"/>
      <c r="H161" s="9"/>
      <c r="I161" s="9"/>
      <c r="J161" s="25">
        <f>SUM(V153:V160)</f>
        <v>14.3</v>
      </c>
      <c r="K161" s="25"/>
    </row>
    <row r="162" spans="1:22" ht="14.25" x14ac:dyDescent="0.2">
      <c r="A162" s="20"/>
      <c r="B162" s="21"/>
      <c r="C162" s="21" t="s">
        <v>280</v>
      </c>
      <c r="D162" s="22" t="s">
        <v>281</v>
      </c>
      <c r="E162" s="9">
        <f>Source!AQ46</f>
        <v>0.98</v>
      </c>
      <c r="F162" s="24"/>
      <c r="G162" s="23" t="str">
        <f>Source!DI46</f>
        <v/>
      </c>
      <c r="H162" s="9">
        <f>Source!AV46</f>
        <v>1</v>
      </c>
      <c r="I162" s="9"/>
      <c r="J162" s="25"/>
      <c r="K162" s="25">
        <f>Source!U46</f>
        <v>9.604E-2</v>
      </c>
    </row>
    <row r="163" spans="1:22" ht="15" x14ac:dyDescent="0.25">
      <c r="A163" s="29"/>
      <c r="B163" s="29"/>
      <c r="C163" s="29"/>
      <c r="D163" s="29"/>
      <c r="E163" s="29"/>
      <c r="F163" s="29"/>
      <c r="G163" s="29"/>
      <c r="H163" s="29"/>
      <c r="I163" s="66">
        <f>J155+J156+J158+J159+J160+J161</f>
        <v>230.75</v>
      </c>
      <c r="J163" s="66"/>
      <c r="K163" s="30">
        <f>IF(Source!I46&lt;&gt;0, ROUND(I163/Source!I46, 2), 0)</f>
        <v>2354.59</v>
      </c>
      <c r="P163" s="27">
        <f>I163</f>
        <v>230.75</v>
      </c>
    </row>
    <row r="164" spans="1:22" ht="28.5" x14ac:dyDescent="0.2">
      <c r="A164" s="20" t="str">
        <f>Source!E47</f>
        <v>16</v>
      </c>
      <c r="B164" s="21" t="str">
        <f>Source!F47</f>
        <v>1.2-3103-2-13/1</v>
      </c>
      <c r="C164" s="21" t="str">
        <f>Source!G47</f>
        <v>Устройство фундаментов-столбов бетонных</v>
      </c>
      <c r="D164" s="22" t="str">
        <f>Source!H47</f>
        <v>100 м3</v>
      </c>
      <c r="E164" s="9">
        <f>Source!I47</f>
        <v>3.4299999999999999E-3</v>
      </c>
      <c r="F164" s="24"/>
      <c r="G164" s="23"/>
      <c r="H164" s="9"/>
      <c r="I164" s="9"/>
      <c r="J164" s="25"/>
      <c r="K164" s="25"/>
      <c r="Q164">
        <f>ROUND((Source!BZ47/100)*ROUND((Source!AF47*Source!AV47)*Source!I47, 2), 2)</f>
        <v>273.52</v>
      </c>
      <c r="R164">
        <f>Source!X47</f>
        <v>273.52</v>
      </c>
      <c r="S164">
        <f>ROUND((Source!CA47/100)*ROUND((Source!AF47*Source!AV47)*Source!I47, 2), 2)</f>
        <v>39.07</v>
      </c>
      <c r="T164">
        <f>Source!Y47</f>
        <v>39.07</v>
      </c>
      <c r="U164">
        <f>ROUND((175/100)*ROUND((Source!AE47*Source!AV47)*Source!I47, 2), 2)</f>
        <v>1.24</v>
      </c>
      <c r="V164">
        <f>ROUND((108/100)*ROUND(Source!CS47*Source!I47, 2), 2)</f>
        <v>0.77</v>
      </c>
    </row>
    <row r="165" spans="1:22" x14ac:dyDescent="0.2">
      <c r="C165" s="26" t="str">
        <f>"Объем: "&amp;Source!I47&amp;"=(0,7*"&amp;"0,7*"&amp;"0,7*"&amp;"1)/"&amp;"100"</f>
        <v>Объем: 0,00343=(0,7*0,7*0,7*1)/100</v>
      </c>
    </row>
    <row r="166" spans="1:22" ht="14.25" x14ac:dyDescent="0.2">
      <c r="A166" s="20"/>
      <c r="B166" s="21"/>
      <c r="C166" s="21" t="s">
        <v>276</v>
      </c>
      <c r="D166" s="22"/>
      <c r="E166" s="9"/>
      <c r="F166" s="24">
        <f>Source!AO47</f>
        <v>113917.16</v>
      </c>
      <c r="G166" s="23" t="str">
        <f>Source!DG47</f>
        <v/>
      </c>
      <c r="H166" s="9">
        <f>Source!AV47</f>
        <v>1</v>
      </c>
      <c r="I166" s="9">
        <f>IF(Source!BA47&lt;&gt; 0, Source!BA47, 1)</f>
        <v>1</v>
      </c>
      <c r="J166" s="25">
        <f>Source!S47</f>
        <v>390.74</v>
      </c>
      <c r="K166" s="25"/>
    </row>
    <row r="167" spans="1:22" ht="14.25" x14ac:dyDescent="0.2">
      <c r="A167" s="20"/>
      <c r="B167" s="21"/>
      <c r="C167" s="21" t="s">
        <v>282</v>
      </c>
      <c r="D167" s="22"/>
      <c r="E167" s="9"/>
      <c r="F167" s="24">
        <f>Source!AM47</f>
        <v>547.28</v>
      </c>
      <c r="G167" s="23" t="str">
        <f>Source!DE47</f>
        <v/>
      </c>
      <c r="H167" s="9">
        <f>Source!AV47</f>
        <v>1</v>
      </c>
      <c r="I167" s="9">
        <f>IF(Source!BB47&lt;&gt; 0, Source!BB47, 1)</f>
        <v>1</v>
      </c>
      <c r="J167" s="25">
        <f>Source!Q47</f>
        <v>1.88</v>
      </c>
      <c r="K167" s="25"/>
    </row>
    <row r="168" spans="1:22" ht="14.25" x14ac:dyDescent="0.2">
      <c r="A168" s="20"/>
      <c r="B168" s="21"/>
      <c r="C168" s="21" t="s">
        <v>283</v>
      </c>
      <c r="D168" s="22"/>
      <c r="E168" s="9"/>
      <c r="F168" s="24">
        <f>Source!AN47</f>
        <v>206.05</v>
      </c>
      <c r="G168" s="23" t="str">
        <f>Source!DF47</f>
        <v/>
      </c>
      <c r="H168" s="9">
        <f>Source!AV47</f>
        <v>1</v>
      </c>
      <c r="I168" s="9">
        <f>IF(Source!BS47&lt;&gt; 0, Source!BS47, 1)</f>
        <v>1</v>
      </c>
      <c r="J168" s="31">
        <f>Source!R47</f>
        <v>0.71</v>
      </c>
      <c r="K168" s="25"/>
    </row>
    <row r="169" spans="1:22" ht="14.25" x14ac:dyDescent="0.2">
      <c r="A169" s="20"/>
      <c r="B169" s="21"/>
      <c r="C169" s="21" t="s">
        <v>284</v>
      </c>
      <c r="D169" s="22"/>
      <c r="E169" s="9"/>
      <c r="F169" s="24">
        <f>Source!AL47</f>
        <v>363129.4</v>
      </c>
      <c r="G169" s="23" t="str">
        <f>Source!DD47</f>
        <v/>
      </c>
      <c r="H169" s="9">
        <f>Source!AW47</f>
        <v>1</v>
      </c>
      <c r="I169" s="9">
        <f>IF(Source!BC47&lt;&gt; 0, Source!BC47, 1)</f>
        <v>1</v>
      </c>
      <c r="J169" s="25">
        <f>Source!P47</f>
        <v>1245.53</v>
      </c>
      <c r="K169" s="25"/>
    </row>
    <row r="170" spans="1:22" ht="14.25" x14ac:dyDescent="0.2">
      <c r="A170" s="20"/>
      <c r="B170" s="21"/>
      <c r="C170" s="21" t="s">
        <v>277</v>
      </c>
      <c r="D170" s="22" t="s">
        <v>278</v>
      </c>
      <c r="E170" s="9">
        <f>Source!AT47</f>
        <v>70</v>
      </c>
      <c r="F170" s="24"/>
      <c r="G170" s="23"/>
      <c r="H170" s="9"/>
      <c r="I170" s="9"/>
      <c r="J170" s="25">
        <f>SUM(R164:R169)</f>
        <v>273.52</v>
      </c>
      <c r="K170" s="25"/>
    </row>
    <row r="171" spans="1:22" ht="14.25" x14ac:dyDescent="0.2">
      <c r="A171" s="20"/>
      <c r="B171" s="21"/>
      <c r="C171" s="21" t="s">
        <v>279</v>
      </c>
      <c r="D171" s="22" t="s">
        <v>278</v>
      </c>
      <c r="E171" s="9">
        <f>Source!AU47</f>
        <v>10</v>
      </c>
      <c r="F171" s="24"/>
      <c r="G171" s="23"/>
      <c r="H171" s="9"/>
      <c r="I171" s="9"/>
      <c r="J171" s="25">
        <f>SUM(T164:T170)</f>
        <v>39.07</v>
      </c>
      <c r="K171" s="25"/>
    </row>
    <row r="172" spans="1:22" ht="14.25" x14ac:dyDescent="0.2">
      <c r="A172" s="20"/>
      <c r="B172" s="21"/>
      <c r="C172" s="21" t="s">
        <v>285</v>
      </c>
      <c r="D172" s="22" t="s">
        <v>278</v>
      </c>
      <c r="E172" s="9">
        <f>108</f>
        <v>108</v>
      </c>
      <c r="F172" s="24"/>
      <c r="G172" s="23"/>
      <c r="H172" s="9"/>
      <c r="I172" s="9"/>
      <c r="J172" s="25">
        <f>SUM(V164:V171)</f>
        <v>0.77</v>
      </c>
      <c r="K172" s="25"/>
    </row>
    <row r="173" spans="1:22" ht="14.25" x14ac:dyDescent="0.2">
      <c r="A173" s="20"/>
      <c r="B173" s="21"/>
      <c r="C173" s="21" t="s">
        <v>280</v>
      </c>
      <c r="D173" s="22" t="s">
        <v>281</v>
      </c>
      <c r="E173" s="9">
        <f>Source!AQ47</f>
        <v>563.5</v>
      </c>
      <c r="F173" s="24"/>
      <c r="G173" s="23" t="str">
        <f>Source!DI47</f>
        <v/>
      </c>
      <c r="H173" s="9">
        <f>Source!AV47</f>
        <v>1</v>
      </c>
      <c r="I173" s="9"/>
      <c r="J173" s="25"/>
      <c r="K173" s="25">
        <f>Source!U47</f>
        <v>1.9328049999999999</v>
      </c>
    </row>
    <row r="174" spans="1:22" ht="15" x14ac:dyDescent="0.25">
      <c r="A174" s="29"/>
      <c r="B174" s="29"/>
      <c r="C174" s="29"/>
      <c r="D174" s="29"/>
      <c r="E174" s="29"/>
      <c r="F174" s="29"/>
      <c r="G174" s="29"/>
      <c r="H174" s="29"/>
      <c r="I174" s="66">
        <f>J166+J167+J169+J170+J171+J172</f>
        <v>1951.51</v>
      </c>
      <c r="J174" s="66"/>
      <c r="K174" s="30">
        <f>IF(Source!I47&lt;&gt;0, ROUND(I174/Source!I47, 2), 0)</f>
        <v>568953.35</v>
      </c>
      <c r="P174" s="27">
        <f>I174</f>
        <v>1951.51</v>
      </c>
    </row>
    <row r="175" spans="1:22" ht="28.5" x14ac:dyDescent="0.2">
      <c r="A175" s="20" t="str">
        <f>Source!E48</f>
        <v>17</v>
      </c>
      <c r="B175" s="21" t="str">
        <f>Source!F48</f>
        <v>1.50-3203-3-7/1</v>
      </c>
      <c r="C175" s="21" t="str">
        <f>Source!G48</f>
        <v>Установка закладных деталей весом до 4 кг</v>
      </c>
      <c r="D175" s="22" t="str">
        <f>Source!H48</f>
        <v>т</v>
      </c>
      <c r="E175" s="9">
        <f>Source!I48</f>
        <v>8.5000000000000006E-2</v>
      </c>
      <c r="F175" s="24"/>
      <c r="G175" s="23"/>
      <c r="H175" s="9"/>
      <c r="I175" s="9"/>
      <c r="J175" s="25"/>
      <c r="K175" s="25"/>
      <c r="Q175">
        <f>ROUND((Source!BZ48/100)*ROUND((Source!AF48*Source!AV48)*Source!I48, 2), 2)</f>
        <v>3037.9</v>
      </c>
      <c r="R175">
        <f>Source!X48</f>
        <v>3037.9</v>
      </c>
      <c r="S175">
        <f>ROUND((Source!CA48/100)*ROUND((Source!AF48*Source!AV48)*Source!I48, 2), 2)</f>
        <v>433.99</v>
      </c>
      <c r="T175">
        <f>Source!Y48</f>
        <v>433.99</v>
      </c>
      <c r="U175">
        <f>ROUND((175/100)*ROUND((Source!AE48*Source!AV48)*Source!I48, 2), 2)</f>
        <v>0</v>
      </c>
      <c r="V175">
        <f>ROUND((108/100)*ROUND(Source!CS48*Source!I48, 2), 2)</f>
        <v>0</v>
      </c>
    </row>
    <row r="176" spans="1:22" ht="14.25" x14ac:dyDescent="0.2">
      <c r="A176" s="20"/>
      <c r="B176" s="21"/>
      <c r="C176" s="21" t="s">
        <v>276</v>
      </c>
      <c r="D176" s="22"/>
      <c r="E176" s="9"/>
      <c r="F176" s="24">
        <f>Source!AO48</f>
        <v>51057.17</v>
      </c>
      <c r="G176" s="23" t="str">
        <f>Source!DG48</f>
        <v/>
      </c>
      <c r="H176" s="9">
        <f>Source!AV48</f>
        <v>1</v>
      </c>
      <c r="I176" s="9">
        <f>IF(Source!BA48&lt;&gt; 0, Source!BA48, 1)</f>
        <v>1</v>
      </c>
      <c r="J176" s="25">
        <f>Source!S48</f>
        <v>4339.8599999999997</v>
      </c>
      <c r="K176" s="25"/>
    </row>
    <row r="177" spans="1:22" ht="14.25" x14ac:dyDescent="0.2">
      <c r="A177" s="20"/>
      <c r="B177" s="21"/>
      <c r="C177" s="21" t="s">
        <v>284</v>
      </c>
      <c r="D177" s="22"/>
      <c r="E177" s="9"/>
      <c r="F177" s="24">
        <f>Source!AL48</f>
        <v>53233.52</v>
      </c>
      <c r="G177" s="23" t="str">
        <f>Source!DD48</f>
        <v/>
      </c>
      <c r="H177" s="9">
        <f>Source!AW48</f>
        <v>1</v>
      </c>
      <c r="I177" s="9">
        <f>IF(Source!BC48&lt;&gt; 0, Source!BC48, 1)</f>
        <v>1</v>
      </c>
      <c r="J177" s="25">
        <f>Source!P48</f>
        <v>4524.8500000000004</v>
      </c>
      <c r="K177" s="25"/>
    </row>
    <row r="178" spans="1:22" ht="28.5" x14ac:dyDescent="0.2">
      <c r="A178" s="20" t="str">
        <f>Source!E49</f>
        <v>17,1</v>
      </c>
      <c r="B178" s="21" t="str">
        <f>Source!F49</f>
        <v>21.7-7-41</v>
      </c>
      <c r="C178" s="21" t="str">
        <f>Source!G49</f>
        <v>Деталь закладная дополнительная для монтажа малых форм</v>
      </c>
      <c r="D178" s="22" t="str">
        <f>Source!H49</f>
        <v>шт.</v>
      </c>
      <c r="E178" s="9">
        <f>Source!I49</f>
        <v>1</v>
      </c>
      <c r="F178" s="24">
        <f>Source!AK49</f>
        <v>210</v>
      </c>
      <c r="G178" s="32" t="s">
        <v>3</v>
      </c>
      <c r="H178" s="9">
        <f>Source!AW49</f>
        <v>1</v>
      </c>
      <c r="I178" s="9">
        <f>IF(Source!BC49&lt;&gt; 0, Source!BC49, 1)</f>
        <v>1</v>
      </c>
      <c r="J178" s="25">
        <f>Source!O49</f>
        <v>210</v>
      </c>
      <c r="K178" s="25"/>
      <c r="Q178">
        <f>ROUND((Source!BZ49/100)*ROUND((Source!AF49*Source!AV49)*Source!I49, 2), 2)</f>
        <v>0</v>
      </c>
      <c r="R178">
        <f>Source!X49</f>
        <v>0</v>
      </c>
      <c r="S178">
        <f>ROUND((Source!CA49/100)*ROUND((Source!AF49*Source!AV49)*Source!I49, 2), 2)</f>
        <v>0</v>
      </c>
      <c r="T178">
        <f>Source!Y49</f>
        <v>0</v>
      </c>
      <c r="U178">
        <f>ROUND((175/100)*ROUND((Source!AE49*Source!AV49)*Source!I49, 2), 2)</f>
        <v>0</v>
      </c>
      <c r="V178">
        <f>ROUND((108/100)*ROUND(Source!CS49*Source!I49, 2), 2)</f>
        <v>0</v>
      </c>
    </row>
    <row r="179" spans="1:22" ht="44.25" customHeight="1" x14ac:dyDescent="0.2">
      <c r="A179" s="20" t="str">
        <f>Source!E50</f>
        <v>17,2</v>
      </c>
      <c r="B179" s="21" t="str">
        <f>Source!F50</f>
        <v>21.3-4-24</v>
      </c>
      <c r="C179" s="21" t="str">
        <f>Source!G50</f>
        <v>Арматурные заготовки (стержни, хомуты и т.п.), не собранные в каркасы или сетки, закладные и накладные детали, со сваркой</v>
      </c>
      <c r="D179" s="22" t="str">
        <f>Source!H50</f>
        <v>т</v>
      </c>
      <c r="E179" s="9">
        <f>Source!I50</f>
        <v>-8.5000000000000006E-2</v>
      </c>
      <c r="F179" s="24">
        <f>Source!AK50</f>
        <v>53233.52</v>
      </c>
      <c r="G179" s="32" t="s">
        <v>3</v>
      </c>
      <c r="H179" s="9">
        <f>Source!AW50</f>
        <v>1</v>
      </c>
      <c r="I179" s="9">
        <f>IF(Source!BC50&lt;&gt; 0, Source!BC50, 1)</f>
        <v>1</v>
      </c>
      <c r="J179" s="25">
        <f>Source!O50</f>
        <v>-4524.8500000000004</v>
      </c>
      <c r="K179" s="25"/>
      <c r="Q179">
        <f>ROUND((Source!BZ50/100)*ROUND((Source!AF50*Source!AV50)*Source!I50, 2), 2)</f>
        <v>0</v>
      </c>
      <c r="R179">
        <f>Source!X50</f>
        <v>0</v>
      </c>
      <c r="S179">
        <f>ROUND((Source!CA50/100)*ROUND((Source!AF50*Source!AV50)*Source!I50, 2), 2)</f>
        <v>0</v>
      </c>
      <c r="T179">
        <f>Source!Y50</f>
        <v>0</v>
      </c>
      <c r="U179">
        <f>ROUND((175/100)*ROUND((Source!AE50*Source!AV50)*Source!I50, 2), 2)</f>
        <v>0</v>
      </c>
      <c r="V179">
        <f>ROUND((108/100)*ROUND(Source!CS50*Source!I50, 2), 2)</f>
        <v>0</v>
      </c>
    </row>
    <row r="180" spans="1:22" ht="14.25" x14ac:dyDescent="0.2">
      <c r="A180" s="20"/>
      <c r="B180" s="21"/>
      <c r="C180" s="21" t="s">
        <v>277</v>
      </c>
      <c r="D180" s="22" t="s">
        <v>278</v>
      </c>
      <c r="E180" s="9">
        <f>Source!AT48</f>
        <v>70</v>
      </c>
      <c r="F180" s="24"/>
      <c r="G180" s="23"/>
      <c r="H180" s="9"/>
      <c r="I180" s="9"/>
      <c r="J180" s="25">
        <f>SUM(R175:R179)</f>
        <v>3037.9</v>
      </c>
      <c r="K180" s="25"/>
    </row>
    <row r="181" spans="1:22" ht="14.25" x14ac:dyDescent="0.2">
      <c r="A181" s="20"/>
      <c r="B181" s="21"/>
      <c r="C181" s="21" t="s">
        <v>279</v>
      </c>
      <c r="D181" s="22" t="s">
        <v>278</v>
      </c>
      <c r="E181" s="9">
        <f>Source!AU48</f>
        <v>10</v>
      </c>
      <c r="F181" s="24"/>
      <c r="G181" s="23"/>
      <c r="H181" s="9"/>
      <c r="I181" s="9"/>
      <c r="J181" s="25">
        <f>SUM(T175:T180)</f>
        <v>433.99</v>
      </c>
      <c r="K181" s="25"/>
    </row>
    <row r="182" spans="1:22" ht="14.25" x14ac:dyDescent="0.2">
      <c r="A182" s="20"/>
      <c r="B182" s="21"/>
      <c r="C182" s="21" t="s">
        <v>280</v>
      </c>
      <c r="D182" s="22" t="s">
        <v>281</v>
      </c>
      <c r="E182" s="9">
        <f>Source!AQ48</f>
        <v>227.7</v>
      </c>
      <c r="F182" s="24"/>
      <c r="G182" s="23" t="str">
        <f>Source!DI48</f>
        <v/>
      </c>
      <c r="H182" s="9">
        <f>Source!AV48</f>
        <v>1</v>
      </c>
      <c r="I182" s="9"/>
      <c r="J182" s="25"/>
      <c r="K182" s="25">
        <f>Source!U48</f>
        <v>19.354500000000002</v>
      </c>
    </row>
    <row r="183" spans="1:22" ht="15" x14ac:dyDescent="0.25">
      <c r="A183" s="29"/>
      <c r="B183" s="29"/>
      <c r="C183" s="29"/>
      <c r="D183" s="29"/>
      <c r="E183" s="29"/>
      <c r="F183" s="29"/>
      <c r="G183" s="29"/>
      <c r="H183" s="29"/>
      <c r="I183" s="66">
        <f>J176+J177+J180+J181+SUM(J178:J179)</f>
        <v>8021.7499999999982</v>
      </c>
      <c r="J183" s="66"/>
      <c r="K183" s="30">
        <f>IF(Source!I48&lt;&gt;0, ROUND(I183/Source!I48, 2), 0)</f>
        <v>94373.53</v>
      </c>
      <c r="P183" s="27">
        <f>I183</f>
        <v>8021.7499999999982</v>
      </c>
    </row>
    <row r="184" spans="1:22" ht="57" customHeight="1" x14ac:dyDescent="0.2">
      <c r="A184" s="20" t="str">
        <f>Source!E51</f>
        <v>18</v>
      </c>
      <c r="B184" s="21" t="str">
        <f>Source!F51</f>
        <v>Цена поставщика</v>
      </c>
      <c r="C184" s="21" t="s">
        <v>345</v>
      </c>
      <c r="D184" s="22" t="str">
        <f>Source!H51</f>
        <v>шт.</v>
      </c>
      <c r="E184" s="9">
        <f>Source!I51</f>
        <v>1</v>
      </c>
      <c r="F184" s="24">
        <f>Source!AL51</f>
        <v>68889.62</v>
      </c>
      <c r="G184" s="23" t="str">
        <f>Source!DD51</f>
        <v/>
      </c>
      <c r="H184" s="9">
        <f>Source!AW51</f>
        <v>1</v>
      </c>
      <c r="I184" s="9">
        <f>IF(Source!BC51&lt;&gt; 0, Source!BC51, 1)</f>
        <v>1</v>
      </c>
      <c r="J184" s="25">
        <f>Source!P51</f>
        <v>68889.62</v>
      </c>
      <c r="K184" s="25"/>
      <c r="Q184">
        <f>ROUND((Source!BZ51/100)*ROUND((Source!AF51*Source!AV51)*Source!I51, 2), 2)</f>
        <v>0</v>
      </c>
      <c r="R184">
        <f>Source!X51</f>
        <v>0</v>
      </c>
      <c r="S184">
        <f>ROUND((Source!CA51/100)*ROUND((Source!AF51*Source!AV51)*Source!I51, 2), 2)</f>
        <v>0</v>
      </c>
      <c r="T184">
        <f>Source!Y51</f>
        <v>0</v>
      </c>
      <c r="U184">
        <f>ROUND((175/100)*ROUND((Source!AE51*Source!AV51)*Source!I51, 2), 2)</f>
        <v>0</v>
      </c>
      <c r="V184">
        <f>ROUND((108/100)*ROUND(Source!CS51*Source!I51, 2), 2)</f>
        <v>0</v>
      </c>
    </row>
    <row r="185" spans="1:22" ht="15" x14ac:dyDescent="0.25">
      <c r="A185" s="29"/>
      <c r="B185" s="29"/>
      <c r="C185" s="29"/>
      <c r="D185" s="29"/>
      <c r="E185" s="29"/>
      <c r="F185" s="29"/>
      <c r="G185" s="29"/>
      <c r="H185" s="29"/>
      <c r="I185" s="66">
        <f>J184</f>
        <v>68889.62</v>
      </c>
      <c r="J185" s="66"/>
      <c r="K185" s="30">
        <f>IF(Source!I51&lt;&gt;0, ROUND(I185/Source!I51, 2), 0)</f>
        <v>68889.62</v>
      </c>
      <c r="P185" s="27">
        <f>I185</f>
        <v>68889.62</v>
      </c>
    </row>
    <row r="186" spans="1:22" ht="30.75" customHeight="1" x14ac:dyDescent="0.2">
      <c r="A186" s="20" t="str">
        <f>Source!E52</f>
        <v>19</v>
      </c>
      <c r="B186" s="21" t="str">
        <f>Source!F52</f>
        <v>1.1-3303-2-1/1</v>
      </c>
      <c r="C186" s="21" t="str">
        <f>Source!G52</f>
        <v>Разработка грунта вручную в траншеях глубиной до 2 м без креплений с откосами группа грунтов 1-3</v>
      </c>
      <c r="D186" s="22" t="str">
        <f>Source!H52</f>
        <v>100 м3</v>
      </c>
      <c r="E186" s="9">
        <f>Source!I52</f>
        <v>4.8999999999999998E-3</v>
      </c>
      <c r="F186" s="24"/>
      <c r="G186" s="23"/>
      <c r="H186" s="9"/>
      <c r="I186" s="9"/>
      <c r="J186" s="25"/>
      <c r="K186" s="25"/>
      <c r="Q186">
        <f>ROUND((Source!BZ52/100)*ROUND((Source!AF52*Source!AV52)*Source!I52, 2), 2)</f>
        <v>143.88999999999999</v>
      </c>
      <c r="R186">
        <f>Source!X52</f>
        <v>143.88999999999999</v>
      </c>
      <c r="S186">
        <f>ROUND((Source!CA52/100)*ROUND((Source!AF52*Source!AV52)*Source!I52, 2), 2)</f>
        <v>20.56</v>
      </c>
      <c r="T186">
        <f>Source!Y52</f>
        <v>20.56</v>
      </c>
      <c r="U186">
        <f>ROUND((175/100)*ROUND((Source!AE52*Source!AV52)*Source!I52, 2), 2)</f>
        <v>0</v>
      </c>
      <c r="V186">
        <f>ROUND((108/100)*ROUND(Source!CS52*Source!I52, 2), 2)</f>
        <v>0</v>
      </c>
    </row>
    <row r="187" spans="1:22" x14ac:dyDescent="0.2">
      <c r="C187" s="26" t="str">
        <f>"Объем: "&amp;Source!I52&amp;"=0,7*"&amp;"0,7*"&amp;"1/"&amp;"100"</f>
        <v>Объем: 0,0049=0,7*0,7*1/100</v>
      </c>
    </row>
    <row r="188" spans="1:22" ht="14.25" x14ac:dyDescent="0.2">
      <c r="A188" s="20"/>
      <c r="B188" s="21"/>
      <c r="C188" s="21" t="s">
        <v>276</v>
      </c>
      <c r="D188" s="22"/>
      <c r="E188" s="9"/>
      <c r="F188" s="24">
        <f>Source!AO52</f>
        <v>41951.1</v>
      </c>
      <c r="G188" s="23" t="str">
        <f>Source!DG52</f>
        <v/>
      </c>
      <c r="H188" s="9">
        <f>Source!AV52</f>
        <v>1</v>
      </c>
      <c r="I188" s="9">
        <f>IF(Source!BA52&lt;&gt; 0, Source!BA52, 1)</f>
        <v>1</v>
      </c>
      <c r="J188" s="25">
        <f>Source!S52</f>
        <v>205.56</v>
      </c>
      <c r="K188" s="25"/>
    </row>
    <row r="189" spans="1:22" ht="14.25" x14ac:dyDescent="0.2">
      <c r="A189" s="20"/>
      <c r="B189" s="21"/>
      <c r="C189" s="21" t="s">
        <v>277</v>
      </c>
      <c r="D189" s="22" t="s">
        <v>278</v>
      </c>
      <c r="E189" s="9">
        <f>Source!AT52</f>
        <v>70</v>
      </c>
      <c r="F189" s="24"/>
      <c r="G189" s="23"/>
      <c r="H189" s="9"/>
      <c r="I189" s="9"/>
      <c r="J189" s="25">
        <f>SUM(R186:R188)</f>
        <v>143.88999999999999</v>
      </c>
      <c r="K189" s="25"/>
    </row>
    <row r="190" spans="1:22" ht="14.25" x14ac:dyDescent="0.2">
      <c r="A190" s="20"/>
      <c r="B190" s="21"/>
      <c r="C190" s="21" t="s">
        <v>279</v>
      </c>
      <c r="D190" s="22" t="s">
        <v>278</v>
      </c>
      <c r="E190" s="9">
        <f>Source!AU52</f>
        <v>10</v>
      </c>
      <c r="F190" s="24"/>
      <c r="G190" s="23"/>
      <c r="H190" s="9"/>
      <c r="I190" s="9"/>
      <c r="J190" s="25">
        <f>SUM(T186:T189)</f>
        <v>20.56</v>
      </c>
      <c r="K190" s="25"/>
    </row>
    <row r="191" spans="1:22" ht="14.25" x14ac:dyDescent="0.2">
      <c r="A191" s="20"/>
      <c r="B191" s="21"/>
      <c r="C191" s="21" t="s">
        <v>280</v>
      </c>
      <c r="D191" s="22" t="s">
        <v>281</v>
      </c>
      <c r="E191" s="9">
        <f>Source!AQ52</f>
        <v>221.6</v>
      </c>
      <c r="F191" s="24"/>
      <c r="G191" s="23" t="str">
        <f>Source!DI52</f>
        <v/>
      </c>
      <c r="H191" s="9">
        <f>Source!AV52</f>
        <v>1</v>
      </c>
      <c r="I191" s="9"/>
      <c r="J191" s="25"/>
      <c r="K191" s="25">
        <f>Source!U52</f>
        <v>1.0858399999999999</v>
      </c>
    </row>
    <row r="192" spans="1:22" ht="15" x14ac:dyDescent="0.25">
      <c r="A192" s="29"/>
      <c r="B192" s="29"/>
      <c r="C192" s="29"/>
      <c r="D192" s="29"/>
      <c r="E192" s="29"/>
      <c r="F192" s="29"/>
      <c r="G192" s="29"/>
      <c r="H192" s="29"/>
      <c r="I192" s="66">
        <f>J188+J189+J190</f>
        <v>370.01</v>
      </c>
      <c r="J192" s="66"/>
      <c r="K192" s="30">
        <f>IF(Source!I52&lt;&gt;0, ROUND(I192/Source!I52, 2), 0)</f>
        <v>75512.240000000005</v>
      </c>
      <c r="P192" s="27">
        <f>I192</f>
        <v>370.01</v>
      </c>
    </row>
    <row r="193" spans="1:22" ht="28.5" x14ac:dyDescent="0.2">
      <c r="A193" s="20" t="str">
        <f>Source!E53</f>
        <v>20</v>
      </c>
      <c r="B193" s="21" t="str">
        <f>Source!F53</f>
        <v>1.2-3103-29-1/1</v>
      </c>
      <c r="C193" s="21" t="str">
        <f>Source!G53</f>
        <v>Устройство песчаного основания под фундаменты</v>
      </c>
      <c r="D193" s="22" t="str">
        <f>Source!H53</f>
        <v>м3</v>
      </c>
      <c r="E193" s="9">
        <f>Source!I53</f>
        <v>4.9000000000000002E-2</v>
      </c>
      <c r="F193" s="24"/>
      <c r="G193" s="23"/>
      <c r="H193" s="9"/>
      <c r="I193" s="9"/>
      <c r="J193" s="25"/>
      <c r="K193" s="25"/>
      <c r="Q193">
        <f>ROUND((Source!BZ53/100)*ROUND((Source!AF53*Source!AV53)*Source!I53, 2), 2)</f>
        <v>5.71</v>
      </c>
      <c r="R193">
        <f>Source!X53</f>
        <v>5.71</v>
      </c>
      <c r="S193">
        <f>ROUND((Source!CA53/100)*ROUND((Source!AF53*Source!AV53)*Source!I53, 2), 2)</f>
        <v>0.82</v>
      </c>
      <c r="T193">
        <f>Source!Y53</f>
        <v>0.82</v>
      </c>
      <c r="U193">
        <f>ROUND((175/100)*ROUND((Source!AE53*Source!AV53)*Source!I53, 2), 2)</f>
        <v>10.64</v>
      </c>
      <c r="V193">
        <f>ROUND((108/100)*ROUND(Source!CS53*Source!I53, 2), 2)</f>
        <v>6.57</v>
      </c>
    </row>
    <row r="194" spans="1:22" x14ac:dyDescent="0.2">
      <c r="C194" s="26" t="str">
        <f>"Объем: "&amp;Source!I53&amp;"=0,7*"&amp;"0,7*"&amp;"0,1"</f>
        <v>Объем: 0,049=0,7*0,7*0,1</v>
      </c>
    </row>
    <row r="195" spans="1:22" ht="14.25" x14ac:dyDescent="0.2">
      <c r="A195" s="20"/>
      <c r="B195" s="21"/>
      <c r="C195" s="21" t="s">
        <v>276</v>
      </c>
      <c r="D195" s="22"/>
      <c r="E195" s="9"/>
      <c r="F195" s="24">
        <f>Source!AO53</f>
        <v>166.52</v>
      </c>
      <c r="G195" s="23" t="str">
        <f>Source!DG53</f>
        <v/>
      </c>
      <c r="H195" s="9">
        <f>Source!AV53</f>
        <v>1</v>
      </c>
      <c r="I195" s="9">
        <f>IF(Source!BA53&lt;&gt; 0, Source!BA53, 1)</f>
        <v>1</v>
      </c>
      <c r="J195" s="25">
        <f>Source!S53</f>
        <v>8.16</v>
      </c>
      <c r="K195" s="25"/>
    </row>
    <row r="196" spans="1:22" ht="14.25" x14ac:dyDescent="0.2">
      <c r="A196" s="20"/>
      <c r="B196" s="21"/>
      <c r="C196" s="21" t="s">
        <v>282</v>
      </c>
      <c r="D196" s="22"/>
      <c r="E196" s="9"/>
      <c r="F196" s="24">
        <f>Source!AM53</f>
        <v>210.68</v>
      </c>
      <c r="G196" s="23" t="str">
        <f>Source!DE53</f>
        <v/>
      </c>
      <c r="H196" s="9">
        <f>Source!AV53</f>
        <v>1</v>
      </c>
      <c r="I196" s="9">
        <f>IF(Source!BB53&lt;&gt; 0, Source!BB53, 1)</f>
        <v>1</v>
      </c>
      <c r="J196" s="25">
        <f>Source!Q53</f>
        <v>10.32</v>
      </c>
      <c r="K196" s="25"/>
    </row>
    <row r="197" spans="1:22" ht="14.25" x14ac:dyDescent="0.2">
      <c r="A197" s="20"/>
      <c r="B197" s="21"/>
      <c r="C197" s="21" t="s">
        <v>283</v>
      </c>
      <c r="D197" s="22"/>
      <c r="E197" s="9"/>
      <c r="F197" s="24">
        <f>Source!AN53</f>
        <v>124.16</v>
      </c>
      <c r="G197" s="23" t="str">
        <f>Source!DF53</f>
        <v/>
      </c>
      <c r="H197" s="9">
        <f>Source!AV53</f>
        <v>1</v>
      </c>
      <c r="I197" s="9">
        <f>IF(Source!BS53&lt;&gt; 0, Source!BS53, 1)</f>
        <v>1</v>
      </c>
      <c r="J197" s="31">
        <f>Source!R53</f>
        <v>6.08</v>
      </c>
      <c r="K197" s="25"/>
    </row>
    <row r="198" spans="1:22" ht="14.25" x14ac:dyDescent="0.2">
      <c r="A198" s="20"/>
      <c r="B198" s="21"/>
      <c r="C198" s="21" t="s">
        <v>284</v>
      </c>
      <c r="D198" s="22"/>
      <c r="E198" s="9"/>
      <c r="F198" s="24">
        <f>Source!AL53</f>
        <v>655.15</v>
      </c>
      <c r="G198" s="23" t="str">
        <f>Source!DD53</f>
        <v/>
      </c>
      <c r="H198" s="9">
        <f>Source!AW53</f>
        <v>1</v>
      </c>
      <c r="I198" s="9">
        <f>IF(Source!BC53&lt;&gt; 0, Source!BC53, 1)</f>
        <v>1</v>
      </c>
      <c r="J198" s="25">
        <f>Source!P53</f>
        <v>32.1</v>
      </c>
      <c r="K198" s="25"/>
    </row>
    <row r="199" spans="1:22" ht="14.25" x14ac:dyDescent="0.2">
      <c r="A199" s="20"/>
      <c r="B199" s="21"/>
      <c r="C199" s="21" t="s">
        <v>277</v>
      </c>
      <c r="D199" s="22" t="s">
        <v>278</v>
      </c>
      <c r="E199" s="9">
        <f>Source!AT53</f>
        <v>70</v>
      </c>
      <c r="F199" s="24"/>
      <c r="G199" s="23"/>
      <c r="H199" s="9"/>
      <c r="I199" s="9"/>
      <c r="J199" s="25">
        <f>SUM(R193:R198)</f>
        <v>5.71</v>
      </c>
      <c r="K199" s="25"/>
    </row>
    <row r="200" spans="1:22" ht="14.25" x14ac:dyDescent="0.2">
      <c r="A200" s="20"/>
      <c r="B200" s="21"/>
      <c r="C200" s="21" t="s">
        <v>279</v>
      </c>
      <c r="D200" s="22" t="s">
        <v>278</v>
      </c>
      <c r="E200" s="9">
        <f>Source!AU53</f>
        <v>10</v>
      </c>
      <c r="F200" s="24"/>
      <c r="G200" s="23"/>
      <c r="H200" s="9"/>
      <c r="I200" s="9"/>
      <c r="J200" s="25">
        <f>SUM(T193:T199)</f>
        <v>0.82</v>
      </c>
      <c r="K200" s="25"/>
    </row>
    <row r="201" spans="1:22" ht="14.25" x14ac:dyDescent="0.2">
      <c r="A201" s="20"/>
      <c r="B201" s="21"/>
      <c r="C201" s="21" t="s">
        <v>285</v>
      </c>
      <c r="D201" s="22" t="s">
        <v>278</v>
      </c>
      <c r="E201" s="9">
        <f>108</f>
        <v>108</v>
      </c>
      <c r="F201" s="24"/>
      <c r="G201" s="23"/>
      <c r="H201" s="9"/>
      <c r="I201" s="9"/>
      <c r="J201" s="25">
        <f>SUM(V193:V200)</f>
        <v>6.57</v>
      </c>
      <c r="K201" s="25"/>
    </row>
    <row r="202" spans="1:22" ht="14.25" x14ac:dyDescent="0.2">
      <c r="A202" s="20"/>
      <c r="B202" s="21"/>
      <c r="C202" s="21" t="s">
        <v>280</v>
      </c>
      <c r="D202" s="22" t="s">
        <v>281</v>
      </c>
      <c r="E202" s="9">
        <f>Source!AQ53</f>
        <v>0.9</v>
      </c>
      <c r="F202" s="24"/>
      <c r="G202" s="23" t="str">
        <f>Source!DI53</f>
        <v/>
      </c>
      <c r="H202" s="9">
        <f>Source!AV53</f>
        <v>1</v>
      </c>
      <c r="I202" s="9"/>
      <c r="J202" s="25"/>
      <c r="K202" s="25">
        <f>Source!U53</f>
        <v>4.41E-2</v>
      </c>
    </row>
    <row r="203" spans="1:22" ht="15" x14ac:dyDescent="0.25">
      <c r="A203" s="29"/>
      <c r="B203" s="29"/>
      <c r="C203" s="29"/>
      <c r="D203" s="29"/>
      <c r="E203" s="29"/>
      <c r="F203" s="29"/>
      <c r="G203" s="29"/>
      <c r="H203" s="29"/>
      <c r="I203" s="66">
        <f>J195+J196+J198+J199+J200+J201</f>
        <v>63.68</v>
      </c>
      <c r="J203" s="66"/>
      <c r="K203" s="30">
        <f>IF(Source!I53&lt;&gt;0, ROUND(I203/Source!I53, 2), 0)</f>
        <v>1299.5899999999999</v>
      </c>
      <c r="P203" s="27">
        <f>I203</f>
        <v>63.68</v>
      </c>
    </row>
    <row r="204" spans="1:22" ht="28.5" x14ac:dyDescent="0.2">
      <c r="A204" s="20" t="str">
        <f>Source!E54</f>
        <v>21</v>
      </c>
      <c r="B204" s="21" t="str">
        <f>Source!F54</f>
        <v>1.2-3103-29-2/1</v>
      </c>
      <c r="C204" s="21" t="str">
        <f>Source!G54</f>
        <v>Устройство щебеночного основания под фундаменты</v>
      </c>
      <c r="D204" s="22" t="str">
        <f>Source!H54</f>
        <v>м3</v>
      </c>
      <c r="E204" s="9">
        <f>Source!I54</f>
        <v>9.8000000000000004E-2</v>
      </c>
      <c r="F204" s="24"/>
      <c r="G204" s="23"/>
      <c r="H204" s="9"/>
      <c r="I204" s="9"/>
      <c r="J204" s="25"/>
      <c r="K204" s="25"/>
      <c r="Q204">
        <f>ROUND((Source!BZ54/100)*ROUND((Source!AF54*Source!AV54)*Source!I54, 2), 2)</f>
        <v>12.44</v>
      </c>
      <c r="R204">
        <f>Source!X54</f>
        <v>12.44</v>
      </c>
      <c r="S204">
        <f>ROUND((Source!CA54/100)*ROUND((Source!AF54*Source!AV54)*Source!I54, 2), 2)</f>
        <v>1.78</v>
      </c>
      <c r="T204">
        <f>Source!Y54</f>
        <v>1.78</v>
      </c>
      <c r="U204">
        <f>ROUND((175/100)*ROUND((Source!AE54*Source!AV54)*Source!I54, 2), 2)</f>
        <v>23.17</v>
      </c>
      <c r="V204">
        <f>ROUND((108/100)*ROUND(Source!CS54*Source!I54, 2), 2)</f>
        <v>14.3</v>
      </c>
    </row>
    <row r="205" spans="1:22" x14ac:dyDescent="0.2">
      <c r="C205" s="26" t="str">
        <f>"Объем: "&amp;Source!I54&amp;"=0,7*"&amp;"0,7*"&amp;"0,2"</f>
        <v>Объем: 0,098=0,7*0,7*0,2</v>
      </c>
    </row>
    <row r="206" spans="1:22" ht="14.25" x14ac:dyDescent="0.2">
      <c r="A206" s="20"/>
      <c r="B206" s="21"/>
      <c r="C206" s="21" t="s">
        <v>276</v>
      </c>
      <c r="D206" s="22"/>
      <c r="E206" s="9"/>
      <c r="F206" s="24">
        <f>Source!AO54</f>
        <v>181.32</v>
      </c>
      <c r="G206" s="23" t="str">
        <f>Source!DG54</f>
        <v/>
      </c>
      <c r="H206" s="9">
        <f>Source!AV54</f>
        <v>1</v>
      </c>
      <c r="I206" s="9">
        <f>IF(Source!BA54&lt;&gt; 0, Source!BA54, 1)</f>
        <v>1</v>
      </c>
      <c r="J206" s="25">
        <f>Source!S54</f>
        <v>17.77</v>
      </c>
      <c r="K206" s="25"/>
    </row>
    <row r="207" spans="1:22" ht="14.25" x14ac:dyDescent="0.2">
      <c r="A207" s="20"/>
      <c r="B207" s="21"/>
      <c r="C207" s="21" t="s">
        <v>282</v>
      </c>
      <c r="D207" s="22"/>
      <c r="E207" s="9"/>
      <c r="F207" s="24">
        <f>Source!AM54</f>
        <v>224.99</v>
      </c>
      <c r="G207" s="23" t="str">
        <f>Source!DE54</f>
        <v/>
      </c>
      <c r="H207" s="9">
        <f>Source!AV54</f>
        <v>1</v>
      </c>
      <c r="I207" s="9">
        <f>IF(Source!BB54&lt;&gt; 0, Source!BB54, 1)</f>
        <v>1</v>
      </c>
      <c r="J207" s="25">
        <f>Source!Q54</f>
        <v>22.05</v>
      </c>
      <c r="K207" s="25"/>
    </row>
    <row r="208" spans="1:22" ht="14.25" x14ac:dyDescent="0.2">
      <c r="A208" s="20"/>
      <c r="B208" s="21"/>
      <c r="C208" s="21" t="s">
        <v>283</v>
      </c>
      <c r="D208" s="22"/>
      <c r="E208" s="9"/>
      <c r="F208" s="24">
        <f>Source!AN54</f>
        <v>135.08000000000001</v>
      </c>
      <c r="G208" s="23" t="str">
        <f>Source!DF54</f>
        <v/>
      </c>
      <c r="H208" s="9">
        <f>Source!AV54</f>
        <v>1</v>
      </c>
      <c r="I208" s="9">
        <f>IF(Source!BS54&lt;&gt; 0, Source!BS54, 1)</f>
        <v>1</v>
      </c>
      <c r="J208" s="31">
        <f>Source!R54</f>
        <v>13.24</v>
      </c>
      <c r="K208" s="25"/>
    </row>
    <row r="209" spans="1:22" ht="14.25" x14ac:dyDescent="0.2">
      <c r="A209" s="20"/>
      <c r="B209" s="21"/>
      <c r="C209" s="21" t="s">
        <v>284</v>
      </c>
      <c r="D209" s="22"/>
      <c r="E209" s="9"/>
      <c r="F209" s="24">
        <f>Source!AL54</f>
        <v>1657.26</v>
      </c>
      <c r="G209" s="23" t="str">
        <f>Source!DD54</f>
        <v/>
      </c>
      <c r="H209" s="9">
        <f>Source!AW54</f>
        <v>1</v>
      </c>
      <c r="I209" s="9">
        <f>IF(Source!BC54&lt;&gt; 0, Source!BC54, 1)</f>
        <v>1</v>
      </c>
      <c r="J209" s="25">
        <f>Source!P54</f>
        <v>162.41</v>
      </c>
      <c r="K209" s="25"/>
    </row>
    <row r="210" spans="1:22" ht="14.25" x14ac:dyDescent="0.2">
      <c r="A210" s="20"/>
      <c r="B210" s="21"/>
      <c r="C210" s="21" t="s">
        <v>277</v>
      </c>
      <c r="D210" s="22" t="s">
        <v>278</v>
      </c>
      <c r="E210" s="9">
        <f>Source!AT54</f>
        <v>70</v>
      </c>
      <c r="F210" s="24"/>
      <c r="G210" s="23"/>
      <c r="H210" s="9"/>
      <c r="I210" s="9"/>
      <c r="J210" s="25">
        <f>SUM(R204:R209)</f>
        <v>12.44</v>
      </c>
      <c r="K210" s="25"/>
    </row>
    <row r="211" spans="1:22" ht="14.25" x14ac:dyDescent="0.2">
      <c r="A211" s="20"/>
      <c r="B211" s="21"/>
      <c r="C211" s="21" t="s">
        <v>279</v>
      </c>
      <c r="D211" s="22" t="s">
        <v>278</v>
      </c>
      <c r="E211" s="9">
        <f>Source!AU54</f>
        <v>10</v>
      </c>
      <c r="F211" s="24"/>
      <c r="G211" s="23"/>
      <c r="H211" s="9"/>
      <c r="I211" s="9"/>
      <c r="J211" s="25">
        <f>SUM(T204:T210)</f>
        <v>1.78</v>
      </c>
      <c r="K211" s="25"/>
    </row>
    <row r="212" spans="1:22" ht="14.25" x14ac:dyDescent="0.2">
      <c r="A212" s="20"/>
      <c r="B212" s="21"/>
      <c r="C212" s="21" t="s">
        <v>285</v>
      </c>
      <c r="D212" s="22" t="s">
        <v>278</v>
      </c>
      <c r="E212" s="9">
        <f>108</f>
        <v>108</v>
      </c>
      <c r="F212" s="24"/>
      <c r="G212" s="23"/>
      <c r="H212" s="9"/>
      <c r="I212" s="9"/>
      <c r="J212" s="25">
        <f>SUM(V204:V211)</f>
        <v>14.3</v>
      </c>
      <c r="K212" s="25"/>
    </row>
    <row r="213" spans="1:22" ht="14.25" x14ac:dyDescent="0.2">
      <c r="A213" s="20"/>
      <c r="B213" s="21"/>
      <c r="C213" s="21" t="s">
        <v>280</v>
      </c>
      <c r="D213" s="22" t="s">
        <v>281</v>
      </c>
      <c r="E213" s="9">
        <f>Source!AQ54</f>
        <v>0.98</v>
      </c>
      <c r="F213" s="24"/>
      <c r="G213" s="23" t="str">
        <f>Source!DI54</f>
        <v/>
      </c>
      <c r="H213" s="9">
        <f>Source!AV54</f>
        <v>1</v>
      </c>
      <c r="I213" s="9"/>
      <c r="J213" s="25"/>
      <c r="K213" s="25">
        <f>Source!U54</f>
        <v>9.604E-2</v>
      </c>
    </row>
    <row r="214" spans="1:22" ht="15" x14ac:dyDescent="0.25">
      <c r="A214" s="29"/>
      <c r="B214" s="29"/>
      <c r="C214" s="29"/>
      <c r="D214" s="29"/>
      <c r="E214" s="29"/>
      <c r="F214" s="29"/>
      <c r="G214" s="29"/>
      <c r="H214" s="29"/>
      <c r="I214" s="66">
        <f>J206+J207+J209+J210+J211+J212</f>
        <v>230.75</v>
      </c>
      <c r="J214" s="66"/>
      <c r="K214" s="30">
        <f>IF(Source!I54&lt;&gt;0, ROUND(I214/Source!I54, 2), 0)</f>
        <v>2354.59</v>
      </c>
      <c r="P214" s="27">
        <f>I214</f>
        <v>230.75</v>
      </c>
    </row>
    <row r="215" spans="1:22" ht="28.5" x14ac:dyDescent="0.2">
      <c r="A215" s="20" t="str">
        <f>Source!E55</f>
        <v>22</v>
      </c>
      <c r="B215" s="21" t="str">
        <f>Source!F55</f>
        <v>1.2-3103-2-13/1</v>
      </c>
      <c r="C215" s="21" t="str">
        <f>Source!G55</f>
        <v>Устройство фундаментов-столбов бетонных</v>
      </c>
      <c r="D215" s="22" t="str">
        <f>Source!H55</f>
        <v>100 м3</v>
      </c>
      <c r="E215" s="9">
        <f>Source!I55</f>
        <v>3.4299999999999999E-3</v>
      </c>
      <c r="F215" s="24"/>
      <c r="G215" s="23"/>
      <c r="H215" s="9"/>
      <c r="I215" s="9"/>
      <c r="J215" s="25"/>
      <c r="K215" s="25"/>
      <c r="Q215">
        <f>ROUND((Source!BZ55/100)*ROUND((Source!AF55*Source!AV55)*Source!I55, 2), 2)</f>
        <v>273.52</v>
      </c>
      <c r="R215">
        <f>Source!X55</f>
        <v>273.52</v>
      </c>
      <c r="S215">
        <f>ROUND((Source!CA55/100)*ROUND((Source!AF55*Source!AV55)*Source!I55, 2), 2)</f>
        <v>39.07</v>
      </c>
      <c r="T215">
        <f>Source!Y55</f>
        <v>39.07</v>
      </c>
      <c r="U215">
        <f>ROUND((175/100)*ROUND((Source!AE55*Source!AV55)*Source!I55, 2), 2)</f>
        <v>1.24</v>
      </c>
      <c r="V215">
        <f>ROUND((108/100)*ROUND(Source!CS55*Source!I55, 2), 2)</f>
        <v>0.77</v>
      </c>
    </row>
    <row r="216" spans="1:22" x14ac:dyDescent="0.2">
      <c r="C216" s="26" t="str">
        <f>"Объем: "&amp;Source!I55&amp;"=(0,7*"&amp;"0,7*"&amp;"0,7*"&amp;"1)/"&amp;"100"</f>
        <v>Объем: 0,00343=(0,7*0,7*0,7*1)/100</v>
      </c>
    </row>
    <row r="217" spans="1:22" ht="14.25" x14ac:dyDescent="0.2">
      <c r="A217" s="20"/>
      <c r="B217" s="21"/>
      <c r="C217" s="21" t="s">
        <v>276</v>
      </c>
      <c r="D217" s="22"/>
      <c r="E217" s="9"/>
      <c r="F217" s="24">
        <f>Source!AO55</f>
        <v>113917.16</v>
      </c>
      <c r="G217" s="23" t="str">
        <f>Source!DG55</f>
        <v/>
      </c>
      <c r="H217" s="9">
        <f>Source!AV55</f>
        <v>1</v>
      </c>
      <c r="I217" s="9">
        <f>IF(Source!BA55&lt;&gt; 0, Source!BA55, 1)</f>
        <v>1</v>
      </c>
      <c r="J217" s="25">
        <f>Source!S55</f>
        <v>390.74</v>
      </c>
      <c r="K217" s="25"/>
    </row>
    <row r="218" spans="1:22" ht="14.25" x14ac:dyDescent="0.2">
      <c r="A218" s="20"/>
      <c r="B218" s="21"/>
      <c r="C218" s="21" t="s">
        <v>282</v>
      </c>
      <c r="D218" s="22"/>
      <c r="E218" s="9"/>
      <c r="F218" s="24">
        <f>Source!AM55</f>
        <v>547.28</v>
      </c>
      <c r="G218" s="23" t="str">
        <f>Source!DE55</f>
        <v/>
      </c>
      <c r="H218" s="9">
        <f>Source!AV55</f>
        <v>1</v>
      </c>
      <c r="I218" s="9">
        <f>IF(Source!BB55&lt;&gt; 0, Source!BB55, 1)</f>
        <v>1</v>
      </c>
      <c r="J218" s="25">
        <f>Source!Q55</f>
        <v>1.88</v>
      </c>
      <c r="K218" s="25"/>
    </row>
    <row r="219" spans="1:22" ht="14.25" x14ac:dyDescent="0.2">
      <c r="A219" s="20"/>
      <c r="B219" s="21"/>
      <c r="C219" s="21" t="s">
        <v>283</v>
      </c>
      <c r="D219" s="22"/>
      <c r="E219" s="9"/>
      <c r="F219" s="24">
        <f>Source!AN55</f>
        <v>206.05</v>
      </c>
      <c r="G219" s="23" t="str">
        <f>Source!DF55</f>
        <v/>
      </c>
      <c r="H219" s="9">
        <f>Source!AV55</f>
        <v>1</v>
      </c>
      <c r="I219" s="9">
        <f>IF(Source!BS55&lt;&gt; 0, Source!BS55, 1)</f>
        <v>1</v>
      </c>
      <c r="J219" s="31">
        <f>Source!R55</f>
        <v>0.71</v>
      </c>
      <c r="K219" s="25"/>
    </row>
    <row r="220" spans="1:22" ht="14.25" x14ac:dyDescent="0.2">
      <c r="A220" s="20"/>
      <c r="B220" s="21"/>
      <c r="C220" s="21" t="s">
        <v>284</v>
      </c>
      <c r="D220" s="22"/>
      <c r="E220" s="9"/>
      <c r="F220" s="24">
        <f>Source!AL55</f>
        <v>363129.4</v>
      </c>
      <c r="G220" s="23" t="str">
        <f>Source!DD55</f>
        <v/>
      </c>
      <c r="H220" s="9">
        <f>Source!AW55</f>
        <v>1</v>
      </c>
      <c r="I220" s="9">
        <f>IF(Source!BC55&lt;&gt; 0, Source!BC55, 1)</f>
        <v>1</v>
      </c>
      <c r="J220" s="25">
        <f>Source!P55</f>
        <v>1245.53</v>
      </c>
      <c r="K220" s="25"/>
    </row>
    <row r="221" spans="1:22" ht="14.25" x14ac:dyDescent="0.2">
      <c r="A221" s="20"/>
      <c r="B221" s="21"/>
      <c r="C221" s="21" t="s">
        <v>277</v>
      </c>
      <c r="D221" s="22" t="s">
        <v>278</v>
      </c>
      <c r="E221" s="9">
        <f>Source!AT55</f>
        <v>70</v>
      </c>
      <c r="F221" s="24"/>
      <c r="G221" s="23"/>
      <c r="H221" s="9"/>
      <c r="I221" s="9"/>
      <c r="J221" s="25">
        <f>SUM(R215:R220)</f>
        <v>273.52</v>
      </c>
      <c r="K221" s="25"/>
    </row>
    <row r="222" spans="1:22" ht="14.25" x14ac:dyDescent="0.2">
      <c r="A222" s="20"/>
      <c r="B222" s="21"/>
      <c r="C222" s="21" t="s">
        <v>279</v>
      </c>
      <c r="D222" s="22" t="s">
        <v>278</v>
      </c>
      <c r="E222" s="9">
        <f>Source!AU55</f>
        <v>10</v>
      </c>
      <c r="F222" s="24"/>
      <c r="G222" s="23"/>
      <c r="H222" s="9"/>
      <c r="I222" s="9"/>
      <c r="J222" s="25">
        <f>SUM(T215:T221)</f>
        <v>39.07</v>
      </c>
      <c r="K222" s="25"/>
    </row>
    <row r="223" spans="1:22" ht="14.25" x14ac:dyDescent="0.2">
      <c r="A223" s="20"/>
      <c r="B223" s="21"/>
      <c r="C223" s="21" t="s">
        <v>285</v>
      </c>
      <c r="D223" s="22" t="s">
        <v>278</v>
      </c>
      <c r="E223" s="9">
        <f>108</f>
        <v>108</v>
      </c>
      <c r="F223" s="24"/>
      <c r="G223" s="23"/>
      <c r="H223" s="9"/>
      <c r="I223" s="9"/>
      <c r="J223" s="25">
        <f>SUM(V215:V222)</f>
        <v>0.77</v>
      </c>
      <c r="K223" s="25"/>
    </row>
    <row r="224" spans="1:22" ht="14.25" x14ac:dyDescent="0.2">
      <c r="A224" s="20"/>
      <c r="B224" s="21"/>
      <c r="C224" s="21" t="s">
        <v>280</v>
      </c>
      <c r="D224" s="22" t="s">
        <v>281</v>
      </c>
      <c r="E224" s="9">
        <f>Source!AQ55</f>
        <v>563.5</v>
      </c>
      <c r="F224" s="24"/>
      <c r="G224" s="23" t="str">
        <f>Source!DI55</f>
        <v/>
      </c>
      <c r="H224" s="9">
        <f>Source!AV55</f>
        <v>1</v>
      </c>
      <c r="I224" s="9"/>
      <c r="J224" s="25"/>
      <c r="K224" s="25">
        <f>Source!U55</f>
        <v>1.9328049999999999</v>
      </c>
    </row>
    <row r="225" spans="1:22" ht="15" x14ac:dyDescent="0.25">
      <c r="A225" s="29"/>
      <c r="B225" s="29"/>
      <c r="C225" s="29"/>
      <c r="D225" s="29"/>
      <c r="E225" s="29"/>
      <c r="F225" s="29"/>
      <c r="G225" s="29"/>
      <c r="H225" s="29"/>
      <c r="I225" s="66">
        <f>J217+J218+J220+J221+J222+J223</f>
        <v>1951.51</v>
      </c>
      <c r="J225" s="66"/>
      <c r="K225" s="30">
        <f>IF(Source!I55&lt;&gt;0, ROUND(I225/Source!I55, 2), 0)</f>
        <v>568953.35</v>
      </c>
      <c r="P225" s="27">
        <f>I225</f>
        <v>1951.51</v>
      </c>
    </row>
    <row r="226" spans="1:22" ht="28.5" x14ac:dyDescent="0.2">
      <c r="A226" s="20" t="str">
        <f>Source!E56</f>
        <v>23</v>
      </c>
      <c r="B226" s="21" t="str">
        <f>Source!F56</f>
        <v>1.50-3203-3-7/1</v>
      </c>
      <c r="C226" s="21" t="str">
        <f>Source!G56</f>
        <v>Установка закладных деталей весом до 4 кг</v>
      </c>
      <c r="D226" s="22" t="str">
        <f>Source!H56</f>
        <v>т</v>
      </c>
      <c r="E226" s="9">
        <f>Source!I56</f>
        <v>0.09</v>
      </c>
      <c r="F226" s="24"/>
      <c r="G226" s="23"/>
      <c r="H226" s="9"/>
      <c r="I226" s="9"/>
      <c r="J226" s="25"/>
      <c r="K226" s="25"/>
      <c r="Q226">
        <f>ROUND((Source!BZ56/100)*ROUND((Source!AF56*Source!AV56)*Source!I56, 2), 2)</f>
        <v>3216.61</v>
      </c>
      <c r="R226">
        <f>Source!X56</f>
        <v>3216.61</v>
      </c>
      <c r="S226">
        <f>ROUND((Source!CA56/100)*ROUND((Source!AF56*Source!AV56)*Source!I56, 2), 2)</f>
        <v>459.52</v>
      </c>
      <c r="T226">
        <f>Source!Y56</f>
        <v>459.52</v>
      </c>
      <c r="U226">
        <f>ROUND((175/100)*ROUND((Source!AE56*Source!AV56)*Source!I56, 2), 2)</f>
        <v>0</v>
      </c>
      <c r="V226">
        <f>ROUND((108/100)*ROUND(Source!CS56*Source!I56, 2), 2)</f>
        <v>0</v>
      </c>
    </row>
    <row r="227" spans="1:22" ht="14.25" x14ac:dyDescent="0.2">
      <c r="A227" s="20"/>
      <c r="B227" s="21"/>
      <c r="C227" s="21" t="s">
        <v>276</v>
      </c>
      <c r="D227" s="22"/>
      <c r="E227" s="9"/>
      <c r="F227" s="24">
        <f>Source!AO56</f>
        <v>51057.17</v>
      </c>
      <c r="G227" s="23" t="str">
        <f>Source!DG56</f>
        <v/>
      </c>
      <c r="H227" s="9">
        <f>Source!AV56</f>
        <v>1</v>
      </c>
      <c r="I227" s="9">
        <f>IF(Source!BA56&lt;&gt; 0, Source!BA56, 1)</f>
        <v>1</v>
      </c>
      <c r="J227" s="25">
        <f>Source!S56</f>
        <v>4595.1499999999996</v>
      </c>
      <c r="K227" s="25"/>
    </row>
    <row r="228" spans="1:22" ht="14.25" x14ac:dyDescent="0.2">
      <c r="A228" s="20"/>
      <c r="B228" s="21"/>
      <c r="C228" s="21" t="s">
        <v>284</v>
      </c>
      <c r="D228" s="22"/>
      <c r="E228" s="9"/>
      <c r="F228" s="24">
        <f>Source!AL56</f>
        <v>53233.52</v>
      </c>
      <c r="G228" s="23" t="str">
        <f>Source!DD56</f>
        <v/>
      </c>
      <c r="H228" s="9">
        <f>Source!AW56</f>
        <v>1</v>
      </c>
      <c r="I228" s="9">
        <f>IF(Source!BC56&lt;&gt; 0, Source!BC56, 1)</f>
        <v>1</v>
      </c>
      <c r="J228" s="25">
        <f>Source!P56</f>
        <v>4791.0200000000004</v>
      </c>
      <c r="K228" s="25"/>
    </row>
    <row r="229" spans="1:22" ht="28.5" x14ac:dyDescent="0.2">
      <c r="A229" s="20" t="str">
        <f>Source!E57</f>
        <v>23,1</v>
      </c>
      <c r="B229" s="21" t="str">
        <f>Source!F57</f>
        <v>21.7-7-41</v>
      </c>
      <c r="C229" s="21" t="str">
        <f>Source!G57</f>
        <v>Деталь закладная дополнительная для монтажа малых форм</v>
      </c>
      <c r="D229" s="22" t="str">
        <f>Source!H57</f>
        <v>шт.</v>
      </c>
      <c r="E229" s="9">
        <f>Source!I57</f>
        <v>0.99999999999999989</v>
      </c>
      <c r="F229" s="24">
        <f>Source!AK57</f>
        <v>210</v>
      </c>
      <c r="G229" s="32" t="s">
        <v>3</v>
      </c>
      <c r="H229" s="9">
        <f>Source!AW57</f>
        <v>1</v>
      </c>
      <c r="I229" s="9">
        <f>IF(Source!BC57&lt;&gt; 0, Source!BC57, 1)</f>
        <v>1</v>
      </c>
      <c r="J229" s="25">
        <f>Source!O57</f>
        <v>210</v>
      </c>
      <c r="K229" s="25"/>
      <c r="Q229">
        <f>ROUND((Source!BZ57/100)*ROUND((Source!AF57*Source!AV57)*Source!I57, 2), 2)</f>
        <v>0</v>
      </c>
      <c r="R229">
        <f>Source!X57</f>
        <v>0</v>
      </c>
      <c r="S229">
        <f>ROUND((Source!CA57/100)*ROUND((Source!AF57*Source!AV57)*Source!I57, 2), 2)</f>
        <v>0</v>
      </c>
      <c r="T229">
        <f>Source!Y57</f>
        <v>0</v>
      </c>
      <c r="U229">
        <f>ROUND((175/100)*ROUND((Source!AE57*Source!AV57)*Source!I57, 2), 2)</f>
        <v>0</v>
      </c>
      <c r="V229">
        <f>ROUND((108/100)*ROUND(Source!CS57*Source!I57, 2), 2)</f>
        <v>0</v>
      </c>
    </row>
    <row r="230" spans="1:22" ht="45" customHeight="1" x14ac:dyDescent="0.2">
      <c r="A230" s="20" t="str">
        <f>Source!E58</f>
        <v>23,2</v>
      </c>
      <c r="B230" s="21" t="str">
        <f>Source!F58</f>
        <v>21.3-4-24</v>
      </c>
      <c r="C230" s="21" t="str">
        <f>Source!G58</f>
        <v>Арматурные заготовки (стержни, хомуты и т.п.), не собранные в каркасы или сетки, закладные и накладные детали, со сваркой</v>
      </c>
      <c r="D230" s="22" t="str">
        <f>Source!H58</f>
        <v>т</v>
      </c>
      <c r="E230" s="9">
        <f>Source!I58</f>
        <v>-0.09</v>
      </c>
      <c r="F230" s="24">
        <f>Source!AK58</f>
        <v>53233.52</v>
      </c>
      <c r="G230" s="32" t="s">
        <v>3</v>
      </c>
      <c r="H230" s="9">
        <f>Source!AW58</f>
        <v>1</v>
      </c>
      <c r="I230" s="9">
        <f>IF(Source!BC58&lt;&gt; 0, Source!BC58, 1)</f>
        <v>1</v>
      </c>
      <c r="J230" s="25">
        <f>Source!O58</f>
        <v>-4791.0200000000004</v>
      </c>
      <c r="K230" s="25"/>
      <c r="Q230">
        <f>ROUND((Source!BZ58/100)*ROUND((Source!AF58*Source!AV58)*Source!I58, 2), 2)</f>
        <v>0</v>
      </c>
      <c r="R230">
        <f>Source!X58</f>
        <v>0</v>
      </c>
      <c r="S230">
        <f>ROUND((Source!CA58/100)*ROUND((Source!AF58*Source!AV58)*Source!I58, 2), 2)</f>
        <v>0</v>
      </c>
      <c r="T230">
        <f>Source!Y58</f>
        <v>0</v>
      </c>
      <c r="U230">
        <f>ROUND((175/100)*ROUND((Source!AE58*Source!AV58)*Source!I58, 2), 2)</f>
        <v>0</v>
      </c>
      <c r="V230">
        <f>ROUND((108/100)*ROUND(Source!CS58*Source!I58, 2), 2)</f>
        <v>0</v>
      </c>
    </row>
    <row r="231" spans="1:22" ht="14.25" x14ac:dyDescent="0.2">
      <c r="A231" s="20"/>
      <c r="B231" s="21"/>
      <c r="C231" s="21" t="s">
        <v>277</v>
      </c>
      <c r="D231" s="22" t="s">
        <v>278</v>
      </c>
      <c r="E231" s="9">
        <f>Source!AT56</f>
        <v>70</v>
      </c>
      <c r="F231" s="24"/>
      <c r="G231" s="23"/>
      <c r="H231" s="9"/>
      <c r="I231" s="9"/>
      <c r="J231" s="25">
        <f>SUM(R226:R230)</f>
        <v>3216.61</v>
      </c>
      <c r="K231" s="25"/>
    </row>
    <row r="232" spans="1:22" ht="14.25" x14ac:dyDescent="0.2">
      <c r="A232" s="20"/>
      <c r="B232" s="21"/>
      <c r="C232" s="21" t="s">
        <v>279</v>
      </c>
      <c r="D232" s="22" t="s">
        <v>278</v>
      </c>
      <c r="E232" s="9">
        <f>Source!AU56</f>
        <v>10</v>
      </c>
      <c r="F232" s="24"/>
      <c r="G232" s="23"/>
      <c r="H232" s="9"/>
      <c r="I232" s="9"/>
      <c r="J232" s="25">
        <f>SUM(T226:T231)</f>
        <v>459.52</v>
      </c>
      <c r="K232" s="25"/>
    </row>
    <row r="233" spans="1:22" ht="14.25" x14ac:dyDescent="0.2">
      <c r="A233" s="20"/>
      <c r="B233" s="21"/>
      <c r="C233" s="21" t="s">
        <v>280</v>
      </c>
      <c r="D233" s="22" t="s">
        <v>281</v>
      </c>
      <c r="E233" s="9">
        <f>Source!AQ56</f>
        <v>227.7</v>
      </c>
      <c r="F233" s="24"/>
      <c r="G233" s="23" t="str">
        <f>Source!DI56</f>
        <v/>
      </c>
      <c r="H233" s="9">
        <f>Source!AV56</f>
        <v>1</v>
      </c>
      <c r="I233" s="9"/>
      <c r="J233" s="25"/>
      <c r="K233" s="25">
        <f>Source!U56</f>
        <v>20.492999999999999</v>
      </c>
    </row>
    <row r="234" spans="1:22" ht="15" x14ac:dyDescent="0.25">
      <c r="A234" s="29"/>
      <c r="B234" s="29"/>
      <c r="C234" s="29"/>
      <c r="D234" s="29"/>
      <c r="E234" s="29"/>
      <c r="F234" s="29"/>
      <c r="G234" s="29"/>
      <c r="H234" s="29"/>
      <c r="I234" s="66">
        <f>J227+J228+J231+J232+SUM(J229:J230)</f>
        <v>8481.2800000000007</v>
      </c>
      <c r="J234" s="66"/>
      <c r="K234" s="30">
        <f>IF(Source!I56&lt;&gt;0, ROUND(I234/Source!I56, 2), 0)</f>
        <v>94236.44</v>
      </c>
      <c r="P234" s="27">
        <f>I234</f>
        <v>8481.2800000000007</v>
      </c>
    </row>
    <row r="235" spans="1:22" ht="41.25" x14ac:dyDescent="0.2">
      <c r="A235" s="20" t="str">
        <f>Source!E59</f>
        <v>24</v>
      </c>
      <c r="B235" s="21" t="str">
        <f>Source!F59</f>
        <v>Цена поставщика</v>
      </c>
      <c r="C235" s="21" t="s">
        <v>346</v>
      </c>
      <c r="D235" s="22" t="str">
        <f>Source!H59</f>
        <v>шт.</v>
      </c>
      <c r="E235" s="9">
        <f>Source!I59</f>
        <v>1</v>
      </c>
      <c r="F235" s="24">
        <f>Source!AL59</f>
        <v>50280.78</v>
      </c>
      <c r="G235" s="23" t="str">
        <f>Source!DD59</f>
        <v/>
      </c>
      <c r="H235" s="9">
        <f>Source!AW59</f>
        <v>1</v>
      </c>
      <c r="I235" s="9">
        <f>IF(Source!BC59&lt;&gt; 0, Source!BC59, 1)</f>
        <v>1</v>
      </c>
      <c r="J235" s="25">
        <f>Source!P59</f>
        <v>50280.78</v>
      </c>
      <c r="K235" s="25"/>
      <c r="Q235">
        <f>ROUND((Source!BZ59/100)*ROUND((Source!AF59*Source!AV59)*Source!I59, 2), 2)</f>
        <v>0</v>
      </c>
      <c r="R235">
        <f>Source!X59</f>
        <v>0</v>
      </c>
      <c r="S235">
        <f>ROUND((Source!CA59/100)*ROUND((Source!AF59*Source!AV59)*Source!I59, 2), 2)</f>
        <v>0</v>
      </c>
      <c r="T235">
        <f>Source!Y59</f>
        <v>0</v>
      </c>
      <c r="U235">
        <f>ROUND((175/100)*ROUND((Source!AE59*Source!AV59)*Source!I59, 2), 2)</f>
        <v>0</v>
      </c>
      <c r="V235">
        <f>ROUND((108/100)*ROUND(Source!CS59*Source!I59, 2), 2)</f>
        <v>0</v>
      </c>
    </row>
    <row r="236" spans="1:22" ht="15" x14ac:dyDescent="0.25">
      <c r="A236" s="29"/>
      <c r="B236" s="29"/>
      <c r="C236" s="29"/>
      <c r="D236" s="29"/>
      <c r="E236" s="29"/>
      <c r="F236" s="29"/>
      <c r="G236" s="29"/>
      <c r="H236" s="29"/>
      <c r="I236" s="66">
        <f>J235</f>
        <v>50280.78</v>
      </c>
      <c r="J236" s="66"/>
      <c r="K236" s="30">
        <f>IF(Source!I59&lt;&gt;0, ROUND(I236/Source!I59, 2), 0)</f>
        <v>50280.78</v>
      </c>
      <c r="P236" s="27">
        <f>I236</f>
        <v>50280.78</v>
      </c>
    </row>
    <row r="237" spans="1:22" ht="32.25" customHeight="1" x14ac:dyDescent="0.2">
      <c r="A237" s="20" t="str">
        <f>Source!E60</f>
        <v>25</v>
      </c>
      <c r="B237" s="21" t="str">
        <f>Source!F60</f>
        <v>1.1-3303-2-1/1</v>
      </c>
      <c r="C237" s="21" t="str">
        <f>Source!G60</f>
        <v>Разработка грунта вручную в траншеях глубиной до 2 м без креплений с откосами группа грунтов 1-3</v>
      </c>
      <c r="D237" s="22" t="str">
        <f>Source!H60</f>
        <v>100 м3</v>
      </c>
      <c r="E237" s="9">
        <f>Source!I60</f>
        <v>4.8999999999999998E-3</v>
      </c>
      <c r="F237" s="24"/>
      <c r="G237" s="23"/>
      <c r="H237" s="9"/>
      <c r="I237" s="9"/>
      <c r="J237" s="25"/>
      <c r="K237" s="25"/>
      <c r="Q237">
        <f>ROUND((Source!BZ60/100)*ROUND((Source!AF60*Source!AV60)*Source!I60, 2), 2)</f>
        <v>143.88999999999999</v>
      </c>
      <c r="R237">
        <f>Source!X60</f>
        <v>143.88999999999999</v>
      </c>
      <c r="S237">
        <f>ROUND((Source!CA60/100)*ROUND((Source!AF60*Source!AV60)*Source!I60, 2), 2)</f>
        <v>20.56</v>
      </c>
      <c r="T237">
        <f>Source!Y60</f>
        <v>20.56</v>
      </c>
      <c r="U237">
        <f>ROUND((175/100)*ROUND((Source!AE60*Source!AV60)*Source!I60, 2), 2)</f>
        <v>0</v>
      </c>
      <c r="V237">
        <f>ROUND((108/100)*ROUND(Source!CS60*Source!I60, 2), 2)</f>
        <v>0</v>
      </c>
    </row>
    <row r="238" spans="1:22" x14ac:dyDescent="0.2">
      <c r="C238" s="26" t="str">
        <f>"Объем: "&amp;Source!I60&amp;"=0,7*"&amp;"0,7*"&amp;"1/"&amp;"100"</f>
        <v>Объем: 0,0049=0,7*0,7*1/100</v>
      </c>
    </row>
    <row r="239" spans="1:22" ht="14.25" x14ac:dyDescent="0.2">
      <c r="A239" s="20"/>
      <c r="B239" s="21"/>
      <c r="C239" s="21" t="s">
        <v>276</v>
      </c>
      <c r="D239" s="22"/>
      <c r="E239" s="9"/>
      <c r="F239" s="24">
        <f>Source!AO60</f>
        <v>41951.1</v>
      </c>
      <c r="G239" s="23" t="str">
        <f>Source!DG60</f>
        <v/>
      </c>
      <c r="H239" s="9">
        <f>Source!AV60</f>
        <v>1</v>
      </c>
      <c r="I239" s="9">
        <f>IF(Source!BA60&lt;&gt; 0, Source!BA60, 1)</f>
        <v>1</v>
      </c>
      <c r="J239" s="25">
        <f>Source!S60</f>
        <v>205.56</v>
      </c>
      <c r="K239" s="25"/>
    </row>
    <row r="240" spans="1:22" ht="14.25" x14ac:dyDescent="0.2">
      <c r="A240" s="20"/>
      <c r="B240" s="21"/>
      <c r="C240" s="21" t="s">
        <v>277</v>
      </c>
      <c r="D240" s="22" t="s">
        <v>278</v>
      </c>
      <c r="E240" s="9">
        <f>Source!AT60</f>
        <v>70</v>
      </c>
      <c r="F240" s="24"/>
      <c r="G240" s="23"/>
      <c r="H240" s="9"/>
      <c r="I240" s="9"/>
      <c r="J240" s="25">
        <f>SUM(R237:R239)</f>
        <v>143.88999999999999</v>
      </c>
      <c r="K240" s="25"/>
    </row>
    <row r="241" spans="1:22" ht="14.25" x14ac:dyDescent="0.2">
      <c r="A241" s="20"/>
      <c r="B241" s="21"/>
      <c r="C241" s="21" t="s">
        <v>279</v>
      </c>
      <c r="D241" s="22" t="s">
        <v>278</v>
      </c>
      <c r="E241" s="9">
        <f>Source!AU60</f>
        <v>10</v>
      </c>
      <c r="F241" s="24"/>
      <c r="G241" s="23"/>
      <c r="H241" s="9"/>
      <c r="I241" s="9"/>
      <c r="J241" s="25">
        <f>SUM(T237:T240)</f>
        <v>20.56</v>
      </c>
      <c r="K241" s="25"/>
    </row>
    <row r="242" spans="1:22" ht="14.25" x14ac:dyDescent="0.2">
      <c r="A242" s="20"/>
      <c r="B242" s="21"/>
      <c r="C242" s="21" t="s">
        <v>280</v>
      </c>
      <c r="D242" s="22" t="s">
        <v>281</v>
      </c>
      <c r="E242" s="9">
        <f>Source!AQ60</f>
        <v>221.6</v>
      </c>
      <c r="F242" s="24"/>
      <c r="G242" s="23" t="str">
        <f>Source!DI60</f>
        <v/>
      </c>
      <c r="H242" s="9">
        <f>Source!AV60</f>
        <v>1</v>
      </c>
      <c r="I242" s="9"/>
      <c r="J242" s="25"/>
      <c r="K242" s="25">
        <f>Source!U60</f>
        <v>1.0858399999999999</v>
      </c>
    </row>
    <row r="243" spans="1:22" ht="15" x14ac:dyDescent="0.25">
      <c r="A243" s="29"/>
      <c r="B243" s="29"/>
      <c r="C243" s="29"/>
      <c r="D243" s="29"/>
      <c r="E243" s="29"/>
      <c r="F243" s="29"/>
      <c r="G243" s="29"/>
      <c r="H243" s="29"/>
      <c r="I243" s="66">
        <f>J239+J240+J241</f>
        <v>370.01</v>
      </c>
      <c r="J243" s="66"/>
      <c r="K243" s="30">
        <f>IF(Source!I60&lt;&gt;0, ROUND(I243/Source!I60, 2), 0)</f>
        <v>75512.240000000005</v>
      </c>
      <c r="P243" s="27">
        <f>I243</f>
        <v>370.01</v>
      </c>
    </row>
    <row r="244" spans="1:22" ht="28.5" x14ac:dyDescent="0.2">
      <c r="A244" s="20" t="str">
        <f>Source!E61</f>
        <v>26</v>
      </c>
      <c r="B244" s="21" t="str">
        <f>Source!F61</f>
        <v>1.2-3103-29-1/1</v>
      </c>
      <c r="C244" s="21" t="str">
        <f>Source!G61</f>
        <v>Устройство песчаного основания под фундаменты</v>
      </c>
      <c r="D244" s="22" t="str">
        <f>Source!H61</f>
        <v>м3</v>
      </c>
      <c r="E244" s="9">
        <f>Source!I61</f>
        <v>4.9000000000000002E-2</v>
      </c>
      <c r="F244" s="24"/>
      <c r="G244" s="23"/>
      <c r="H244" s="9"/>
      <c r="I244" s="9"/>
      <c r="J244" s="25"/>
      <c r="K244" s="25"/>
      <c r="Q244">
        <f>ROUND((Source!BZ61/100)*ROUND((Source!AF61*Source!AV61)*Source!I61, 2), 2)</f>
        <v>5.71</v>
      </c>
      <c r="R244">
        <f>Source!X61</f>
        <v>5.71</v>
      </c>
      <c r="S244">
        <f>ROUND((Source!CA61/100)*ROUND((Source!AF61*Source!AV61)*Source!I61, 2), 2)</f>
        <v>0.82</v>
      </c>
      <c r="T244">
        <f>Source!Y61</f>
        <v>0.82</v>
      </c>
      <c r="U244">
        <f>ROUND((175/100)*ROUND((Source!AE61*Source!AV61)*Source!I61, 2), 2)</f>
        <v>10.64</v>
      </c>
      <c r="V244">
        <f>ROUND((108/100)*ROUND(Source!CS61*Source!I61, 2), 2)</f>
        <v>6.57</v>
      </c>
    </row>
    <row r="245" spans="1:22" x14ac:dyDescent="0.2">
      <c r="C245" s="26" t="str">
        <f>"Объем: "&amp;Source!I61&amp;"=0,7*"&amp;"0,7*"&amp;"0,1"</f>
        <v>Объем: 0,049=0,7*0,7*0,1</v>
      </c>
    </row>
    <row r="246" spans="1:22" ht="14.25" x14ac:dyDescent="0.2">
      <c r="A246" s="20"/>
      <c r="B246" s="21"/>
      <c r="C246" s="21" t="s">
        <v>276</v>
      </c>
      <c r="D246" s="22"/>
      <c r="E246" s="9"/>
      <c r="F246" s="24">
        <f>Source!AO61</f>
        <v>166.52</v>
      </c>
      <c r="G246" s="23" t="str">
        <f>Source!DG61</f>
        <v/>
      </c>
      <c r="H246" s="9">
        <f>Source!AV61</f>
        <v>1</v>
      </c>
      <c r="I246" s="9">
        <f>IF(Source!BA61&lt;&gt; 0, Source!BA61, 1)</f>
        <v>1</v>
      </c>
      <c r="J246" s="25">
        <f>Source!S61</f>
        <v>8.16</v>
      </c>
      <c r="K246" s="25"/>
    </row>
    <row r="247" spans="1:22" ht="14.25" x14ac:dyDescent="0.2">
      <c r="A247" s="20"/>
      <c r="B247" s="21"/>
      <c r="C247" s="21" t="s">
        <v>282</v>
      </c>
      <c r="D247" s="22"/>
      <c r="E247" s="9"/>
      <c r="F247" s="24">
        <f>Source!AM61</f>
        <v>210.68</v>
      </c>
      <c r="G247" s="23" t="str">
        <f>Source!DE61</f>
        <v/>
      </c>
      <c r="H247" s="9">
        <f>Source!AV61</f>
        <v>1</v>
      </c>
      <c r="I247" s="9">
        <f>IF(Source!BB61&lt;&gt; 0, Source!BB61, 1)</f>
        <v>1</v>
      </c>
      <c r="J247" s="25">
        <f>Source!Q61</f>
        <v>10.32</v>
      </c>
      <c r="K247" s="25"/>
    </row>
    <row r="248" spans="1:22" ht="14.25" x14ac:dyDescent="0.2">
      <c r="A248" s="20"/>
      <c r="B248" s="21"/>
      <c r="C248" s="21" t="s">
        <v>283</v>
      </c>
      <c r="D248" s="22"/>
      <c r="E248" s="9"/>
      <c r="F248" s="24">
        <f>Source!AN61</f>
        <v>124.16</v>
      </c>
      <c r="G248" s="23" t="str">
        <f>Source!DF61</f>
        <v/>
      </c>
      <c r="H248" s="9">
        <f>Source!AV61</f>
        <v>1</v>
      </c>
      <c r="I248" s="9">
        <f>IF(Source!BS61&lt;&gt; 0, Source!BS61, 1)</f>
        <v>1</v>
      </c>
      <c r="J248" s="31">
        <f>Source!R61</f>
        <v>6.08</v>
      </c>
      <c r="K248" s="25"/>
    </row>
    <row r="249" spans="1:22" ht="14.25" x14ac:dyDescent="0.2">
      <c r="A249" s="20"/>
      <c r="B249" s="21"/>
      <c r="C249" s="21" t="s">
        <v>284</v>
      </c>
      <c r="D249" s="22"/>
      <c r="E249" s="9"/>
      <c r="F249" s="24">
        <f>Source!AL61</f>
        <v>655.15</v>
      </c>
      <c r="G249" s="23" t="str">
        <f>Source!DD61</f>
        <v/>
      </c>
      <c r="H249" s="9">
        <f>Source!AW61</f>
        <v>1</v>
      </c>
      <c r="I249" s="9">
        <f>IF(Source!BC61&lt;&gt; 0, Source!BC61, 1)</f>
        <v>1</v>
      </c>
      <c r="J249" s="25">
        <f>Source!P61</f>
        <v>32.1</v>
      </c>
      <c r="K249" s="25"/>
    </row>
    <row r="250" spans="1:22" ht="14.25" x14ac:dyDescent="0.2">
      <c r="A250" s="20"/>
      <c r="B250" s="21"/>
      <c r="C250" s="21" t="s">
        <v>277</v>
      </c>
      <c r="D250" s="22" t="s">
        <v>278</v>
      </c>
      <c r="E250" s="9">
        <f>Source!AT61</f>
        <v>70</v>
      </c>
      <c r="F250" s="24"/>
      <c r="G250" s="23"/>
      <c r="H250" s="9"/>
      <c r="I250" s="9"/>
      <c r="J250" s="25">
        <f>SUM(R244:R249)</f>
        <v>5.71</v>
      </c>
      <c r="K250" s="25"/>
    </row>
    <row r="251" spans="1:22" ht="14.25" x14ac:dyDescent="0.2">
      <c r="A251" s="20"/>
      <c r="B251" s="21"/>
      <c r="C251" s="21" t="s">
        <v>279</v>
      </c>
      <c r="D251" s="22" t="s">
        <v>278</v>
      </c>
      <c r="E251" s="9">
        <f>Source!AU61</f>
        <v>10</v>
      </c>
      <c r="F251" s="24"/>
      <c r="G251" s="23"/>
      <c r="H251" s="9"/>
      <c r="I251" s="9"/>
      <c r="J251" s="25">
        <f>SUM(T244:T250)</f>
        <v>0.82</v>
      </c>
      <c r="K251" s="25"/>
    </row>
    <row r="252" spans="1:22" ht="14.25" x14ac:dyDescent="0.2">
      <c r="A252" s="20"/>
      <c r="B252" s="21"/>
      <c r="C252" s="21" t="s">
        <v>285</v>
      </c>
      <c r="D252" s="22" t="s">
        <v>278</v>
      </c>
      <c r="E252" s="9">
        <f>108</f>
        <v>108</v>
      </c>
      <c r="F252" s="24"/>
      <c r="G252" s="23"/>
      <c r="H252" s="9"/>
      <c r="I252" s="9"/>
      <c r="J252" s="25">
        <f>SUM(V244:V251)</f>
        <v>6.57</v>
      </c>
      <c r="K252" s="25"/>
    </row>
    <row r="253" spans="1:22" ht="14.25" x14ac:dyDescent="0.2">
      <c r="A253" s="20"/>
      <c r="B253" s="21"/>
      <c r="C253" s="21" t="s">
        <v>280</v>
      </c>
      <c r="D253" s="22" t="s">
        <v>281</v>
      </c>
      <c r="E253" s="9">
        <f>Source!AQ61</f>
        <v>0.9</v>
      </c>
      <c r="F253" s="24"/>
      <c r="G253" s="23" t="str">
        <f>Source!DI61</f>
        <v/>
      </c>
      <c r="H253" s="9">
        <f>Source!AV61</f>
        <v>1</v>
      </c>
      <c r="I253" s="9"/>
      <c r="J253" s="25"/>
      <c r="K253" s="25">
        <f>Source!U61</f>
        <v>4.41E-2</v>
      </c>
    </row>
    <row r="254" spans="1:22" ht="15" x14ac:dyDescent="0.25">
      <c r="A254" s="29"/>
      <c r="B254" s="29"/>
      <c r="C254" s="29"/>
      <c r="D254" s="29"/>
      <c r="E254" s="29"/>
      <c r="F254" s="29"/>
      <c r="G254" s="29"/>
      <c r="H254" s="29"/>
      <c r="I254" s="66">
        <f>J246+J247+J249+J250+J251+J252</f>
        <v>63.68</v>
      </c>
      <c r="J254" s="66"/>
      <c r="K254" s="30">
        <f>IF(Source!I61&lt;&gt;0, ROUND(I254/Source!I61, 2), 0)</f>
        <v>1299.5899999999999</v>
      </c>
      <c r="P254" s="27">
        <f>I254</f>
        <v>63.68</v>
      </c>
    </row>
    <row r="255" spans="1:22" ht="30.75" customHeight="1" x14ac:dyDescent="0.2">
      <c r="A255" s="20" t="str">
        <f>Source!E62</f>
        <v>27</v>
      </c>
      <c r="B255" s="21" t="str">
        <f>Source!F62</f>
        <v>1.2-3103-29-2/1</v>
      </c>
      <c r="C255" s="21" t="str">
        <f>Source!G62</f>
        <v>Устройство щебеночного основания под фундаменты</v>
      </c>
      <c r="D255" s="22" t="str">
        <f>Source!H62</f>
        <v>м3</v>
      </c>
      <c r="E255" s="9">
        <f>Source!I62</f>
        <v>9.8000000000000004E-2</v>
      </c>
      <c r="F255" s="24"/>
      <c r="G255" s="23"/>
      <c r="H255" s="9"/>
      <c r="I255" s="9"/>
      <c r="J255" s="25"/>
      <c r="K255" s="25"/>
      <c r="Q255">
        <f>ROUND((Source!BZ62/100)*ROUND((Source!AF62*Source!AV62)*Source!I62, 2), 2)</f>
        <v>12.44</v>
      </c>
      <c r="R255">
        <f>Source!X62</f>
        <v>12.44</v>
      </c>
      <c r="S255">
        <f>ROUND((Source!CA62/100)*ROUND((Source!AF62*Source!AV62)*Source!I62, 2), 2)</f>
        <v>1.78</v>
      </c>
      <c r="T255">
        <f>Source!Y62</f>
        <v>1.78</v>
      </c>
      <c r="U255">
        <f>ROUND((175/100)*ROUND((Source!AE62*Source!AV62)*Source!I62, 2), 2)</f>
        <v>23.17</v>
      </c>
      <c r="V255">
        <f>ROUND((108/100)*ROUND(Source!CS62*Source!I62, 2), 2)</f>
        <v>14.3</v>
      </c>
    </row>
    <row r="256" spans="1:22" x14ac:dyDescent="0.2">
      <c r="C256" s="26" t="str">
        <f>"Объем: "&amp;Source!I62&amp;"=0,7*"&amp;"0,7*"&amp;"0,2"</f>
        <v>Объем: 0,098=0,7*0,7*0,2</v>
      </c>
    </row>
    <row r="257" spans="1:22" ht="14.25" x14ac:dyDescent="0.2">
      <c r="A257" s="20"/>
      <c r="B257" s="21"/>
      <c r="C257" s="21" t="s">
        <v>276</v>
      </c>
      <c r="D257" s="22"/>
      <c r="E257" s="9"/>
      <c r="F257" s="24">
        <f>Source!AO62</f>
        <v>181.32</v>
      </c>
      <c r="G257" s="23" t="str">
        <f>Source!DG62</f>
        <v/>
      </c>
      <c r="H257" s="9">
        <f>Source!AV62</f>
        <v>1</v>
      </c>
      <c r="I257" s="9">
        <f>IF(Source!BA62&lt;&gt; 0, Source!BA62, 1)</f>
        <v>1</v>
      </c>
      <c r="J257" s="25">
        <f>Source!S62</f>
        <v>17.77</v>
      </c>
      <c r="K257" s="25"/>
    </row>
    <row r="258" spans="1:22" ht="14.25" x14ac:dyDescent="0.2">
      <c r="A258" s="20"/>
      <c r="B258" s="21"/>
      <c r="C258" s="21" t="s">
        <v>282</v>
      </c>
      <c r="D258" s="22"/>
      <c r="E258" s="9"/>
      <c r="F258" s="24">
        <f>Source!AM62</f>
        <v>224.99</v>
      </c>
      <c r="G258" s="23" t="str">
        <f>Source!DE62</f>
        <v/>
      </c>
      <c r="H258" s="9">
        <f>Source!AV62</f>
        <v>1</v>
      </c>
      <c r="I258" s="9">
        <f>IF(Source!BB62&lt;&gt; 0, Source!BB62, 1)</f>
        <v>1</v>
      </c>
      <c r="J258" s="25">
        <f>Source!Q62</f>
        <v>22.05</v>
      </c>
      <c r="K258" s="25"/>
    </row>
    <row r="259" spans="1:22" ht="14.25" x14ac:dyDescent="0.2">
      <c r="A259" s="20"/>
      <c r="B259" s="21"/>
      <c r="C259" s="21" t="s">
        <v>283</v>
      </c>
      <c r="D259" s="22"/>
      <c r="E259" s="9"/>
      <c r="F259" s="24">
        <f>Source!AN62</f>
        <v>135.08000000000001</v>
      </c>
      <c r="G259" s="23" t="str">
        <f>Source!DF62</f>
        <v/>
      </c>
      <c r="H259" s="9">
        <f>Source!AV62</f>
        <v>1</v>
      </c>
      <c r="I259" s="9">
        <f>IF(Source!BS62&lt;&gt; 0, Source!BS62, 1)</f>
        <v>1</v>
      </c>
      <c r="J259" s="31">
        <f>Source!R62</f>
        <v>13.24</v>
      </c>
      <c r="K259" s="25"/>
    </row>
    <row r="260" spans="1:22" ht="14.25" x14ac:dyDescent="0.2">
      <c r="A260" s="20"/>
      <c r="B260" s="21"/>
      <c r="C260" s="21" t="s">
        <v>284</v>
      </c>
      <c r="D260" s="22"/>
      <c r="E260" s="9"/>
      <c r="F260" s="24">
        <f>Source!AL62</f>
        <v>1657.26</v>
      </c>
      <c r="G260" s="23" t="str">
        <f>Source!DD62</f>
        <v/>
      </c>
      <c r="H260" s="9">
        <f>Source!AW62</f>
        <v>1</v>
      </c>
      <c r="I260" s="9">
        <f>IF(Source!BC62&lt;&gt; 0, Source!BC62, 1)</f>
        <v>1</v>
      </c>
      <c r="J260" s="25">
        <f>Source!P62</f>
        <v>162.41</v>
      </c>
      <c r="K260" s="25"/>
    </row>
    <row r="261" spans="1:22" ht="14.25" x14ac:dyDescent="0.2">
      <c r="A261" s="20"/>
      <c r="B261" s="21"/>
      <c r="C261" s="21" t="s">
        <v>277</v>
      </c>
      <c r="D261" s="22" t="s">
        <v>278</v>
      </c>
      <c r="E261" s="9">
        <f>Source!AT62</f>
        <v>70</v>
      </c>
      <c r="F261" s="24"/>
      <c r="G261" s="23"/>
      <c r="H261" s="9"/>
      <c r="I261" s="9"/>
      <c r="J261" s="25">
        <f>SUM(R255:R260)</f>
        <v>12.44</v>
      </c>
      <c r="K261" s="25"/>
    </row>
    <row r="262" spans="1:22" ht="14.25" x14ac:dyDescent="0.2">
      <c r="A262" s="20"/>
      <c r="B262" s="21"/>
      <c r="C262" s="21" t="s">
        <v>279</v>
      </c>
      <c r="D262" s="22" t="s">
        <v>278</v>
      </c>
      <c r="E262" s="9">
        <f>Source!AU62</f>
        <v>10</v>
      </c>
      <c r="F262" s="24"/>
      <c r="G262" s="23"/>
      <c r="H262" s="9"/>
      <c r="I262" s="9"/>
      <c r="J262" s="25">
        <f>SUM(T255:T261)</f>
        <v>1.78</v>
      </c>
      <c r="K262" s="25"/>
    </row>
    <row r="263" spans="1:22" ht="14.25" x14ac:dyDescent="0.2">
      <c r="A263" s="20"/>
      <c r="B263" s="21"/>
      <c r="C263" s="21" t="s">
        <v>285</v>
      </c>
      <c r="D263" s="22" t="s">
        <v>278</v>
      </c>
      <c r="E263" s="9">
        <f>108</f>
        <v>108</v>
      </c>
      <c r="F263" s="24"/>
      <c r="G263" s="23"/>
      <c r="H263" s="9"/>
      <c r="I263" s="9"/>
      <c r="J263" s="25">
        <f>SUM(V255:V262)</f>
        <v>14.3</v>
      </c>
      <c r="K263" s="25"/>
    </row>
    <row r="264" spans="1:22" ht="14.25" x14ac:dyDescent="0.2">
      <c r="A264" s="20"/>
      <c r="B264" s="21"/>
      <c r="C264" s="21" t="s">
        <v>280</v>
      </c>
      <c r="D264" s="22" t="s">
        <v>281</v>
      </c>
      <c r="E264" s="9">
        <f>Source!AQ62</f>
        <v>0.98</v>
      </c>
      <c r="F264" s="24"/>
      <c r="G264" s="23" t="str">
        <f>Source!DI62</f>
        <v/>
      </c>
      <c r="H264" s="9">
        <f>Source!AV62</f>
        <v>1</v>
      </c>
      <c r="I264" s="9"/>
      <c r="J264" s="25"/>
      <c r="K264" s="25">
        <f>Source!U62</f>
        <v>9.604E-2</v>
      </c>
    </row>
    <row r="265" spans="1:22" ht="15" x14ac:dyDescent="0.25">
      <c r="A265" s="29"/>
      <c r="B265" s="29"/>
      <c r="C265" s="29"/>
      <c r="D265" s="29"/>
      <c r="E265" s="29"/>
      <c r="F265" s="29"/>
      <c r="G265" s="29"/>
      <c r="H265" s="29"/>
      <c r="I265" s="66">
        <f>J257+J258+J260+J261+J262+J263</f>
        <v>230.75</v>
      </c>
      <c r="J265" s="66"/>
      <c r="K265" s="30">
        <f>IF(Source!I62&lt;&gt;0, ROUND(I265/Source!I62, 2), 0)</f>
        <v>2354.59</v>
      </c>
      <c r="P265" s="27">
        <f>I265</f>
        <v>230.75</v>
      </c>
    </row>
    <row r="266" spans="1:22" ht="28.5" x14ac:dyDescent="0.2">
      <c r="A266" s="20" t="str">
        <f>Source!E63</f>
        <v>28</v>
      </c>
      <c r="B266" s="21" t="str">
        <f>Source!F63</f>
        <v>1.2-3103-2-13/1</v>
      </c>
      <c r="C266" s="21" t="str">
        <f>Source!G63</f>
        <v>Устройство фундаментов-столбов бетонных</v>
      </c>
      <c r="D266" s="22" t="str">
        <f>Source!H63</f>
        <v>100 м3</v>
      </c>
      <c r="E266" s="9">
        <f>Source!I63</f>
        <v>3.4299999999999999E-3</v>
      </c>
      <c r="F266" s="24"/>
      <c r="G266" s="23"/>
      <c r="H266" s="9"/>
      <c r="I266" s="9"/>
      <c r="J266" s="25"/>
      <c r="K266" s="25"/>
      <c r="Q266">
        <f>ROUND((Source!BZ63/100)*ROUND((Source!AF63*Source!AV63)*Source!I63, 2), 2)</f>
        <v>273.52</v>
      </c>
      <c r="R266">
        <f>Source!X63</f>
        <v>273.52</v>
      </c>
      <c r="S266">
        <f>ROUND((Source!CA63/100)*ROUND((Source!AF63*Source!AV63)*Source!I63, 2), 2)</f>
        <v>39.07</v>
      </c>
      <c r="T266">
        <f>Source!Y63</f>
        <v>39.07</v>
      </c>
      <c r="U266">
        <f>ROUND((175/100)*ROUND((Source!AE63*Source!AV63)*Source!I63, 2), 2)</f>
        <v>1.24</v>
      </c>
      <c r="V266">
        <f>ROUND((108/100)*ROUND(Source!CS63*Source!I63, 2), 2)</f>
        <v>0.77</v>
      </c>
    </row>
    <row r="267" spans="1:22" x14ac:dyDescent="0.2">
      <c r="C267" s="26" t="str">
        <f>"Объем: "&amp;Source!I63&amp;"=(0,7*"&amp;"0,7*"&amp;"0,7*"&amp;"1)/"&amp;"100"</f>
        <v>Объем: 0,00343=(0,7*0,7*0,7*1)/100</v>
      </c>
    </row>
    <row r="268" spans="1:22" ht="14.25" x14ac:dyDescent="0.2">
      <c r="A268" s="20"/>
      <c r="B268" s="21"/>
      <c r="C268" s="21" t="s">
        <v>276</v>
      </c>
      <c r="D268" s="22"/>
      <c r="E268" s="9"/>
      <c r="F268" s="24">
        <f>Source!AO63</f>
        <v>113917.16</v>
      </c>
      <c r="G268" s="23" t="str">
        <f>Source!DG63</f>
        <v/>
      </c>
      <c r="H268" s="9">
        <f>Source!AV63</f>
        <v>1</v>
      </c>
      <c r="I268" s="9">
        <f>IF(Source!BA63&lt;&gt; 0, Source!BA63, 1)</f>
        <v>1</v>
      </c>
      <c r="J268" s="25">
        <f>Source!S63</f>
        <v>390.74</v>
      </c>
      <c r="K268" s="25"/>
    </row>
    <row r="269" spans="1:22" ht="14.25" x14ac:dyDescent="0.2">
      <c r="A269" s="20"/>
      <c r="B269" s="21"/>
      <c r="C269" s="21" t="s">
        <v>282</v>
      </c>
      <c r="D269" s="22"/>
      <c r="E269" s="9"/>
      <c r="F269" s="24">
        <f>Source!AM63</f>
        <v>547.28</v>
      </c>
      <c r="G269" s="23" t="str">
        <f>Source!DE63</f>
        <v/>
      </c>
      <c r="H269" s="9">
        <f>Source!AV63</f>
        <v>1</v>
      </c>
      <c r="I269" s="9">
        <f>IF(Source!BB63&lt;&gt; 0, Source!BB63, 1)</f>
        <v>1</v>
      </c>
      <c r="J269" s="25">
        <f>Source!Q63</f>
        <v>1.88</v>
      </c>
      <c r="K269" s="25"/>
    </row>
    <row r="270" spans="1:22" ht="14.25" x14ac:dyDescent="0.2">
      <c r="A270" s="20"/>
      <c r="B270" s="21"/>
      <c r="C270" s="21" t="s">
        <v>283</v>
      </c>
      <c r="D270" s="22"/>
      <c r="E270" s="9"/>
      <c r="F270" s="24">
        <f>Source!AN63</f>
        <v>206.05</v>
      </c>
      <c r="G270" s="23" t="str">
        <f>Source!DF63</f>
        <v/>
      </c>
      <c r="H270" s="9">
        <f>Source!AV63</f>
        <v>1</v>
      </c>
      <c r="I270" s="9">
        <f>IF(Source!BS63&lt;&gt; 0, Source!BS63, 1)</f>
        <v>1</v>
      </c>
      <c r="J270" s="31">
        <f>Source!R63</f>
        <v>0.71</v>
      </c>
      <c r="K270" s="25"/>
    </row>
    <row r="271" spans="1:22" ht="14.25" x14ac:dyDescent="0.2">
      <c r="A271" s="20"/>
      <c r="B271" s="21"/>
      <c r="C271" s="21" t="s">
        <v>284</v>
      </c>
      <c r="D271" s="22"/>
      <c r="E271" s="9"/>
      <c r="F271" s="24">
        <f>Source!AL63</f>
        <v>363129.4</v>
      </c>
      <c r="G271" s="23" t="str">
        <f>Source!DD63</f>
        <v/>
      </c>
      <c r="H271" s="9">
        <f>Source!AW63</f>
        <v>1</v>
      </c>
      <c r="I271" s="9">
        <f>IF(Source!BC63&lt;&gt; 0, Source!BC63, 1)</f>
        <v>1</v>
      </c>
      <c r="J271" s="25">
        <f>Source!P63</f>
        <v>1245.53</v>
      </c>
      <c r="K271" s="25"/>
    </row>
    <row r="272" spans="1:22" ht="14.25" x14ac:dyDescent="0.2">
      <c r="A272" s="20"/>
      <c r="B272" s="21"/>
      <c r="C272" s="21" t="s">
        <v>277</v>
      </c>
      <c r="D272" s="22" t="s">
        <v>278</v>
      </c>
      <c r="E272" s="9">
        <f>Source!AT63</f>
        <v>70</v>
      </c>
      <c r="F272" s="24"/>
      <c r="G272" s="23"/>
      <c r="H272" s="9"/>
      <c r="I272" s="9"/>
      <c r="J272" s="25">
        <f>SUM(R266:R271)</f>
        <v>273.52</v>
      </c>
      <c r="K272" s="25"/>
    </row>
    <row r="273" spans="1:22" ht="14.25" x14ac:dyDescent="0.2">
      <c r="A273" s="20"/>
      <c r="B273" s="21"/>
      <c r="C273" s="21" t="s">
        <v>279</v>
      </c>
      <c r="D273" s="22" t="s">
        <v>278</v>
      </c>
      <c r="E273" s="9">
        <f>Source!AU63</f>
        <v>10</v>
      </c>
      <c r="F273" s="24"/>
      <c r="G273" s="23"/>
      <c r="H273" s="9"/>
      <c r="I273" s="9"/>
      <c r="J273" s="25">
        <f>SUM(T266:T272)</f>
        <v>39.07</v>
      </c>
      <c r="K273" s="25"/>
    </row>
    <row r="274" spans="1:22" ht="14.25" x14ac:dyDescent="0.2">
      <c r="A274" s="20"/>
      <c r="B274" s="21"/>
      <c r="C274" s="21" t="s">
        <v>285</v>
      </c>
      <c r="D274" s="22" t="s">
        <v>278</v>
      </c>
      <c r="E274" s="9">
        <f>108</f>
        <v>108</v>
      </c>
      <c r="F274" s="24"/>
      <c r="G274" s="23"/>
      <c r="H274" s="9"/>
      <c r="I274" s="9"/>
      <c r="J274" s="25">
        <f>SUM(V266:V273)</f>
        <v>0.77</v>
      </c>
      <c r="K274" s="25"/>
    </row>
    <row r="275" spans="1:22" ht="14.25" x14ac:dyDescent="0.2">
      <c r="A275" s="20"/>
      <c r="B275" s="21"/>
      <c r="C275" s="21" t="s">
        <v>280</v>
      </c>
      <c r="D275" s="22" t="s">
        <v>281</v>
      </c>
      <c r="E275" s="9">
        <f>Source!AQ63</f>
        <v>563.5</v>
      </c>
      <c r="F275" s="24"/>
      <c r="G275" s="23" t="str">
        <f>Source!DI63</f>
        <v/>
      </c>
      <c r="H275" s="9">
        <f>Source!AV63</f>
        <v>1</v>
      </c>
      <c r="I275" s="9"/>
      <c r="J275" s="25"/>
      <c r="K275" s="25">
        <f>Source!U63</f>
        <v>1.9328049999999999</v>
      </c>
    </row>
    <row r="276" spans="1:22" ht="15" x14ac:dyDescent="0.25">
      <c r="A276" s="29"/>
      <c r="B276" s="29"/>
      <c r="C276" s="29"/>
      <c r="D276" s="29"/>
      <c r="E276" s="29"/>
      <c r="F276" s="29"/>
      <c r="G276" s="29"/>
      <c r="H276" s="29"/>
      <c r="I276" s="66">
        <f>J268+J269+J271+J272+J273+J274</f>
        <v>1951.51</v>
      </c>
      <c r="J276" s="66"/>
      <c r="K276" s="30">
        <f>IF(Source!I63&lt;&gt;0, ROUND(I276/Source!I63, 2), 0)</f>
        <v>568953.35</v>
      </c>
      <c r="P276" s="27">
        <f>I276</f>
        <v>1951.51</v>
      </c>
    </row>
    <row r="277" spans="1:22" ht="28.5" x14ac:dyDescent="0.2">
      <c r="A277" s="20" t="str">
        <f>Source!E64</f>
        <v>29</v>
      </c>
      <c r="B277" s="21" t="str">
        <f>Source!F64</f>
        <v>1.50-3203-3-7/1</v>
      </c>
      <c r="C277" s="21" t="str">
        <f>Source!G64</f>
        <v>Установка закладных деталей весом до 4 кг</v>
      </c>
      <c r="D277" s="22" t="str">
        <f>Source!H64</f>
        <v>т</v>
      </c>
      <c r="E277" s="9">
        <f>Source!I64</f>
        <v>0.105</v>
      </c>
      <c r="F277" s="24"/>
      <c r="G277" s="23"/>
      <c r="H277" s="9"/>
      <c r="I277" s="9"/>
      <c r="J277" s="25"/>
      <c r="K277" s="25"/>
      <c r="Q277">
        <f>ROUND((Source!BZ64/100)*ROUND((Source!AF64*Source!AV64)*Source!I64, 2), 2)</f>
        <v>3752.7</v>
      </c>
      <c r="R277">
        <f>Source!X64</f>
        <v>3752.7</v>
      </c>
      <c r="S277">
        <f>ROUND((Source!CA64/100)*ROUND((Source!AF64*Source!AV64)*Source!I64, 2), 2)</f>
        <v>536.1</v>
      </c>
      <c r="T277">
        <f>Source!Y64</f>
        <v>536.1</v>
      </c>
      <c r="U277">
        <f>ROUND((175/100)*ROUND((Source!AE64*Source!AV64)*Source!I64, 2), 2)</f>
        <v>0</v>
      </c>
      <c r="V277">
        <f>ROUND((108/100)*ROUND(Source!CS64*Source!I64, 2), 2)</f>
        <v>0</v>
      </c>
    </row>
    <row r="278" spans="1:22" ht="14.25" x14ac:dyDescent="0.2">
      <c r="A278" s="20"/>
      <c r="B278" s="21"/>
      <c r="C278" s="21" t="s">
        <v>276</v>
      </c>
      <c r="D278" s="22"/>
      <c r="E278" s="9"/>
      <c r="F278" s="24">
        <f>Source!AO64</f>
        <v>51057.17</v>
      </c>
      <c r="G278" s="23" t="str">
        <f>Source!DG64</f>
        <v/>
      </c>
      <c r="H278" s="9">
        <f>Source!AV64</f>
        <v>1</v>
      </c>
      <c r="I278" s="9">
        <f>IF(Source!BA64&lt;&gt; 0, Source!BA64, 1)</f>
        <v>1</v>
      </c>
      <c r="J278" s="25">
        <f>Source!S64</f>
        <v>5361</v>
      </c>
      <c r="K278" s="25"/>
    </row>
    <row r="279" spans="1:22" ht="14.25" x14ac:dyDescent="0.2">
      <c r="A279" s="20"/>
      <c r="B279" s="21"/>
      <c r="C279" s="21" t="s">
        <v>284</v>
      </c>
      <c r="D279" s="22"/>
      <c r="E279" s="9"/>
      <c r="F279" s="24">
        <f>Source!AL64</f>
        <v>53233.52</v>
      </c>
      <c r="G279" s="23" t="str">
        <f>Source!DD64</f>
        <v/>
      </c>
      <c r="H279" s="9">
        <f>Source!AW64</f>
        <v>1</v>
      </c>
      <c r="I279" s="9">
        <f>IF(Source!BC64&lt;&gt; 0, Source!BC64, 1)</f>
        <v>1</v>
      </c>
      <c r="J279" s="25">
        <f>Source!P64</f>
        <v>5589.52</v>
      </c>
      <c r="K279" s="25"/>
    </row>
    <row r="280" spans="1:22" ht="28.5" x14ac:dyDescent="0.2">
      <c r="A280" s="20" t="str">
        <f>Source!E65</f>
        <v>29,1</v>
      </c>
      <c r="B280" s="21" t="str">
        <f>Source!F65</f>
        <v>21.7-7-41</v>
      </c>
      <c r="C280" s="21" t="str">
        <f>Source!G65</f>
        <v>Деталь закладная дополнительная для монтажа малых форм</v>
      </c>
      <c r="D280" s="22" t="str">
        <f>Source!H65</f>
        <v>шт.</v>
      </c>
      <c r="E280" s="9">
        <f>Source!I65</f>
        <v>1</v>
      </c>
      <c r="F280" s="24">
        <f>Source!AK65</f>
        <v>210</v>
      </c>
      <c r="G280" s="32" t="s">
        <v>3</v>
      </c>
      <c r="H280" s="9">
        <f>Source!AW65</f>
        <v>1</v>
      </c>
      <c r="I280" s="9">
        <f>IF(Source!BC65&lt;&gt; 0, Source!BC65, 1)</f>
        <v>1</v>
      </c>
      <c r="J280" s="25">
        <f>Source!O65</f>
        <v>210</v>
      </c>
      <c r="K280" s="25"/>
      <c r="Q280">
        <f>ROUND((Source!BZ65/100)*ROUND((Source!AF65*Source!AV65)*Source!I65, 2), 2)</f>
        <v>0</v>
      </c>
      <c r="R280">
        <f>Source!X65</f>
        <v>0</v>
      </c>
      <c r="S280">
        <f>ROUND((Source!CA65/100)*ROUND((Source!AF65*Source!AV65)*Source!I65, 2), 2)</f>
        <v>0</v>
      </c>
      <c r="T280">
        <f>Source!Y65</f>
        <v>0</v>
      </c>
      <c r="U280">
        <f>ROUND((175/100)*ROUND((Source!AE65*Source!AV65)*Source!I65, 2), 2)</f>
        <v>0</v>
      </c>
      <c r="V280">
        <f>ROUND((108/100)*ROUND(Source!CS65*Source!I65, 2), 2)</f>
        <v>0</v>
      </c>
    </row>
    <row r="281" spans="1:22" ht="45.75" customHeight="1" x14ac:dyDescent="0.2">
      <c r="A281" s="20" t="str">
        <f>Source!E66</f>
        <v>29,2</v>
      </c>
      <c r="B281" s="21" t="str">
        <f>Source!F66</f>
        <v>21.3-4-24</v>
      </c>
      <c r="C281" s="21" t="str">
        <f>Source!G66</f>
        <v>Арматурные заготовки (стержни, хомуты и т.п.), не собранные в каркасы или сетки, закладные и накладные детали, со сваркой</v>
      </c>
      <c r="D281" s="22" t="str">
        <f>Source!H66</f>
        <v>т</v>
      </c>
      <c r="E281" s="9">
        <f>Source!I66</f>
        <v>-0.105</v>
      </c>
      <c r="F281" s="24">
        <f>Source!AK66</f>
        <v>53233.52</v>
      </c>
      <c r="G281" s="32" t="s">
        <v>3</v>
      </c>
      <c r="H281" s="9">
        <f>Source!AW66</f>
        <v>1</v>
      </c>
      <c r="I281" s="9">
        <f>IF(Source!BC66&lt;&gt; 0, Source!BC66, 1)</f>
        <v>1</v>
      </c>
      <c r="J281" s="25">
        <f>Source!O66</f>
        <v>-5589.52</v>
      </c>
      <c r="K281" s="25"/>
      <c r="Q281">
        <f>ROUND((Source!BZ66/100)*ROUND((Source!AF66*Source!AV66)*Source!I66, 2), 2)</f>
        <v>0</v>
      </c>
      <c r="R281">
        <f>Source!X66</f>
        <v>0</v>
      </c>
      <c r="S281">
        <f>ROUND((Source!CA66/100)*ROUND((Source!AF66*Source!AV66)*Source!I66, 2), 2)</f>
        <v>0</v>
      </c>
      <c r="T281">
        <f>Source!Y66</f>
        <v>0</v>
      </c>
      <c r="U281">
        <f>ROUND((175/100)*ROUND((Source!AE66*Source!AV66)*Source!I66, 2), 2)</f>
        <v>0</v>
      </c>
      <c r="V281">
        <f>ROUND((108/100)*ROUND(Source!CS66*Source!I66, 2), 2)</f>
        <v>0</v>
      </c>
    </row>
    <row r="282" spans="1:22" ht="14.25" x14ac:dyDescent="0.2">
      <c r="A282" s="20"/>
      <c r="B282" s="21"/>
      <c r="C282" s="21" t="s">
        <v>277</v>
      </c>
      <c r="D282" s="22" t="s">
        <v>278</v>
      </c>
      <c r="E282" s="9">
        <f>Source!AT64</f>
        <v>70</v>
      </c>
      <c r="F282" s="24"/>
      <c r="G282" s="23"/>
      <c r="H282" s="9"/>
      <c r="I282" s="9"/>
      <c r="J282" s="25">
        <f>SUM(R277:R281)</f>
        <v>3752.7</v>
      </c>
      <c r="K282" s="25"/>
    </row>
    <row r="283" spans="1:22" ht="14.25" x14ac:dyDescent="0.2">
      <c r="A283" s="20"/>
      <c r="B283" s="21"/>
      <c r="C283" s="21" t="s">
        <v>279</v>
      </c>
      <c r="D283" s="22" t="s">
        <v>278</v>
      </c>
      <c r="E283" s="9">
        <f>Source!AU64</f>
        <v>10</v>
      </c>
      <c r="F283" s="24"/>
      <c r="G283" s="23"/>
      <c r="H283" s="9"/>
      <c r="I283" s="9"/>
      <c r="J283" s="25">
        <f>SUM(T277:T282)</f>
        <v>536.1</v>
      </c>
      <c r="K283" s="25"/>
    </row>
    <row r="284" spans="1:22" ht="14.25" x14ac:dyDescent="0.2">
      <c r="A284" s="20"/>
      <c r="B284" s="21"/>
      <c r="C284" s="21" t="s">
        <v>280</v>
      </c>
      <c r="D284" s="22" t="s">
        <v>281</v>
      </c>
      <c r="E284" s="9">
        <f>Source!AQ64</f>
        <v>227.7</v>
      </c>
      <c r="F284" s="24"/>
      <c r="G284" s="23" t="str">
        <f>Source!DI64</f>
        <v/>
      </c>
      <c r="H284" s="9">
        <f>Source!AV64</f>
        <v>1</v>
      </c>
      <c r="I284" s="9"/>
      <c r="J284" s="25"/>
      <c r="K284" s="25">
        <f>Source!U64</f>
        <v>23.908499999999997</v>
      </c>
    </row>
    <row r="285" spans="1:22" ht="15" x14ac:dyDescent="0.25">
      <c r="A285" s="29"/>
      <c r="B285" s="29"/>
      <c r="C285" s="29"/>
      <c r="D285" s="29"/>
      <c r="E285" s="29"/>
      <c r="F285" s="29"/>
      <c r="G285" s="29"/>
      <c r="H285" s="29"/>
      <c r="I285" s="66">
        <f>J278+J279+J282+J283+SUM(J280:J281)</f>
        <v>9859.8000000000011</v>
      </c>
      <c r="J285" s="66"/>
      <c r="K285" s="30">
        <f>IF(Source!I64&lt;&gt;0, ROUND(I285/Source!I64, 2), 0)</f>
        <v>93902.86</v>
      </c>
      <c r="P285" s="27">
        <f>I285</f>
        <v>9859.8000000000011</v>
      </c>
    </row>
    <row r="286" spans="1:22" ht="41.25" x14ac:dyDescent="0.2">
      <c r="A286" s="20" t="str">
        <f>Source!E67</f>
        <v>30</v>
      </c>
      <c r="B286" s="21" t="str">
        <f>Source!F67</f>
        <v>Цена поставщика</v>
      </c>
      <c r="C286" s="21" t="s">
        <v>347</v>
      </c>
      <c r="D286" s="22" t="str">
        <f>Source!H67</f>
        <v>шт.</v>
      </c>
      <c r="E286" s="9">
        <f>Source!I67</f>
        <v>1</v>
      </c>
      <c r="F286" s="24">
        <f>Source!AL67</f>
        <v>58973.55</v>
      </c>
      <c r="G286" s="23" t="str">
        <f>Source!DD67</f>
        <v/>
      </c>
      <c r="H286" s="9">
        <f>Source!AW67</f>
        <v>1</v>
      </c>
      <c r="I286" s="9">
        <f>IF(Source!BC67&lt;&gt; 0, Source!BC67, 1)</f>
        <v>1</v>
      </c>
      <c r="J286" s="25">
        <f>Source!P67</f>
        <v>58973.55</v>
      </c>
      <c r="K286" s="25"/>
      <c r="Q286">
        <f>ROUND((Source!BZ67/100)*ROUND((Source!AF67*Source!AV67)*Source!I67, 2), 2)</f>
        <v>0</v>
      </c>
      <c r="R286">
        <f>Source!X67</f>
        <v>0</v>
      </c>
      <c r="S286">
        <f>ROUND((Source!CA67/100)*ROUND((Source!AF67*Source!AV67)*Source!I67, 2), 2)</f>
        <v>0</v>
      </c>
      <c r="T286">
        <f>Source!Y67</f>
        <v>0</v>
      </c>
      <c r="U286">
        <f>ROUND((175/100)*ROUND((Source!AE67*Source!AV67)*Source!I67, 2), 2)</f>
        <v>0</v>
      </c>
      <c r="V286">
        <f>ROUND((108/100)*ROUND(Source!CS67*Source!I67, 2), 2)</f>
        <v>0</v>
      </c>
    </row>
    <row r="287" spans="1:22" ht="15" x14ac:dyDescent="0.25">
      <c r="A287" s="29"/>
      <c r="B287" s="29"/>
      <c r="C287" s="29"/>
      <c r="D287" s="29"/>
      <c r="E287" s="29"/>
      <c r="F287" s="29"/>
      <c r="G287" s="29"/>
      <c r="H287" s="29"/>
      <c r="I287" s="66">
        <f>J286</f>
        <v>58973.55</v>
      </c>
      <c r="J287" s="66"/>
      <c r="K287" s="30">
        <f>IF(Source!I67&lt;&gt;0, ROUND(I287/Source!I67, 2), 0)</f>
        <v>58973.55</v>
      </c>
      <c r="P287" s="27">
        <f>I287</f>
        <v>58973.55</v>
      </c>
    </row>
    <row r="288" spans="1:22" ht="28.5" x14ac:dyDescent="0.2">
      <c r="A288" s="20" t="str">
        <f>Source!E68</f>
        <v>31</v>
      </c>
      <c r="B288" s="21" t="str">
        <f>Source!F68</f>
        <v>1.1-3303-2-1/1</v>
      </c>
      <c r="C288" s="21" t="str">
        <f>Source!G68</f>
        <v>Разработка грунта вручную в траншеях глубиной до 2 м без креплений с откосами группа грунтов 1-3</v>
      </c>
      <c r="D288" s="22" t="str">
        <f>Source!H68</f>
        <v>100 м3</v>
      </c>
      <c r="E288" s="9">
        <f>Source!I68</f>
        <v>4.8999999999999998E-3</v>
      </c>
      <c r="F288" s="24"/>
      <c r="G288" s="23"/>
      <c r="H288" s="9"/>
      <c r="I288" s="9"/>
      <c r="J288" s="25"/>
      <c r="K288" s="25"/>
      <c r="Q288">
        <f>ROUND((Source!BZ68/100)*ROUND((Source!AF68*Source!AV68)*Source!I68, 2), 2)</f>
        <v>143.88999999999999</v>
      </c>
      <c r="R288">
        <f>Source!X68</f>
        <v>143.88999999999999</v>
      </c>
      <c r="S288">
        <f>ROUND((Source!CA68/100)*ROUND((Source!AF68*Source!AV68)*Source!I68, 2), 2)</f>
        <v>20.56</v>
      </c>
      <c r="T288">
        <f>Source!Y68</f>
        <v>20.56</v>
      </c>
      <c r="U288">
        <f>ROUND((175/100)*ROUND((Source!AE68*Source!AV68)*Source!I68, 2), 2)</f>
        <v>0</v>
      </c>
      <c r="V288">
        <f>ROUND((108/100)*ROUND(Source!CS68*Source!I68, 2), 2)</f>
        <v>0</v>
      </c>
    </row>
    <row r="289" spans="1:22" x14ac:dyDescent="0.2">
      <c r="C289" s="26" t="str">
        <f>"Объем: "&amp;Source!I68&amp;"=0,7*"&amp;"0,7*"&amp;"1/"&amp;"100"</f>
        <v>Объем: 0,0049=0,7*0,7*1/100</v>
      </c>
    </row>
    <row r="290" spans="1:22" ht="14.25" x14ac:dyDescent="0.2">
      <c r="A290" s="20"/>
      <c r="B290" s="21"/>
      <c r="C290" s="21" t="s">
        <v>276</v>
      </c>
      <c r="D290" s="22"/>
      <c r="E290" s="9"/>
      <c r="F290" s="24">
        <f>Source!AO68</f>
        <v>41951.1</v>
      </c>
      <c r="G290" s="23" t="str">
        <f>Source!DG68</f>
        <v/>
      </c>
      <c r="H290" s="9">
        <f>Source!AV68</f>
        <v>1</v>
      </c>
      <c r="I290" s="9">
        <f>IF(Source!BA68&lt;&gt; 0, Source!BA68, 1)</f>
        <v>1</v>
      </c>
      <c r="J290" s="25">
        <f>Source!S68</f>
        <v>205.56</v>
      </c>
      <c r="K290" s="25"/>
    </row>
    <row r="291" spans="1:22" ht="14.25" x14ac:dyDescent="0.2">
      <c r="A291" s="20"/>
      <c r="B291" s="21"/>
      <c r="C291" s="21" t="s">
        <v>277</v>
      </c>
      <c r="D291" s="22" t="s">
        <v>278</v>
      </c>
      <c r="E291" s="9">
        <f>Source!AT68</f>
        <v>70</v>
      </c>
      <c r="F291" s="24"/>
      <c r="G291" s="23"/>
      <c r="H291" s="9"/>
      <c r="I291" s="9"/>
      <c r="J291" s="25">
        <f>SUM(R288:R290)</f>
        <v>143.88999999999999</v>
      </c>
      <c r="K291" s="25"/>
    </row>
    <row r="292" spans="1:22" ht="14.25" x14ac:dyDescent="0.2">
      <c r="A292" s="20"/>
      <c r="B292" s="21"/>
      <c r="C292" s="21" t="s">
        <v>279</v>
      </c>
      <c r="D292" s="22" t="s">
        <v>278</v>
      </c>
      <c r="E292" s="9">
        <f>Source!AU68</f>
        <v>10</v>
      </c>
      <c r="F292" s="24"/>
      <c r="G292" s="23"/>
      <c r="H292" s="9"/>
      <c r="I292" s="9"/>
      <c r="J292" s="25">
        <f>SUM(T288:T291)</f>
        <v>20.56</v>
      </c>
      <c r="K292" s="25"/>
    </row>
    <row r="293" spans="1:22" ht="14.25" x14ac:dyDescent="0.2">
      <c r="A293" s="20"/>
      <c r="B293" s="21"/>
      <c r="C293" s="21" t="s">
        <v>280</v>
      </c>
      <c r="D293" s="22" t="s">
        <v>281</v>
      </c>
      <c r="E293" s="9">
        <f>Source!AQ68</f>
        <v>221.6</v>
      </c>
      <c r="F293" s="24"/>
      <c r="G293" s="23" t="str">
        <f>Source!DI68</f>
        <v/>
      </c>
      <c r="H293" s="9">
        <f>Source!AV68</f>
        <v>1</v>
      </c>
      <c r="I293" s="9"/>
      <c r="J293" s="25"/>
      <c r="K293" s="25">
        <f>Source!U68</f>
        <v>1.0858399999999999</v>
      </c>
    </row>
    <row r="294" spans="1:22" ht="15" x14ac:dyDescent="0.25">
      <c r="A294" s="29"/>
      <c r="B294" s="29"/>
      <c r="C294" s="29"/>
      <c r="D294" s="29"/>
      <c r="E294" s="29"/>
      <c r="F294" s="29"/>
      <c r="G294" s="29"/>
      <c r="H294" s="29"/>
      <c r="I294" s="66">
        <f>J290+J291+J292</f>
        <v>370.01</v>
      </c>
      <c r="J294" s="66"/>
      <c r="K294" s="30">
        <f>IF(Source!I68&lt;&gt;0, ROUND(I294/Source!I68, 2), 0)</f>
        <v>75512.240000000005</v>
      </c>
      <c r="P294" s="27">
        <f>I294</f>
        <v>370.01</v>
      </c>
    </row>
    <row r="295" spans="1:22" ht="28.5" x14ac:dyDescent="0.2">
      <c r="A295" s="20" t="str">
        <f>Source!E69</f>
        <v>32</v>
      </c>
      <c r="B295" s="21" t="str">
        <f>Source!F69</f>
        <v>1.2-3103-29-1/1</v>
      </c>
      <c r="C295" s="21" t="str">
        <f>Source!G69</f>
        <v>Устройство песчаного основания под фундаменты</v>
      </c>
      <c r="D295" s="22" t="str">
        <f>Source!H69</f>
        <v>м3</v>
      </c>
      <c r="E295" s="9">
        <f>Source!I69</f>
        <v>4.9000000000000002E-2</v>
      </c>
      <c r="F295" s="24"/>
      <c r="G295" s="23"/>
      <c r="H295" s="9"/>
      <c r="I295" s="9"/>
      <c r="J295" s="25"/>
      <c r="K295" s="25"/>
      <c r="Q295">
        <f>ROUND((Source!BZ69/100)*ROUND((Source!AF69*Source!AV69)*Source!I69, 2), 2)</f>
        <v>5.71</v>
      </c>
      <c r="R295">
        <f>Source!X69</f>
        <v>5.71</v>
      </c>
      <c r="S295">
        <f>ROUND((Source!CA69/100)*ROUND((Source!AF69*Source!AV69)*Source!I69, 2), 2)</f>
        <v>0.82</v>
      </c>
      <c r="T295">
        <f>Source!Y69</f>
        <v>0.82</v>
      </c>
      <c r="U295">
        <f>ROUND((175/100)*ROUND((Source!AE69*Source!AV69)*Source!I69, 2), 2)</f>
        <v>10.64</v>
      </c>
      <c r="V295">
        <f>ROUND((108/100)*ROUND(Source!CS69*Source!I69, 2), 2)</f>
        <v>6.57</v>
      </c>
    </row>
    <row r="296" spans="1:22" x14ac:dyDescent="0.2">
      <c r="C296" s="26" t="str">
        <f>"Объем: "&amp;Source!I69&amp;"=0,7*"&amp;"0,7*"&amp;"0,1"</f>
        <v>Объем: 0,049=0,7*0,7*0,1</v>
      </c>
    </row>
    <row r="297" spans="1:22" ht="14.25" x14ac:dyDescent="0.2">
      <c r="A297" s="20"/>
      <c r="B297" s="21"/>
      <c r="C297" s="21" t="s">
        <v>276</v>
      </c>
      <c r="D297" s="22"/>
      <c r="E297" s="9"/>
      <c r="F297" s="24">
        <f>Source!AO69</f>
        <v>166.52</v>
      </c>
      <c r="G297" s="23" t="str">
        <f>Source!DG69</f>
        <v/>
      </c>
      <c r="H297" s="9">
        <f>Source!AV69</f>
        <v>1</v>
      </c>
      <c r="I297" s="9">
        <f>IF(Source!BA69&lt;&gt; 0, Source!BA69, 1)</f>
        <v>1</v>
      </c>
      <c r="J297" s="25">
        <f>Source!S69</f>
        <v>8.16</v>
      </c>
      <c r="K297" s="25"/>
    </row>
    <row r="298" spans="1:22" ht="14.25" x14ac:dyDescent="0.2">
      <c r="A298" s="20"/>
      <c r="B298" s="21"/>
      <c r="C298" s="21" t="s">
        <v>282</v>
      </c>
      <c r="D298" s="22"/>
      <c r="E298" s="9"/>
      <c r="F298" s="24">
        <f>Source!AM69</f>
        <v>210.68</v>
      </c>
      <c r="G298" s="23" t="str">
        <f>Source!DE69</f>
        <v/>
      </c>
      <c r="H298" s="9">
        <f>Source!AV69</f>
        <v>1</v>
      </c>
      <c r="I298" s="9">
        <f>IF(Source!BB69&lt;&gt; 0, Source!BB69, 1)</f>
        <v>1</v>
      </c>
      <c r="J298" s="25">
        <f>Source!Q69</f>
        <v>10.32</v>
      </c>
      <c r="K298" s="25"/>
    </row>
    <row r="299" spans="1:22" ht="14.25" x14ac:dyDescent="0.2">
      <c r="A299" s="20"/>
      <c r="B299" s="21"/>
      <c r="C299" s="21" t="s">
        <v>283</v>
      </c>
      <c r="D299" s="22"/>
      <c r="E299" s="9"/>
      <c r="F299" s="24">
        <f>Source!AN69</f>
        <v>124.16</v>
      </c>
      <c r="G299" s="23" t="str">
        <f>Source!DF69</f>
        <v/>
      </c>
      <c r="H299" s="9">
        <f>Source!AV69</f>
        <v>1</v>
      </c>
      <c r="I299" s="9">
        <f>IF(Source!BS69&lt;&gt; 0, Source!BS69, 1)</f>
        <v>1</v>
      </c>
      <c r="J299" s="31">
        <f>Source!R69</f>
        <v>6.08</v>
      </c>
      <c r="K299" s="25"/>
    </row>
    <row r="300" spans="1:22" ht="14.25" x14ac:dyDescent="0.2">
      <c r="A300" s="20"/>
      <c r="B300" s="21"/>
      <c r="C300" s="21" t="s">
        <v>284</v>
      </c>
      <c r="D300" s="22"/>
      <c r="E300" s="9"/>
      <c r="F300" s="24">
        <f>Source!AL69</f>
        <v>655.15</v>
      </c>
      <c r="G300" s="23" t="str">
        <f>Source!DD69</f>
        <v/>
      </c>
      <c r="H300" s="9">
        <f>Source!AW69</f>
        <v>1</v>
      </c>
      <c r="I300" s="9">
        <f>IF(Source!BC69&lt;&gt; 0, Source!BC69, 1)</f>
        <v>1</v>
      </c>
      <c r="J300" s="25">
        <f>Source!P69</f>
        <v>32.1</v>
      </c>
      <c r="K300" s="25"/>
    </row>
    <row r="301" spans="1:22" ht="14.25" x14ac:dyDescent="0.2">
      <c r="A301" s="20"/>
      <c r="B301" s="21"/>
      <c r="C301" s="21" t="s">
        <v>277</v>
      </c>
      <c r="D301" s="22" t="s">
        <v>278</v>
      </c>
      <c r="E301" s="9">
        <f>Source!AT69</f>
        <v>70</v>
      </c>
      <c r="F301" s="24"/>
      <c r="G301" s="23"/>
      <c r="H301" s="9"/>
      <c r="I301" s="9"/>
      <c r="J301" s="25">
        <f>SUM(R295:R300)</f>
        <v>5.71</v>
      </c>
      <c r="K301" s="25"/>
    </row>
    <row r="302" spans="1:22" ht="14.25" x14ac:dyDescent="0.2">
      <c r="A302" s="20"/>
      <c r="B302" s="21"/>
      <c r="C302" s="21" t="s">
        <v>279</v>
      </c>
      <c r="D302" s="22" t="s">
        <v>278</v>
      </c>
      <c r="E302" s="9">
        <f>Source!AU69</f>
        <v>10</v>
      </c>
      <c r="F302" s="24"/>
      <c r="G302" s="23"/>
      <c r="H302" s="9"/>
      <c r="I302" s="9"/>
      <c r="J302" s="25">
        <f>SUM(T295:T301)</f>
        <v>0.82</v>
      </c>
      <c r="K302" s="25"/>
    </row>
    <row r="303" spans="1:22" ht="14.25" x14ac:dyDescent="0.2">
      <c r="A303" s="20"/>
      <c r="B303" s="21"/>
      <c r="C303" s="21" t="s">
        <v>285</v>
      </c>
      <c r="D303" s="22" t="s">
        <v>278</v>
      </c>
      <c r="E303" s="9">
        <f>108</f>
        <v>108</v>
      </c>
      <c r="F303" s="24"/>
      <c r="G303" s="23"/>
      <c r="H303" s="9"/>
      <c r="I303" s="9"/>
      <c r="J303" s="25">
        <f>SUM(V295:V302)</f>
        <v>6.57</v>
      </c>
      <c r="K303" s="25"/>
    </row>
    <row r="304" spans="1:22" ht="14.25" x14ac:dyDescent="0.2">
      <c r="A304" s="20"/>
      <c r="B304" s="21"/>
      <c r="C304" s="21" t="s">
        <v>280</v>
      </c>
      <c r="D304" s="22" t="s">
        <v>281</v>
      </c>
      <c r="E304" s="9">
        <f>Source!AQ69</f>
        <v>0.9</v>
      </c>
      <c r="F304" s="24"/>
      <c r="G304" s="23" t="str">
        <f>Source!DI69</f>
        <v/>
      </c>
      <c r="H304" s="9">
        <f>Source!AV69</f>
        <v>1</v>
      </c>
      <c r="I304" s="9"/>
      <c r="J304" s="25"/>
      <c r="K304" s="25">
        <f>Source!U69</f>
        <v>4.41E-2</v>
      </c>
    </row>
    <row r="305" spans="1:22" ht="15" x14ac:dyDescent="0.25">
      <c r="A305" s="29"/>
      <c r="B305" s="29"/>
      <c r="C305" s="29"/>
      <c r="D305" s="29"/>
      <c r="E305" s="29"/>
      <c r="F305" s="29"/>
      <c r="G305" s="29"/>
      <c r="H305" s="29"/>
      <c r="I305" s="66">
        <f>J297+J298+J300+J301+J302+J303</f>
        <v>63.68</v>
      </c>
      <c r="J305" s="66"/>
      <c r="K305" s="30">
        <f>IF(Source!I69&lt;&gt;0, ROUND(I305/Source!I69, 2), 0)</f>
        <v>1299.5899999999999</v>
      </c>
      <c r="P305" s="27">
        <f>I305</f>
        <v>63.68</v>
      </c>
    </row>
    <row r="306" spans="1:22" ht="32.25" customHeight="1" x14ac:dyDescent="0.2">
      <c r="A306" s="20" t="str">
        <f>Source!E70</f>
        <v>33</v>
      </c>
      <c r="B306" s="21" t="str">
        <f>Source!F70</f>
        <v>1.2-3103-29-2/1</v>
      </c>
      <c r="C306" s="21" t="str">
        <f>Source!G70</f>
        <v>Устройство щебеночного основания под фундаменты</v>
      </c>
      <c r="D306" s="22" t="str">
        <f>Source!H70</f>
        <v>м3</v>
      </c>
      <c r="E306" s="9">
        <f>Source!I70</f>
        <v>9.8000000000000004E-2</v>
      </c>
      <c r="F306" s="24"/>
      <c r="G306" s="23"/>
      <c r="H306" s="9"/>
      <c r="I306" s="9"/>
      <c r="J306" s="25"/>
      <c r="K306" s="25"/>
      <c r="Q306">
        <f>ROUND((Source!BZ70/100)*ROUND((Source!AF70*Source!AV70)*Source!I70, 2), 2)</f>
        <v>12.44</v>
      </c>
      <c r="R306">
        <f>Source!X70</f>
        <v>12.44</v>
      </c>
      <c r="S306">
        <f>ROUND((Source!CA70/100)*ROUND((Source!AF70*Source!AV70)*Source!I70, 2), 2)</f>
        <v>1.78</v>
      </c>
      <c r="T306">
        <f>Source!Y70</f>
        <v>1.78</v>
      </c>
      <c r="U306">
        <f>ROUND((175/100)*ROUND((Source!AE70*Source!AV70)*Source!I70, 2), 2)</f>
        <v>23.17</v>
      </c>
      <c r="V306">
        <f>ROUND((108/100)*ROUND(Source!CS70*Source!I70, 2), 2)</f>
        <v>14.3</v>
      </c>
    </row>
    <row r="307" spans="1:22" x14ac:dyDescent="0.2">
      <c r="C307" s="26" t="str">
        <f>"Объем: "&amp;Source!I70&amp;"=0,7*"&amp;"0,7*"&amp;"0,2"</f>
        <v>Объем: 0,098=0,7*0,7*0,2</v>
      </c>
    </row>
    <row r="308" spans="1:22" ht="14.25" x14ac:dyDescent="0.2">
      <c r="A308" s="20"/>
      <c r="B308" s="21"/>
      <c r="C308" s="21" t="s">
        <v>276</v>
      </c>
      <c r="D308" s="22"/>
      <c r="E308" s="9"/>
      <c r="F308" s="24">
        <f>Source!AO70</f>
        <v>181.32</v>
      </c>
      <c r="G308" s="23" t="str">
        <f>Source!DG70</f>
        <v/>
      </c>
      <c r="H308" s="9">
        <f>Source!AV70</f>
        <v>1</v>
      </c>
      <c r="I308" s="9">
        <f>IF(Source!BA70&lt;&gt; 0, Source!BA70, 1)</f>
        <v>1</v>
      </c>
      <c r="J308" s="25">
        <f>Source!S70</f>
        <v>17.77</v>
      </c>
      <c r="K308" s="25"/>
    </row>
    <row r="309" spans="1:22" ht="14.25" x14ac:dyDescent="0.2">
      <c r="A309" s="20"/>
      <c r="B309" s="21"/>
      <c r="C309" s="21" t="s">
        <v>282</v>
      </c>
      <c r="D309" s="22"/>
      <c r="E309" s="9"/>
      <c r="F309" s="24">
        <f>Source!AM70</f>
        <v>224.99</v>
      </c>
      <c r="G309" s="23" t="str">
        <f>Source!DE70</f>
        <v/>
      </c>
      <c r="H309" s="9">
        <f>Source!AV70</f>
        <v>1</v>
      </c>
      <c r="I309" s="9">
        <f>IF(Source!BB70&lt;&gt; 0, Source!BB70, 1)</f>
        <v>1</v>
      </c>
      <c r="J309" s="25">
        <f>Source!Q70</f>
        <v>22.05</v>
      </c>
      <c r="K309" s="25"/>
    </row>
    <row r="310" spans="1:22" ht="14.25" x14ac:dyDescent="0.2">
      <c r="A310" s="20"/>
      <c r="B310" s="21"/>
      <c r="C310" s="21" t="s">
        <v>283</v>
      </c>
      <c r="D310" s="22"/>
      <c r="E310" s="9"/>
      <c r="F310" s="24">
        <f>Source!AN70</f>
        <v>135.08000000000001</v>
      </c>
      <c r="G310" s="23" t="str">
        <f>Source!DF70</f>
        <v/>
      </c>
      <c r="H310" s="9">
        <f>Source!AV70</f>
        <v>1</v>
      </c>
      <c r="I310" s="9">
        <f>IF(Source!BS70&lt;&gt; 0, Source!BS70, 1)</f>
        <v>1</v>
      </c>
      <c r="J310" s="31">
        <f>Source!R70</f>
        <v>13.24</v>
      </c>
      <c r="K310" s="25"/>
    </row>
    <row r="311" spans="1:22" ht="14.25" x14ac:dyDescent="0.2">
      <c r="A311" s="20"/>
      <c r="B311" s="21"/>
      <c r="C311" s="21" t="s">
        <v>284</v>
      </c>
      <c r="D311" s="22"/>
      <c r="E311" s="9"/>
      <c r="F311" s="24">
        <f>Source!AL70</f>
        <v>1657.26</v>
      </c>
      <c r="G311" s="23" t="str">
        <f>Source!DD70</f>
        <v/>
      </c>
      <c r="H311" s="9">
        <f>Source!AW70</f>
        <v>1</v>
      </c>
      <c r="I311" s="9">
        <f>IF(Source!BC70&lt;&gt; 0, Source!BC70, 1)</f>
        <v>1</v>
      </c>
      <c r="J311" s="25">
        <f>Source!P70</f>
        <v>162.41</v>
      </c>
      <c r="K311" s="25"/>
    </row>
    <row r="312" spans="1:22" ht="14.25" x14ac:dyDescent="0.2">
      <c r="A312" s="20"/>
      <c r="B312" s="21"/>
      <c r="C312" s="21" t="s">
        <v>277</v>
      </c>
      <c r="D312" s="22" t="s">
        <v>278</v>
      </c>
      <c r="E312" s="9">
        <f>Source!AT70</f>
        <v>70</v>
      </c>
      <c r="F312" s="24"/>
      <c r="G312" s="23"/>
      <c r="H312" s="9"/>
      <c r="I312" s="9"/>
      <c r="J312" s="25">
        <f>SUM(R306:R311)</f>
        <v>12.44</v>
      </c>
      <c r="K312" s="25"/>
    </row>
    <row r="313" spans="1:22" ht="14.25" x14ac:dyDescent="0.2">
      <c r="A313" s="20"/>
      <c r="B313" s="21"/>
      <c r="C313" s="21" t="s">
        <v>279</v>
      </c>
      <c r="D313" s="22" t="s">
        <v>278</v>
      </c>
      <c r="E313" s="9">
        <f>Source!AU70</f>
        <v>10</v>
      </c>
      <c r="F313" s="24"/>
      <c r="G313" s="23"/>
      <c r="H313" s="9"/>
      <c r="I313" s="9"/>
      <c r="J313" s="25">
        <f>SUM(T306:T312)</f>
        <v>1.78</v>
      </c>
      <c r="K313" s="25"/>
    </row>
    <row r="314" spans="1:22" ht="14.25" x14ac:dyDescent="0.2">
      <c r="A314" s="20"/>
      <c r="B314" s="21"/>
      <c r="C314" s="21" t="s">
        <v>285</v>
      </c>
      <c r="D314" s="22" t="s">
        <v>278</v>
      </c>
      <c r="E314" s="9">
        <f>108</f>
        <v>108</v>
      </c>
      <c r="F314" s="24"/>
      <c r="G314" s="23"/>
      <c r="H314" s="9"/>
      <c r="I314" s="9"/>
      <c r="J314" s="25">
        <f>SUM(V306:V313)</f>
        <v>14.3</v>
      </c>
      <c r="K314" s="25"/>
    </row>
    <row r="315" spans="1:22" ht="14.25" x14ac:dyDescent="0.2">
      <c r="A315" s="20"/>
      <c r="B315" s="21"/>
      <c r="C315" s="21" t="s">
        <v>280</v>
      </c>
      <c r="D315" s="22" t="s">
        <v>281</v>
      </c>
      <c r="E315" s="9">
        <f>Source!AQ70</f>
        <v>0.98</v>
      </c>
      <c r="F315" s="24"/>
      <c r="G315" s="23" t="str">
        <f>Source!DI70</f>
        <v/>
      </c>
      <c r="H315" s="9">
        <f>Source!AV70</f>
        <v>1</v>
      </c>
      <c r="I315" s="9"/>
      <c r="J315" s="25"/>
      <c r="K315" s="25">
        <f>Source!U70</f>
        <v>9.604E-2</v>
      </c>
    </row>
    <row r="316" spans="1:22" ht="15" x14ac:dyDescent="0.25">
      <c r="A316" s="29"/>
      <c r="B316" s="29"/>
      <c r="C316" s="29"/>
      <c r="D316" s="29"/>
      <c r="E316" s="29"/>
      <c r="F316" s="29"/>
      <c r="G316" s="29"/>
      <c r="H316" s="29"/>
      <c r="I316" s="66">
        <f>J308+J309+J311+J312+J313+J314</f>
        <v>230.75</v>
      </c>
      <c r="J316" s="66"/>
      <c r="K316" s="30">
        <f>IF(Source!I70&lt;&gt;0, ROUND(I316/Source!I70, 2), 0)</f>
        <v>2354.59</v>
      </c>
      <c r="P316" s="27">
        <f>I316</f>
        <v>230.75</v>
      </c>
    </row>
    <row r="317" spans="1:22" ht="28.5" x14ac:dyDescent="0.2">
      <c r="A317" s="20" t="str">
        <f>Source!E71</f>
        <v>34</v>
      </c>
      <c r="B317" s="21" t="str">
        <f>Source!F71</f>
        <v>1.2-3103-2-13/1</v>
      </c>
      <c r="C317" s="21" t="str">
        <f>Source!G71</f>
        <v>Устройство фундаментов-столбов бетонных</v>
      </c>
      <c r="D317" s="22" t="str">
        <f>Source!H71</f>
        <v>100 м3</v>
      </c>
      <c r="E317" s="9">
        <f>Source!I71</f>
        <v>3.4299999999999999E-3</v>
      </c>
      <c r="F317" s="24"/>
      <c r="G317" s="23"/>
      <c r="H317" s="9"/>
      <c r="I317" s="9"/>
      <c r="J317" s="25"/>
      <c r="K317" s="25"/>
      <c r="Q317">
        <f>ROUND((Source!BZ71/100)*ROUND((Source!AF71*Source!AV71)*Source!I71, 2), 2)</f>
        <v>273.52</v>
      </c>
      <c r="R317">
        <f>Source!X71</f>
        <v>273.52</v>
      </c>
      <c r="S317">
        <f>ROUND((Source!CA71/100)*ROUND((Source!AF71*Source!AV71)*Source!I71, 2), 2)</f>
        <v>39.07</v>
      </c>
      <c r="T317">
        <f>Source!Y71</f>
        <v>39.07</v>
      </c>
      <c r="U317">
        <f>ROUND((175/100)*ROUND((Source!AE71*Source!AV71)*Source!I71, 2), 2)</f>
        <v>1.24</v>
      </c>
      <c r="V317">
        <f>ROUND((108/100)*ROUND(Source!CS71*Source!I71, 2), 2)</f>
        <v>0.77</v>
      </c>
    </row>
    <row r="318" spans="1:22" x14ac:dyDescent="0.2">
      <c r="C318" s="26" t="str">
        <f>"Объем: "&amp;Source!I71&amp;"=(0,7*"&amp;"0,7*"&amp;"0,7*"&amp;"1)/"&amp;"100"</f>
        <v>Объем: 0,00343=(0,7*0,7*0,7*1)/100</v>
      </c>
    </row>
    <row r="319" spans="1:22" ht="14.25" x14ac:dyDescent="0.2">
      <c r="A319" s="20"/>
      <c r="B319" s="21"/>
      <c r="C319" s="21" t="s">
        <v>276</v>
      </c>
      <c r="D319" s="22"/>
      <c r="E319" s="9"/>
      <c r="F319" s="24">
        <f>Source!AO71</f>
        <v>113917.16</v>
      </c>
      <c r="G319" s="23" t="str">
        <f>Source!DG71</f>
        <v/>
      </c>
      <c r="H319" s="9">
        <f>Source!AV71</f>
        <v>1</v>
      </c>
      <c r="I319" s="9">
        <f>IF(Source!BA71&lt;&gt; 0, Source!BA71, 1)</f>
        <v>1</v>
      </c>
      <c r="J319" s="25">
        <f>Source!S71</f>
        <v>390.74</v>
      </c>
      <c r="K319" s="25"/>
    </row>
    <row r="320" spans="1:22" ht="14.25" x14ac:dyDescent="0.2">
      <c r="A320" s="20"/>
      <c r="B320" s="21"/>
      <c r="C320" s="21" t="s">
        <v>282</v>
      </c>
      <c r="D320" s="22"/>
      <c r="E320" s="9"/>
      <c r="F320" s="24">
        <f>Source!AM71</f>
        <v>547.28</v>
      </c>
      <c r="G320" s="23" t="str">
        <f>Source!DE71</f>
        <v/>
      </c>
      <c r="H320" s="9">
        <f>Source!AV71</f>
        <v>1</v>
      </c>
      <c r="I320" s="9">
        <f>IF(Source!BB71&lt;&gt; 0, Source!BB71, 1)</f>
        <v>1</v>
      </c>
      <c r="J320" s="25">
        <f>Source!Q71</f>
        <v>1.88</v>
      </c>
      <c r="K320" s="25"/>
    </row>
    <row r="321" spans="1:22" ht="14.25" x14ac:dyDescent="0.2">
      <c r="A321" s="20"/>
      <c r="B321" s="21"/>
      <c r="C321" s="21" t="s">
        <v>283</v>
      </c>
      <c r="D321" s="22"/>
      <c r="E321" s="9"/>
      <c r="F321" s="24">
        <f>Source!AN71</f>
        <v>206.05</v>
      </c>
      <c r="G321" s="23" t="str">
        <f>Source!DF71</f>
        <v/>
      </c>
      <c r="H321" s="9">
        <f>Source!AV71</f>
        <v>1</v>
      </c>
      <c r="I321" s="9">
        <f>IF(Source!BS71&lt;&gt; 0, Source!BS71, 1)</f>
        <v>1</v>
      </c>
      <c r="J321" s="31">
        <f>Source!R71</f>
        <v>0.71</v>
      </c>
      <c r="K321" s="25"/>
    </row>
    <row r="322" spans="1:22" ht="14.25" x14ac:dyDescent="0.2">
      <c r="A322" s="20"/>
      <c r="B322" s="21"/>
      <c r="C322" s="21" t="s">
        <v>284</v>
      </c>
      <c r="D322" s="22"/>
      <c r="E322" s="9"/>
      <c r="F322" s="24">
        <f>Source!AL71</f>
        <v>363129.4</v>
      </c>
      <c r="G322" s="23" t="str">
        <f>Source!DD71</f>
        <v/>
      </c>
      <c r="H322" s="9">
        <f>Source!AW71</f>
        <v>1</v>
      </c>
      <c r="I322" s="9">
        <f>IF(Source!BC71&lt;&gt; 0, Source!BC71, 1)</f>
        <v>1</v>
      </c>
      <c r="J322" s="25">
        <f>Source!P71</f>
        <v>1245.53</v>
      </c>
      <c r="K322" s="25"/>
    </row>
    <row r="323" spans="1:22" ht="14.25" x14ac:dyDescent="0.2">
      <c r="A323" s="20"/>
      <c r="B323" s="21"/>
      <c r="C323" s="21" t="s">
        <v>277</v>
      </c>
      <c r="D323" s="22" t="s">
        <v>278</v>
      </c>
      <c r="E323" s="9">
        <f>Source!AT71</f>
        <v>70</v>
      </c>
      <c r="F323" s="24"/>
      <c r="G323" s="23"/>
      <c r="H323" s="9"/>
      <c r="I323" s="9"/>
      <c r="J323" s="25">
        <f>SUM(R317:R322)</f>
        <v>273.52</v>
      </c>
      <c r="K323" s="25"/>
    </row>
    <row r="324" spans="1:22" ht="14.25" x14ac:dyDescent="0.2">
      <c r="A324" s="20"/>
      <c r="B324" s="21"/>
      <c r="C324" s="21" t="s">
        <v>279</v>
      </c>
      <c r="D324" s="22" t="s">
        <v>278</v>
      </c>
      <c r="E324" s="9">
        <f>Source!AU71</f>
        <v>10</v>
      </c>
      <c r="F324" s="24"/>
      <c r="G324" s="23"/>
      <c r="H324" s="9"/>
      <c r="I324" s="9"/>
      <c r="J324" s="25">
        <f>SUM(T317:T323)</f>
        <v>39.07</v>
      </c>
      <c r="K324" s="25"/>
    </row>
    <row r="325" spans="1:22" ht="14.25" x14ac:dyDescent="0.2">
      <c r="A325" s="20"/>
      <c r="B325" s="21"/>
      <c r="C325" s="21" t="s">
        <v>285</v>
      </c>
      <c r="D325" s="22" t="s">
        <v>278</v>
      </c>
      <c r="E325" s="9">
        <f>108</f>
        <v>108</v>
      </c>
      <c r="F325" s="24"/>
      <c r="G325" s="23"/>
      <c r="H325" s="9"/>
      <c r="I325" s="9"/>
      <c r="J325" s="25">
        <f>SUM(V317:V324)</f>
        <v>0.77</v>
      </c>
      <c r="K325" s="25"/>
    </row>
    <row r="326" spans="1:22" ht="14.25" x14ac:dyDescent="0.2">
      <c r="A326" s="20"/>
      <c r="B326" s="21"/>
      <c r="C326" s="21" t="s">
        <v>280</v>
      </c>
      <c r="D326" s="22" t="s">
        <v>281</v>
      </c>
      <c r="E326" s="9">
        <f>Source!AQ71</f>
        <v>563.5</v>
      </c>
      <c r="F326" s="24"/>
      <c r="G326" s="23" t="str">
        <f>Source!DI71</f>
        <v/>
      </c>
      <c r="H326" s="9">
        <f>Source!AV71</f>
        <v>1</v>
      </c>
      <c r="I326" s="9"/>
      <c r="J326" s="25"/>
      <c r="K326" s="25">
        <f>Source!U71</f>
        <v>1.9328049999999999</v>
      </c>
    </row>
    <row r="327" spans="1:22" ht="15" x14ac:dyDescent="0.25">
      <c r="A327" s="29"/>
      <c r="B327" s="29"/>
      <c r="C327" s="29"/>
      <c r="D327" s="29"/>
      <c r="E327" s="29"/>
      <c r="F327" s="29"/>
      <c r="G327" s="29"/>
      <c r="H327" s="29"/>
      <c r="I327" s="66">
        <f>J319+J320+J322+J323+J324+J325</f>
        <v>1951.51</v>
      </c>
      <c r="J327" s="66"/>
      <c r="K327" s="30">
        <f>IF(Source!I71&lt;&gt;0, ROUND(I327/Source!I71, 2), 0)</f>
        <v>568953.35</v>
      </c>
      <c r="P327" s="27">
        <f>I327</f>
        <v>1951.51</v>
      </c>
    </row>
    <row r="328" spans="1:22" ht="28.5" x14ac:dyDescent="0.2">
      <c r="A328" s="20" t="str">
        <f>Source!E72</f>
        <v>35</v>
      </c>
      <c r="B328" s="21" t="str">
        <f>Source!F72</f>
        <v>1.50-3203-3-7/1</v>
      </c>
      <c r="C328" s="21" t="str">
        <f>Source!G72</f>
        <v>Установка закладных деталей весом до 4 кг</v>
      </c>
      <c r="D328" s="22" t="str">
        <f>Source!H72</f>
        <v>т</v>
      </c>
      <c r="E328" s="9">
        <f>Source!I72</f>
        <v>7.85E-2</v>
      </c>
      <c r="F328" s="24"/>
      <c r="G328" s="23"/>
      <c r="H328" s="9"/>
      <c r="I328" s="9"/>
      <c r="J328" s="25"/>
      <c r="K328" s="25"/>
      <c r="Q328">
        <f>ROUND((Source!BZ72/100)*ROUND((Source!AF72*Source!AV72)*Source!I72, 2), 2)</f>
        <v>2805.59</v>
      </c>
      <c r="R328">
        <f>Source!X72</f>
        <v>2805.59</v>
      </c>
      <c r="S328">
        <f>ROUND((Source!CA72/100)*ROUND((Source!AF72*Source!AV72)*Source!I72, 2), 2)</f>
        <v>400.8</v>
      </c>
      <c r="T328">
        <f>Source!Y72</f>
        <v>400.8</v>
      </c>
      <c r="U328">
        <f>ROUND((175/100)*ROUND((Source!AE72*Source!AV72)*Source!I72, 2), 2)</f>
        <v>0</v>
      </c>
      <c r="V328">
        <f>ROUND((108/100)*ROUND(Source!CS72*Source!I72, 2), 2)</f>
        <v>0</v>
      </c>
    </row>
    <row r="329" spans="1:22" ht="14.25" x14ac:dyDescent="0.2">
      <c r="A329" s="20"/>
      <c r="B329" s="21"/>
      <c r="C329" s="21" t="s">
        <v>276</v>
      </c>
      <c r="D329" s="22"/>
      <c r="E329" s="9"/>
      <c r="F329" s="24">
        <f>Source!AO72</f>
        <v>51057.17</v>
      </c>
      <c r="G329" s="23" t="str">
        <f>Source!DG72</f>
        <v/>
      </c>
      <c r="H329" s="9">
        <f>Source!AV72</f>
        <v>1</v>
      </c>
      <c r="I329" s="9">
        <f>IF(Source!BA72&lt;&gt; 0, Source!BA72, 1)</f>
        <v>1</v>
      </c>
      <c r="J329" s="25">
        <f>Source!S72</f>
        <v>4007.99</v>
      </c>
      <c r="K329" s="25"/>
    </row>
    <row r="330" spans="1:22" ht="14.25" x14ac:dyDescent="0.2">
      <c r="A330" s="20"/>
      <c r="B330" s="21"/>
      <c r="C330" s="21" t="s">
        <v>284</v>
      </c>
      <c r="D330" s="22"/>
      <c r="E330" s="9"/>
      <c r="F330" s="24">
        <f>Source!AL72</f>
        <v>53233.52</v>
      </c>
      <c r="G330" s="23" t="str">
        <f>Source!DD72</f>
        <v/>
      </c>
      <c r="H330" s="9">
        <f>Source!AW72</f>
        <v>1</v>
      </c>
      <c r="I330" s="9">
        <f>IF(Source!BC72&lt;&gt; 0, Source!BC72, 1)</f>
        <v>1</v>
      </c>
      <c r="J330" s="25">
        <f>Source!P72</f>
        <v>4178.83</v>
      </c>
      <c r="K330" s="25"/>
    </row>
    <row r="331" spans="1:22" ht="28.5" x14ac:dyDescent="0.2">
      <c r="A331" s="20" t="str">
        <f>Source!E73</f>
        <v>35,1</v>
      </c>
      <c r="B331" s="21" t="str">
        <f>Source!F73</f>
        <v>21.7-7-41</v>
      </c>
      <c r="C331" s="21" t="str">
        <f>Source!G73</f>
        <v>Деталь закладная дополнительная для монтажа малых форм</v>
      </c>
      <c r="D331" s="22" t="str">
        <f>Source!H73</f>
        <v>шт.</v>
      </c>
      <c r="E331" s="9">
        <f>Source!I73</f>
        <v>1</v>
      </c>
      <c r="F331" s="24">
        <f>Source!AK73</f>
        <v>210</v>
      </c>
      <c r="G331" s="32" t="s">
        <v>3</v>
      </c>
      <c r="H331" s="9">
        <f>Source!AW73</f>
        <v>1</v>
      </c>
      <c r="I331" s="9">
        <f>IF(Source!BC73&lt;&gt; 0, Source!BC73, 1)</f>
        <v>1</v>
      </c>
      <c r="J331" s="25">
        <f>Source!O73</f>
        <v>210</v>
      </c>
      <c r="K331" s="25"/>
      <c r="Q331">
        <f>ROUND((Source!BZ73/100)*ROUND((Source!AF73*Source!AV73)*Source!I73, 2), 2)</f>
        <v>0</v>
      </c>
      <c r="R331">
        <f>Source!X73</f>
        <v>0</v>
      </c>
      <c r="S331">
        <f>ROUND((Source!CA73/100)*ROUND((Source!AF73*Source!AV73)*Source!I73, 2), 2)</f>
        <v>0</v>
      </c>
      <c r="T331">
        <f>Source!Y73</f>
        <v>0</v>
      </c>
      <c r="U331">
        <f>ROUND((175/100)*ROUND((Source!AE73*Source!AV73)*Source!I73, 2), 2)</f>
        <v>0</v>
      </c>
      <c r="V331">
        <f>ROUND((108/100)*ROUND(Source!CS73*Source!I73, 2), 2)</f>
        <v>0</v>
      </c>
    </row>
    <row r="332" spans="1:22" ht="44.25" customHeight="1" x14ac:dyDescent="0.2">
      <c r="A332" s="20" t="str">
        <f>Source!E74</f>
        <v>35,2</v>
      </c>
      <c r="B332" s="21" t="str">
        <f>Source!F74</f>
        <v>21.3-4-24</v>
      </c>
      <c r="C332" s="21" t="str">
        <f>Source!G74</f>
        <v>Арматурные заготовки (стержни, хомуты и т.п.), не собранные в каркасы или сетки, закладные и накладные детали, со сваркой</v>
      </c>
      <c r="D332" s="22" t="str">
        <f>Source!H74</f>
        <v>т</v>
      </c>
      <c r="E332" s="9">
        <f>Source!I74</f>
        <v>-7.85E-2</v>
      </c>
      <c r="F332" s="24">
        <f>Source!AK74</f>
        <v>53233.52</v>
      </c>
      <c r="G332" s="32" t="s">
        <v>3</v>
      </c>
      <c r="H332" s="9">
        <f>Source!AW74</f>
        <v>1</v>
      </c>
      <c r="I332" s="9">
        <f>IF(Source!BC74&lt;&gt; 0, Source!BC74, 1)</f>
        <v>1</v>
      </c>
      <c r="J332" s="25">
        <f>Source!O74</f>
        <v>-4178.83</v>
      </c>
      <c r="K332" s="25"/>
      <c r="Q332">
        <f>ROUND((Source!BZ74/100)*ROUND((Source!AF74*Source!AV74)*Source!I74, 2), 2)</f>
        <v>0</v>
      </c>
      <c r="R332">
        <f>Source!X74</f>
        <v>0</v>
      </c>
      <c r="S332">
        <f>ROUND((Source!CA74/100)*ROUND((Source!AF74*Source!AV74)*Source!I74, 2), 2)</f>
        <v>0</v>
      </c>
      <c r="T332">
        <f>Source!Y74</f>
        <v>0</v>
      </c>
      <c r="U332">
        <f>ROUND((175/100)*ROUND((Source!AE74*Source!AV74)*Source!I74, 2), 2)</f>
        <v>0</v>
      </c>
      <c r="V332">
        <f>ROUND((108/100)*ROUND(Source!CS74*Source!I74, 2), 2)</f>
        <v>0</v>
      </c>
    </row>
    <row r="333" spans="1:22" ht="14.25" x14ac:dyDescent="0.2">
      <c r="A333" s="20"/>
      <c r="B333" s="21"/>
      <c r="C333" s="21" t="s">
        <v>277</v>
      </c>
      <c r="D333" s="22" t="s">
        <v>278</v>
      </c>
      <c r="E333" s="9">
        <f>Source!AT72</f>
        <v>70</v>
      </c>
      <c r="F333" s="24"/>
      <c r="G333" s="23"/>
      <c r="H333" s="9"/>
      <c r="I333" s="9"/>
      <c r="J333" s="25">
        <f>SUM(R328:R332)</f>
        <v>2805.59</v>
      </c>
      <c r="K333" s="25"/>
    </row>
    <row r="334" spans="1:22" ht="14.25" x14ac:dyDescent="0.2">
      <c r="A334" s="20"/>
      <c r="B334" s="21"/>
      <c r="C334" s="21" t="s">
        <v>279</v>
      </c>
      <c r="D334" s="22" t="s">
        <v>278</v>
      </c>
      <c r="E334" s="9">
        <f>Source!AU72</f>
        <v>10</v>
      </c>
      <c r="F334" s="24"/>
      <c r="G334" s="23"/>
      <c r="H334" s="9"/>
      <c r="I334" s="9"/>
      <c r="J334" s="25">
        <f>SUM(T328:T333)</f>
        <v>400.8</v>
      </c>
      <c r="K334" s="25"/>
    </row>
    <row r="335" spans="1:22" ht="14.25" x14ac:dyDescent="0.2">
      <c r="A335" s="20"/>
      <c r="B335" s="21"/>
      <c r="C335" s="21" t="s">
        <v>280</v>
      </c>
      <c r="D335" s="22" t="s">
        <v>281</v>
      </c>
      <c r="E335" s="9">
        <f>Source!AQ72</f>
        <v>227.7</v>
      </c>
      <c r="F335" s="24"/>
      <c r="G335" s="23" t="str">
        <f>Source!DI72</f>
        <v/>
      </c>
      <c r="H335" s="9">
        <f>Source!AV72</f>
        <v>1</v>
      </c>
      <c r="I335" s="9"/>
      <c r="J335" s="25"/>
      <c r="K335" s="25">
        <f>Source!U72</f>
        <v>17.87445</v>
      </c>
    </row>
    <row r="336" spans="1:22" ht="15" x14ac:dyDescent="0.25">
      <c r="A336" s="29"/>
      <c r="B336" s="29"/>
      <c r="C336" s="29"/>
      <c r="D336" s="29"/>
      <c r="E336" s="29"/>
      <c r="F336" s="29"/>
      <c r="G336" s="29"/>
      <c r="H336" s="29"/>
      <c r="I336" s="66">
        <f>J329+J330+J333+J334+SUM(J331:J332)</f>
        <v>7424.3799999999992</v>
      </c>
      <c r="J336" s="66"/>
      <c r="K336" s="30">
        <f>IF(Source!I72&lt;&gt;0, ROUND(I336/Source!I72, 2), 0)</f>
        <v>94578.09</v>
      </c>
      <c r="P336" s="27">
        <f>I336</f>
        <v>7424.3799999999992</v>
      </c>
    </row>
    <row r="337" spans="1:22" ht="57.75" customHeight="1" x14ac:dyDescent="0.2">
      <c r="A337" s="20" t="str">
        <f>Source!E75</f>
        <v>36</v>
      </c>
      <c r="B337" s="21" t="str">
        <f>Source!F75</f>
        <v>Цена поставщика</v>
      </c>
      <c r="C337" s="21" t="s">
        <v>348</v>
      </c>
      <c r="D337" s="22" t="str">
        <f>Source!H75</f>
        <v>шт.</v>
      </c>
      <c r="E337" s="9">
        <f>Source!I75</f>
        <v>1</v>
      </c>
      <c r="F337" s="24">
        <f>Source!AL75</f>
        <v>56492.1</v>
      </c>
      <c r="G337" s="23" t="str">
        <f>Source!DD75</f>
        <v/>
      </c>
      <c r="H337" s="9">
        <f>Source!AW75</f>
        <v>1</v>
      </c>
      <c r="I337" s="9">
        <f>IF(Source!BC75&lt;&gt; 0, Source!BC75, 1)</f>
        <v>1</v>
      </c>
      <c r="J337" s="25">
        <f>Source!P75</f>
        <v>56492.1</v>
      </c>
      <c r="K337" s="25"/>
      <c r="Q337">
        <f>ROUND((Source!BZ75/100)*ROUND((Source!AF75*Source!AV75)*Source!I75, 2), 2)</f>
        <v>0</v>
      </c>
      <c r="R337">
        <f>Source!X75</f>
        <v>0</v>
      </c>
      <c r="S337">
        <f>ROUND((Source!CA75/100)*ROUND((Source!AF75*Source!AV75)*Source!I75, 2), 2)</f>
        <v>0</v>
      </c>
      <c r="T337">
        <f>Source!Y75</f>
        <v>0</v>
      </c>
      <c r="U337">
        <f>ROUND((175/100)*ROUND((Source!AE75*Source!AV75)*Source!I75, 2), 2)</f>
        <v>0</v>
      </c>
      <c r="V337">
        <f>ROUND((108/100)*ROUND(Source!CS75*Source!I75, 2), 2)</f>
        <v>0</v>
      </c>
    </row>
    <row r="338" spans="1:22" ht="15" x14ac:dyDescent="0.25">
      <c r="A338" s="29"/>
      <c r="B338" s="29"/>
      <c r="C338" s="29"/>
      <c r="D338" s="29"/>
      <c r="E338" s="29"/>
      <c r="F338" s="29"/>
      <c r="G338" s="29"/>
      <c r="H338" s="29"/>
      <c r="I338" s="66">
        <f>J337</f>
        <v>56492.1</v>
      </c>
      <c r="J338" s="66"/>
      <c r="K338" s="30">
        <f>IF(Source!I75&lt;&gt;0, ROUND(I338/Source!I75, 2), 0)</f>
        <v>56492.1</v>
      </c>
      <c r="P338" s="27">
        <f>I338</f>
        <v>56492.1</v>
      </c>
    </row>
    <row r="339" spans="1:22" ht="30.75" customHeight="1" x14ac:dyDescent="0.2">
      <c r="A339" s="20" t="str">
        <f>Source!E76</f>
        <v>37</v>
      </c>
      <c r="B339" s="21" t="str">
        <f>Source!F76</f>
        <v>1.1-3303-2-1/1</v>
      </c>
      <c r="C339" s="21" t="str">
        <f>Source!G76</f>
        <v>Разработка грунта вручную в траншеях глубиной до 2 м без креплений с откосами группа грунтов 1-3</v>
      </c>
      <c r="D339" s="22" t="str">
        <f>Source!H76</f>
        <v>100 м3</v>
      </c>
      <c r="E339" s="9">
        <f>Source!I76</f>
        <v>4.8999999999999998E-3</v>
      </c>
      <c r="F339" s="24"/>
      <c r="G339" s="23"/>
      <c r="H339" s="9"/>
      <c r="I339" s="9"/>
      <c r="J339" s="25"/>
      <c r="K339" s="25"/>
      <c r="Q339">
        <f>ROUND((Source!BZ76/100)*ROUND((Source!AF76*Source!AV76)*Source!I76, 2), 2)</f>
        <v>143.88999999999999</v>
      </c>
      <c r="R339">
        <f>Source!X76</f>
        <v>143.88999999999999</v>
      </c>
      <c r="S339">
        <f>ROUND((Source!CA76/100)*ROUND((Source!AF76*Source!AV76)*Source!I76, 2), 2)</f>
        <v>20.56</v>
      </c>
      <c r="T339">
        <f>Source!Y76</f>
        <v>20.56</v>
      </c>
      <c r="U339">
        <f>ROUND((175/100)*ROUND((Source!AE76*Source!AV76)*Source!I76, 2), 2)</f>
        <v>0</v>
      </c>
      <c r="V339">
        <f>ROUND((108/100)*ROUND(Source!CS76*Source!I76, 2), 2)</f>
        <v>0</v>
      </c>
    </row>
    <row r="340" spans="1:22" x14ac:dyDescent="0.2">
      <c r="C340" s="26" t="str">
        <f>"Объем: "&amp;Source!I76&amp;"=0,7*"&amp;"0,7*"&amp;"1/"&amp;"100"</f>
        <v>Объем: 0,0049=0,7*0,7*1/100</v>
      </c>
    </row>
    <row r="341" spans="1:22" ht="14.25" x14ac:dyDescent="0.2">
      <c r="A341" s="20"/>
      <c r="B341" s="21"/>
      <c r="C341" s="21" t="s">
        <v>276</v>
      </c>
      <c r="D341" s="22"/>
      <c r="E341" s="9"/>
      <c r="F341" s="24">
        <f>Source!AO76</f>
        <v>41951.1</v>
      </c>
      <c r="G341" s="23" t="str">
        <f>Source!DG76</f>
        <v/>
      </c>
      <c r="H341" s="9">
        <f>Source!AV76</f>
        <v>1</v>
      </c>
      <c r="I341" s="9">
        <f>IF(Source!BA76&lt;&gt; 0, Source!BA76, 1)</f>
        <v>1</v>
      </c>
      <c r="J341" s="25">
        <f>Source!S76</f>
        <v>205.56</v>
      </c>
      <c r="K341" s="25"/>
    </row>
    <row r="342" spans="1:22" ht="14.25" x14ac:dyDescent="0.2">
      <c r="A342" s="20"/>
      <c r="B342" s="21"/>
      <c r="C342" s="21" t="s">
        <v>277</v>
      </c>
      <c r="D342" s="22" t="s">
        <v>278</v>
      </c>
      <c r="E342" s="9">
        <f>Source!AT76</f>
        <v>70</v>
      </c>
      <c r="F342" s="24"/>
      <c r="G342" s="23"/>
      <c r="H342" s="9"/>
      <c r="I342" s="9"/>
      <c r="J342" s="25">
        <f>SUM(R339:R341)</f>
        <v>143.88999999999999</v>
      </c>
      <c r="K342" s="25"/>
    </row>
    <row r="343" spans="1:22" ht="14.25" x14ac:dyDescent="0.2">
      <c r="A343" s="20"/>
      <c r="B343" s="21"/>
      <c r="C343" s="21" t="s">
        <v>279</v>
      </c>
      <c r="D343" s="22" t="s">
        <v>278</v>
      </c>
      <c r="E343" s="9">
        <f>Source!AU76</f>
        <v>10</v>
      </c>
      <c r="F343" s="24"/>
      <c r="G343" s="23"/>
      <c r="H343" s="9"/>
      <c r="I343" s="9"/>
      <c r="J343" s="25">
        <f>SUM(T339:T342)</f>
        <v>20.56</v>
      </c>
      <c r="K343" s="25"/>
    </row>
    <row r="344" spans="1:22" ht="14.25" x14ac:dyDescent="0.2">
      <c r="A344" s="20"/>
      <c r="B344" s="21"/>
      <c r="C344" s="21" t="s">
        <v>280</v>
      </c>
      <c r="D344" s="22" t="s">
        <v>281</v>
      </c>
      <c r="E344" s="9">
        <f>Source!AQ76</f>
        <v>221.6</v>
      </c>
      <c r="F344" s="24"/>
      <c r="G344" s="23" t="str">
        <f>Source!DI76</f>
        <v/>
      </c>
      <c r="H344" s="9">
        <f>Source!AV76</f>
        <v>1</v>
      </c>
      <c r="I344" s="9"/>
      <c r="J344" s="25"/>
      <c r="K344" s="25">
        <f>Source!U76</f>
        <v>1.0858399999999999</v>
      </c>
    </row>
    <row r="345" spans="1:22" ht="15" x14ac:dyDescent="0.25">
      <c r="A345" s="29"/>
      <c r="B345" s="29"/>
      <c r="C345" s="29"/>
      <c r="D345" s="29"/>
      <c r="E345" s="29"/>
      <c r="F345" s="29"/>
      <c r="G345" s="29"/>
      <c r="H345" s="29"/>
      <c r="I345" s="66">
        <f>J341+J342+J343</f>
        <v>370.01</v>
      </c>
      <c r="J345" s="66"/>
      <c r="K345" s="30">
        <f>IF(Source!I76&lt;&gt;0, ROUND(I345/Source!I76, 2), 0)</f>
        <v>75512.240000000005</v>
      </c>
      <c r="P345" s="27">
        <f>I345</f>
        <v>370.01</v>
      </c>
    </row>
    <row r="346" spans="1:22" ht="28.5" x14ac:dyDescent="0.2">
      <c r="A346" s="20" t="str">
        <f>Source!E77</f>
        <v>38</v>
      </c>
      <c r="B346" s="21" t="str">
        <f>Source!F77</f>
        <v>1.2-3103-29-1/1</v>
      </c>
      <c r="C346" s="21" t="str">
        <f>Source!G77</f>
        <v>Устройство песчаного основания под фундаменты</v>
      </c>
      <c r="D346" s="22" t="str">
        <f>Source!H77</f>
        <v>м3</v>
      </c>
      <c r="E346" s="9">
        <f>Source!I77</f>
        <v>4.9000000000000002E-2</v>
      </c>
      <c r="F346" s="24"/>
      <c r="G346" s="23"/>
      <c r="H346" s="9"/>
      <c r="I346" s="9"/>
      <c r="J346" s="25"/>
      <c r="K346" s="25"/>
      <c r="Q346">
        <f>ROUND((Source!BZ77/100)*ROUND((Source!AF77*Source!AV77)*Source!I77, 2), 2)</f>
        <v>5.71</v>
      </c>
      <c r="R346">
        <f>Source!X77</f>
        <v>5.71</v>
      </c>
      <c r="S346">
        <f>ROUND((Source!CA77/100)*ROUND((Source!AF77*Source!AV77)*Source!I77, 2), 2)</f>
        <v>0.82</v>
      </c>
      <c r="T346">
        <f>Source!Y77</f>
        <v>0.82</v>
      </c>
      <c r="U346">
        <f>ROUND((175/100)*ROUND((Source!AE77*Source!AV77)*Source!I77, 2), 2)</f>
        <v>10.64</v>
      </c>
      <c r="V346">
        <f>ROUND((108/100)*ROUND(Source!CS77*Source!I77, 2), 2)</f>
        <v>6.57</v>
      </c>
    </row>
    <row r="347" spans="1:22" x14ac:dyDescent="0.2">
      <c r="C347" s="26" t="str">
        <f>"Объем: "&amp;Source!I77&amp;"=0,7*"&amp;"0,7*"&amp;"0,1"</f>
        <v>Объем: 0,049=0,7*0,7*0,1</v>
      </c>
    </row>
    <row r="348" spans="1:22" ht="14.25" x14ac:dyDescent="0.2">
      <c r="A348" s="20"/>
      <c r="B348" s="21"/>
      <c r="C348" s="21" t="s">
        <v>276</v>
      </c>
      <c r="D348" s="22"/>
      <c r="E348" s="9"/>
      <c r="F348" s="24">
        <f>Source!AO77</f>
        <v>166.52</v>
      </c>
      <c r="G348" s="23" t="str">
        <f>Source!DG77</f>
        <v/>
      </c>
      <c r="H348" s="9">
        <f>Source!AV77</f>
        <v>1</v>
      </c>
      <c r="I348" s="9">
        <f>IF(Source!BA77&lt;&gt; 0, Source!BA77, 1)</f>
        <v>1</v>
      </c>
      <c r="J348" s="25">
        <f>Source!S77</f>
        <v>8.16</v>
      </c>
      <c r="K348" s="25"/>
    </row>
    <row r="349" spans="1:22" ht="14.25" x14ac:dyDescent="0.2">
      <c r="A349" s="20"/>
      <c r="B349" s="21"/>
      <c r="C349" s="21" t="s">
        <v>282</v>
      </c>
      <c r="D349" s="22"/>
      <c r="E349" s="9"/>
      <c r="F349" s="24">
        <f>Source!AM77</f>
        <v>210.68</v>
      </c>
      <c r="G349" s="23" t="str">
        <f>Source!DE77</f>
        <v/>
      </c>
      <c r="H349" s="9">
        <f>Source!AV77</f>
        <v>1</v>
      </c>
      <c r="I349" s="9">
        <f>IF(Source!BB77&lt;&gt; 0, Source!BB77, 1)</f>
        <v>1</v>
      </c>
      <c r="J349" s="25">
        <f>Source!Q77</f>
        <v>10.32</v>
      </c>
      <c r="K349" s="25"/>
    </row>
    <row r="350" spans="1:22" ht="14.25" x14ac:dyDescent="0.2">
      <c r="A350" s="20"/>
      <c r="B350" s="21"/>
      <c r="C350" s="21" t="s">
        <v>283</v>
      </c>
      <c r="D350" s="22"/>
      <c r="E350" s="9"/>
      <c r="F350" s="24">
        <f>Source!AN77</f>
        <v>124.16</v>
      </c>
      <c r="G350" s="23" t="str">
        <f>Source!DF77</f>
        <v/>
      </c>
      <c r="H350" s="9">
        <f>Source!AV77</f>
        <v>1</v>
      </c>
      <c r="I350" s="9">
        <f>IF(Source!BS77&lt;&gt; 0, Source!BS77, 1)</f>
        <v>1</v>
      </c>
      <c r="J350" s="31">
        <f>Source!R77</f>
        <v>6.08</v>
      </c>
      <c r="K350" s="25"/>
    </row>
    <row r="351" spans="1:22" ht="14.25" x14ac:dyDescent="0.2">
      <c r="A351" s="20"/>
      <c r="B351" s="21"/>
      <c r="C351" s="21" t="s">
        <v>284</v>
      </c>
      <c r="D351" s="22"/>
      <c r="E351" s="9"/>
      <c r="F351" s="24">
        <f>Source!AL77</f>
        <v>655.15</v>
      </c>
      <c r="G351" s="23" t="str">
        <f>Source!DD77</f>
        <v/>
      </c>
      <c r="H351" s="9">
        <f>Source!AW77</f>
        <v>1</v>
      </c>
      <c r="I351" s="9">
        <f>IF(Source!BC77&lt;&gt; 0, Source!BC77, 1)</f>
        <v>1</v>
      </c>
      <c r="J351" s="25">
        <f>Source!P77</f>
        <v>32.1</v>
      </c>
      <c r="K351" s="25"/>
    </row>
    <row r="352" spans="1:22" ht="14.25" x14ac:dyDescent="0.2">
      <c r="A352" s="20"/>
      <c r="B352" s="21"/>
      <c r="C352" s="21" t="s">
        <v>277</v>
      </c>
      <c r="D352" s="22" t="s">
        <v>278</v>
      </c>
      <c r="E352" s="9">
        <f>Source!AT77</f>
        <v>70</v>
      </c>
      <c r="F352" s="24"/>
      <c r="G352" s="23"/>
      <c r="H352" s="9"/>
      <c r="I352" s="9"/>
      <c r="J352" s="25">
        <f>SUM(R346:R351)</f>
        <v>5.71</v>
      </c>
      <c r="K352" s="25"/>
    </row>
    <row r="353" spans="1:22" ht="14.25" x14ac:dyDescent="0.2">
      <c r="A353" s="20"/>
      <c r="B353" s="21"/>
      <c r="C353" s="21" t="s">
        <v>279</v>
      </c>
      <c r="D353" s="22" t="s">
        <v>278</v>
      </c>
      <c r="E353" s="9">
        <f>Source!AU77</f>
        <v>10</v>
      </c>
      <c r="F353" s="24"/>
      <c r="G353" s="23"/>
      <c r="H353" s="9"/>
      <c r="I353" s="9"/>
      <c r="J353" s="25">
        <f>SUM(T346:T352)</f>
        <v>0.82</v>
      </c>
      <c r="K353" s="25"/>
    </row>
    <row r="354" spans="1:22" ht="14.25" x14ac:dyDescent="0.2">
      <c r="A354" s="20"/>
      <c r="B354" s="21"/>
      <c r="C354" s="21" t="s">
        <v>285</v>
      </c>
      <c r="D354" s="22" t="s">
        <v>278</v>
      </c>
      <c r="E354" s="9">
        <f>108</f>
        <v>108</v>
      </c>
      <c r="F354" s="24"/>
      <c r="G354" s="23"/>
      <c r="H354" s="9"/>
      <c r="I354" s="9"/>
      <c r="J354" s="25">
        <f>SUM(V346:V353)</f>
        <v>6.57</v>
      </c>
      <c r="K354" s="25"/>
    </row>
    <row r="355" spans="1:22" ht="14.25" x14ac:dyDescent="0.2">
      <c r="A355" s="20"/>
      <c r="B355" s="21"/>
      <c r="C355" s="21" t="s">
        <v>280</v>
      </c>
      <c r="D355" s="22" t="s">
        <v>281</v>
      </c>
      <c r="E355" s="9">
        <f>Source!AQ77</f>
        <v>0.9</v>
      </c>
      <c r="F355" s="24"/>
      <c r="G355" s="23" t="str">
        <f>Source!DI77</f>
        <v/>
      </c>
      <c r="H355" s="9">
        <f>Source!AV77</f>
        <v>1</v>
      </c>
      <c r="I355" s="9"/>
      <c r="J355" s="25"/>
      <c r="K355" s="25">
        <f>Source!U77</f>
        <v>4.41E-2</v>
      </c>
    </row>
    <row r="356" spans="1:22" ht="15" x14ac:dyDescent="0.25">
      <c r="A356" s="29"/>
      <c r="B356" s="29"/>
      <c r="C356" s="29"/>
      <c r="D356" s="29"/>
      <c r="E356" s="29"/>
      <c r="F356" s="29"/>
      <c r="G356" s="29"/>
      <c r="H356" s="29"/>
      <c r="I356" s="66">
        <f>J348+J349+J351+J352+J353+J354</f>
        <v>63.68</v>
      </c>
      <c r="J356" s="66"/>
      <c r="K356" s="30">
        <f>IF(Source!I77&lt;&gt;0, ROUND(I356/Source!I77, 2), 0)</f>
        <v>1299.5899999999999</v>
      </c>
      <c r="P356" s="27">
        <f>I356</f>
        <v>63.68</v>
      </c>
    </row>
    <row r="357" spans="1:22" ht="28.5" x14ac:dyDescent="0.2">
      <c r="A357" s="20" t="str">
        <f>Source!E78</f>
        <v>39</v>
      </c>
      <c r="B357" s="21" t="str">
        <f>Source!F78</f>
        <v>1.2-3103-29-2/1</v>
      </c>
      <c r="C357" s="21" t="str">
        <f>Source!G78</f>
        <v>Устройство щебеночного основания под фундаменты</v>
      </c>
      <c r="D357" s="22" t="str">
        <f>Source!H78</f>
        <v>м3</v>
      </c>
      <c r="E357" s="9">
        <f>Source!I78</f>
        <v>9.8000000000000004E-2</v>
      </c>
      <c r="F357" s="24"/>
      <c r="G357" s="23"/>
      <c r="H357" s="9"/>
      <c r="I357" s="9"/>
      <c r="J357" s="25"/>
      <c r="K357" s="25"/>
      <c r="Q357">
        <f>ROUND((Source!BZ78/100)*ROUND((Source!AF78*Source!AV78)*Source!I78, 2), 2)</f>
        <v>12.44</v>
      </c>
      <c r="R357">
        <f>Source!X78</f>
        <v>12.44</v>
      </c>
      <c r="S357">
        <f>ROUND((Source!CA78/100)*ROUND((Source!AF78*Source!AV78)*Source!I78, 2), 2)</f>
        <v>1.78</v>
      </c>
      <c r="T357">
        <f>Source!Y78</f>
        <v>1.78</v>
      </c>
      <c r="U357">
        <f>ROUND((175/100)*ROUND((Source!AE78*Source!AV78)*Source!I78, 2), 2)</f>
        <v>23.17</v>
      </c>
      <c r="V357">
        <f>ROUND((108/100)*ROUND(Source!CS78*Source!I78, 2), 2)</f>
        <v>14.3</v>
      </c>
    </row>
    <row r="358" spans="1:22" x14ac:dyDescent="0.2">
      <c r="C358" s="26" t="str">
        <f>"Объем: "&amp;Source!I78&amp;"=0,7*"&amp;"0,7*"&amp;"0,2"</f>
        <v>Объем: 0,098=0,7*0,7*0,2</v>
      </c>
    </row>
    <row r="359" spans="1:22" ht="14.25" x14ac:dyDescent="0.2">
      <c r="A359" s="20"/>
      <c r="B359" s="21"/>
      <c r="C359" s="21" t="s">
        <v>276</v>
      </c>
      <c r="D359" s="22"/>
      <c r="E359" s="9"/>
      <c r="F359" s="24">
        <f>Source!AO78</f>
        <v>181.32</v>
      </c>
      <c r="G359" s="23" t="str">
        <f>Source!DG78</f>
        <v/>
      </c>
      <c r="H359" s="9">
        <f>Source!AV78</f>
        <v>1</v>
      </c>
      <c r="I359" s="9">
        <f>IF(Source!BA78&lt;&gt; 0, Source!BA78, 1)</f>
        <v>1</v>
      </c>
      <c r="J359" s="25">
        <f>Source!S78</f>
        <v>17.77</v>
      </c>
      <c r="K359" s="25"/>
    </row>
    <row r="360" spans="1:22" ht="14.25" x14ac:dyDescent="0.2">
      <c r="A360" s="20"/>
      <c r="B360" s="21"/>
      <c r="C360" s="21" t="s">
        <v>282</v>
      </c>
      <c r="D360" s="22"/>
      <c r="E360" s="9"/>
      <c r="F360" s="24">
        <f>Source!AM78</f>
        <v>224.99</v>
      </c>
      <c r="G360" s="23" t="str">
        <f>Source!DE78</f>
        <v/>
      </c>
      <c r="H360" s="9">
        <f>Source!AV78</f>
        <v>1</v>
      </c>
      <c r="I360" s="9">
        <f>IF(Source!BB78&lt;&gt; 0, Source!BB78, 1)</f>
        <v>1</v>
      </c>
      <c r="J360" s="25">
        <f>Source!Q78</f>
        <v>22.05</v>
      </c>
      <c r="K360" s="25"/>
    </row>
    <row r="361" spans="1:22" ht="14.25" x14ac:dyDescent="0.2">
      <c r="A361" s="20"/>
      <c r="B361" s="21"/>
      <c r="C361" s="21" t="s">
        <v>283</v>
      </c>
      <c r="D361" s="22"/>
      <c r="E361" s="9"/>
      <c r="F361" s="24">
        <f>Source!AN78</f>
        <v>135.08000000000001</v>
      </c>
      <c r="G361" s="23" t="str">
        <f>Source!DF78</f>
        <v/>
      </c>
      <c r="H361" s="9">
        <f>Source!AV78</f>
        <v>1</v>
      </c>
      <c r="I361" s="9">
        <f>IF(Source!BS78&lt;&gt; 0, Source!BS78, 1)</f>
        <v>1</v>
      </c>
      <c r="J361" s="31">
        <f>Source!R78</f>
        <v>13.24</v>
      </c>
      <c r="K361" s="25"/>
    </row>
    <row r="362" spans="1:22" ht="14.25" x14ac:dyDescent="0.2">
      <c r="A362" s="20"/>
      <c r="B362" s="21"/>
      <c r="C362" s="21" t="s">
        <v>284</v>
      </c>
      <c r="D362" s="22"/>
      <c r="E362" s="9"/>
      <c r="F362" s="24">
        <f>Source!AL78</f>
        <v>1657.26</v>
      </c>
      <c r="G362" s="23" t="str">
        <f>Source!DD78</f>
        <v/>
      </c>
      <c r="H362" s="9">
        <f>Source!AW78</f>
        <v>1</v>
      </c>
      <c r="I362" s="9">
        <f>IF(Source!BC78&lt;&gt; 0, Source!BC78, 1)</f>
        <v>1</v>
      </c>
      <c r="J362" s="25">
        <f>Source!P78</f>
        <v>162.41</v>
      </c>
      <c r="K362" s="25"/>
    </row>
    <row r="363" spans="1:22" ht="14.25" x14ac:dyDescent="0.2">
      <c r="A363" s="20"/>
      <c r="B363" s="21"/>
      <c r="C363" s="21" t="s">
        <v>277</v>
      </c>
      <c r="D363" s="22" t="s">
        <v>278</v>
      </c>
      <c r="E363" s="9">
        <f>Source!AT78</f>
        <v>70</v>
      </c>
      <c r="F363" s="24"/>
      <c r="G363" s="23"/>
      <c r="H363" s="9"/>
      <c r="I363" s="9"/>
      <c r="J363" s="25">
        <f>SUM(R357:R362)</f>
        <v>12.44</v>
      </c>
      <c r="K363" s="25"/>
    </row>
    <row r="364" spans="1:22" ht="14.25" x14ac:dyDescent="0.2">
      <c r="A364" s="20"/>
      <c r="B364" s="21"/>
      <c r="C364" s="21" t="s">
        <v>279</v>
      </c>
      <c r="D364" s="22" t="s">
        <v>278</v>
      </c>
      <c r="E364" s="9">
        <f>Source!AU78</f>
        <v>10</v>
      </c>
      <c r="F364" s="24"/>
      <c r="G364" s="23"/>
      <c r="H364" s="9"/>
      <c r="I364" s="9"/>
      <c r="J364" s="25">
        <f>SUM(T357:T363)</f>
        <v>1.78</v>
      </c>
      <c r="K364" s="25"/>
    </row>
    <row r="365" spans="1:22" ht="14.25" x14ac:dyDescent="0.2">
      <c r="A365" s="20"/>
      <c r="B365" s="21"/>
      <c r="C365" s="21" t="s">
        <v>285</v>
      </c>
      <c r="D365" s="22" t="s">
        <v>278</v>
      </c>
      <c r="E365" s="9">
        <f>108</f>
        <v>108</v>
      </c>
      <c r="F365" s="24"/>
      <c r="G365" s="23"/>
      <c r="H365" s="9"/>
      <c r="I365" s="9"/>
      <c r="J365" s="25">
        <f>SUM(V357:V364)</f>
        <v>14.3</v>
      </c>
      <c r="K365" s="25"/>
    </row>
    <row r="366" spans="1:22" ht="14.25" x14ac:dyDescent="0.2">
      <c r="A366" s="20"/>
      <c r="B366" s="21"/>
      <c r="C366" s="21" t="s">
        <v>280</v>
      </c>
      <c r="D366" s="22" t="s">
        <v>281</v>
      </c>
      <c r="E366" s="9">
        <f>Source!AQ78</f>
        <v>0.98</v>
      </c>
      <c r="F366" s="24"/>
      <c r="G366" s="23" t="str">
        <f>Source!DI78</f>
        <v/>
      </c>
      <c r="H366" s="9">
        <f>Source!AV78</f>
        <v>1</v>
      </c>
      <c r="I366" s="9"/>
      <c r="J366" s="25"/>
      <c r="K366" s="25">
        <f>Source!U78</f>
        <v>9.604E-2</v>
      </c>
    </row>
    <row r="367" spans="1:22" ht="15" x14ac:dyDescent="0.25">
      <c r="A367" s="29"/>
      <c r="B367" s="29"/>
      <c r="C367" s="29"/>
      <c r="D367" s="29"/>
      <c r="E367" s="29"/>
      <c r="F367" s="29"/>
      <c r="G367" s="29"/>
      <c r="H367" s="29"/>
      <c r="I367" s="66">
        <f>J359+J360+J362+J363+J364+J365</f>
        <v>230.75</v>
      </c>
      <c r="J367" s="66"/>
      <c r="K367" s="30">
        <f>IF(Source!I78&lt;&gt;0, ROUND(I367/Source!I78, 2), 0)</f>
        <v>2354.59</v>
      </c>
      <c r="P367" s="27">
        <f>I367</f>
        <v>230.75</v>
      </c>
    </row>
    <row r="368" spans="1:22" ht="28.5" x14ac:dyDescent="0.2">
      <c r="A368" s="20" t="str">
        <f>Source!E79</f>
        <v>40</v>
      </c>
      <c r="B368" s="21" t="str">
        <f>Source!F79</f>
        <v>1.2-3103-2-13/1</v>
      </c>
      <c r="C368" s="21" t="str">
        <f>Source!G79</f>
        <v>Устройство фундаментов-столбов бетонных</v>
      </c>
      <c r="D368" s="22" t="str">
        <f>Source!H79</f>
        <v>100 м3</v>
      </c>
      <c r="E368" s="9">
        <f>Source!I79</f>
        <v>3.4299999999999999E-3</v>
      </c>
      <c r="F368" s="24"/>
      <c r="G368" s="23"/>
      <c r="H368" s="9"/>
      <c r="I368" s="9"/>
      <c r="J368" s="25"/>
      <c r="K368" s="25"/>
      <c r="Q368">
        <f>ROUND((Source!BZ79/100)*ROUND((Source!AF79*Source!AV79)*Source!I79, 2), 2)</f>
        <v>273.52</v>
      </c>
      <c r="R368">
        <f>Source!X79</f>
        <v>273.52</v>
      </c>
      <c r="S368">
        <f>ROUND((Source!CA79/100)*ROUND((Source!AF79*Source!AV79)*Source!I79, 2), 2)</f>
        <v>39.07</v>
      </c>
      <c r="T368">
        <f>Source!Y79</f>
        <v>39.07</v>
      </c>
      <c r="U368">
        <f>ROUND((175/100)*ROUND((Source!AE79*Source!AV79)*Source!I79, 2), 2)</f>
        <v>1.24</v>
      </c>
      <c r="V368">
        <f>ROUND((108/100)*ROUND(Source!CS79*Source!I79, 2), 2)</f>
        <v>0.77</v>
      </c>
    </row>
    <row r="369" spans="1:22" x14ac:dyDescent="0.2">
      <c r="C369" s="26" t="str">
        <f>"Объем: "&amp;Source!I79&amp;"=(0,7*"&amp;"0,7*"&amp;"0,7*"&amp;"1)/"&amp;"100"</f>
        <v>Объем: 0,00343=(0,7*0,7*0,7*1)/100</v>
      </c>
    </row>
    <row r="370" spans="1:22" ht="14.25" x14ac:dyDescent="0.2">
      <c r="A370" s="20"/>
      <c r="B370" s="21"/>
      <c r="C370" s="21" t="s">
        <v>276</v>
      </c>
      <c r="D370" s="22"/>
      <c r="E370" s="9"/>
      <c r="F370" s="24">
        <f>Source!AO79</f>
        <v>113917.16</v>
      </c>
      <c r="G370" s="23" t="str">
        <f>Source!DG79</f>
        <v/>
      </c>
      <c r="H370" s="9">
        <f>Source!AV79</f>
        <v>1</v>
      </c>
      <c r="I370" s="9">
        <f>IF(Source!BA79&lt;&gt; 0, Source!BA79, 1)</f>
        <v>1</v>
      </c>
      <c r="J370" s="25">
        <f>Source!S79</f>
        <v>390.74</v>
      </c>
      <c r="K370" s="25"/>
    </row>
    <row r="371" spans="1:22" ht="14.25" x14ac:dyDescent="0.2">
      <c r="A371" s="20"/>
      <c r="B371" s="21"/>
      <c r="C371" s="21" t="s">
        <v>282</v>
      </c>
      <c r="D371" s="22"/>
      <c r="E371" s="9"/>
      <c r="F371" s="24">
        <f>Source!AM79</f>
        <v>547.28</v>
      </c>
      <c r="G371" s="23" t="str">
        <f>Source!DE79</f>
        <v/>
      </c>
      <c r="H371" s="9">
        <f>Source!AV79</f>
        <v>1</v>
      </c>
      <c r="I371" s="9">
        <f>IF(Source!BB79&lt;&gt; 0, Source!BB79, 1)</f>
        <v>1</v>
      </c>
      <c r="J371" s="25">
        <f>Source!Q79</f>
        <v>1.88</v>
      </c>
      <c r="K371" s="25"/>
    </row>
    <row r="372" spans="1:22" ht="14.25" x14ac:dyDescent="0.2">
      <c r="A372" s="20"/>
      <c r="B372" s="21"/>
      <c r="C372" s="21" t="s">
        <v>283</v>
      </c>
      <c r="D372" s="22"/>
      <c r="E372" s="9"/>
      <c r="F372" s="24">
        <f>Source!AN79</f>
        <v>206.05</v>
      </c>
      <c r="G372" s="23" t="str">
        <f>Source!DF79</f>
        <v/>
      </c>
      <c r="H372" s="9">
        <f>Source!AV79</f>
        <v>1</v>
      </c>
      <c r="I372" s="9">
        <f>IF(Source!BS79&lt;&gt; 0, Source!BS79, 1)</f>
        <v>1</v>
      </c>
      <c r="J372" s="31">
        <f>Source!R79</f>
        <v>0.71</v>
      </c>
      <c r="K372" s="25"/>
    </row>
    <row r="373" spans="1:22" ht="14.25" x14ac:dyDescent="0.2">
      <c r="A373" s="20"/>
      <c r="B373" s="21"/>
      <c r="C373" s="21" t="s">
        <v>284</v>
      </c>
      <c r="D373" s="22"/>
      <c r="E373" s="9"/>
      <c r="F373" s="24">
        <f>Source!AL79</f>
        <v>363129.4</v>
      </c>
      <c r="G373" s="23" t="str">
        <f>Source!DD79</f>
        <v/>
      </c>
      <c r="H373" s="9">
        <f>Source!AW79</f>
        <v>1</v>
      </c>
      <c r="I373" s="9">
        <f>IF(Source!BC79&lt;&gt; 0, Source!BC79, 1)</f>
        <v>1</v>
      </c>
      <c r="J373" s="25">
        <f>Source!P79</f>
        <v>1245.53</v>
      </c>
      <c r="K373" s="25"/>
    </row>
    <row r="374" spans="1:22" ht="14.25" x14ac:dyDescent="0.2">
      <c r="A374" s="20"/>
      <c r="B374" s="21"/>
      <c r="C374" s="21" t="s">
        <v>277</v>
      </c>
      <c r="D374" s="22" t="s">
        <v>278</v>
      </c>
      <c r="E374" s="9">
        <f>Source!AT79</f>
        <v>70</v>
      </c>
      <c r="F374" s="24"/>
      <c r="G374" s="23"/>
      <c r="H374" s="9"/>
      <c r="I374" s="9"/>
      <c r="J374" s="25">
        <f>SUM(R368:R373)</f>
        <v>273.52</v>
      </c>
      <c r="K374" s="25"/>
    </row>
    <row r="375" spans="1:22" ht="14.25" x14ac:dyDescent="0.2">
      <c r="A375" s="20"/>
      <c r="B375" s="21"/>
      <c r="C375" s="21" t="s">
        <v>279</v>
      </c>
      <c r="D375" s="22" t="s">
        <v>278</v>
      </c>
      <c r="E375" s="9">
        <f>Source!AU79</f>
        <v>10</v>
      </c>
      <c r="F375" s="24"/>
      <c r="G375" s="23"/>
      <c r="H375" s="9"/>
      <c r="I375" s="9"/>
      <c r="J375" s="25">
        <f>SUM(T368:T374)</f>
        <v>39.07</v>
      </c>
      <c r="K375" s="25"/>
    </row>
    <row r="376" spans="1:22" ht="14.25" x14ac:dyDescent="0.2">
      <c r="A376" s="20"/>
      <c r="B376" s="21"/>
      <c r="C376" s="21" t="s">
        <v>285</v>
      </c>
      <c r="D376" s="22" t="s">
        <v>278</v>
      </c>
      <c r="E376" s="9">
        <f>108</f>
        <v>108</v>
      </c>
      <c r="F376" s="24"/>
      <c r="G376" s="23"/>
      <c r="H376" s="9"/>
      <c r="I376" s="9"/>
      <c r="J376" s="25">
        <f>SUM(V368:V375)</f>
        <v>0.77</v>
      </c>
      <c r="K376" s="25"/>
    </row>
    <row r="377" spans="1:22" ht="14.25" x14ac:dyDescent="0.2">
      <c r="A377" s="20"/>
      <c r="B377" s="21"/>
      <c r="C377" s="21" t="s">
        <v>280</v>
      </c>
      <c r="D377" s="22" t="s">
        <v>281</v>
      </c>
      <c r="E377" s="9">
        <f>Source!AQ79</f>
        <v>563.5</v>
      </c>
      <c r="F377" s="24"/>
      <c r="G377" s="23" t="str">
        <f>Source!DI79</f>
        <v/>
      </c>
      <c r="H377" s="9">
        <f>Source!AV79</f>
        <v>1</v>
      </c>
      <c r="I377" s="9"/>
      <c r="J377" s="25"/>
      <c r="K377" s="25">
        <f>Source!U79</f>
        <v>1.9328049999999999</v>
      </c>
    </row>
    <row r="378" spans="1:22" ht="15" x14ac:dyDescent="0.25">
      <c r="A378" s="29"/>
      <c r="B378" s="29"/>
      <c r="C378" s="29"/>
      <c r="D378" s="29"/>
      <c r="E378" s="29"/>
      <c r="F378" s="29"/>
      <c r="G378" s="29"/>
      <c r="H378" s="29"/>
      <c r="I378" s="66">
        <f>J370+J371+J373+J374+J375+J376</f>
        <v>1951.51</v>
      </c>
      <c r="J378" s="66"/>
      <c r="K378" s="30">
        <f>IF(Source!I79&lt;&gt;0, ROUND(I378/Source!I79, 2), 0)</f>
        <v>568953.35</v>
      </c>
      <c r="P378" s="27">
        <f>I378</f>
        <v>1951.51</v>
      </c>
    </row>
    <row r="379" spans="1:22" ht="28.5" x14ac:dyDescent="0.2">
      <c r="A379" s="20" t="str">
        <f>Source!E80</f>
        <v>41</v>
      </c>
      <c r="B379" s="21" t="str">
        <f>Source!F80</f>
        <v>1.50-3203-3-7/1</v>
      </c>
      <c r="C379" s="21" t="str">
        <f>Source!G80</f>
        <v>Установка закладных деталей весом до 4 кг</v>
      </c>
      <c r="D379" s="22" t="str">
        <f>Source!H80</f>
        <v>т</v>
      </c>
      <c r="E379" s="9">
        <f>Source!I80</f>
        <v>7.1999999999999995E-2</v>
      </c>
      <c r="F379" s="24"/>
      <c r="G379" s="23"/>
      <c r="H379" s="9"/>
      <c r="I379" s="9"/>
      <c r="J379" s="25"/>
      <c r="K379" s="25"/>
      <c r="Q379">
        <f>ROUND((Source!BZ80/100)*ROUND((Source!AF80*Source!AV80)*Source!I80, 2), 2)</f>
        <v>2573.2800000000002</v>
      </c>
      <c r="R379">
        <f>Source!X80</f>
        <v>2573.2800000000002</v>
      </c>
      <c r="S379">
        <f>ROUND((Source!CA80/100)*ROUND((Source!AF80*Source!AV80)*Source!I80, 2), 2)</f>
        <v>367.61</v>
      </c>
      <c r="T379">
        <f>Source!Y80</f>
        <v>367.61</v>
      </c>
      <c r="U379">
        <f>ROUND((175/100)*ROUND((Source!AE80*Source!AV80)*Source!I80, 2), 2)</f>
        <v>0</v>
      </c>
      <c r="V379">
        <f>ROUND((108/100)*ROUND(Source!CS80*Source!I80, 2), 2)</f>
        <v>0</v>
      </c>
    </row>
    <row r="380" spans="1:22" ht="14.25" x14ac:dyDescent="0.2">
      <c r="A380" s="20"/>
      <c r="B380" s="21"/>
      <c r="C380" s="21" t="s">
        <v>276</v>
      </c>
      <c r="D380" s="22"/>
      <c r="E380" s="9"/>
      <c r="F380" s="24">
        <f>Source!AO80</f>
        <v>51057.17</v>
      </c>
      <c r="G380" s="23" t="str">
        <f>Source!DG80</f>
        <v/>
      </c>
      <c r="H380" s="9">
        <f>Source!AV80</f>
        <v>1</v>
      </c>
      <c r="I380" s="9">
        <f>IF(Source!BA80&lt;&gt; 0, Source!BA80, 1)</f>
        <v>1</v>
      </c>
      <c r="J380" s="25">
        <f>Source!S80</f>
        <v>3676.12</v>
      </c>
      <c r="K380" s="25"/>
    </row>
    <row r="381" spans="1:22" ht="14.25" x14ac:dyDescent="0.2">
      <c r="A381" s="20"/>
      <c r="B381" s="21"/>
      <c r="C381" s="21" t="s">
        <v>284</v>
      </c>
      <c r="D381" s="22"/>
      <c r="E381" s="9"/>
      <c r="F381" s="24">
        <f>Source!AL80</f>
        <v>53233.52</v>
      </c>
      <c r="G381" s="23" t="str">
        <f>Source!DD80</f>
        <v/>
      </c>
      <c r="H381" s="9">
        <f>Source!AW80</f>
        <v>1</v>
      </c>
      <c r="I381" s="9">
        <f>IF(Source!BC80&lt;&gt; 0, Source!BC80, 1)</f>
        <v>1</v>
      </c>
      <c r="J381" s="25">
        <f>Source!P80</f>
        <v>3832.81</v>
      </c>
      <c r="K381" s="25"/>
    </row>
    <row r="382" spans="1:22" ht="28.5" x14ac:dyDescent="0.2">
      <c r="A382" s="20" t="str">
        <f>Source!E81</f>
        <v>41,1</v>
      </c>
      <c r="B382" s="21" t="str">
        <f>Source!F81</f>
        <v>21.7-7-41</v>
      </c>
      <c r="C382" s="21" t="str">
        <f>Source!G81</f>
        <v>Деталь закладная дополнительная для монтажа малых форм</v>
      </c>
      <c r="D382" s="22" t="str">
        <f>Source!H81</f>
        <v>шт.</v>
      </c>
      <c r="E382" s="9">
        <f>Source!I81</f>
        <v>1</v>
      </c>
      <c r="F382" s="24">
        <f>Source!AK81</f>
        <v>210</v>
      </c>
      <c r="G382" s="32" t="s">
        <v>3</v>
      </c>
      <c r="H382" s="9">
        <f>Source!AW81</f>
        <v>1</v>
      </c>
      <c r="I382" s="9">
        <f>IF(Source!BC81&lt;&gt; 0, Source!BC81, 1)</f>
        <v>1</v>
      </c>
      <c r="J382" s="25">
        <f>Source!O81</f>
        <v>210</v>
      </c>
      <c r="K382" s="25"/>
      <c r="Q382">
        <f>ROUND((Source!BZ81/100)*ROUND((Source!AF81*Source!AV81)*Source!I81, 2), 2)</f>
        <v>0</v>
      </c>
      <c r="R382">
        <f>Source!X81</f>
        <v>0</v>
      </c>
      <c r="S382">
        <f>ROUND((Source!CA81/100)*ROUND((Source!AF81*Source!AV81)*Source!I81, 2), 2)</f>
        <v>0</v>
      </c>
      <c r="T382">
        <f>Source!Y81</f>
        <v>0</v>
      </c>
      <c r="U382">
        <f>ROUND((175/100)*ROUND((Source!AE81*Source!AV81)*Source!I81, 2), 2)</f>
        <v>0</v>
      </c>
      <c r="V382">
        <f>ROUND((108/100)*ROUND(Source!CS81*Source!I81, 2), 2)</f>
        <v>0</v>
      </c>
    </row>
    <row r="383" spans="1:22" ht="45.75" customHeight="1" x14ac:dyDescent="0.2">
      <c r="A383" s="20" t="str">
        <f>Source!E82</f>
        <v>41,2</v>
      </c>
      <c r="B383" s="21" t="str">
        <f>Source!F82</f>
        <v>21.3-4-24</v>
      </c>
      <c r="C383" s="21" t="str">
        <f>Source!G82</f>
        <v>Арматурные заготовки (стержни, хомуты и т.п.), не собранные в каркасы или сетки, закладные и накладные детали, со сваркой</v>
      </c>
      <c r="D383" s="22" t="str">
        <f>Source!H82</f>
        <v>т</v>
      </c>
      <c r="E383" s="9">
        <f>Source!I82</f>
        <v>-7.1999999999999995E-2</v>
      </c>
      <c r="F383" s="24">
        <f>Source!AK82</f>
        <v>53233.52</v>
      </c>
      <c r="G383" s="32" t="s">
        <v>3</v>
      </c>
      <c r="H383" s="9">
        <f>Source!AW82</f>
        <v>1</v>
      </c>
      <c r="I383" s="9">
        <f>IF(Source!BC82&lt;&gt; 0, Source!BC82, 1)</f>
        <v>1</v>
      </c>
      <c r="J383" s="25">
        <f>Source!O82</f>
        <v>-3832.81</v>
      </c>
      <c r="K383" s="25"/>
      <c r="Q383">
        <f>ROUND((Source!BZ82/100)*ROUND((Source!AF82*Source!AV82)*Source!I82, 2), 2)</f>
        <v>0</v>
      </c>
      <c r="R383">
        <f>Source!X82</f>
        <v>0</v>
      </c>
      <c r="S383">
        <f>ROUND((Source!CA82/100)*ROUND((Source!AF82*Source!AV82)*Source!I82, 2), 2)</f>
        <v>0</v>
      </c>
      <c r="T383">
        <f>Source!Y82</f>
        <v>0</v>
      </c>
      <c r="U383">
        <f>ROUND((175/100)*ROUND((Source!AE82*Source!AV82)*Source!I82, 2), 2)</f>
        <v>0</v>
      </c>
      <c r="V383">
        <f>ROUND((108/100)*ROUND(Source!CS82*Source!I82, 2), 2)</f>
        <v>0</v>
      </c>
    </row>
    <row r="384" spans="1:22" ht="14.25" x14ac:dyDescent="0.2">
      <c r="A384" s="20"/>
      <c r="B384" s="21"/>
      <c r="C384" s="21" t="s">
        <v>277</v>
      </c>
      <c r="D384" s="22" t="s">
        <v>278</v>
      </c>
      <c r="E384" s="9">
        <f>Source!AT80</f>
        <v>70</v>
      </c>
      <c r="F384" s="24"/>
      <c r="G384" s="23"/>
      <c r="H384" s="9"/>
      <c r="I384" s="9"/>
      <c r="J384" s="25">
        <f>SUM(R379:R383)</f>
        <v>2573.2800000000002</v>
      </c>
      <c r="K384" s="25"/>
    </row>
    <row r="385" spans="1:22" ht="14.25" x14ac:dyDescent="0.2">
      <c r="A385" s="20"/>
      <c r="B385" s="21"/>
      <c r="C385" s="21" t="s">
        <v>279</v>
      </c>
      <c r="D385" s="22" t="s">
        <v>278</v>
      </c>
      <c r="E385" s="9">
        <f>Source!AU80</f>
        <v>10</v>
      </c>
      <c r="F385" s="24"/>
      <c r="G385" s="23"/>
      <c r="H385" s="9"/>
      <c r="I385" s="9"/>
      <c r="J385" s="25">
        <f>SUM(T379:T384)</f>
        <v>367.61</v>
      </c>
      <c r="K385" s="25"/>
    </row>
    <row r="386" spans="1:22" ht="14.25" x14ac:dyDescent="0.2">
      <c r="A386" s="20"/>
      <c r="B386" s="21"/>
      <c r="C386" s="21" t="s">
        <v>280</v>
      </c>
      <c r="D386" s="22" t="s">
        <v>281</v>
      </c>
      <c r="E386" s="9">
        <f>Source!AQ80</f>
        <v>227.7</v>
      </c>
      <c r="F386" s="24"/>
      <c r="G386" s="23" t="str">
        <f>Source!DI80</f>
        <v/>
      </c>
      <c r="H386" s="9">
        <f>Source!AV80</f>
        <v>1</v>
      </c>
      <c r="I386" s="9"/>
      <c r="J386" s="25"/>
      <c r="K386" s="25">
        <f>Source!U80</f>
        <v>16.394399999999997</v>
      </c>
    </row>
    <row r="387" spans="1:22" ht="15" x14ac:dyDescent="0.25">
      <c r="A387" s="29"/>
      <c r="B387" s="29"/>
      <c r="C387" s="29"/>
      <c r="D387" s="29"/>
      <c r="E387" s="29"/>
      <c r="F387" s="29"/>
      <c r="G387" s="29"/>
      <c r="H387" s="29"/>
      <c r="I387" s="66">
        <f>J380+J381+J384+J385+SUM(J382:J383)</f>
        <v>6827.010000000002</v>
      </c>
      <c r="J387" s="66"/>
      <c r="K387" s="30">
        <f>IF(Source!I80&lt;&gt;0, ROUND(I387/Source!I80, 2), 0)</f>
        <v>94819.58</v>
      </c>
      <c r="P387" s="27">
        <f>I387</f>
        <v>6827.010000000002</v>
      </c>
    </row>
    <row r="388" spans="1:22" ht="57" customHeight="1" x14ac:dyDescent="0.2">
      <c r="A388" s="20" t="str">
        <f>Source!E83</f>
        <v>42</v>
      </c>
      <c r="B388" s="21" t="str">
        <f>Source!F83</f>
        <v>Цена поставщика</v>
      </c>
      <c r="C388" s="21" t="s">
        <v>349</v>
      </c>
      <c r="D388" s="22" t="str">
        <f>Source!H83</f>
        <v>шт.</v>
      </c>
      <c r="E388" s="9">
        <f>Source!I83</f>
        <v>1</v>
      </c>
      <c r="F388" s="24">
        <f>Source!AL83</f>
        <v>60714.37</v>
      </c>
      <c r="G388" s="23" t="str">
        <f>Source!DD83</f>
        <v/>
      </c>
      <c r="H388" s="9">
        <f>Source!AW83</f>
        <v>1</v>
      </c>
      <c r="I388" s="9">
        <f>IF(Source!BC83&lt;&gt; 0, Source!BC83, 1)</f>
        <v>1</v>
      </c>
      <c r="J388" s="25">
        <f>Source!P83</f>
        <v>60714.37</v>
      </c>
      <c r="K388" s="25"/>
      <c r="Q388">
        <f>ROUND((Source!BZ83/100)*ROUND((Source!AF83*Source!AV83)*Source!I83, 2), 2)</f>
        <v>0</v>
      </c>
      <c r="R388">
        <f>Source!X83</f>
        <v>0</v>
      </c>
      <c r="S388">
        <f>ROUND((Source!CA83/100)*ROUND((Source!AF83*Source!AV83)*Source!I83, 2), 2)</f>
        <v>0</v>
      </c>
      <c r="T388">
        <f>Source!Y83</f>
        <v>0</v>
      </c>
      <c r="U388">
        <f>ROUND((175/100)*ROUND((Source!AE83*Source!AV83)*Source!I83, 2), 2)</f>
        <v>0</v>
      </c>
      <c r="V388">
        <f>ROUND((108/100)*ROUND(Source!CS83*Source!I83, 2), 2)</f>
        <v>0</v>
      </c>
    </row>
    <row r="389" spans="1:22" ht="15" x14ac:dyDescent="0.25">
      <c r="A389" s="29"/>
      <c r="B389" s="29"/>
      <c r="C389" s="29"/>
      <c r="D389" s="29"/>
      <c r="E389" s="29"/>
      <c r="F389" s="29"/>
      <c r="G389" s="29"/>
      <c r="H389" s="29"/>
      <c r="I389" s="66">
        <f>J388</f>
        <v>60714.37</v>
      </c>
      <c r="J389" s="66"/>
      <c r="K389" s="30">
        <f>IF(Source!I83&lt;&gt;0, ROUND(I389/Source!I83, 2), 0)</f>
        <v>60714.37</v>
      </c>
      <c r="P389" s="27">
        <f>I389</f>
        <v>60714.37</v>
      </c>
    </row>
    <row r="390" spans="1:22" ht="30" customHeight="1" x14ac:dyDescent="0.2">
      <c r="A390" s="20" t="str">
        <f>Source!E84</f>
        <v>43</v>
      </c>
      <c r="B390" s="21" t="str">
        <f>Source!F84</f>
        <v>1.1-3303-2-1/1</v>
      </c>
      <c r="C390" s="21" t="str">
        <f>Source!G84</f>
        <v>Разработка грунта вручную в траншеях глубиной до 2 м без креплений с откосами группа грунтов 1-3</v>
      </c>
      <c r="D390" s="22" t="str">
        <f>Source!H84</f>
        <v>100 м3</v>
      </c>
      <c r="E390" s="9">
        <f>Source!I84</f>
        <v>4.8999999999999998E-3</v>
      </c>
      <c r="F390" s="24"/>
      <c r="G390" s="23"/>
      <c r="H390" s="9"/>
      <c r="I390" s="9"/>
      <c r="J390" s="25"/>
      <c r="K390" s="25"/>
      <c r="Q390">
        <f>ROUND((Source!BZ84/100)*ROUND((Source!AF84*Source!AV84)*Source!I84, 2), 2)</f>
        <v>143.88999999999999</v>
      </c>
      <c r="R390">
        <f>Source!X84</f>
        <v>143.88999999999999</v>
      </c>
      <c r="S390">
        <f>ROUND((Source!CA84/100)*ROUND((Source!AF84*Source!AV84)*Source!I84, 2), 2)</f>
        <v>20.56</v>
      </c>
      <c r="T390">
        <f>Source!Y84</f>
        <v>20.56</v>
      </c>
      <c r="U390">
        <f>ROUND((175/100)*ROUND((Source!AE84*Source!AV84)*Source!I84, 2), 2)</f>
        <v>0</v>
      </c>
      <c r="V390">
        <f>ROUND((108/100)*ROUND(Source!CS84*Source!I84, 2), 2)</f>
        <v>0</v>
      </c>
    </row>
    <row r="391" spans="1:22" x14ac:dyDescent="0.2">
      <c r="C391" s="26" t="str">
        <f>"Объем: "&amp;Source!I84&amp;"=0,7*"&amp;"0,7*"&amp;"1/"&amp;"100"</f>
        <v>Объем: 0,0049=0,7*0,7*1/100</v>
      </c>
    </row>
    <row r="392" spans="1:22" ht="14.25" x14ac:dyDescent="0.2">
      <c r="A392" s="20"/>
      <c r="B392" s="21"/>
      <c r="C392" s="21" t="s">
        <v>276</v>
      </c>
      <c r="D392" s="22"/>
      <c r="E392" s="9"/>
      <c r="F392" s="24">
        <f>Source!AO84</f>
        <v>41951.1</v>
      </c>
      <c r="G392" s="23" t="str">
        <f>Source!DG84</f>
        <v/>
      </c>
      <c r="H392" s="9">
        <f>Source!AV84</f>
        <v>1</v>
      </c>
      <c r="I392" s="9">
        <f>IF(Source!BA84&lt;&gt; 0, Source!BA84, 1)</f>
        <v>1</v>
      </c>
      <c r="J392" s="25">
        <f>Source!S84</f>
        <v>205.56</v>
      </c>
      <c r="K392" s="25"/>
    </row>
    <row r="393" spans="1:22" ht="14.25" x14ac:dyDescent="0.2">
      <c r="A393" s="20"/>
      <c r="B393" s="21"/>
      <c r="C393" s="21" t="s">
        <v>277</v>
      </c>
      <c r="D393" s="22" t="s">
        <v>278</v>
      </c>
      <c r="E393" s="9">
        <f>Source!AT84</f>
        <v>70</v>
      </c>
      <c r="F393" s="24"/>
      <c r="G393" s="23"/>
      <c r="H393" s="9"/>
      <c r="I393" s="9"/>
      <c r="J393" s="25">
        <f>SUM(R390:R392)</f>
        <v>143.88999999999999</v>
      </c>
      <c r="K393" s="25"/>
    </row>
    <row r="394" spans="1:22" ht="14.25" x14ac:dyDescent="0.2">
      <c r="A394" s="20"/>
      <c r="B394" s="21"/>
      <c r="C394" s="21" t="s">
        <v>279</v>
      </c>
      <c r="D394" s="22" t="s">
        <v>278</v>
      </c>
      <c r="E394" s="9">
        <f>Source!AU84</f>
        <v>10</v>
      </c>
      <c r="F394" s="24"/>
      <c r="G394" s="23"/>
      <c r="H394" s="9"/>
      <c r="I394" s="9"/>
      <c r="J394" s="25">
        <f>SUM(T390:T393)</f>
        <v>20.56</v>
      </c>
      <c r="K394" s="25"/>
    </row>
    <row r="395" spans="1:22" ht="14.25" x14ac:dyDescent="0.2">
      <c r="A395" s="20"/>
      <c r="B395" s="21"/>
      <c r="C395" s="21" t="s">
        <v>280</v>
      </c>
      <c r="D395" s="22" t="s">
        <v>281</v>
      </c>
      <c r="E395" s="9">
        <f>Source!AQ84</f>
        <v>221.6</v>
      </c>
      <c r="F395" s="24"/>
      <c r="G395" s="23" t="str">
        <f>Source!DI84</f>
        <v/>
      </c>
      <c r="H395" s="9">
        <f>Source!AV84</f>
        <v>1</v>
      </c>
      <c r="I395" s="9"/>
      <c r="J395" s="25"/>
      <c r="K395" s="25">
        <f>Source!U84</f>
        <v>1.0858399999999999</v>
      </c>
    </row>
    <row r="396" spans="1:22" ht="15" x14ac:dyDescent="0.25">
      <c r="A396" s="29"/>
      <c r="B396" s="29"/>
      <c r="C396" s="29"/>
      <c r="D396" s="29"/>
      <c r="E396" s="29"/>
      <c r="F396" s="29"/>
      <c r="G396" s="29"/>
      <c r="H396" s="29"/>
      <c r="I396" s="66">
        <f>J392+J393+J394</f>
        <v>370.01</v>
      </c>
      <c r="J396" s="66"/>
      <c r="K396" s="30">
        <f>IF(Source!I84&lt;&gt;0, ROUND(I396/Source!I84, 2), 0)</f>
        <v>75512.240000000005</v>
      </c>
      <c r="P396" s="27">
        <f>I396</f>
        <v>370.01</v>
      </c>
    </row>
    <row r="397" spans="1:22" ht="28.5" x14ac:dyDescent="0.2">
      <c r="A397" s="20" t="str">
        <f>Source!E85</f>
        <v>44</v>
      </c>
      <c r="B397" s="21" t="str">
        <f>Source!F85</f>
        <v>1.2-3103-29-1/1</v>
      </c>
      <c r="C397" s="21" t="str">
        <f>Source!G85</f>
        <v>Устройство песчаного основания под фундаменты</v>
      </c>
      <c r="D397" s="22" t="str">
        <f>Source!H85</f>
        <v>м3</v>
      </c>
      <c r="E397" s="9">
        <f>Source!I85</f>
        <v>4.9000000000000002E-2</v>
      </c>
      <c r="F397" s="24"/>
      <c r="G397" s="23"/>
      <c r="H397" s="9"/>
      <c r="I397" s="9"/>
      <c r="J397" s="25"/>
      <c r="K397" s="25"/>
      <c r="Q397">
        <f>ROUND((Source!BZ85/100)*ROUND((Source!AF85*Source!AV85)*Source!I85, 2), 2)</f>
        <v>5.71</v>
      </c>
      <c r="R397">
        <f>Source!X85</f>
        <v>5.71</v>
      </c>
      <c r="S397">
        <f>ROUND((Source!CA85/100)*ROUND((Source!AF85*Source!AV85)*Source!I85, 2), 2)</f>
        <v>0.82</v>
      </c>
      <c r="T397">
        <f>Source!Y85</f>
        <v>0.82</v>
      </c>
      <c r="U397">
        <f>ROUND((175/100)*ROUND((Source!AE85*Source!AV85)*Source!I85, 2), 2)</f>
        <v>10.64</v>
      </c>
      <c r="V397">
        <f>ROUND((108/100)*ROUND(Source!CS85*Source!I85, 2), 2)</f>
        <v>6.57</v>
      </c>
    </row>
    <row r="398" spans="1:22" x14ac:dyDescent="0.2">
      <c r="C398" s="26" t="str">
        <f>"Объем: "&amp;Source!I85&amp;"=0,7*"&amp;"0,7*"&amp;"0,1"</f>
        <v>Объем: 0,049=0,7*0,7*0,1</v>
      </c>
    </row>
    <row r="399" spans="1:22" ht="14.25" x14ac:dyDescent="0.2">
      <c r="A399" s="20"/>
      <c r="B399" s="21"/>
      <c r="C399" s="21" t="s">
        <v>276</v>
      </c>
      <c r="D399" s="22"/>
      <c r="E399" s="9"/>
      <c r="F399" s="24">
        <f>Source!AO85</f>
        <v>166.52</v>
      </c>
      <c r="G399" s="23" t="str">
        <f>Source!DG85</f>
        <v/>
      </c>
      <c r="H399" s="9">
        <f>Source!AV85</f>
        <v>1</v>
      </c>
      <c r="I399" s="9">
        <f>IF(Source!BA85&lt;&gt; 0, Source!BA85, 1)</f>
        <v>1</v>
      </c>
      <c r="J399" s="25">
        <f>Source!S85</f>
        <v>8.16</v>
      </c>
      <c r="K399" s="25"/>
    </row>
    <row r="400" spans="1:22" ht="14.25" x14ac:dyDescent="0.2">
      <c r="A400" s="20"/>
      <c r="B400" s="21"/>
      <c r="C400" s="21" t="s">
        <v>282</v>
      </c>
      <c r="D400" s="22"/>
      <c r="E400" s="9"/>
      <c r="F400" s="24">
        <f>Source!AM85</f>
        <v>210.68</v>
      </c>
      <c r="G400" s="23" t="str">
        <f>Source!DE85</f>
        <v/>
      </c>
      <c r="H400" s="9">
        <f>Source!AV85</f>
        <v>1</v>
      </c>
      <c r="I400" s="9">
        <f>IF(Source!BB85&lt;&gt; 0, Source!BB85, 1)</f>
        <v>1</v>
      </c>
      <c r="J400" s="25">
        <f>Source!Q85</f>
        <v>10.32</v>
      </c>
      <c r="K400" s="25"/>
    </row>
    <row r="401" spans="1:22" ht="14.25" x14ac:dyDescent="0.2">
      <c r="A401" s="20"/>
      <c r="B401" s="21"/>
      <c r="C401" s="21" t="s">
        <v>283</v>
      </c>
      <c r="D401" s="22"/>
      <c r="E401" s="9"/>
      <c r="F401" s="24">
        <f>Source!AN85</f>
        <v>124.16</v>
      </c>
      <c r="G401" s="23" t="str">
        <f>Source!DF85</f>
        <v/>
      </c>
      <c r="H401" s="9">
        <f>Source!AV85</f>
        <v>1</v>
      </c>
      <c r="I401" s="9">
        <f>IF(Source!BS85&lt;&gt; 0, Source!BS85, 1)</f>
        <v>1</v>
      </c>
      <c r="J401" s="31">
        <f>Source!R85</f>
        <v>6.08</v>
      </c>
      <c r="K401" s="25"/>
    </row>
    <row r="402" spans="1:22" ht="14.25" x14ac:dyDescent="0.2">
      <c r="A402" s="20"/>
      <c r="B402" s="21"/>
      <c r="C402" s="21" t="s">
        <v>284</v>
      </c>
      <c r="D402" s="22"/>
      <c r="E402" s="9"/>
      <c r="F402" s="24">
        <f>Source!AL85</f>
        <v>655.15</v>
      </c>
      <c r="G402" s="23" t="str">
        <f>Source!DD85</f>
        <v/>
      </c>
      <c r="H402" s="9">
        <f>Source!AW85</f>
        <v>1</v>
      </c>
      <c r="I402" s="9">
        <f>IF(Source!BC85&lt;&gt; 0, Source!BC85, 1)</f>
        <v>1</v>
      </c>
      <c r="J402" s="25">
        <f>Source!P85</f>
        <v>32.1</v>
      </c>
      <c r="K402" s="25"/>
    </row>
    <row r="403" spans="1:22" ht="14.25" x14ac:dyDescent="0.2">
      <c r="A403" s="20"/>
      <c r="B403" s="21"/>
      <c r="C403" s="21" t="s">
        <v>277</v>
      </c>
      <c r="D403" s="22" t="s">
        <v>278</v>
      </c>
      <c r="E403" s="9">
        <f>Source!AT85</f>
        <v>70</v>
      </c>
      <c r="F403" s="24"/>
      <c r="G403" s="23"/>
      <c r="H403" s="9"/>
      <c r="I403" s="9"/>
      <c r="J403" s="25">
        <f>SUM(R397:R402)</f>
        <v>5.71</v>
      </c>
      <c r="K403" s="25"/>
    </row>
    <row r="404" spans="1:22" ht="14.25" x14ac:dyDescent="0.2">
      <c r="A404" s="20"/>
      <c r="B404" s="21"/>
      <c r="C404" s="21" t="s">
        <v>279</v>
      </c>
      <c r="D404" s="22" t="s">
        <v>278</v>
      </c>
      <c r="E404" s="9">
        <f>Source!AU85</f>
        <v>10</v>
      </c>
      <c r="F404" s="24"/>
      <c r="G404" s="23"/>
      <c r="H404" s="9"/>
      <c r="I404" s="9"/>
      <c r="J404" s="25">
        <f>SUM(T397:T403)</f>
        <v>0.82</v>
      </c>
      <c r="K404" s="25"/>
    </row>
    <row r="405" spans="1:22" ht="14.25" x14ac:dyDescent="0.2">
      <c r="A405" s="20"/>
      <c r="B405" s="21"/>
      <c r="C405" s="21" t="s">
        <v>285</v>
      </c>
      <c r="D405" s="22" t="s">
        <v>278</v>
      </c>
      <c r="E405" s="9">
        <f>108</f>
        <v>108</v>
      </c>
      <c r="F405" s="24"/>
      <c r="G405" s="23"/>
      <c r="H405" s="9"/>
      <c r="I405" s="9"/>
      <c r="J405" s="25">
        <f>SUM(V397:V404)</f>
        <v>6.57</v>
      </c>
      <c r="K405" s="25"/>
    </row>
    <row r="406" spans="1:22" ht="14.25" x14ac:dyDescent="0.2">
      <c r="A406" s="20"/>
      <c r="B406" s="21"/>
      <c r="C406" s="21" t="s">
        <v>280</v>
      </c>
      <c r="D406" s="22" t="s">
        <v>281</v>
      </c>
      <c r="E406" s="9">
        <f>Source!AQ85</f>
        <v>0.9</v>
      </c>
      <c r="F406" s="24"/>
      <c r="G406" s="23" t="str">
        <f>Source!DI85</f>
        <v/>
      </c>
      <c r="H406" s="9">
        <f>Source!AV85</f>
        <v>1</v>
      </c>
      <c r="I406" s="9"/>
      <c r="J406" s="25"/>
      <c r="K406" s="25">
        <f>Source!U85</f>
        <v>4.41E-2</v>
      </c>
    </row>
    <row r="407" spans="1:22" ht="15" x14ac:dyDescent="0.25">
      <c r="A407" s="29"/>
      <c r="B407" s="29"/>
      <c r="C407" s="29"/>
      <c r="D407" s="29"/>
      <c r="E407" s="29"/>
      <c r="F407" s="29"/>
      <c r="G407" s="29"/>
      <c r="H407" s="29"/>
      <c r="I407" s="66">
        <f>J399+J400+J402+J403+J404+J405</f>
        <v>63.68</v>
      </c>
      <c r="J407" s="66"/>
      <c r="K407" s="30">
        <f>IF(Source!I85&lt;&gt;0, ROUND(I407/Source!I85, 2), 0)</f>
        <v>1299.5899999999999</v>
      </c>
      <c r="P407" s="27">
        <f>I407</f>
        <v>63.68</v>
      </c>
    </row>
    <row r="408" spans="1:22" ht="28.5" x14ac:dyDescent="0.2">
      <c r="A408" s="20" t="str">
        <f>Source!E86</f>
        <v>45</v>
      </c>
      <c r="B408" s="21" t="str">
        <f>Source!F86</f>
        <v>1.2-3103-29-2/1</v>
      </c>
      <c r="C408" s="21" t="str">
        <f>Source!G86</f>
        <v>Устройство щебеночного основания под фундаменты</v>
      </c>
      <c r="D408" s="22" t="str">
        <f>Source!H86</f>
        <v>м3</v>
      </c>
      <c r="E408" s="9">
        <f>Source!I86</f>
        <v>9.8000000000000004E-2</v>
      </c>
      <c r="F408" s="24"/>
      <c r="G408" s="23"/>
      <c r="H408" s="9"/>
      <c r="I408" s="9"/>
      <c r="J408" s="25"/>
      <c r="K408" s="25"/>
      <c r="Q408">
        <f>ROUND((Source!BZ86/100)*ROUND((Source!AF86*Source!AV86)*Source!I86, 2), 2)</f>
        <v>12.44</v>
      </c>
      <c r="R408">
        <f>Source!X86</f>
        <v>12.44</v>
      </c>
      <c r="S408">
        <f>ROUND((Source!CA86/100)*ROUND((Source!AF86*Source!AV86)*Source!I86, 2), 2)</f>
        <v>1.78</v>
      </c>
      <c r="T408">
        <f>Source!Y86</f>
        <v>1.78</v>
      </c>
      <c r="U408">
        <f>ROUND((175/100)*ROUND((Source!AE86*Source!AV86)*Source!I86, 2), 2)</f>
        <v>23.17</v>
      </c>
      <c r="V408">
        <f>ROUND((108/100)*ROUND(Source!CS86*Source!I86, 2), 2)</f>
        <v>14.3</v>
      </c>
    </row>
    <row r="409" spans="1:22" x14ac:dyDescent="0.2">
      <c r="C409" s="26" t="str">
        <f>"Объем: "&amp;Source!I86&amp;"=0,7*"&amp;"0,7*"&amp;"0,2"</f>
        <v>Объем: 0,098=0,7*0,7*0,2</v>
      </c>
    </row>
    <row r="410" spans="1:22" ht="14.25" x14ac:dyDescent="0.2">
      <c r="A410" s="20"/>
      <c r="B410" s="21"/>
      <c r="C410" s="21" t="s">
        <v>276</v>
      </c>
      <c r="D410" s="22"/>
      <c r="E410" s="9"/>
      <c r="F410" s="24">
        <f>Source!AO86</f>
        <v>181.32</v>
      </c>
      <c r="G410" s="23" t="str">
        <f>Source!DG86</f>
        <v/>
      </c>
      <c r="H410" s="9">
        <f>Source!AV86</f>
        <v>1</v>
      </c>
      <c r="I410" s="9">
        <f>IF(Source!BA86&lt;&gt; 0, Source!BA86, 1)</f>
        <v>1</v>
      </c>
      <c r="J410" s="25">
        <f>Source!S86</f>
        <v>17.77</v>
      </c>
      <c r="K410" s="25"/>
    </row>
    <row r="411" spans="1:22" ht="14.25" x14ac:dyDescent="0.2">
      <c r="A411" s="20"/>
      <c r="B411" s="21"/>
      <c r="C411" s="21" t="s">
        <v>282</v>
      </c>
      <c r="D411" s="22"/>
      <c r="E411" s="9"/>
      <c r="F411" s="24">
        <f>Source!AM86</f>
        <v>224.99</v>
      </c>
      <c r="G411" s="23" t="str">
        <f>Source!DE86</f>
        <v/>
      </c>
      <c r="H411" s="9">
        <f>Source!AV86</f>
        <v>1</v>
      </c>
      <c r="I411" s="9">
        <f>IF(Source!BB86&lt;&gt; 0, Source!BB86, 1)</f>
        <v>1</v>
      </c>
      <c r="J411" s="25">
        <f>Source!Q86</f>
        <v>22.05</v>
      </c>
      <c r="K411" s="25"/>
    </row>
    <row r="412" spans="1:22" ht="14.25" x14ac:dyDescent="0.2">
      <c r="A412" s="20"/>
      <c r="B412" s="21"/>
      <c r="C412" s="21" t="s">
        <v>283</v>
      </c>
      <c r="D412" s="22"/>
      <c r="E412" s="9"/>
      <c r="F412" s="24">
        <f>Source!AN86</f>
        <v>135.08000000000001</v>
      </c>
      <c r="G412" s="23" t="str">
        <f>Source!DF86</f>
        <v/>
      </c>
      <c r="H412" s="9">
        <f>Source!AV86</f>
        <v>1</v>
      </c>
      <c r="I412" s="9">
        <f>IF(Source!BS86&lt;&gt; 0, Source!BS86, 1)</f>
        <v>1</v>
      </c>
      <c r="J412" s="31">
        <f>Source!R86</f>
        <v>13.24</v>
      </c>
      <c r="K412" s="25"/>
    </row>
    <row r="413" spans="1:22" ht="14.25" x14ac:dyDescent="0.2">
      <c r="A413" s="20"/>
      <c r="B413" s="21"/>
      <c r="C413" s="21" t="s">
        <v>284</v>
      </c>
      <c r="D413" s="22"/>
      <c r="E413" s="9"/>
      <c r="F413" s="24">
        <f>Source!AL86</f>
        <v>1657.26</v>
      </c>
      <c r="G413" s="23" t="str">
        <f>Source!DD86</f>
        <v/>
      </c>
      <c r="H413" s="9">
        <f>Source!AW86</f>
        <v>1</v>
      </c>
      <c r="I413" s="9">
        <f>IF(Source!BC86&lt;&gt; 0, Source!BC86, 1)</f>
        <v>1</v>
      </c>
      <c r="J413" s="25">
        <f>Source!P86</f>
        <v>162.41</v>
      </c>
      <c r="K413" s="25"/>
    </row>
    <row r="414" spans="1:22" ht="14.25" x14ac:dyDescent="0.2">
      <c r="A414" s="20"/>
      <c r="B414" s="21"/>
      <c r="C414" s="21" t="s">
        <v>277</v>
      </c>
      <c r="D414" s="22" t="s">
        <v>278</v>
      </c>
      <c r="E414" s="9">
        <f>Source!AT86</f>
        <v>70</v>
      </c>
      <c r="F414" s="24"/>
      <c r="G414" s="23"/>
      <c r="H414" s="9"/>
      <c r="I414" s="9"/>
      <c r="J414" s="25">
        <f>SUM(R408:R413)</f>
        <v>12.44</v>
      </c>
      <c r="K414" s="25"/>
    </row>
    <row r="415" spans="1:22" ht="14.25" x14ac:dyDescent="0.2">
      <c r="A415" s="20"/>
      <c r="B415" s="21"/>
      <c r="C415" s="21" t="s">
        <v>279</v>
      </c>
      <c r="D415" s="22" t="s">
        <v>278</v>
      </c>
      <c r="E415" s="9">
        <f>Source!AU86</f>
        <v>10</v>
      </c>
      <c r="F415" s="24"/>
      <c r="G415" s="23"/>
      <c r="H415" s="9"/>
      <c r="I415" s="9"/>
      <c r="J415" s="25">
        <f>SUM(T408:T414)</f>
        <v>1.78</v>
      </c>
      <c r="K415" s="25"/>
    </row>
    <row r="416" spans="1:22" ht="14.25" x14ac:dyDescent="0.2">
      <c r="A416" s="20"/>
      <c r="B416" s="21"/>
      <c r="C416" s="21" t="s">
        <v>285</v>
      </c>
      <c r="D416" s="22" t="s">
        <v>278</v>
      </c>
      <c r="E416" s="9">
        <f>108</f>
        <v>108</v>
      </c>
      <c r="F416" s="24"/>
      <c r="G416" s="23"/>
      <c r="H416" s="9"/>
      <c r="I416" s="9"/>
      <c r="J416" s="25">
        <f>SUM(V408:V415)</f>
        <v>14.3</v>
      </c>
      <c r="K416" s="25"/>
    </row>
    <row r="417" spans="1:22" ht="14.25" x14ac:dyDescent="0.2">
      <c r="A417" s="20"/>
      <c r="B417" s="21"/>
      <c r="C417" s="21" t="s">
        <v>280</v>
      </c>
      <c r="D417" s="22" t="s">
        <v>281</v>
      </c>
      <c r="E417" s="9">
        <f>Source!AQ86</f>
        <v>0.98</v>
      </c>
      <c r="F417" s="24"/>
      <c r="G417" s="23" t="str">
        <f>Source!DI86</f>
        <v/>
      </c>
      <c r="H417" s="9">
        <f>Source!AV86</f>
        <v>1</v>
      </c>
      <c r="I417" s="9"/>
      <c r="J417" s="25"/>
      <c r="K417" s="25">
        <f>Source!U86</f>
        <v>9.604E-2</v>
      </c>
    </row>
    <row r="418" spans="1:22" ht="15" x14ac:dyDescent="0.25">
      <c r="A418" s="29"/>
      <c r="B418" s="29"/>
      <c r="C418" s="29"/>
      <c r="D418" s="29"/>
      <c r="E418" s="29"/>
      <c r="F418" s="29"/>
      <c r="G418" s="29"/>
      <c r="H418" s="29"/>
      <c r="I418" s="66">
        <f>J410+J411+J413+J414+J415+J416</f>
        <v>230.75</v>
      </c>
      <c r="J418" s="66"/>
      <c r="K418" s="30">
        <f>IF(Source!I86&lt;&gt;0, ROUND(I418/Source!I86, 2), 0)</f>
        <v>2354.59</v>
      </c>
      <c r="P418" s="27">
        <f>I418</f>
        <v>230.75</v>
      </c>
    </row>
    <row r="419" spans="1:22" ht="28.5" x14ac:dyDescent="0.2">
      <c r="A419" s="20" t="str">
        <f>Source!E87</f>
        <v>46</v>
      </c>
      <c r="B419" s="21" t="str">
        <f>Source!F87</f>
        <v>1.2-3103-2-13/1</v>
      </c>
      <c r="C419" s="21" t="str">
        <f>Source!G87</f>
        <v>Устройство фундаментов-столбов бетонных</v>
      </c>
      <c r="D419" s="22" t="str">
        <f>Source!H87</f>
        <v>100 м3</v>
      </c>
      <c r="E419" s="9">
        <f>Source!I87</f>
        <v>3.4299999999999999E-3</v>
      </c>
      <c r="F419" s="24"/>
      <c r="G419" s="23"/>
      <c r="H419" s="9"/>
      <c r="I419" s="9"/>
      <c r="J419" s="25"/>
      <c r="K419" s="25"/>
      <c r="Q419">
        <f>ROUND((Source!BZ87/100)*ROUND((Source!AF87*Source!AV87)*Source!I87, 2), 2)</f>
        <v>273.52</v>
      </c>
      <c r="R419">
        <f>Source!X87</f>
        <v>273.52</v>
      </c>
      <c r="S419">
        <f>ROUND((Source!CA87/100)*ROUND((Source!AF87*Source!AV87)*Source!I87, 2), 2)</f>
        <v>39.07</v>
      </c>
      <c r="T419">
        <f>Source!Y87</f>
        <v>39.07</v>
      </c>
      <c r="U419">
        <f>ROUND((175/100)*ROUND((Source!AE87*Source!AV87)*Source!I87, 2), 2)</f>
        <v>1.24</v>
      </c>
      <c r="V419">
        <f>ROUND((108/100)*ROUND(Source!CS87*Source!I87, 2), 2)</f>
        <v>0.77</v>
      </c>
    </row>
    <row r="420" spans="1:22" x14ac:dyDescent="0.2">
      <c r="C420" s="26" t="str">
        <f>"Объем: "&amp;Source!I87&amp;"=(0,7*"&amp;"0,7*"&amp;"0,7*"&amp;"1)/"&amp;"100"</f>
        <v>Объем: 0,00343=(0,7*0,7*0,7*1)/100</v>
      </c>
    </row>
    <row r="421" spans="1:22" ht="14.25" x14ac:dyDescent="0.2">
      <c r="A421" s="20"/>
      <c r="B421" s="21"/>
      <c r="C421" s="21" t="s">
        <v>276</v>
      </c>
      <c r="D421" s="22"/>
      <c r="E421" s="9"/>
      <c r="F421" s="24">
        <f>Source!AO87</f>
        <v>113917.16</v>
      </c>
      <c r="G421" s="23" t="str">
        <f>Source!DG87</f>
        <v/>
      </c>
      <c r="H421" s="9">
        <f>Source!AV87</f>
        <v>1</v>
      </c>
      <c r="I421" s="9">
        <f>IF(Source!BA87&lt;&gt; 0, Source!BA87, 1)</f>
        <v>1</v>
      </c>
      <c r="J421" s="25">
        <f>Source!S87</f>
        <v>390.74</v>
      </c>
      <c r="K421" s="25"/>
    </row>
    <row r="422" spans="1:22" ht="14.25" x14ac:dyDescent="0.2">
      <c r="A422" s="20"/>
      <c r="B422" s="21"/>
      <c r="C422" s="21" t="s">
        <v>282</v>
      </c>
      <c r="D422" s="22"/>
      <c r="E422" s="9"/>
      <c r="F422" s="24">
        <f>Source!AM87</f>
        <v>547.28</v>
      </c>
      <c r="G422" s="23" t="str">
        <f>Source!DE87</f>
        <v/>
      </c>
      <c r="H422" s="9">
        <f>Source!AV87</f>
        <v>1</v>
      </c>
      <c r="I422" s="9">
        <f>IF(Source!BB87&lt;&gt; 0, Source!BB87, 1)</f>
        <v>1</v>
      </c>
      <c r="J422" s="25">
        <f>Source!Q87</f>
        <v>1.88</v>
      </c>
      <c r="K422" s="25"/>
    </row>
    <row r="423" spans="1:22" ht="14.25" x14ac:dyDescent="0.2">
      <c r="A423" s="20"/>
      <c r="B423" s="21"/>
      <c r="C423" s="21" t="s">
        <v>283</v>
      </c>
      <c r="D423" s="22"/>
      <c r="E423" s="9"/>
      <c r="F423" s="24">
        <f>Source!AN87</f>
        <v>206.05</v>
      </c>
      <c r="G423" s="23" t="str">
        <f>Source!DF87</f>
        <v/>
      </c>
      <c r="H423" s="9">
        <f>Source!AV87</f>
        <v>1</v>
      </c>
      <c r="I423" s="9">
        <f>IF(Source!BS87&lt;&gt; 0, Source!BS87, 1)</f>
        <v>1</v>
      </c>
      <c r="J423" s="31">
        <f>Source!R87</f>
        <v>0.71</v>
      </c>
      <c r="K423" s="25"/>
    </row>
    <row r="424" spans="1:22" ht="14.25" x14ac:dyDescent="0.2">
      <c r="A424" s="20"/>
      <c r="B424" s="21"/>
      <c r="C424" s="21" t="s">
        <v>284</v>
      </c>
      <c r="D424" s="22"/>
      <c r="E424" s="9"/>
      <c r="F424" s="24">
        <f>Source!AL87</f>
        <v>363129.4</v>
      </c>
      <c r="G424" s="23" t="str">
        <f>Source!DD87</f>
        <v/>
      </c>
      <c r="H424" s="9">
        <f>Source!AW87</f>
        <v>1</v>
      </c>
      <c r="I424" s="9">
        <f>IF(Source!BC87&lt;&gt; 0, Source!BC87, 1)</f>
        <v>1</v>
      </c>
      <c r="J424" s="25">
        <f>Source!P87</f>
        <v>1245.53</v>
      </c>
      <c r="K424" s="25"/>
    </row>
    <row r="425" spans="1:22" ht="14.25" x14ac:dyDescent="0.2">
      <c r="A425" s="20"/>
      <c r="B425" s="21"/>
      <c r="C425" s="21" t="s">
        <v>277</v>
      </c>
      <c r="D425" s="22" t="s">
        <v>278</v>
      </c>
      <c r="E425" s="9">
        <f>Source!AT87</f>
        <v>70</v>
      </c>
      <c r="F425" s="24"/>
      <c r="G425" s="23"/>
      <c r="H425" s="9"/>
      <c r="I425" s="9"/>
      <c r="J425" s="25">
        <f>SUM(R419:R424)</f>
        <v>273.52</v>
      </c>
      <c r="K425" s="25"/>
    </row>
    <row r="426" spans="1:22" ht="14.25" x14ac:dyDescent="0.2">
      <c r="A426" s="20"/>
      <c r="B426" s="21"/>
      <c r="C426" s="21" t="s">
        <v>279</v>
      </c>
      <c r="D426" s="22" t="s">
        <v>278</v>
      </c>
      <c r="E426" s="9">
        <f>Source!AU87</f>
        <v>10</v>
      </c>
      <c r="F426" s="24"/>
      <c r="G426" s="23"/>
      <c r="H426" s="9"/>
      <c r="I426" s="9"/>
      <c r="J426" s="25">
        <f>SUM(T419:T425)</f>
        <v>39.07</v>
      </c>
      <c r="K426" s="25"/>
    </row>
    <row r="427" spans="1:22" ht="14.25" x14ac:dyDescent="0.2">
      <c r="A427" s="20"/>
      <c r="B427" s="21"/>
      <c r="C427" s="21" t="s">
        <v>285</v>
      </c>
      <c r="D427" s="22" t="s">
        <v>278</v>
      </c>
      <c r="E427" s="9">
        <f>108</f>
        <v>108</v>
      </c>
      <c r="F427" s="24"/>
      <c r="G427" s="23"/>
      <c r="H427" s="9"/>
      <c r="I427" s="9"/>
      <c r="J427" s="25">
        <f>SUM(V419:V426)</f>
        <v>0.77</v>
      </c>
      <c r="K427" s="25"/>
    </row>
    <row r="428" spans="1:22" ht="14.25" x14ac:dyDescent="0.2">
      <c r="A428" s="20"/>
      <c r="B428" s="21"/>
      <c r="C428" s="21" t="s">
        <v>280</v>
      </c>
      <c r="D428" s="22" t="s">
        <v>281</v>
      </c>
      <c r="E428" s="9">
        <f>Source!AQ87</f>
        <v>563.5</v>
      </c>
      <c r="F428" s="24"/>
      <c r="G428" s="23" t="str">
        <f>Source!DI87</f>
        <v/>
      </c>
      <c r="H428" s="9">
        <f>Source!AV87</f>
        <v>1</v>
      </c>
      <c r="I428" s="9"/>
      <c r="J428" s="25"/>
      <c r="K428" s="25">
        <f>Source!U87</f>
        <v>1.9328049999999999</v>
      </c>
    </row>
    <row r="429" spans="1:22" ht="15" x14ac:dyDescent="0.25">
      <c r="A429" s="29"/>
      <c r="B429" s="29"/>
      <c r="C429" s="29"/>
      <c r="D429" s="29"/>
      <c r="E429" s="29"/>
      <c r="F429" s="29"/>
      <c r="G429" s="29"/>
      <c r="H429" s="29"/>
      <c r="I429" s="66">
        <f>J421+J422+J424+J425+J426+J427</f>
        <v>1951.51</v>
      </c>
      <c r="J429" s="66"/>
      <c r="K429" s="30">
        <f>IF(Source!I87&lt;&gt;0, ROUND(I429/Source!I87, 2), 0)</f>
        <v>568953.35</v>
      </c>
      <c r="P429" s="27">
        <f>I429</f>
        <v>1951.51</v>
      </c>
    </row>
    <row r="430" spans="1:22" ht="28.5" x14ac:dyDescent="0.2">
      <c r="A430" s="20" t="str">
        <f>Source!E88</f>
        <v>47</v>
      </c>
      <c r="B430" s="21" t="str">
        <f>Source!F88</f>
        <v>1.50-3203-3-7/1</v>
      </c>
      <c r="C430" s="21" t="str">
        <f>Source!G88</f>
        <v>Установка закладных деталей весом до 4 кг</v>
      </c>
      <c r="D430" s="22" t="str">
        <f>Source!H88</f>
        <v>т</v>
      </c>
      <c r="E430" s="9">
        <f>Source!I88</f>
        <v>0.1</v>
      </c>
      <c r="F430" s="24"/>
      <c r="G430" s="23"/>
      <c r="H430" s="9"/>
      <c r="I430" s="9"/>
      <c r="J430" s="25"/>
      <c r="K430" s="25"/>
      <c r="Q430">
        <f>ROUND((Source!BZ88/100)*ROUND((Source!AF88*Source!AV88)*Source!I88, 2), 2)</f>
        <v>3574</v>
      </c>
      <c r="R430">
        <f>Source!X88</f>
        <v>3574</v>
      </c>
      <c r="S430">
        <f>ROUND((Source!CA88/100)*ROUND((Source!AF88*Source!AV88)*Source!I88, 2), 2)</f>
        <v>510.57</v>
      </c>
      <c r="T430">
        <f>Source!Y88</f>
        <v>510.57</v>
      </c>
      <c r="U430">
        <f>ROUND((175/100)*ROUND((Source!AE88*Source!AV88)*Source!I88, 2), 2)</f>
        <v>0</v>
      </c>
      <c r="V430">
        <f>ROUND((108/100)*ROUND(Source!CS88*Source!I88, 2), 2)</f>
        <v>0</v>
      </c>
    </row>
    <row r="431" spans="1:22" ht="14.25" x14ac:dyDescent="0.2">
      <c r="A431" s="20"/>
      <c r="B431" s="21"/>
      <c r="C431" s="21" t="s">
        <v>276</v>
      </c>
      <c r="D431" s="22"/>
      <c r="E431" s="9"/>
      <c r="F431" s="24">
        <f>Source!AO88</f>
        <v>51057.17</v>
      </c>
      <c r="G431" s="23" t="str">
        <f>Source!DG88</f>
        <v/>
      </c>
      <c r="H431" s="9">
        <f>Source!AV88</f>
        <v>1</v>
      </c>
      <c r="I431" s="9">
        <f>IF(Source!BA88&lt;&gt; 0, Source!BA88, 1)</f>
        <v>1</v>
      </c>
      <c r="J431" s="25">
        <f>Source!S88</f>
        <v>5105.72</v>
      </c>
      <c r="K431" s="25"/>
    </row>
    <row r="432" spans="1:22" ht="14.25" x14ac:dyDescent="0.2">
      <c r="A432" s="20"/>
      <c r="B432" s="21"/>
      <c r="C432" s="21" t="s">
        <v>284</v>
      </c>
      <c r="D432" s="22"/>
      <c r="E432" s="9"/>
      <c r="F432" s="24">
        <f>Source!AL88</f>
        <v>53233.52</v>
      </c>
      <c r="G432" s="23" t="str">
        <f>Source!DD88</f>
        <v/>
      </c>
      <c r="H432" s="9">
        <f>Source!AW88</f>
        <v>1</v>
      </c>
      <c r="I432" s="9">
        <f>IF(Source!BC88&lt;&gt; 0, Source!BC88, 1)</f>
        <v>1</v>
      </c>
      <c r="J432" s="25">
        <f>Source!P88</f>
        <v>5323.35</v>
      </c>
      <c r="K432" s="25"/>
    </row>
    <row r="433" spans="1:22" ht="28.5" x14ac:dyDescent="0.2">
      <c r="A433" s="20" t="str">
        <f>Source!E89</f>
        <v>47,1</v>
      </c>
      <c r="B433" s="21" t="str">
        <f>Source!F89</f>
        <v>21.7-7-41</v>
      </c>
      <c r="C433" s="21" t="str">
        <f>Source!G89</f>
        <v>Деталь закладная дополнительная для монтажа малых форм</v>
      </c>
      <c r="D433" s="22" t="str">
        <f>Source!H89</f>
        <v>шт.</v>
      </c>
      <c r="E433" s="9">
        <f>Source!I89</f>
        <v>1</v>
      </c>
      <c r="F433" s="24">
        <f>Source!AK89</f>
        <v>210</v>
      </c>
      <c r="G433" s="32" t="s">
        <v>3</v>
      </c>
      <c r="H433" s="9">
        <f>Source!AW89</f>
        <v>1</v>
      </c>
      <c r="I433" s="9">
        <f>IF(Source!BC89&lt;&gt; 0, Source!BC89, 1)</f>
        <v>1</v>
      </c>
      <c r="J433" s="25">
        <f>Source!O89</f>
        <v>210</v>
      </c>
      <c r="K433" s="25"/>
      <c r="Q433">
        <f>ROUND((Source!BZ89/100)*ROUND((Source!AF89*Source!AV89)*Source!I89, 2), 2)</f>
        <v>0</v>
      </c>
      <c r="R433">
        <f>Source!X89</f>
        <v>0</v>
      </c>
      <c r="S433">
        <f>ROUND((Source!CA89/100)*ROUND((Source!AF89*Source!AV89)*Source!I89, 2), 2)</f>
        <v>0</v>
      </c>
      <c r="T433">
        <f>Source!Y89</f>
        <v>0</v>
      </c>
      <c r="U433">
        <f>ROUND((175/100)*ROUND((Source!AE89*Source!AV89)*Source!I89, 2), 2)</f>
        <v>0</v>
      </c>
      <c r="V433">
        <f>ROUND((108/100)*ROUND(Source!CS89*Source!I89, 2), 2)</f>
        <v>0</v>
      </c>
    </row>
    <row r="434" spans="1:22" ht="44.25" customHeight="1" x14ac:dyDescent="0.2">
      <c r="A434" s="20" t="str">
        <f>Source!E90</f>
        <v>47,2</v>
      </c>
      <c r="B434" s="21" t="str">
        <f>Source!F90</f>
        <v>21.3-4-24</v>
      </c>
      <c r="C434" s="21" t="str">
        <f>Source!G90</f>
        <v>Арматурные заготовки (стержни, хомуты и т.п.), не собранные в каркасы или сетки, закладные и накладные детали, со сваркой</v>
      </c>
      <c r="D434" s="22" t="str">
        <f>Source!H90</f>
        <v>т</v>
      </c>
      <c r="E434" s="9">
        <f>Source!I90</f>
        <v>-0.1</v>
      </c>
      <c r="F434" s="24">
        <f>Source!AK90</f>
        <v>53233.52</v>
      </c>
      <c r="G434" s="32" t="s">
        <v>3</v>
      </c>
      <c r="H434" s="9">
        <f>Source!AW90</f>
        <v>1</v>
      </c>
      <c r="I434" s="9">
        <f>IF(Source!BC90&lt;&gt; 0, Source!BC90, 1)</f>
        <v>1</v>
      </c>
      <c r="J434" s="25">
        <f>Source!O90</f>
        <v>-5323.35</v>
      </c>
      <c r="K434" s="25"/>
      <c r="Q434">
        <f>ROUND((Source!BZ90/100)*ROUND((Source!AF90*Source!AV90)*Source!I90, 2), 2)</f>
        <v>0</v>
      </c>
      <c r="R434">
        <f>Source!X90</f>
        <v>0</v>
      </c>
      <c r="S434">
        <f>ROUND((Source!CA90/100)*ROUND((Source!AF90*Source!AV90)*Source!I90, 2), 2)</f>
        <v>0</v>
      </c>
      <c r="T434">
        <f>Source!Y90</f>
        <v>0</v>
      </c>
      <c r="U434">
        <f>ROUND((175/100)*ROUND((Source!AE90*Source!AV90)*Source!I90, 2), 2)</f>
        <v>0</v>
      </c>
      <c r="V434">
        <f>ROUND((108/100)*ROUND(Source!CS90*Source!I90, 2), 2)</f>
        <v>0</v>
      </c>
    </row>
    <row r="435" spans="1:22" ht="14.25" x14ac:dyDescent="0.2">
      <c r="A435" s="20"/>
      <c r="B435" s="21"/>
      <c r="C435" s="21" t="s">
        <v>277</v>
      </c>
      <c r="D435" s="22" t="s">
        <v>278</v>
      </c>
      <c r="E435" s="9">
        <f>Source!AT88</f>
        <v>70</v>
      </c>
      <c r="F435" s="24"/>
      <c r="G435" s="23"/>
      <c r="H435" s="9"/>
      <c r="I435" s="9"/>
      <c r="J435" s="25">
        <f>SUM(R430:R434)</f>
        <v>3574</v>
      </c>
      <c r="K435" s="25"/>
    </row>
    <row r="436" spans="1:22" ht="14.25" x14ac:dyDescent="0.2">
      <c r="A436" s="20"/>
      <c r="B436" s="21"/>
      <c r="C436" s="21" t="s">
        <v>279</v>
      </c>
      <c r="D436" s="22" t="s">
        <v>278</v>
      </c>
      <c r="E436" s="9">
        <f>Source!AU88</f>
        <v>10</v>
      </c>
      <c r="F436" s="24"/>
      <c r="G436" s="23"/>
      <c r="H436" s="9"/>
      <c r="I436" s="9"/>
      <c r="J436" s="25">
        <f>SUM(T430:T435)</f>
        <v>510.57</v>
      </c>
      <c r="K436" s="25"/>
    </row>
    <row r="437" spans="1:22" ht="14.25" x14ac:dyDescent="0.2">
      <c r="A437" s="20"/>
      <c r="B437" s="21"/>
      <c r="C437" s="21" t="s">
        <v>280</v>
      </c>
      <c r="D437" s="22" t="s">
        <v>281</v>
      </c>
      <c r="E437" s="9">
        <f>Source!AQ88</f>
        <v>227.7</v>
      </c>
      <c r="F437" s="24"/>
      <c r="G437" s="23" t="str">
        <f>Source!DI88</f>
        <v/>
      </c>
      <c r="H437" s="9">
        <f>Source!AV88</f>
        <v>1</v>
      </c>
      <c r="I437" s="9"/>
      <c r="J437" s="25"/>
      <c r="K437" s="25">
        <f>Source!U88</f>
        <v>22.77</v>
      </c>
    </row>
    <row r="438" spans="1:22" ht="15" x14ac:dyDescent="0.25">
      <c r="A438" s="29"/>
      <c r="B438" s="29"/>
      <c r="C438" s="29"/>
      <c r="D438" s="29"/>
      <c r="E438" s="29"/>
      <c r="F438" s="29"/>
      <c r="G438" s="29"/>
      <c r="H438" s="29"/>
      <c r="I438" s="66">
        <f>J431+J432+J435+J436+SUM(J433:J434)</f>
        <v>9400.2899999999991</v>
      </c>
      <c r="J438" s="66"/>
      <c r="K438" s="30">
        <f>IF(Source!I88&lt;&gt;0, ROUND(I438/Source!I88, 2), 0)</f>
        <v>94002.9</v>
      </c>
      <c r="P438" s="27">
        <f>I438</f>
        <v>9400.2899999999991</v>
      </c>
    </row>
    <row r="439" spans="1:22" ht="41.25" x14ac:dyDescent="0.2">
      <c r="A439" s="20" t="str">
        <f>Source!E91</f>
        <v>48</v>
      </c>
      <c r="B439" s="21" t="str">
        <f>Source!F91</f>
        <v>Цена поставщика</v>
      </c>
      <c r="C439" s="21" t="s">
        <v>350</v>
      </c>
      <c r="D439" s="22" t="str">
        <f>Source!H91</f>
        <v>шт.</v>
      </c>
      <c r="E439" s="9">
        <f>Source!I91</f>
        <v>1</v>
      </c>
      <c r="F439" s="24">
        <f>Source!AL91</f>
        <v>88114.76</v>
      </c>
      <c r="G439" s="23" t="str">
        <f>Source!DD91</f>
        <v/>
      </c>
      <c r="H439" s="9">
        <f>Source!AW91</f>
        <v>1</v>
      </c>
      <c r="I439" s="9">
        <f>IF(Source!BC91&lt;&gt; 0, Source!BC91, 1)</f>
        <v>1</v>
      </c>
      <c r="J439" s="25">
        <f>Source!P91</f>
        <v>88114.76</v>
      </c>
      <c r="K439" s="25"/>
      <c r="Q439">
        <f>ROUND((Source!BZ91/100)*ROUND((Source!AF91*Source!AV91)*Source!I91, 2), 2)</f>
        <v>0</v>
      </c>
      <c r="R439">
        <f>Source!X91</f>
        <v>0</v>
      </c>
      <c r="S439">
        <f>ROUND((Source!CA91/100)*ROUND((Source!AF91*Source!AV91)*Source!I91, 2), 2)</f>
        <v>0</v>
      </c>
      <c r="T439">
        <f>Source!Y91</f>
        <v>0</v>
      </c>
      <c r="U439">
        <f>ROUND((175/100)*ROUND((Source!AE91*Source!AV91)*Source!I91, 2), 2)</f>
        <v>0</v>
      </c>
      <c r="V439">
        <f>ROUND((108/100)*ROUND(Source!CS91*Source!I91, 2), 2)</f>
        <v>0</v>
      </c>
    </row>
    <row r="440" spans="1:22" ht="15" x14ac:dyDescent="0.25">
      <c r="A440" s="29"/>
      <c r="B440" s="29"/>
      <c r="C440" s="29"/>
      <c r="D440" s="29"/>
      <c r="E440" s="29"/>
      <c r="F440" s="29"/>
      <c r="G440" s="29"/>
      <c r="H440" s="29"/>
      <c r="I440" s="66">
        <f>J439</f>
        <v>88114.76</v>
      </c>
      <c r="J440" s="66"/>
      <c r="K440" s="30">
        <f>IF(Source!I91&lt;&gt;0, ROUND(I440/Source!I91, 2), 0)</f>
        <v>88114.76</v>
      </c>
      <c r="P440" s="27">
        <f>I440</f>
        <v>88114.76</v>
      </c>
    </row>
    <row r="441" spans="1:22" ht="28.5" x14ac:dyDescent="0.2">
      <c r="A441" s="20" t="str">
        <f>Source!E92</f>
        <v>49</v>
      </c>
      <c r="B441" s="21" t="str">
        <f>Source!F92</f>
        <v>1.50-3203-40-1/1</v>
      </c>
      <c r="C441" s="21" t="str">
        <f>Source!G92</f>
        <v>Постановка болтов нормальной точности</v>
      </c>
      <c r="D441" s="22" t="str">
        <f>Source!H92</f>
        <v>100 шт.</v>
      </c>
      <c r="E441" s="9">
        <f>Source!I92</f>
        <v>0.16</v>
      </c>
      <c r="F441" s="24"/>
      <c r="G441" s="23"/>
      <c r="H441" s="9"/>
      <c r="I441" s="9"/>
      <c r="J441" s="25"/>
      <c r="K441" s="25"/>
      <c r="Q441">
        <f>ROUND((Source!BZ92/100)*ROUND((Source!AF92*Source!AV92)*Source!I92, 2), 2)</f>
        <v>394.27</v>
      </c>
      <c r="R441">
        <f>Source!X92</f>
        <v>394.27</v>
      </c>
      <c r="S441">
        <f>ROUND((Source!CA92/100)*ROUND((Source!AF92*Source!AV92)*Source!I92, 2), 2)</f>
        <v>56.32</v>
      </c>
      <c r="T441">
        <f>Source!Y92</f>
        <v>56.32</v>
      </c>
      <c r="U441">
        <f>ROUND((175/100)*ROUND((Source!AE92*Source!AV92)*Source!I92, 2), 2)</f>
        <v>0</v>
      </c>
      <c r="V441">
        <f>ROUND((108/100)*ROUND(Source!CS92*Source!I92, 2), 2)</f>
        <v>0</v>
      </c>
    </row>
    <row r="442" spans="1:22" ht="14.25" x14ac:dyDescent="0.2">
      <c r="A442" s="20"/>
      <c r="B442" s="21"/>
      <c r="C442" s="21" t="s">
        <v>276</v>
      </c>
      <c r="D442" s="22"/>
      <c r="E442" s="9"/>
      <c r="F442" s="24">
        <f>Source!AO92</f>
        <v>3520.27</v>
      </c>
      <c r="G442" s="23" t="str">
        <f>Source!DG92</f>
        <v/>
      </c>
      <c r="H442" s="9">
        <f>Source!AV92</f>
        <v>1</v>
      </c>
      <c r="I442" s="9">
        <f>IF(Source!BA92&lt;&gt; 0, Source!BA92, 1)</f>
        <v>1</v>
      </c>
      <c r="J442" s="25">
        <f>Source!S92</f>
        <v>563.24</v>
      </c>
      <c r="K442" s="25"/>
    </row>
    <row r="443" spans="1:22" ht="14.25" x14ac:dyDescent="0.2">
      <c r="A443" s="20"/>
      <c r="B443" s="21"/>
      <c r="C443" s="21" t="s">
        <v>284</v>
      </c>
      <c r="D443" s="22"/>
      <c r="E443" s="9"/>
      <c r="F443" s="24">
        <f>Source!AL92</f>
        <v>750.3</v>
      </c>
      <c r="G443" s="23" t="str">
        <f>Source!DD92</f>
        <v/>
      </c>
      <c r="H443" s="9">
        <f>Source!AW92</f>
        <v>1</v>
      </c>
      <c r="I443" s="9">
        <f>IF(Source!BC92&lt;&gt; 0, Source!BC92, 1)</f>
        <v>1</v>
      </c>
      <c r="J443" s="25">
        <f>Source!P92</f>
        <v>120.05</v>
      </c>
      <c r="K443" s="25"/>
    </row>
    <row r="444" spans="1:22" ht="14.25" x14ac:dyDescent="0.2">
      <c r="A444" s="20"/>
      <c r="B444" s="21"/>
      <c r="C444" s="21" t="s">
        <v>277</v>
      </c>
      <c r="D444" s="22" t="s">
        <v>278</v>
      </c>
      <c r="E444" s="9">
        <f>Source!AT92</f>
        <v>70</v>
      </c>
      <c r="F444" s="24"/>
      <c r="G444" s="23"/>
      <c r="H444" s="9"/>
      <c r="I444" s="9"/>
      <c r="J444" s="25">
        <f>SUM(R441:R443)</f>
        <v>394.27</v>
      </c>
      <c r="K444" s="25"/>
    </row>
    <row r="445" spans="1:22" ht="14.25" x14ac:dyDescent="0.2">
      <c r="A445" s="20"/>
      <c r="B445" s="21"/>
      <c r="C445" s="21" t="s">
        <v>279</v>
      </c>
      <c r="D445" s="22" t="s">
        <v>278</v>
      </c>
      <c r="E445" s="9">
        <f>Source!AU92</f>
        <v>10</v>
      </c>
      <c r="F445" s="24"/>
      <c r="G445" s="23"/>
      <c r="H445" s="9"/>
      <c r="I445" s="9"/>
      <c r="J445" s="25">
        <f>SUM(T441:T444)</f>
        <v>56.32</v>
      </c>
      <c r="K445" s="25"/>
    </row>
    <row r="446" spans="1:22" ht="14.25" x14ac:dyDescent="0.2">
      <c r="A446" s="20"/>
      <c r="B446" s="21"/>
      <c r="C446" s="21" t="s">
        <v>280</v>
      </c>
      <c r="D446" s="22" t="s">
        <v>281</v>
      </c>
      <c r="E446" s="9">
        <f>Source!AQ92</f>
        <v>13.68</v>
      </c>
      <c r="F446" s="24"/>
      <c r="G446" s="23" t="str">
        <f>Source!DI92</f>
        <v/>
      </c>
      <c r="H446" s="9">
        <f>Source!AV92</f>
        <v>1</v>
      </c>
      <c r="I446" s="9"/>
      <c r="J446" s="25"/>
      <c r="K446" s="25">
        <f>Source!U92</f>
        <v>2.1888000000000001</v>
      </c>
    </row>
    <row r="447" spans="1:22" ht="15" x14ac:dyDescent="0.25">
      <c r="A447" s="29"/>
      <c r="B447" s="29"/>
      <c r="C447" s="29"/>
      <c r="D447" s="29"/>
      <c r="E447" s="29"/>
      <c r="F447" s="29"/>
      <c r="G447" s="29"/>
      <c r="H447" s="29"/>
      <c r="I447" s="66">
        <f>J442+J443+J444+J445</f>
        <v>1133.8799999999999</v>
      </c>
      <c r="J447" s="66"/>
      <c r="K447" s="30">
        <f>IF(Source!I92&lt;&gt;0, ROUND(I447/Source!I92, 2), 0)</f>
        <v>7086.75</v>
      </c>
      <c r="P447" s="27">
        <f>I447</f>
        <v>1133.8799999999999</v>
      </c>
    </row>
    <row r="448" spans="1:22" ht="41.25" x14ac:dyDescent="0.2">
      <c r="A448" s="20" t="str">
        <f>Source!E93</f>
        <v>50</v>
      </c>
      <c r="B448" s="21" t="str">
        <f>Source!F93</f>
        <v>Цена поставщика</v>
      </c>
      <c r="C448" s="21" t="s">
        <v>351</v>
      </c>
      <c r="D448" s="22" t="str">
        <f>Source!H93</f>
        <v>шт.</v>
      </c>
      <c r="E448" s="9">
        <f>Source!I93</f>
        <v>8</v>
      </c>
      <c r="F448" s="24">
        <f>Source!AL93</f>
        <v>230</v>
      </c>
      <c r="G448" s="23" t="str">
        <f>Source!DD93</f>
        <v/>
      </c>
      <c r="H448" s="9">
        <f>Source!AW93</f>
        <v>1</v>
      </c>
      <c r="I448" s="9">
        <f>IF(Source!BC93&lt;&gt; 0, Source!BC93, 1)</f>
        <v>1</v>
      </c>
      <c r="J448" s="25">
        <f>Source!P93</f>
        <v>1840</v>
      </c>
      <c r="K448" s="25"/>
      <c r="Q448">
        <f>ROUND((Source!BZ93/100)*ROUND((Source!AF93*Source!AV93)*Source!I93, 2), 2)</f>
        <v>0</v>
      </c>
      <c r="R448">
        <f>Source!X93</f>
        <v>0</v>
      </c>
      <c r="S448">
        <f>ROUND((Source!CA93/100)*ROUND((Source!AF93*Source!AV93)*Source!I93, 2), 2)</f>
        <v>0</v>
      </c>
      <c r="T448">
        <f>Source!Y93</f>
        <v>0</v>
      </c>
      <c r="U448">
        <f>ROUND((175/100)*ROUND((Source!AE93*Source!AV93)*Source!I93, 2), 2)</f>
        <v>0</v>
      </c>
      <c r="V448">
        <f>ROUND((108/100)*ROUND(Source!CS93*Source!I93, 2), 2)</f>
        <v>0</v>
      </c>
    </row>
    <row r="449" spans="1:16" ht="15" x14ac:dyDescent="0.25">
      <c r="A449" s="29"/>
      <c r="B449" s="29"/>
      <c r="C449" s="29"/>
      <c r="D449" s="29"/>
      <c r="E449" s="29"/>
      <c r="F449" s="29"/>
      <c r="G449" s="29"/>
      <c r="H449" s="29"/>
      <c r="I449" s="66">
        <f>J448</f>
        <v>1840</v>
      </c>
      <c r="J449" s="66"/>
      <c r="K449" s="30">
        <f>IF(Source!I93&lt;&gt;0, ROUND(I449/Source!I93, 2), 0)</f>
        <v>230</v>
      </c>
      <c r="P449" s="27">
        <f>I449</f>
        <v>1840</v>
      </c>
    </row>
    <row r="451" spans="1:16" ht="15" x14ac:dyDescent="0.25">
      <c r="A451" s="70" t="str">
        <f>CONCATENATE("Итого по разделу: ",IF(Source!G95&lt;&gt;"Новый раздел", Source!G95, ""))</f>
        <v>Итого по разделу: Установка спортивных тренажеров</v>
      </c>
      <c r="B451" s="70"/>
      <c r="C451" s="70"/>
      <c r="D451" s="70"/>
      <c r="E451" s="70"/>
      <c r="F451" s="70"/>
      <c r="G451" s="70"/>
      <c r="H451" s="70"/>
      <c r="I451" s="68">
        <f>SUM(P32:P450)</f>
        <v>645263.58000000019</v>
      </c>
      <c r="J451" s="69"/>
      <c r="K451" s="33"/>
    </row>
    <row r="453" spans="1:16" ht="15" x14ac:dyDescent="0.25">
      <c r="A453" s="70" t="str">
        <f>CONCATENATE("Итого по смете: ",IF(Source!G153&lt;&gt;"Новый объект", Source!G153, ""))</f>
        <v>Итого по смете: установка спортивных тренажеров по адресу: ул. Нижегородская, д. 3</v>
      </c>
      <c r="B453" s="70"/>
      <c r="C453" s="70"/>
      <c r="D453" s="70"/>
      <c r="E453" s="70"/>
      <c r="F453" s="70"/>
      <c r="G453" s="70"/>
      <c r="H453" s="70"/>
      <c r="I453" s="68">
        <f>SUM(P1:P452)</f>
        <v>645263.58000000019</v>
      </c>
      <c r="J453" s="69"/>
      <c r="K453" s="33"/>
    </row>
    <row r="454" spans="1:16" ht="14.25" x14ac:dyDescent="0.2">
      <c r="C454" s="63" t="str">
        <f>Source!H181</f>
        <v>Итого</v>
      </c>
      <c r="D454" s="63"/>
      <c r="E454" s="63"/>
      <c r="F454" s="63"/>
      <c r="G454" s="63"/>
      <c r="H454" s="63"/>
      <c r="I454" s="61">
        <f>IF(Source!F181=0, "", Source!F181)</f>
        <v>645263.57999999996</v>
      </c>
      <c r="J454" s="61"/>
    </row>
    <row r="455" spans="1:16" ht="14.25" x14ac:dyDescent="0.2">
      <c r="C455" s="63" t="str">
        <f>Source!H182</f>
        <v>НДС 20%</v>
      </c>
      <c r="D455" s="63"/>
      <c r="E455" s="63"/>
      <c r="F455" s="63"/>
      <c r="G455" s="63"/>
      <c r="H455" s="63"/>
      <c r="I455" s="61">
        <f>IF(Source!F182=0, "", Source!F182)</f>
        <v>129052.72</v>
      </c>
      <c r="J455" s="61"/>
    </row>
    <row r="456" spans="1:16" ht="15" x14ac:dyDescent="0.25">
      <c r="C456" s="70" t="str">
        <f>Source!H183</f>
        <v>Всего</v>
      </c>
      <c r="D456" s="70"/>
      <c r="E456" s="70"/>
      <c r="F456" s="70"/>
      <c r="G456" s="70"/>
      <c r="H456" s="70"/>
      <c r="I456" s="68">
        <f>IF(Source!F183=0, "", Source!F183)</f>
        <v>774316.3</v>
      </c>
      <c r="J456" s="68"/>
    </row>
    <row r="459" spans="1:16" ht="14.25" x14ac:dyDescent="0.2">
      <c r="A459" s="71" t="s">
        <v>286</v>
      </c>
      <c r="B459" s="71"/>
      <c r="C459" s="34" t="str">
        <f>IF(Source!AC12&lt;&gt;"", Source!AC12," ")</f>
        <v xml:space="preserve"> </v>
      </c>
      <c r="D459" s="34"/>
      <c r="E459" s="34"/>
      <c r="F459" s="34"/>
      <c r="G459" s="34"/>
      <c r="H459" s="10" t="str">
        <f>IF(Source!AB12&lt;&gt;"", Source!AB12," ")</f>
        <v xml:space="preserve"> </v>
      </c>
      <c r="I459" s="10"/>
      <c r="J459" s="10"/>
      <c r="K459" s="10"/>
    </row>
    <row r="460" spans="1:16" ht="14.25" x14ac:dyDescent="0.2">
      <c r="A460" s="10"/>
      <c r="B460" s="10"/>
      <c r="C460" s="72" t="s">
        <v>287</v>
      </c>
      <c r="D460" s="72"/>
      <c r="E460" s="72"/>
      <c r="F460" s="72"/>
      <c r="G460" s="72"/>
      <c r="H460" s="10"/>
      <c r="I460" s="10"/>
      <c r="J460" s="10"/>
      <c r="K460" s="10"/>
    </row>
    <row r="461" spans="1:16" ht="14.25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6" ht="14.25" x14ac:dyDescent="0.2">
      <c r="A462" s="71" t="s">
        <v>288</v>
      </c>
      <c r="B462" s="71"/>
      <c r="C462" s="34" t="str">
        <f>IF(Source!AE12&lt;&gt;"", Source!AE12," ")</f>
        <v xml:space="preserve"> </v>
      </c>
      <c r="D462" s="34"/>
      <c r="E462" s="34"/>
      <c r="F462" s="34"/>
      <c r="G462" s="34"/>
      <c r="H462" s="10" t="str">
        <f>IF(Source!AD12&lt;&gt;"", Source!AD12," ")</f>
        <v xml:space="preserve"> </v>
      </c>
      <c r="I462" s="10"/>
      <c r="J462" s="10"/>
      <c r="K462" s="10"/>
    </row>
    <row r="463" spans="1:16" ht="14.25" x14ac:dyDescent="0.2">
      <c r="A463" s="10"/>
      <c r="B463" s="10"/>
      <c r="C463" s="72" t="s">
        <v>287</v>
      </c>
      <c r="D463" s="72"/>
      <c r="E463" s="72"/>
      <c r="F463" s="72"/>
      <c r="G463" s="72"/>
      <c r="H463" s="10"/>
      <c r="I463" s="10"/>
      <c r="J463" s="10"/>
      <c r="K463" s="10"/>
    </row>
  </sheetData>
  <mergeCells count="102">
    <mergeCell ref="A459:B459"/>
    <mergeCell ref="C460:G460"/>
    <mergeCell ref="A462:B462"/>
    <mergeCell ref="C463:G463"/>
    <mergeCell ref="C454:H454"/>
    <mergeCell ref="I454:J454"/>
    <mergeCell ref="C455:H455"/>
    <mergeCell ref="I455:J455"/>
    <mergeCell ref="C456:H456"/>
    <mergeCell ref="I456:J456"/>
    <mergeCell ref="I451:J451"/>
    <mergeCell ref="A451:H451"/>
    <mergeCell ref="I453:J453"/>
    <mergeCell ref="A453:H453"/>
    <mergeCell ref="I418:J418"/>
    <mergeCell ref="I429:J429"/>
    <mergeCell ref="I438:J438"/>
    <mergeCell ref="I440:J440"/>
    <mergeCell ref="I447:J447"/>
    <mergeCell ref="I449:J449"/>
    <mergeCell ref="I367:J367"/>
    <mergeCell ref="I378:J378"/>
    <mergeCell ref="I387:J387"/>
    <mergeCell ref="I389:J389"/>
    <mergeCell ref="I396:J396"/>
    <mergeCell ref="I407:J407"/>
    <mergeCell ref="I316:J316"/>
    <mergeCell ref="I327:J327"/>
    <mergeCell ref="I336:J336"/>
    <mergeCell ref="I338:J338"/>
    <mergeCell ref="I345:J345"/>
    <mergeCell ref="I356:J356"/>
    <mergeCell ref="I265:J265"/>
    <mergeCell ref="I276:J276"/>
    <mergeCell ref="I285:J285"/>
    <mergeCell ref="I287:J287"/>
    <mergeCell ref="I294:J294"/>
    <mergeCell ref="I305:J305"/>
    <mergeCell ref="I214:J214"/>
    <mergeCell ref="I225:J225"/>
    <mergeCell ref="I234:J234"/>
    <mergeCell ref="I236:J236"/>
    <mergeCell ref="I243:J243"/>
    <mergeCell ref="I254:J254"/>
    <mergeCell ref="I163:J163"/>
    <mergeCell ref="I174:J174"/>
    <mergeCell ref="I183:J183"/>
    <mergeCell ref="I185:J185"/>
    <mergeCell ref="I192:J192"/>
    <mergeCell ref="I203:J203"/>
    <mergeCell ref="I112:J112"/>
    <mergeCell ref="I123:J123"/>
    <mergeCell ref="I132:J132"/>
    <mergeCell ref="I134:J134"/>
    <mergeCell ref="I141:J141"/>
    <mergeCell ref="I152:J152"/>
    <mergeCell ref="I61:J61"/>
    <mergeCell ref="I72:J72"/>
    <mergeCell ref="I81:J81"/>
    <mergeCell ref="I83:J83"/>
    <mergeCell ref="I90:J90"/>
    <mergeCell ref="I101:J101"/>
    <mergeCell ref="I27:I29"/>
    <mergeCell ref="J27:J29"/>
    <mergeCell ref="A32:K32"/>
    <mergeCell ref="I39:J39"/>
    <mergeCell ref="I50:J50"/>
    <mergeCell ref="F25:H25"/>
    <mergeCell ref="I25:J25"/>
    <mergeCell ref="A27:A29"/>
    <mergeCell ref="B27:B29"/>
    <mergeCell ref="C27:C29"/>
    <mergeCell ref="D27:D29"/>
    <mergeCell ref="E27:E29"/>
    <mergeCell ref="F27:F29"/>
    <mergeCell ref="G27:G29"/>
    <mergeCell ref="H27:H29"/>
    <mergeCell ref="F22:H22"/>
    <mergeCell ref="I22:J22"/>
    <mergeCell ref="F23:H23"/>
    <mergeCell ref="I23:J23"/>
    <mergeCell ref="F24:H24"/>
    <mergeCell ref="I24:J24"/>
    <mergeCell ref="A15:K15"/>
    <mergeCell ref="A16:K16"/>
    <mergeCell ref="A18:K18"/>
    <mergeCell ref="F20:H20"/>
    <mergeCell ref="I20:J20"/>
    <mergeCell ref="F21:H21"/>
    <mergeCell ref="I21:J21"/>
    <mergeCell ref="B7:E7"/>
    <mergeCell ref="G7:K7"/>
    <mergeCell ref="J2:K2"/>
    <mergeCell ref="A10:K10"/>
    <mergeCell ref="A11:K11"/>
    <mergeCell ref="A13:K13"/>
    <mergeCell ref="B3:E3"/>
    <mergeCell ref="G3:K3"/>
    <mergeCell ref="B4:E4"/>
    <mergeCell ref="G4:K4"/>
    <mergeCell ref="B6:E6"/>
    <mergeCell ref="G6:K6"/>
  </mergeCells>
  <pageMargins left="0.4" right="0.2" top="0.2" bottom="0.4" header="0.2" footer="0.2"/>
  <pageSetup paperSize="9" scale="59" fitToHeight="0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/>
  </sheetViews>
  <sheetFormatPr defaultRowHeight="12.75" x14ac:dyDescent="0.2"/>
  <sheetData>
    <row r="1" spans="1:23" x14ac:dyDescent="0.2">
      <c r="A1" t="s">
        <v>312</v>
      </c>
      <c r="B1" t="s">
        <v>313</v>
      </c>
      <c r="C1" t="s">
        <v>314</v>
      </c>
      <c r="D1" t="s">
        <v>315</v>
      </c>
      <c r="E1" t="s">
        <v>316</v>
      </c>
      <c r="F1" t="s">
        <v>317</v>
      </c>
      <c r="G1" t="s">
        <v>318</v>
      </c>
      <c r="H1" t="s">
        <v>319</v>
      </c>
      <c r="I1" t="s">
        <v>320</v>
      </c>
      <c r="J1" t="s">
        <v>321</v>
      </c>
    </row>
    <row r="2" spans="1:23" x14ac:dyDescent="0.2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1</v>
      </c>
      <c r="H2">
        <v>0</v>
      </c>
      <c r="I2">
        <v>1</v>
      </c>
      <c r="J2">
        <v>0</v>
      </c>
    </row>
    <row r="4" spans="1:23" x14ac:dyDescent="0.2">
      <c r="A4" t="s">
        <v>289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 t="s">
        <v>295</v>
      </c>
      <c r="H4" t="s">
        <v>296</v>
      </c>
      <c r="I4" t="s">
        <v>297</v>
      </c>
      <c r="J4" t="s">
        <v>298</v>
      </c>
      <c r="K4" t="s">
        <v>299</v>
      </c>
      <c r="L4" t="s">
        <v>300</v>
      </c>
      <c r="M4" t="s">
        <v>301</v>
      </c>
      <c r="N4" t="s">
        <v>302</v>
      </c>
      <c r="O4" t="s">
        <v>303</v>
      </c>
      <c r="P4" t="s">
        <v>304</v>
      </c>
      <c r="Q4" t="s">
        <v>305</v>
      </c>
      <c r="R4" t="s">
        <v>306</v>
      </c>
      <c r="S4" t="s">
        <v>307</v>
      </c>
      <c r="T4" t="s">
        <v>308</v>
      </c>
      <c r="U4" t="s">
        <v>309</v>
      </c>
      <c r="V4" t="s">
        <v>310</v>
      </c>
      <c r="W4" t="s">
        <v>311</v>
      </c>
    </row>
    <row r="6" spans="1:23" x14ac:dyDescent="0.2">
      <c r="A6">
        <f>Source!A20</f>
        <v>3</v>
      </c>
      <c r="B6">
        <v>20</v>
      </c>
      <c r="G6" t="str">
        <f>Source!G20</f>
        <v>Новая локальная смета</v>
      </c>
    </row>
    <row r="7" spans="1:23" x14ac:dyDescent="0.2">
      <c r="A7">
        <f>Source!A24</f>
        <v>4</v>
      </c>
      <c r="B7">
        <v>24</v>
      </c>
      <c r="G7" t="str">
        <f>Source!G24</f>
        <v>Установка спортивных тренажеров</v>
      </c>
    </row>
    <row r="8" spans="1:23" x14ac:dyDescent="0.2">
      <c r="A8">
        <f>Source!A29</f>
        <v>17</v>
      </c>
      <c r="C8">
        <v>3</v>
      </c>
      <c r="D8">
        <v>0</v>
      </c>
      <c r="E8">
        <f>SmtRes!AV6</f>
        <v>0</v>
      </c>
      <c r="F8" t="str">
        <f>SmtRes!I6</f>
        <v>21.1-25-13</v>
      </c>
      <c r="G8" t="str">
        <f>SmtRes!K6</f>
        <v>Вода</v>
      </c>
      <c r="H8" t="str">
        <f>SmtRes!O6</f>
        <v>м3</v>
      </c>
      <c r="I8">
        <f>SmtRes!Y6*Source!I29</f>
        <v>7.3499999999999998E-3</v>
      </c>
      <c r="J8">
        <f>SmtRes!AO6</f>
        <v>1</v>
      </c>
      <c r="K8">
        <f>SmtRes!AE6</f>
        <v>35.25</v>
      </c>
      <c r="L8">
        <f>SmtRes!DB6</f>
        <v>5.29</v>
      </c>
      <c r="M8">
        <f>ROUND(ROUND(L8*Source!I29, 6)*1, 2)</f>
        <v>0.26</v>
      </c>
      <c r="N8">
        <f>SmtRes!AA6</f>
        <v>35.25</v>
      </c>
      <c r="O8">
        <f>ROUND(ROUND(L8*Source!I29, 6)*SmtRes!DA6, 2)</f>
        <v>0.26</v>
      </c>
      <c r="P8">
        <f>SmtRes!AG6</f>
        <v>0</v>
      </c>
      <c r="Q8">
        <f>SmtRes!DC6</f>
        <v>0</v>
      </c>
      <c r="R8">
        <f>ROUND(ROUND(Q8*Source!I29, 6)*1, 2)</f>
        <v>0</v>
      </c>
      <c r="S8">
        <f>SmtRes!AC6</f>
        <v>0</v>
      </c>
      <c r="T8">
        <f>ROUND(ROUND(Q8*Source!I29, 6)*SmtRes!AK6, 2)</f>
        <v>0</v>
      </c>
      <c r="U8">
        <f>SmtRes!X6</f>
        <v>2028445372</v>
      </c>
      <c r="V8">
        <v>1411454429</v>
      </c>
      <c r="W8">
        <v>1411454429</v>
      </c>
    </row>
    <row r="9" spans="1:23" x14ac:dyDescent="0.2">
      <c r="A9">
        <f>Source!A29</f>
        <v>17</v>
      </c>
      <c r="C9">
        <v>3</v>
      </c>
      <c r="D9">
        <v>0</v>
      </c>
      <c r="E9">
        <f>SmtRes!AV5</f>
        <v>0</v>
      </c>
      <c r="F9" t="str">
        <f>SmtRes!I5</f>
        <v>21.1-12-11</v>
      </c>
      <c r="G9" t="str">
        <f>SmtRes!K5</f>
        <v>Песок для строительных работ, рядовой</v>
      </c>
      <c r="H9" t="str">
        <f>SmtRes!O5</f>
        <v>м3</v>
      </c>
      <c r="I9">
        <f>SmtRes!Y5*Source!I29</f>
        <v>5.3900000000000003E-2</v>
      </c>
      <c r="J9">
        <f>SmtRes!AO5</f>
        <v>1</v>
      </c>
      <c r="K9">
        <f>SmtRes!AE5</f>
        <v>590.78</v>
      </c>
      <c r="L9">
        <f>SmtRes!DB5</f>
        <v>649.86</v>
      </c>
      <c r="M9">
        <f>ROUND(ROUND(L9*Source!I29, 6)*1, 2)</f>
        <v>31.84</v>
      </c>
      <c r="N9">
        <f>SmtRes!AA5</f>
        <v>590.78</v>
      </c>
      <c r="O9">
        <f>ROUND(ROUND(L9*Source!I29, 6)*SmtRes!DA5, 2)</f>
        <v>31.84</v>
      </c>
      <c r="P9">
        <f>SmtRes!AG5</f>
        <v>0</v>
      </c>
      <c r="Q9">
        <f>SmtRes!DC5</f>
        <v>0</v>
      </c>
      <c r="R9">
        <f>ROUND(ROUND(Q9*Source!I29, 6)*1, 2)</f>
        <v>0</v>
      </c>
      <c r="S9">
        <f>SmtRes!AC5</f>
        <v>0</v>
      </c>
      <c r="T9">
        <f>ROUND(ROUND(Q9*Source!I29, 6)*SmtRes!AK5, 2)</f>
        <v>0</v>
      </c>
      <c r="U9">
        <f>SmtRes!X5</f>
        <v>-1662970571</v>
      </c>
      <c r="V9">
        <v>496958337</v>
      </c>
      <c r="W9">
        <v>496958337</v>
      </c>
    </row>
    <row r="10" spans="1:23" x14ac:dyDescent="0.2">
      <c r="A10">
        <f>Source!A30</f>
        <v>17</v>
      </c>
      <c r="C10">
        <v>3</v>
      </c>
      <c r="D10">
        <v>0</v>
      </c>
      <c r="E10">
        <f>SmtRes!AV12</f>
        <v>0</v>
      </c>
      <c r="F10" t="str">
        <f>SmtRes!I12</f>
        <v>21.1-25-13</v>
      </c>
      <c r="G10" t="str">
        <f>SmtRes!K12</f>
        <v>Вода</v>
      </c>
      <c r="H10" t="str">
        <f>SmtRes!O12</f>
        <v>м3</v>
      </c>
      <c r="I10">
        <f>SmtRes!Y12*Source!I30</f>
        <v>1.47E-2</v>
      </c>
      <c r="J10">
        <f>SmtRes!AO12</f>
        <v>1</v>
      </c>
      <c r="K10">
        <f>SmtRes!AE12</f>
        <v>35.25</v>
      </c>
      <c r="L10">
        <f>SmtRes!DB12</f>
        <v>5.29</v>
      </c>
      <c r="M10">
        <f>ROUND(ROUND(L10*Source!I30, 6)*1, 2)</f>
        <v>0.52</v>
      </c>
      <c r="N10">
        <f>SmtRes!AA12</f>
        <v>35.25</v>
      </c>
      <c r="O10">
        <f>ROUND(ROUND(L10*Source!I30, 6)*SmtRes!DA12, 2)</f>
        <v>0.52</v>
      </c>
      <c r="P10">
        <f>SmtRes!AG12</f>
        <v>0</v>
      </c>
      <c r="Q10">
        <f>SmtRes!DC12</f>
        <v>0</v>
      </c>
      <c r="R10">
        <f>ROUND(ROUND(Q10*Source!I30, 6)*1, 2)</f>
        <v>0</v>
      </c>
      <c r="S10">
        <f>SmtRes!AC12</f>
        <v>0</v>
      </c>
      <c r="T10">
        <f>ROUND(ROUND(Q10*Source!I30, 6)*SmtRes!AK12, 2)</f>
        <v>0</v>
      </c>
      <c r="U10">
        <f>SmtRes!X12</f>
        <v>2028445372</v>
      </c>
      <c r="V10">
        <v>1411454429</v>
      </c>
      <c r="W10">
        <v>1411454429</v>
      </c>
    </row>
    <row r="11" spans="1:23" x14ac:dyDescent="0.2">
      <c r="A11">
        <f>Source!A30</f>
        <v>17</v>
      </c>
      <c r="C11">
        <v>3</v>
      </c>
      <c r="D11">
        <v>0</v>
      </c>
      <c r="E11">
        <f>SmtRes!AV11</f>
        <v>0</v>
      </c>
      <c r="F11" t="str">
        <f>SmtRes!I11</f>
        <v>21.1-12-45</v>
      </c>
      <c r="G11" t="str">
        <f>SmtRes!K11</f>
        <v>Щебень из естественного камня для строительных работ, рядовой, марка 300-200</v>
      </c>
      <c r="H11" t="str">
        <f>SmtRes!O11</f>
        <v>м3</v>
      </c>
      <c r="I11">
        <f>SmtRes!Y11*Source!I30</f>
        <v>0.11269999999999999</v>
      </c>
      <c r="J11">
        <f>SmtRes!AO11</f>
        <v>1</v>
      </c>
      <c r="K11">
        <f>SmtRes!AE11</f>
        <v>1436.5</v>
      </c>
      <c r="L11">
        <f>SmtRes!DB11</f>
        <v>1651.98</v>
      </c>
      <c r="M11">
        <f>ROUND(ROUND(L11*Source!I30, 6)*1, 2)</f>
        <v>161.88999999999999</v>
      </c>
      <c r="N11">
        <f>SmtRes!AA11</f>
        <v>1436.5</v>
      </c>
      <c r="O11">
        <f>ROUND(ROUND(L11*Source!I30, 6)*SmtRes!DA11, 2)</f>
        <v>161.88999999999999</v>
      </c>
      <c r="P11">
        <f>SmtRes!AG11</f>
        <v>0</v>
      </c>
      <c r="Q11">
        <f>SmtRes!DC11</f>
        <v>0</v>
      </c>
      <c r="R11">
        <f>ROUND(ROUND(Q11*Source!I30, 6)*1, 2)</f>
        <v>0</v>
      </c>
      <c r="S11">
        <f>SmtRes!AC11</f>
        <v>0</v>
      </c>
      <c r="T11">
        <f>ROUND(ROUND(Q11*Source!I30, 6)*SmtRes!AK11, 2)</f>
        <v>0</v>
      </c>
      <c r="U11">
        <f>SmtRes!X11</f>
        <v>353177933</v>
      </c>
      <c r="V11">
        <v>-1690885940</v>
      </c>
      <c r="W11">
        <v>-1690885940</v>
      </c>
    </row>
    <row r="12" spans="1:23" x14ac:dyDescent="0.2">
      <c r="A12">
        <f>Source!A33</f>
        <v>18</v>
      </c>
      <c r="C12">
        <v>3</v>
      </c>
      <c r="D12">
        <f>Source!BI33</f>
        <v>4</v>
      </c>
      <c r="E12">
        <f>Source!FS33</f>
        <v>0</v>
      </c>
      <c r="F12" t="str">
        <f>Source!F33</f>
        <v>21.7-7-41</v>
      </c>
      <c r="G12" t="str">
        <f>Source!G33</f>
        <v>Деталь закладная дополнительная для монтажа малых форм</v>
      </c>
      <c r="H12" t="str">
        <f>Source!H33</f>
        <v>шт.</v>
      </c>
      <c r="I12">
        <f>Source!I33</f>
        <v>0.99999999999999989</v>
      </c>
      <c r="J12">
        <v>1</v>
      </c>
      <c r="K12">
        <f>Source!AC33</f>
        <v>210</v>
      </c>
      <c r="M12">
        <f>ROUND(K12*I12, 2)</f>
        <v>210</v>
      </c>
      <c r="N12">
        <f>Source!AC33*IF(Source!BC33&lt;&gt; 0, Source!BC33, 1)</f>
        <v>210</v>
      </c>
      <c r="O12">
        <f>ROUND(N12*I12, 2)</f>
        <v>210</v>
      </c>
      <c r="P12">
        <f>Source!AE33</f>
        <v>0</v>
      </c>
      <c r="R12">
        <f>ROUND(P12*I12, 2)</f>
        <v>0</v>
      </c>
      <c r="S12">
        <f>Source!AE33*IF(Source!BS33&lt;&gt; 0, Source!BS33, 1)</f>
        <v>0</v>
      </c>
      <c r="T12">
        <f>ROUND(S12*I12, 2)</f>
        <v>0</v>
      </c>
      <c r="U12">
        <f>Source!GF33</f>
        <v>462942439</v>
      </c>
      <c r="V12">
        <v>1739765598</v>
      </c>
      <c r="W12">
        <v>1739765598</v>
      </c>
    </row>
    <row r="13" spans="1:23" x14ac:dyDescent="0.2">
      <c r="A13">
        <f>Source!A35</f>
        <v>17</v>
      </c>
      <c r="C13">
        <v>3</v>
      </c>
      <c r="D13">
        <f>Source!BI35</f>
        <v>1</v>
      </c>
      <c r="E13">
        <f>Source!FS35</f>
        <v>0</v>
      </c>
      <c r="F13" t="str">
        <f>Source!F35</f>
        <v>Цена поставщика</v>
      </c>
      <c r="G13" t="str">
        <f>Source!G35</f>
        <v>Уличный тренажер "Жим от груди" арт. ЛГТУ-01, размеры 875х1597х1948 мм (Базисная стоимость: 96 765,15 = 113 841,35/1,2 + 2% Транспорт.)</v>
      </c>
      <c r="H13" t="str">
        <f>Source!H35</f>
        <v>шт.</v>
      </c>
      <c r="I13">
        <f>Source!I35</f>
        <v>1</v>
      </c>
      <c r="J13">
        <v>1</v>
      </c>
      <c r="K13">
        <f>Source!AC35</f>
        <v>108411.1</v>
      </c>
      <c r="M13">
        <f>ROUND(K13*I13, 2)</f>
        <v>108411.1</v>
      </c>
      <c r="N13">
        <f>Source!AC35*IF(Source!BC35&lt;&gt; 0, Source!BC35, 1)</f>
        <v>108411.1</v>
      </c>
      <c r="O13">
        <f>ROUND(N13*I13, 2)</f>
        <v>108411.1</v>
      </c>
      <c r="P13">
        <f>Source!AE35</f>
        <v>0</v>
      </c>
      <c r="R13">
        <f>ROUND(P13*I13, 2)</f>
        <v>0</v>
      </c>
      <c r="S13">
        <f>Source!AE35*IF(Source!BS35&lt;&gt; 0, Source!BS35, 1)</f>
        <v>0</v>
      </c>
      <c r="T13">
        <f>ROUND(S13*I13, 2)</f>
        <v>0</v>
      </c>
      <c r="U13">
        <f>Source!GF35</f>
        <v>-979775266</v>
      </c>
      <c r="V13">
        <v>1025115178</v>
      </c>
      <c r="W13">
        <v>1025115178</v>
      </c>
    </row>
    <row r="14" spans="1:23" x14ac:dyDescent="0.2">
      <c r="A14">
        <f>Source!A37</f>
        <v>17</v>
      </c>
      <c r="C14">
        <v>3</v>
      </c>
      <c r="D14">
        <v>0</v>
      </c>
      <c r="E14">
        <f>SmtRes!AV18</f>
        <v>0</v>
      </c>
      <c r="F14" t="str">
        <f>SmtRes!I18</f>
        <v>21.1-25-13</v>
      </c>
      <c r="G14" t="str">
        <f>SmtRes!K18</f>
        <v>Вода</v>
      </c>
      <c r="H14" t="str">
        <f>SmtRes!O18</f>
        <v>м3</v>
      </c>
      <c r="I14">
        <f>SmtRes!Y18*Source!I37</f>
        <v>7.3499999999999998E-3</v>
      </c>
      <c r="J14">
        <f>SmtRes!AO18</f>
        <v>1</v>
      </c>
      <c r="K14">
        <f>SmtRes!AE18</f>
        <v>35.25</v>
      </c>
      <c r="L14">
        <f>SmtRes!DB18</f>
        <v>5.29</v>
      </c>
      <c r="M14">
        <f>ROUND(ROUND(L14*Source!I37, 6)*1, 2)</f>
        <v>0.26</v>
      </c>
      <c r="N14">
        <f>SmtRes!AA18</f>
        <v>35.25</v>
      </c>
      <c r="O14">
        <f>ROUND(ROUND(L14*Source!I37, 6)*SmtRes!DA18, 2)</f>
        <v>0.26</v>
      </c>
      <c r="P14">
        <f>SmtRes!AG18</f>
        <v>0</v>
      </c>
      <c r="Q14">
        <f>SmtRes!DC18</f>
        <v>0</v>
      </c>
      <c r="R14">
        <f>ROUND(ROUND(Q14*Source!I37, 6)*1, 2)</f>
        <v>0</v>
      </c>
      <c r="S14">
        <f>SmtRes!AC18</f>
        <v>0</v>
      </c>
      <c r="T14">
        <f>ROUND(ROUND(Q14*Source!I37, 6)*SmtRes!AK18, 2)</f>
        <v>0</v>
      </c>
      <c r="U14">
        <f>SmtRes!X18</f>
        <v>2028445372</v>
      </c>
      <c r="V14">
        <v>1411454429</v>
      </c>
      <c r="W14">
        <v>1411454429</v>
      </c>
    </row>
    <row r="15" spans="1:23" x14ac:dyDescent="0.2">
      <c r="A15">
        <f>Source!A37</f>
        <v>17</v>
      </c>
      <c r="C15">
        <v>3</v>
      </c>
      <c r="D15">
        <v>0</v>
      </c>
      <c r="E15">
        <f>SmtRes!AV17</f>
        <v>0</v>
      </c>
      <c r="F15" t="str">
        <f>SmtRes!I17</f>
        <v>21.1-12-11</v>
      </c>
      <c r="G15" t="str">
        <f>SmtRes!K17</f>
        <v>Песок для строительных работ, рядовой</v>
      </c>
      <c r="H15" t="str">
        <f>SmtRes!O17</f>
        <v>м3</v>
      </c>
      <c r="I15">
        <f>SmtRes!Y17*Source!I37</f>
        <v>5.3900000000000003E-2</v>
      </c>
      <c r="J15">
        <f>SmtRes!AO17</f>
        <v>1</v>
      </c>
      <c r="K15">
        <f>SmtRes!AE17</f>
        <v>590.78</v>
      </c>
      <c r="L15">
        <f>SmtRes!DB17</f>
        <v>649.86</v>
      </c>
      <c r="M15">
        <f>ROUND(ROUND(L15*Source!I37, 6)*1, 2)</f>
        <v>31.84</v>
      </c>
      <c r="N15">
        <f>SmtRes!AA17</f>
        <v>590.78</v>
      </c>
      <c r="O15">
        <f>ROUND(ROUND(L15*Source!I37, 6)*SmtRes!DA17, 2)</f>
        <v>31.84</v>
      </c>
      <c r="P15">
        <f>SmtRes!AG17</f>
        <v>0</v>
      </c>
      <c r="Q15">
        <f>SmtRes!DC17</f>
        <v>0</v>
      </c>
      <c r="R15">
        <f>ROUND(ROUND(Q15*Source!I37, 6)*1, 2)</f>
        <v>0</v>
      </c>
      <c r="S15">
        <f>SmtRes!AC17</f>
        <v>0</v>
      </c>
      <c r="T15">
        <f>ROUND(ROUND(Q15*Source!I37, 6)*SmtRes!AK17, 2)</f>
        <v>0</v>
      </c>
      <c r="U15">
        <f>SmtRes!X17</f>
        <v>-1662970571</v>
      </c>
      <c r="V15">
        <v>496958337</v>
      </c>
      <c r="W15">
        <v>496958337</v>
      </c>
    </row>
    <row r="16" spans="1:23" x14ac:dyDescent="0.2">
      <c r="A16">
        <f>Source!A38</f>
        <v>17</v>
      </c>
      <c r="C16">
        <v>3</v>
      </c>
      <c r="D16">
        <v>0</v>
      </c>
      <c r="E16">
        <f>SmtRes!AV24</f>
        <v>0</v>
      </c>
      <c r="F16" t="str">
        <f>SmtRes!I24</f>
        <v>21.1-25-13</v>
      </c>
      <c r="G16" t="str">
        <f>SmtRes!K24</f>
        <v>Вода</v>
      </c>
      <c r="H16" t="str">
        <f>SmtRes!O24</f>
        <v>м3</v>
      </c>
      <c r="I16">
        <f>SmtRes!Y24*Source!I38</f>
        <v>1.47E-2</v>
      </c>
      <c r="J16">
        <f>SmtRes!AO24</f>
        <v>1</v>
      </c>
      <c r="K16">
        <f>SmtRes!AE24</f>
        <v>35.25</v>
      </c>
      <c r="L16">
        <f>SmtRes!DB24</f>
        <v>5.29</v>
      </c>
      <c r="M16">
        <f>ROUND(ROUND(L16*Source!I38, 6)*1, 2)</f>
        <v>0.52</v>
      </c>
      <c r="N16">
        <f>SmtRes!AA24</f>
        <v>35.25</v>
      </c>
      <c r="O16">
        <f>ROUND(ROUND(L16*Source!I38, 6)*SmtRes!DA24, 2)</f>
        <v>0.52</v>
      </c>
      <c r="P16">
        <f>SmtRes!AG24</f>
        <v>0</v>
      </c>
      <c r="Q16">
        <f>SmtRes!DC24</f>
        <v>0</v>
      </c>
      <c r="R16">
        <f>ROUND(ROUND(Q16*Source!I38, 6)*1, 2)</f>
        <v>0</v>
      </c>
      <c r="S16">
        <f>SmtRes!AC24</f>
        <v>0</v>
      </c>
      <c r="T16">
        <f>ROUND(ROUND(Q16*Source!I38, 6)*SmtRes!AK24, 2)</f>
        <v>0</v>
      </c>
      <c r="U16">
        <f>SmtRes!X24</f>
        <v>2028445372</v>
      </c>
      <c r="V16">
        <v>1411454429</v>
      </c>
      <c r="W16">
        <v>1411454429</v>
      </c>
    </row>
    <row r="17" spans="1:23" x14ac:dyDescent="0.2">
      <c r="A17">
        <f>Source!A38</f>
        <v>17</v>
      </c>
      <c r="C17">
        <v>3</v>
      </c>
      <c r="D17">
        <v>0</v>
      </c>
      <c r="E17">
        <f>SmtRes!AV23</f>
        <v>0</v>
      </c>
      <c r="F17" t="str">
        <f>SmtRes!I23</f>
        <v>21.1-12-45</v>
      </c>
      <c r="G17" t="str">
        <f>SmtRes!K23</f>
        <v>Щебень из естественного камня для строительных работ, рядовой, марка 300-200</v>
      </c>
      <c r="H17" t="str">
        <f>SmtRes!O23</f>
        <v>м3</v>
      </c>
      <c r="I17">
        <f>SmtRes!Y23*Source!I38</f>
        <v>0.11269999999999999</v>
      </c>
      <c r="J17">
        <f>SmtRes!AO23</f>
        <v>1</v>
      </c>
      <c r="K17">
        <f>SmtRes!AE23</f>
        <v>1436.5</v>
      </c>
      <c r="L17">
        <f>SmtRes!DB23</f>
        <v>1651.98</v>
      </c>
      <c r="M17">
        <f>ROUND(ROUND(L17*Source!I38, 6)*1, 2)</f>
        <v>161.88999999999999</v>
      </c>
      <c r="N17">
        <f>SmtRes!AA23</f>
        <v>1436.5</v>
      </c>
      <c r="O17">
        <f>ROUND(ROUND(L17*Source!I38, 6)*SmtRes!DA23, 2)</f>
        <v>161.88999999999999</v>
      </c>
      <c r="P17">
        <f>SmtRes!AG23</f>
        <v>0</v>
      </c>
      <c r="Q17">
        <f>SmtRes!DC23</f>
        <v>0</v>
      </c>
      <c r="R17">
        <f>ROUND(ROUND(Q17*Source!I38, 6)*1, 2)</f>
        <v>0</v>
      </c>
      <c r="S17">
        <f>SmtRes!AC23</f>
        <v>0</v>
      </c>
      <c r="T17">
        <f>ROUND(ROUND(Q17*Source!I38, 6)*SmtRes!AK23, 2)</f>
        <v>0</v>
      </c>
      <c r="U17">
        <f>SmtRes!X23</f>
        <v>353177933</v>
      </c>
      <c r="V17">
        <v>-1690885940</v>
      </c>
      <c r="W17">
        <v>-1690885940</v>
      </c>
    </row>
    <row r="18" spans="1:23" x14ac:dyDescent="0.2">
      <c r="A18">
        <f>Source!A41</f>
        <v>18</v>
      </c>
      <c r="C18">
        <v>3</v>
      </c>
      <c r="D18">
        <f>Source!BI41</f>
        <v>4</v>
      </c>
      <c r="E18">
        <f>Source!FS41</f>
        <v>0</v>
      </c>
      <c r="F18" t="str">
        <f>Source!F41</f>
        <v>21.7-7-41</v>
      </c>
      <c r="G18" t="str">
        <f>Source!G41</f>
        <v>Деталь закладная дополнительная для монтажа малых форм</v>
      </c>
      <c r="H18" t="str">
        <f>Source!H41</f>
        <v>шт.</v>
      </c>
      <c r="I18">
        <f>Source!I41</f>
        <v>0.99999999999999989</v>
      </c>
      <c r="J18">
        <v>1</v>
      </c>
      <c r="K18">
        <f>Source!AC41</f>
        <v>210</v>
      </c>
      <c r="M18">
        <f>ROUND(K18*I18, 2)</f>
        <v>210</v>
      </c>
      <c r="N18">
        <f>Source!AC41*IF(Source!BC41&lt;&gt; 0, Source!BC41, 1)</f>
        <v>210</v>
      </c>
      <c r="O18">
        <f>ROUND(N18*I18, 2)</f>
        <v>210</v>
      </c>
      <c r="P18">
        <f>Source!AE41</f>
        <v>0</v>
      </c>
      <c r="R18">
        <f>ROUND(P18*I18, 2)</f>
        <v>0</v>
      </c>
      <c r="S18">
        <f>Source!AE41*IF(Source!BS41&lt;&gt; 0, Source!BS41, 1)</f>
        <v>0</v>
      </c>
      <c r="T18">
        <f>ROUND(S18*I18, 2)</f>
        <v>0</v>
      </c>
      <c r="U18">
        <f>Source!GF41</f>
        <v>462942439</v>
      </c>
      <c r="V18">
        <v>1739765598</v>
      </c>
      <c r="W18">
        <v>1739765598</v>
      </c>
    </row>
    <row r="19" spans="1:23" x14ac:dyDescent="0.2">
      <c r="A19">
        <f>Source!A43</f>
        <v>17</v>
      </c>
      <c r="C19">
        <v>3</v>
      </c>
      <c r="D19">
        <f>Source!BI43</f>
        <v>1</v>
      </c>
      <c r="E19">
        <f>Source!FS43</f>
        <v>0</v>
      </c>
      <c r="F19" t="str">
        <f>Source!F43</f>
        <v>Цена поставщика</v>
      </c>
      <c r="G19" t="str">
        <f>Source!G43</f>
        <v>Уличный тренажер "Жим ногами горизонтальный" арт. ЛГТУ-03, размеры 500х1777х1548 мм (Базисная стоимость: 50 862,81 = 59838,60/1,2 + 2% Транспорт.)</v>
      </c>
      <c r="H19" t="str">
        <f>Source!H43</f>
        <v>шт.</v>
      </c>
      <c r="I19">
        <f>Source!I43</f>
        <v>1</v>
      </c>
      <c r="J19">
        <v>1</v>
      </c>
      <c r="K19">
        <f>Source!AC43</f>
        <v>62508.75</v>
      </c>
      <c r="M19">
        <f>ROUND(K19*I19, 2)</f>
        <v>62508.75</v>
      </c>
      <c r="N19">
        <f>Source!AC43*IF(Source!BC43&lt;&gt; 0, Source!BC43, 1)</f>
        <v>62508.75</v>
      </c>
      <c r="O19">
        <f>ROUND(N19*I19, 2)</f>
        <v>62508.75</v>
      </c>
      <c r="P19">
        <f>Source!AE43</f>
        <v>0</v>
      </c>
      <c r="R19">
        <f>ROUND(P19*I19, 2)</f>
        <v>0</v>
      </c>
      <c r="S19">
        <f>Source!AE43*IF(Source!BS43&lt;&gt; 0, Source!BS43, 1)</f>
        <v>0</v>
      </c>
      <c r="T19">
        <f>ROUND(S19*I19, 2)</f>
        <v>0</v>
      </c>
      <c r="U19">
        <f>Source!GF43</f>
        <v>-1905195233</v>
      </c>
      <c r="V19">
        <v>659772285</v>
      </c>
      <c r="W19">
        <v>659772285</v>
      </c>
    </row>
    <row r="20" spans="1:23" x14ac:dyDescent="0.2">
      <c r="A20">
        <f>Source!A45</f>
        <v>17</v>
      </c>
      <c r="C20">
        <v>3</v>
      </c>
      <c r="D20">
        <v>0</v>
      </c>
      <c r="E20">
        <f>SmtRes!AV30</f>
        <v>0</v>
      </c>
      <c r="F20" t="str">
        <f>SmtRes!I30</f>
        <v>21.1-25-13</v>
      </c>
      <c r="G20" t="str">
        <f>SmtRes!K30</f>
        <v>Вода</v>
      </c>
      <c r="H20" t="str">
        <f>SmtRes!O30</f>
        <v>м3</v>
      </c>
      <c r="I20">
        <f>SmtRes!Y30*Source!I45</f>
        <v>7.3499999999999998E-3</v>
      </c>
      <c r="J20">
        <f>SmtRes!AO30</f>
        <v>1</v>
      </c>
      <c r="K20">
        <f>SmtRes!AE30</f>
        <v>35.25</v>
      </c>
      <c r="L20">
        <f>SmtRes!DB30</f>
        <v>5.29</v>
      </c>
      <c r="M20">
        <f>ROUND(ROUND(L20*Source!I45, 6)*1, 2)</f>
        <v>0.26</v>
      </c>
      <c r="N20">
        <f>SmtRes!AA30</f>
        <v>35.25</v>
      </c>
      <c r="O20">
        <f>ROUND(ROUND(L20*Source!I45, 6)*SmtRes!DA30, 2)</f>
        <v>0.26</v>
      </c>
      <c r="P20">
        <f>SmtRes!AG30</f>
        <v>0</v>
      </c>
      <c r="Q20">
        <f>SmtRes!DC30</f>
        <v>0</v>
      </c>
      <c r="R20">
        <f>ROUND(ROUND(Q20*Source!I45, 6)*1, 2)</f>
        <v>0</v>
      </c>
      <c r="S20">
        <f>SmtRes!AC30</f>
        <v>0</v>
      </c>
      <c r="T20">
        <f>ROUND(ROUND(Q20*Source!I45, 6)*SmtRes!AK30, 2)</f>
        <v>0</v>
      </c>
      <c r="U20">
        <f>SmtRes!X30</f>
        <v>2028445372</v>
      </c>
      <c r="V20">
        <v>1411454429</v>
      </c>
      <c r="W20">
        <v>1411454429</v>
      </c>
    </row>
    <row r="21" spans="1:23" x14ac:dyDescent="0.2">
      <c r="A21">
        <f>Source!A45</f>
        <v>17</v>
      </c>
      <c r="C21">
        <v>3</v>
      </c>
      <c r="D21">
        <v>0</v>
      </c>
      <c r="E21">
        <f>SmtRes!AV29</f>
        <v>0</v>
      </c>
      <c r="F21" t="str">
        <f>SmtRes!I29</f>
        <v>21.1-12-11</v>
      </c>
      <c r="G21" t="str">
        <f>SmtRes!K29</f>
        <v>Песок для строительных работ, рядовой</v>
      </c>
      <c r="H21" t="str">
        <f>SmtRes!O29</f>
        <v>м3</v>
      </c>
      <c r="I21">
        <f>SmtRes!Y29*Source!I45</f>
        <v>5.3900000000000003E-2</v>
      </c>
      <c r="J21">
        <f>SmtRes!AO29</f>
        <v>1</v>
      </c>
      <c r="K21">
        <f>SmtRes!AE29</f>
        <v>590.78</v>
      </c>
      <c r="L21">
        <f>SmtRes!DB29</f>
        <v>649.86</v>
      </c>
      <c r="M21">
        <f>ROUND(ROUND(L21*Source!I45, 6)*1, 2)</f>
        <v>31.84</v>
      </c>
      <c r="N21">
        <f>SmtRes!AA29</f>
        <v>590.78</v>
      </c>
      <c r="O21">
        <f>ROUND(ROUND(L21*Source!I45, 6)*SmtRes!DA29, 2)</f>
        <v>31.84</v>
      </c>
      <c r="P21">
        <f>SmtRes!AG29</f>
        <v>0</v>
      </c>
      <c r="Q21">
        <f>SmtRes!DC29</f>
        <v>0</v>
      </c>
      <c r="R21">
        <f>ROUND(ROUND(Q21*Source!I45, 6)*1, 2)</f>
        <v>0</v>
      </c>
      <c r="S21">
        <f>SmtRes!AC29</f>
        <v>0</v>
      </c>
      <c r="T21">
        <f>ROUND(ROUND(Q21*Source!I45, 6)*SmtRes!AK29, 2)</f>
        <v>0</v>
      </c>
      <c r="U21">
        <f>SmtRes!X29</f>
        <v>-1662970571</v>
      </c>
      <c r="V21">
        <v>496958337</v>
      </c>
      <c r="W21">
        <v>496958337</v>
      </c>
    </row>
    <row r="22" spans="1:23" x14ac:dyDescent="0.2">
      <c r="A22">
        <f>Source!A46</f>
        <v>17</v>
      </c>
      <c r="C22">
        <v>3</v>
      </c>
      <c r="D22">
        <v>0</v>
      </c>
      <c r="E22">
        <f>SmtRes!AV36</f>
        <v>0</v>
      </c>
      <c r="F22" t="str">
        <f>SmtRes!I36</f>
        <v>21.1-25-13</v>
      </c>
      <c r="G22" t="str">
        <f>SmtRes!K36</f>
        <v>Вода</v>
      </c>
      <c r="H22" t="str">
        <f>SmtRes!O36</f>
        <v>м3</v>
      </c>
      <c r="I22">
        <f>SmtRes!Y36*Source!I46</f>
        <v>1.47E-2</v>
      </c>
      <c r="J22">
        <f>SmtRes!AO36</f>
        <v>1</v>
      </c>
      <c r="K22">
        <f>SmtRes!AE36</f>
        <v>35.25</v>
      </c>
      <c r="L22">
        <f>SmtRes!DB36</f>
        <v>5.29</v>
      </c>
      <c r="M22">
        <f>ROUND(ROUND(L22*Source!I46, 6)*1, 2)</f>
        <v>0.52</v>
      </c>
      <c r="N22">
        <f>SmtRes!AA36</f>
        <v>35.25</v>
      </c>
      <c r="O22">
        <f>ROUND(ROUND(L22*Source!I46, 6)*SmtRes!DA36, 2)</f>
        <v>0.52</v>
      </c>
      <c r="P22">
        <f>SmtRes!AG36</f>
        <v>0</v>
      </c>
      <c r="Q22">
        <f>SmtRes!DC36</f>
        <v>0</v>
      </c>
      <c r="R22">
        <f>ROUND(ROUND(Q22*Source!I46, 6)*1, 2)</f>
        <v>0</v>
      </c>
      <c r="S22">
        <f>SmtRes!AC36</f>
        <v>0</v>
      </c>
      <c r="T22">
        <f>ROUND(ROUND(Q22*Source!I46, 6)*SmtRes!AK36, 2)</f>
        <v>0</v>
      </c>
      <c r="U22">
        <f>SmtRes!X36</f>
        <v>2028445372</v>
      </c>
      <c r="V22">
        <v>1411454429</v>
      </c>
      <c r="W22">
        <v>1411454429</v>
      </c>
    </row>
    <row r="23" spans="1:23" x14ac:dyDescent="0.2">
      <c r="A23">
        <f>Source!A46</f>
        <v>17</v>
      </c>
      <c r="C23">
        <v>3</v>
      </c>
      <c r="D23">
        <v>0</v>
      </c>
      <c r="E23">
        <f>SmtRes!AV35</f>
        <v>0</v>
      </c>
      <c r="F23" t="str">
        <f>SmtRes!I35</f>
        <v>21.1-12-45</v>
      </c>
      <c r="G23" t="str">
        <f>SmtRes!K35</f>
        <v>Щебень из естественного камня для строительных работ, рядовой, марка 300-200</v>
      </c>
      <c r="H23" t="str">
        <f>SmtRes!O35</f>
        <v>м3</v>
      </c>
      <c r="I23">
        <f>SmtRes!Y35*Source!I46</f>
        <v>0.11269999999999999</v>
      </c>
      <c r="J23">
        <f>SmtRes!AO35</f>
        <v>1</v>
      </c>
      <c r="K23">
        <f>SmtRes!AE35</f>
        <v>1436.5</v>
      </c>
      <c r="L23">
        <f>SmtRes!DB35</f>
        <v>1651.98</v>
      </c>
      <c r="M23">
        <f>ROUND(ROUND(L23*Source!I46, 6)*1, 2)</f>
        <v>161.88999999999999</v>
      </c>
      <c r="N23">
        <f>SmtRes!AA35</f>
        <v>1436.5</v>
      </c>
      <c r="O23">
        <f>ROUND(ROUND(L23*Source!I46, 6)*SmtRes!DA35, 2)</f>
        <v>161.88999999999999</v>
      </c>
      <c r="P23">
        <f>SmtRes!AG35</f>
        <v>0</v>
      </c>
      <c r="Q23">
        <f>SmtRes!DC35</f>
        <v>0</v>
      </c>
      <c r="R23">
        <f>ROUND(ROUND(Q23*Source!I46, 6)*1, 2)</f>
        <v>0</v>
      </c>
      <c r="S23">
        <f>SmtRes!AC35</f>
        <v>0</v>
      </c>
      <c r="T23">
        <f>ROUND(ROUND(Q23*Source!I46, 6)*SmtRes!AK35, 2)</f>
        <v>0</v>
      </c>
      <c r="U23">
        <f>SmtRes!X35</f>
        <v>353177933</v>
      </c>
      <c r="V23">
        <v>-1690885940</v>
      </c>
      <c r="W23">
        <v>-1690885940</v>
      </c>
    </row>
    <row r="24" spans="1:23" x14ac:dyDescent="0.2">
      <c r="A24">
        <f>Source!A49</f>
        <v>18</v>
      </c>
      <c r="C24">
        <v>3</v>
      </c>
      <c r="D24">
        <f>Source!BI49</f>
        <v>4</v>
      </c>
      <c r="E24">
        <f>Source!FS49</f>
        <v>0</v>
      </c>
      <c r="F24" t="str">
        <f>Source!F49</f>
        <v>21.7-7-41</v>
      </c>
      <c r="G24" t="str">
        <f>Source!G49</f>
        <v>Деталь закладная дополнительная для монтажа малых форм</v>
      </c>
      <c r="H24" t="str">
        <f>Source!H49</f>
        <v>шт.</v>
      </c>
      <c r="I24">
        <f>Source!I49</f>
        <v>1</v>
      </c>
      <c r="J24">
        <v>1</v>
      </c>
      <c r="K24">
        <f>Source!AC49</f>
        <v>210</v>
      </c>
      <c r="M24">
        <f>ROUND(K24*I24, 2)</f>
        <v>210</v>
      </c>
      <c r="N24">
        <f>Source!AC49*IF(Source!BC49&lt;&gt; 0, Source!BC49, 1)</f>
        <v>210</v>
      </c>
      <c r="O24">
        <f>ROUND(N24*I24, 2)</f>
        <v>210</v>
      </c>
      <c r="P24">
        <f>Source!AE49</f>
        <v>0</v>
      </c>
      <c r="R24">
        <f>ROUND(P24*I24, 2)</f>
        <v>0</v>
      </c>
      <c r="S24">
        <f>Source!AE49*IF(Source!BS49&lt;&gt; 0, Source!BS49, 1)</f>
        <v>0</v>
      </c>
      <c r="T24">
        <f>ROUND(S24*I24, 2)</f>
        <v>0</v>
      </c>
      <c r="U24">
        <f>Source!GF49</f>
        <v>462942439</v>
      </c>
      <c r="V24">
        <v>1739765598</v>
      </c>
      <c r="W24">
        <v>1739765598</v>
      </c>
    </row>
    <row r="25" spans="1:23" x14ac:dyDescent="0.2">
      <c r="A25">
        <f>Source!A51</f>
        <v>17</v>
      </c>
      <c r="C25">
        <v>3</v>
      </c>
      <c r="D25">
        <f>Source!BI51</f>
        <v>1</v>
      </c>
      <c r="E25">
        <f>Source!FS51</f>
        <v>0</v>
      </c>
      <c r="F25" t="str">
        <f>Source!F51</f>
        <v>Цена поставщика</v>
      </c>
      <c r="G25" t="str">
        <f>Source!G51</f>
        <v>Уличный тренажер "Тренажер для приводящих мышц бедра" арт. ЛГТУ-04, размеры 797х1098х1426 мм  (Базисная стоимость: 57 243,68 = 67 345,50/1,2 + 2% Транспорт.)</v>
      </c>
      <c r="H25" t="str">
        <f>Source!H51</f>
        <v>шт.</v>
      </c>
      <c r="I25">
        <f>Source!I51</f>
        <v>1</v>
      </c>
      <c r="J25">
        <v>1</v>
      </c>
      <c r="K25">
        <f>Source!AC51</f>
        <v>68889.62</v>
      </c>
      <c r="M25">
        <f>ROUND(K25*I25, 2)</f>
        <v>68889.62</v>
      </c>
      <c r="N25">
        <f>Source!AC51*IF(Source!BC51&lt;&gt; 0, Source!BC51, 1)</f>
        <v>68889.62</v>
      </c>
      <c r="O25">
        <f>ROUND(N25*I25, 2)</f>
        <v>68889.62</v>
      </c>
      <c r="P25">
        <f>Source!AE51</f>
        <v>0</v>
      </c>
      <c r="R25">
        <f>ROUND(P25*I25, 2)</f>
        <v>0</v>
      </c>
      <c r="S25">
        <f>Source!AE51*IF(Source!BS51&lt;&gt; 0, Source!BS51, 1)</f>
        <v>0</v>
      </c>
      <c r="T25">
        <f>ROUND(S25*I25, 2)</f>
        <v>0</v>
      </c>
      <c r="U25">
        <f>Source!GF51</f>
        <v>2140298361</v>
      </c>
      <c r="V25">
        <v>1436854278</v>
      </c>
      <c r="W25">
        <v>1436854278</v>
      </c>
    </row>
    <row r="26" spans="1:23" x14ac:dyDescent="0.2">
      <c r="A26">
        <f>Source!A53</f>
        <v>17</v>
      </c>
      <c r="C26">
        <v>3</v>
      </c>
      <c r="D26">
        <v>0</v>
      </c>
      <c r="E26">
        <f>SmtRes!AV44</f>
        <v>0</v>
      </c>
      <c r="F26" t="str">
        <f>SmtRes!I44</f>
        <v>21.1-25-13</v>
      </c>
      <c r="G26" t="str">
        <f>SmtRes!K44</f>
        <v>Вода</v>
      </c>
      <c r="H26" t="str">
        <f>SmtRes!O44</f>
        <v>м3</v>
      </c>
      <c r="I26">
        <f>SmtRes!Y44*Source!I53</f>
        <v>7.3499999999999998E-3</v>
      </c>
      <c r="J26">
        <f>SmtRes!AO44</f>
        <v>1</v>
      </c>
      <c r="K26">
        <f>SmtRes!AE44</f>
        <v>35.25</v>
      </c>
      <c r="L26">
        <f>SmtRes!DB44</f>
        <v>5.29</v>
      </c>
      <c r="M26">
        <f>ROUND(ROUND(L26*Source!I53, 6)*1, 2)</f>
        <v>0.26</v>
      </c>
      <c r="N26">
        <f>SmtRes!AA44</f>
        <v>35.25</v>
      </c>
      <c r="O26">
        <f>ROUND(ROUND(L26*Source!I53, 6)*SmtRes!DA44, 2)</f>
        <v>0.26</v>
      </c>
      <c r="P26">
        <f>SmtRes!AG44</f>
        <v>0</v>
      </c>
      <c r="Q26">
        <f>SmtRes!DC44</f>
        <v>0</v>
      </c>
      <c r="R26">
        <f>ROUND(ROUND(Q26*Source!I53, 6)*1, 2)</f>
        <v>0</v>
      </c>
      <c r="S26">
        <f>SmtRes!AC44</f>
        <v>0</v>
      </c>
      <c r="T26">
        <f>ROUND(ROUND(Q26*Source!I53, 6)*SmtRes!AK44, 2)</f>
        <v>0</v>
      </c>
      <c r="U26">
        <f>SmtRes!X44</f>
        <v>2028445372</v>
      </c>
      <c r="V26">
        <v>1411454429</v>
      </c>
      <c r="W26">
        <v>1411454429</v>
      </c>
    </row>
    <row r="27" spans="1:23" x14ac:dyDescent="0.2">
      <c r="A27">
        <f>Source!A53</f>
        <v>17</v>
      </c>
      <c r="C27">
        <v>3</v>
      </c>
      <c r="D27">
        <v>0</v>
      </c>
      <c r="E27">
        <f>SmtRes!AV43</f>
        <v>0</v>
      </c>
      <c r="F27" t="str">
        <f>SmtRes!I43</f>
        <v>21.1-12-11</v>
      </c>
      <c r="G27" t="str">
        <f>SmtRes!K43</f>
        <v>Песок для строительных работ, рядовой</v>
      </c>
      <c r="H27" t="str">
        <f>SmtRes!O43</f>
        <v>м3</v>
      </c>
      <c r="I27">
        <f>SmtRes!Y43*Source!I53</f>
        <v>5.3900000000000003E-2</v>
      </c>
      <c r="J27">
        <f>SmtRes!AO43</f>
        <v>1</v>
      </c>
      <c r="K27">
        <f>SmtRes!AE43</f>
        <v>590.78</v>
      </c>
      <c r="L27">
        <f>SmtRes!DB43</f>
        <v>649.86</v>
      </c>
      <c r="M27">
        <f>ROUND(ROUND(L27*Source!I53, 6)*1, 2)</f>
        <v>31.84</v>
      </c>
      <c r="N27">
        <f>SmtRes!AA43</f>
        <v>590.78</v>
      </c>
      <c r="O27">
        <f>ROUND(ROUND(L27*Source!I53, 6)*SmtRes!DA43, 2)</f>
        <v>31.84</v>
      </c>
      <c r="P27">
        <f>SmtRes!AG43</f>
        <v>0</v>
      </c>
      <c r="Q27">
        <f>SmtRes!DC43</f>
        <v>0</v>
      </c>
      <c r="R27">
        <f>ROUND(ROUND(Q27*Source!I53, 6)*1, 2)</f>
        <v>0</v>
      </c>
      <c r="S27">
        <f>SmtRes!AC43</f>
        <v>0</v>
      </c>
      <c r="T27">
        <f>ROUND(ROUND(Q27*Source!I53, 6)*SmtRes!AK43, 2)</f>
        <v>0</v>
      </c>
      <c r="U27">
        <f>SmtRes!X43</f>
        <v>-1662970571</v>
      </c>
      <c r="V27">
        <v>496958337</v>
      </c>
      <c r="W27">
        <v>496958337</v>
      </c>
    </row>
    <row r="28" spans="1:23" x14ac:dyDescent="0.2">
      <c r="A28">
        <f>Source!A54</f>
        <v>17</v>
      </c>
      <c r="C28">
        <v>3</v>
      </c>
      <c r="D28">
        <v>0</v>
      </c>
      <c r="E28">
        <f>SmtRes!AV50</f>
        <v>0</v>
      </c>
      <c r="F28" t="str">
        <f>SmtRes!I50</f>
        <v>21.1-25-13</v>
      </c>
      <c r="G28" t="str">
        <f>SmtRes!K50</f>
        <v>Вода</v>
      </c>
      <c r="H28" t="str">
        <f>SmtRes!O50</f>
        <v>м3</v>
      </c>
      <c r="I28">
        <f>SmtRes!Y50*Source!I54</f>
        <v>1.47E-2</v>
      </c>
      <c r="J28">
        <f>SmtRes!AO50</f>
        <v>1</v>
      </c>
      <c r="K28">
        <f>SmtRes!AE50</f>
        <v>35.25</v>
      </c>
      <c r="L28">
        <f>SmtRes!DB50</f>
        <v>5.29</v>
      </c>
      <c r="M28">
        <f>ROUND(ROUND(L28*Source!I54, 6)*1, 2)</f>
        <v>0.52</v>
      </c>
      <c r="N28">
        <f>SmtRes!AA50</f>
        <v>35.25</v>
      </c>
      <c r="O28">
        <f>ROUND(ROUND(L28*Source!I54, 6)*SmtRes!DA50, 2)</f>
        <v>0.52</v>
      </c>
      <c r="P28">
        <f>SmtRes!AG50</f>
        <v>0</v>
      </c>
      <c r="Q28">
        <f>SmtRes!DC50</f>
        <v>0</v>
      </c>
      <c r="R28">
        <f>ROUND(ROUND(Q28*Source!I54, 6)*1, 2)</f>
        <v>0</v>
      </c>
      <c r="S28">
        <f>SmtRes!AC50</f>
        <v>0</v>
      </c>
      <c r="T28">
        <f>ROUND(ROUND(Q28*Source!I54, 6)*SmtRes!AK50, 2)</f>
        <v>0</v>
      </c>
      <c r="U28">
        <f>SmtRes!X50</f>
        <v>2028445372</v>
      </c>
      <c r="V28">
        <v>1411454429</v>
      </c>
      <c r="W28">
        <v>1411454429</v>
      </c>
    </row>
    <row r="29" spans="1:23" x14ac:dyDescent="0.2">
      <c r="A29">
        <f>Source!A54</f>
        <v>17</v>
      </c>
      <c r="C29">
        <v>3</v>
      </c>
      <c r="D29">
        <v>0</v>
      </c>
      <c r="E29">
        <f>SmtRes!AV49</f>
        <v>0</v>
      </c>
      <c r="F29" t="str">
        <f>SmtRes!I49</f>
        <v>21.1-12-45</v>
      </c>
      <c r="G29" t="str">
        <f>SmtRes!K49</f>
        <v>Щебень из естественного камня для строительных работ, рядовой, марка 300-200</v>
      </c>
      <c r="H29" t="str">
        <f>SmtRes!O49</f>
        <v>м3</v>
      </c>
      <c r="I29">
        <f>SmtRes!Y49*Source!I54</f>
        <v>0.11269999999999999</v>
      </c>
      <c r="J29">
        <f>SmtRes!AO49</f>
        <v>1</v>
      </c>
      <c r="K29">
        <f>SmtRes!AE49</f>
        <v>1436.5</v>
      </c>
      <c r="L29">
        <f>SmtRes!DB49</f>
        <v>1651.98</v>
      </c>
      <c r="M29">
        <f>ROUND(ROUND(L29*Source!I54, 6)*1, 2)</f>
        <v>161.88999999999999</v>
      </c>
      <c r="N29">
        <f>SmtRes!AA49</f>
        <v>1436.5</v>
      </c>
      <c r="O29">
        <f>ROUND(ROUND(L29*Source!I54, 6)*SmtRes!DA49, 2)</f>
        <v>161.88999999999999</v>
      </c>
      <c r="P29">
        <f>SmtRes!AG49</f>
        <v>0</v>
      </c>
      <c r="Q29">
        <f>SmtRes!DC49</f>
        <v>0</v>
      </c>
      <c r="R29">
        <f>ROUND(ROUND(Q29*Source!I54, 6)*1, 2)</f>
        <v>0</v>
      </c>
      <c r="S29">
        <f>SmtRes!AC49</f>
        <v>0</v>
      </c>
      <c r="T29">
        <f>ROUND(ROUND(Q29*Source!I54, 6)*SmtRes!AK49, 2)</f>
        <v>0</v>
      </c>
      <c r="U29">
        <f>SmtRes!X49</f>
        <v>353177933</v>
      </c>
      <c r="V29">
        <v>-1690885940</v>
      </c>
      <c r="W29">
        <v>-1690885940</v>
      </c>
    </row>
    <row r="30" spans="1:23" x14ac:dyDescent="0.2">
      <c r="A30">
        <f>Source!A57</f>
        <v>18</v>
      </c>
      <c r="C30">
        <v>3</v>
      </c>
      <c r="D30">
        <f>Source!BI57</f>
        <v>4</v>
      </c>
      <c r="E30">
        <f>Source!FS57</f>
        <v>0</v>
      </c>
      <c r="F30" t="str">
        <f>Source!F57</f>
        <v>21.7-7-41</v>
      </c>
      <c r="G30" t="str">
        <f>Source!G57</f>
        <v>Деталь закладная дополнительная для монтажа малых форм</v>
      </c>
      <c r="H30" t="str">
        <f>Source!H57</f>
        <v>шт.</v>
      </c>
      <c r="I30">
        <f>Source!I57</f>
        <v>0.99999999999999989</v>
      </c>
      <c r="J30">
        <v>1</v>
      </c>
      <c r="K30">
        <f>Source!AC57</f>
        <v>210</v>
      </c>
      <c r="M30">
        <f>ROUND(K30*I30, 2)</f>
        <v>210</v>
      </c>
      <c r="N30">
        <f>Source!AC57*IF(Source!BC57&lt;&gt; 0, Source!BC57, 1)</f>
        <v>210</v>
      </c>
      <c r="O30">
        <f>ROUND(N30*I30, 2)</f>
        <v>210</v>
      </c>
      <c r="P30">
        <f>Source!AE57</f>
        <v>0</v>
      </c>
      <c r="R30">
        <f>ROUND(P30*I30, 2)</f>
        <v>0</v>
      </c>
      <c r="S30">
        <f>Source!AE57*IF(Source!BS57&lt;&gt; 0, Source!BS57, 1)</f>
        <v>0</v>
      </c>
      <c r="T30">
        <f>ROUND(S30*I30, 2)</f>
        <v>0</v>
      </c>
      <c r="U30">
        <f>Source!GF57</f>
        <v>462942439</v>
      </c>
      <c r="V30">
        <v>1739765598</v>
      </c>
      <c r="W30">
        <v>1739765598</v>
      </c>
    </row>
    <row r="31" spans="1:23" x14ac:dyDescent="0.2">
      <c r="A31">
        <f>Source!A59</f>
        <v>17</v>
      </c>
      <c r="C31">
        <v>3</v>
      </c>
      <c r="D31">
        <f>Source!BI59</f>
        <v>1</v>
      </c>
      <c r="E31">
        <f>Source!FS59</f>
        <v>0</v>
      </c>
      <c r="F31" t="str">
        <f>Source!F59</f>
        <v>Цена поставщика</v>
      </c>
      <c r="G31" t="str">
        <f>Source!G59</f>
        <v>Уличный тренажер "Брусья" арт. ЛГТУ-05, размеры 580х1740х1550 мм (Базисная стоимость: 38 634,84 = 45 452,75/1,2 + 2% Транспорт.)</v>
      </c>
      <c r="H31" t="str">
        <f>Source!H59</f>
        <v>шт.</v>
      </c>
      <c r="I31">
        <f>Source!I59</f>
        <v>1</v>
      </c>
      <c r="J31">
        <v>1</v>
      </c>
      <c r="K31">
        <f>Source!AC59</f>
        <v>50280.78</v>
      </c>
      <c r="M31">
        <f>ROUND(K31*I31, 2)</f>
        <v>50280.78</v>
      </c>
      <c r="N31">
        <f>Source!AC59*IF(Source!BC59&lt;&gt; 0, Source!BC59, 1)</f>
        <v>50280.78</v>
      </c>
      <c r="O31">
        <f>ROUND(N31*I31, 2)</f>
        <v>50280.78</v>
      </c>
      <c r="P31">
        <f>Source!AE59</f>
        <v>0</v>
      </c>
      <c r="R31">
        <f>ROUND(P31*I31, 2)</f>
        <v>0</v>
      </c>
      <c r="S31">
        <f>Source!AE59*IF(Source!BS59&lt;&gt; 0, Source!BS59, 1)</f>
        <v>0</v>
      </c>
      <c r="T31">
        <f>ROUND(S31*I31, 2)</f>
        <v>0</v>
      </c>
      <c r="U31">
        <f>Source!GF59</f>
        <v>976026142</v>
      </c>
      <c r="V31">
        <v>1957187480</v>
      </c>
      <c r="W31">
        <v>1957187480</v>
      </c>
    </row>
    <row r="32" spans="1:23" x14ac:dyDescent="0.2">
      <c r="A32">
        <f>Source!A61</f>
        <v>17</v>
      </c>
      <c r="C32">
        <v>3</v>
      </c>
      <c r="D32">
        <v>0</v>
      </c>
      <c r="E32">
        <f>SmtRes!AV58</f>
        <v>0</v>
      </c>
      <c r="F32" t="str">
        <f>SmtRes!I58</f>
        <v>21.1-25-13</v>
      </c>
      <c r="G32" t="str">
        <f>SmtRes!K58</f>
        <v>Вода</v>
      </c>
      <c r="H32" t="str">
        <f>SmtRes!O58</f>
        <v>м3</v>
      </c>
      <c r="I32">
        <f>SmtRes!Y58*Source!I61</f>
        <v>7.3499999999999998E-3</v>
      </c>
      <c r="J32">
        <f>SmtRes!AO58</f>
        <v>1</v>
      </c>
      <c r="K32">
        <f>SmtRes!AE58</f>
        <v>35.25</v>
      </c>
      <c r="L32">
        <f>SmtRes!DB58</f>
        <v>5.29</v>
      </c>
      <c r="M32">
        <f>ROUND(ROUND(L32*Source!I61, 6)*1, 2)</f>
        <v>0.26</v>
      </c>
      <c r="N32">
        <f>SmtRes!AA58</f>
        <v>35.25</v>
      </c>
      <c r="O32">
        <f>ROUND(ROUND(L32*Source!I61, 6)*SmtRes!DA58, 2)</f>
        <v>0.26</v>
      </c>
      <c r="P32">
        <f>SmtRes!AG58</f>
        <v>0</v>
      </c>
      <c r="Q32">
        <f>SmtRes!DC58</f>
        <v>0</v>
      </c>
      <c r="R32">
        <f>ROUND(ROUND(Q32*Source!I61, 6)*1, 2)</f>
        <v>0</v>
      </c>
      <c r="S32">
        <f>SmtRes!AC58</f>
        <v>0</v>
      </c>
      <c r="T32">
        <f>ROUND(ROUND(Q32*Source!I61, 6)*SmtRes!AK58, 2)</f>
        <v>0</v>
      </c>
      <c r="U32">
        <f>SmtRes!X58</f>
        <v>2028445372</v>
      </c>
      <c r="V32">
        <v>1411454429</v>
      </c>
      <c r="W32">
        <v>1411454429</v>
      </c>
    </row>
    <row r="33" spans="1:23" x14ac:dyDescent="0.2">
      <c r="A33">
        <f>Source!A61</f>
        <v>17</v>
      </c>
      <c r="C33">
        <v>3</v>
      </c>
      <c r="D33">
        <v>0</v>
      </c>
      <c r="E33">
        <f>SmtRes!AV57</f>
        <v>0</v>
      </c>
      <c r="F33" t="str">
        <f>SmtRes!I57</f>
        <v>21.1-12-11</v>
      </c>
      <c r="G33" t="str">
        <f>SmtRes!K57</f>
        <v>Песок для строительных работ, рядовой</v>
      </c>
      <c r="H33" t="str">
        <f>SmtRes!O57</f>
        <v>м3</v>
      </c>
      <c r="I33">
        <f>SmtRes!Y57*Source!I61</f>
        <v>5.3900000000000003E-2</v>
      </c>
      <c r="J33">
        <f>SmtRes!AO57</f>
        <v>1</v>
      </c>
      <c r="K33">
        <f>SmtRes!AE57</f>
        <v>590.78</v>
      </c>
      <c r="L33">
        <f>SmtRes!DB57</f>
        <v>649.86</v>
      </c>
      <c r="M33">
        <f>ROUND(ROUND(L33*Source!I61, 6)*1, 2)</f>
        <v>31.84</v>
      </c>
      <c r="N33">
        <f>SmtRes!AA57</f>
        <v>590.78</v>
      </c>
      <c r="O33">
        <f>ROUND(ROUND(L33*Source!I61, 6)*SmtRes!DA57, 2)</f>
        <v>31.84</v>
      </c>
      <c r="P33">
        <f>SmtRes!AG57</f>
        <v>0</v>
      </c>
      <c r="Q33">
        <f>SmtRes!DC57</f>
        <v>0</v>
      </c>
      <c r="R33">
        <f>ROUND(ROUND(Q33*Source!I61, 6)*1, 2)</f>
        <v>0</v>
      </c>
      <c r="S33">
        <f>SmtRes!AC57</f>
        <v>0</v>
      </c>
      <c r="T33">
        <f>ROUND(ROUND(Q33*Source!I61, 6)*SmtRes!AK57, 2)</f>
        <v>0</v>
      </c>
      <c r="U33">
        <f>SmtRes!X57</f>
        <v>-1662970571</v>
      </c>
      <c r="V33">
        <v>496958337</v>
      </c>
      <c r="W33">
        <v>496958337</v>
      </c>
    </row>
    <row r="34" spans="1:23" x14ac:dyDescent="0.2">
      <c r="A34">
        <f>Source!A62</f>
        <v>17</v>
      </c>
      <c r="C34">
        <v>3</v>
      </c>
      <c r="D34">
        <v>0</v>
      </c>
      <c r="E34">
        <f>SmtRes!AV64</f>
        <v>0</v>
      </c>
      <c r="F34" t="str">
        <f>SmtRes!I64</f>
        <v>21.1-25-13</v>
      </c>
      <c r="G34" t="str">
        <f>SmtRes!K64</f>
        <v>Вода</v>
      </c>
      <c r="H34" t="str">
        <f>SmtRes!O64</f>
        <v>м3</v>
      </c>
      <c r="I34">
        <f>SmtRes!Y64*Source!I62</f>
        <v>1.47E-2</v>
      </c>
      <c r="J34">
        <f>SmtRes!AO64</f>
        <v>1</v>
      </c>
      <c r="K34">
        <f>SmtRes!AE64</f>
        <v>35.25</v>
      </c>
      <c r="L34">
        <f>SmtRes!DB64</f>
        <v>5.29</v>
      </c>
      <c r="M34">
        <f>ROUND(ROUND(L34*Source!I62, 6)*1, 2)</f>
        <v>0.52</v>
      </c>
      <c r="N34">
        <f>SmtRes!AA64</f>
        <v>35.25</v>
      </c>
      <c r="O34">
        <f>ROUND(ROUND(L34*Source!I62, 6)*SmtRes!DA64, 2)</f>
        <v>0.52</v>
      </c>
      <c r="P34">
        <f>SmtRes!AG64</f>
        <v>0</v>
      </c>
      <c r="Q34">
        <f>SmtRes!DC64</f>
        <v>0</v>
      </c>
      <c r="R34">
        <f>ROUND(ROUND(Q34*Source!I62, 6)*1, 2)</f>
        <v>0</v>
      </c>
      <c r="S34">
        <f>SmtRes!AC64</f>
        <v>0</v>
      </c>
      <c r="T34">
        <f>ROUND(ROUND(Q34*Source!I62, 6)*SmtRes!AK64, 2)</f>
        <v>0</v>
      </c>
      <c r="U34">
        <f>SmtRes!X64</f>
        <v>2028445372</v>
      </c>
      <c r="V34">
        <v>1411454429</v>
      </c>
      <c r="W34">
        <v>1411454429</v>
      </c>
    </row>
    <row r="35" spans="1:23" x14ac:dyDescent="0.2">
      <c r="A35">
        <f>Source!A62</f>
        <v>17</v>
      </c>
      <c r="C35">
        <v>3</v>
      </c>
      <c r="D35">
        <v>0</v>
      </c>
      <c r="E35">
        <f>SmtRes!AV63</f>
        <v>0</v>
      </c>
      <c r="F35" t="str">
        <f>SmtRes!I63</f>
        <v>21.1-12-45</v>
      </c>
      <c r="G35" t="str">
        <f>SmtRes!K63</f>
        <v>Щебень из естественного камня для строительных работ, рядовой, марка 300-200</v>
      </c>
      <c r="H35" t="str">
        <f>SmtRes!O63</f>
        <v>м3</v>
      </c>
      <c r="I35">
        <f>SmtRes!Y63*Source!I62</f>
        <v>0.11269999999999999</v>
      </c>
      <c r="J35">
        <f>SmtRes!AO63</f>
        <v>1</v>
      </c>
      <c r="K35">
        <f>SmtRes!AE63</f>
        <v>1436.5</v>
      </c>
      <c r="L35">
        <f>SmtRes!DB63</f>
        <v>1651.98</v>
      </c>
      <c r="M35">
        <f>ROUND(ROUND(L35*Source!I62, 6)*1, 2)</f>
        <v>161.88999999999999</v>
      </c>
      <c r="N35">
        <f>SmtRes!AA63</f>
        <v>1436.5</v>
      </c>
      <c r="O35">
        <f>ROUND(ROUND(L35*Source!I62, 6)*SmtRes!DA63, 2)</f>
        <v>161.88999999999999</v>
      </c>
      <c r="P35">
        <f>SmtRes!AG63</f>
        <v>0</v>
      </c>
      <c r="Q35">
        <f>SmtRes!DC63</f>
        <v>0</v>
      </c>
      <c r="R35">
        <f>ROUND(ROUND(Q35*Source!I62, 6)*1, 2)</f>
        <v>0</v>
      </c>
      <c r="S35">
        <f>SmtRes!AC63</f>
        <v>0</v>
      </c>
      <c r="T35">
        <f>ROUND(ROUND(Q35*Source!I62, 6)*SmtRes!AK63, 2)</f>
        <v>0</v>
      </c>
      <c r="U35">
        <f>SmtRes!X63</f>
        <v>353177933</v>
      </c>
      <c r="V35">
        <v>-1690885940</v>
      </c>
      <c r="W35">
        <v>-1690885940</v>
      </c>
    </row>
    <row r="36" spans="1:23" x14ac:dyDescent="0.2">
      <c r="A36">
        <f>Source!A65</f>
        <v>18</v>
      </c>
      <c r="C36">
        <v>3</v>
      </c>
      <c r="D36">
        <f>Source!BI65</f>
        <v>4</v>
      </c>
      <c r="E36">
        <f>Source!FS65</f>
        <v>0</v>
      </c>
      <c r="F36" t="str">
        <f>Source!F65</f>
        <v>21.7-7-41</v>
      </c>
      <c r="G36" t="str">
        <f>Source!G65</f>
        <v>Деталь закладная дополнительная для монтажа малых форм</v>
      </c>
      <c r="H36" t="str">
        <f>Source!H65</f>
        <v>шт.</v>
      </c>
      <c r="I36">
        <f>Source!I65</f>
        <v>1</v>
      </c>
      <c r="J36">
        <v>1</v>
      </c>
      <c r="K36">
        <f>Source!AC65</f>
        <v>210</v>
      </c>
      <c r="M36">
        <f>ROUND(K36*I36, 2)</f>
        <v>210</v>
      </c>
      <c r="N36">
        <f>Source!AC65*IF(Source!BC65&lt;&gt; 0, Source!BC65, 1)</f>
        <v>210</v>
      </c>
      <c r="O36">
        <f>ROUND(N36*I36, 2)</f>
        <v>210</v>
      </c>
      <c r="P36">
        <f>Source!AE65</f>
        <v>0</v>
      </c>
      <c r="R36">
        <f>ROUND(P36*I36, 2)</f>
        <v>0</v>
      </c>
      <c r="S36">
        <f>Source!AE65*IF(Source!BS65&lt;&gt; 0, Source!BS65, 1)</f>
        <v>0</v>
      </c>
      <c r="T36">
        <f>ROUND(S36*I36, 2)</f>
        <v>0</v>
      </c>
      <c r="U36">
        <f>Source!GF65</f>
        <v>462942439</v>
      </c>
      <c r="V36">
        <v>1739765598</v>
      </c>
      <c r="W36">
        <v>1739765598</v>
      </c>
    </row>
    <row r="37" spans="1:23" x14ac:dyDescent="0.2">
      <c r="A37">
        <f>Source!A67</f>
        <v>17</v>
      </c>
      <c r="C37">
        <v>3</v>
      </c>
      <c r="D37">
        <f>Source!BI67</f>
        <v>1</v>
      </c>
      <c r="E37">
        <f>Source!FS67</f>
        <v>0</v>
      </c>
      <c r="F37" t="str">
        <f>Source!F67</f>
        <v>Цена поставщика</v>
      </c>
      <c r="G37" t="str">
        <f>Source!G67</f>
        <v>Уличный тренажер "Хос Райдер" арт. ЛГТУ-10, размеры 725х928х1109 мм (Базисная стоимость: 45 723,88 = 53 792,80/1,2 + 2% Транспорт.)</v>
      </c>
      <c r="H37" t="str">
        <f>Source!H67</f>
        <v>шт.</v>
      </c>
      <c r="I37">
        <f>Source!I67</f>
        <v>1</v>
      </c>
      <c r="J37">
        <v>1</v>
      </c>
      <c r="K37">
        <f>Source!AC67</f>
        <v>58973.55</v>
      </c>
      <c r="M37">
        <f>ROUND(K37*I37, 2)</f>
        <v>58973.55</v>
      </c>
      <c r="N37">
        <f>Source!AC67*IF(Source!BC67&lt;&gt; 0, Source!BC67, 1)</f>
        <v>58973.55</v>
      </c>
      <c r="O37">
        <f>ROUND(N37*I37, 2)</f>
        <v>58973.55</v>
      </c>
      <c r="P37">
        <f>Source!AE67</f>
        <v>0</v>
      </c>
      <c r="R37">
        <f>ROUND(P37*I37, 2)</f>
        <v>0</v>
      </c>
      <c r="S37">
        <f>Source!AE67*IF(Source!BS67&lt;&gt; 0, Source!BS67, 1)</f>
        <v>0</v>
      </c>
      <c r="T37">
        <f>ROUND(S37*I37, 2)</f>
        <v>0</v>
      </c>
      <c r="U37">
        <f>Source!GF67</f>
        <v>1380680051</v>
      </c>
      <c r="V37">
        <v>402642204</v>
      </c>
      <c r="W37">
        <v>402642204</v>
      </c>
    </row>
    <row r="38" spans="1:23" x14ac:dyDescent="0.2">
      <c r="A38">
        <f>Source!A69</f>
        <v>17</v>
      </c>
      <c r="C38">
        <v>3</v>
      </c>
      <c r="D38">
        <v>0</v>
      </c>
      <c r="E38">
        <f>SmtRes!AV72</f>
        <v>0</v>
      </c>
      <c r="F38" t="str">
        <f>SmtRes!I72</f>
        <v>21.1-25-13</v>
      </c>
      <c r="G38" t="str">
        <f>SmtRes!K72</f>
        <v>Вода</v>
      </c>
      <c r="H38" t="str">
        <f>SmtRes!O72</f>
        <v>м3</v>
      </c>
      <c r="I38">
        <f>SmtRes!Y72*Source!I69</f>
        <v>7.3499999999999998E-3</v>
      </c>
      <c r="J38">
        <f>SmtRes!AO72</f>
        <v>1</v>
      </c>
      <c r="K38">
        <f>SmtRes!AE72</f>
        <v>35.25</v>
      </c>
      <c r="L38">
        <f>SmtRes!DB72</f>
        <v>5.29</v>
      </c>
      <c r="M38">
        <f>ROUND(ROUND(L38*Source!I69, 6)*1, 2)</f>
        <v>0.26</v>
      </c>
      <c r="N38">
        <f>SmtRes!AA72</f>
        <v>35.25</v>
      </c>
      <c r="O38">
        <f>ROUND(ROUND(L38*Source!I69, 6)*SmtRes!DA72, 2)</f>
        <v>0.26</v>
      </c>
      <c r="P38">
        <f>SmtRes!AG72</f>
        <v>0</v>
      </c>
      <c r="Q38">
        <f>SmtRes!DC72</f>
        <v>0</v>
      </c>
      <c r="R38">
        <f>ROUND(ROUND(Q38*Source!I69, 6)*1, 2)</f>
        <v>0</v>
      </c>
      <c r="S38">
        <f>SmtRes!AC72</f>
        <v>0</v>
      </c>
      <c r="T38">
        <f>ROUND(ROUND(Q38*Source!I69, 6)*SmtRes!AK72, 2)</f>
        <v>0</v>
      </c>
      <c r="U38">
        <f>SmtRes!X72</f>
        <v>2028445372</v>
      </c>
      <c r="V38">
        <v>1411454429</v>
      </c>
      <c r="W38">
        <v>1411454429</v>
      </c>
    </row>
    <row r="39" spans="1:23" x14ac:dyDescent="0.2">
      <c r="A39">
        <f>Source!A69</f>
        <v>17</v>
      </c>
      <c r="C39">
        <v>3</v>
      </c>
      <c r="D39">
        <v>0</v>
      </c>
      <c r="E39">
        <f>SmtRes!AV71</f>
        <v>0</v>
      </c>
      <c r="F39" t="str">
        <f>SmtRes!I71</f>
        <v>21.1-12-11</v>
      </c>
      <c r="G39" t="str">
        <f>SmtRes!K71</f>
        <v>Песок для строительных работ, рядовой</v>
      </c>
      <c r="H39" t="str">
        <f>SmtRes!O71</f>
        <v>м3</v>
      </c>
      <c r="I39">
        <f>SmtRes!Y71*Source!I69</f>
        <v>5.3900000000000003E-2</v>
      </c>
      <c r="J39">
        <f>SmtRes!AO71</f>
        <v>1</v>
      </c>
      <c r="K39">
        <f>SmtRes!AE71</f>
        <v>590.78</v>
      </c>
      <c r="L39">
        <f>SmtRes!DB71</f>
        <v>649.86</v>
      </c>
      <c r="M39">
        <f>ROUND(ROUND(L39*Source!I69, 6)*1, 2)</f>
        <v>31.84</v>
      </c>
      <c r="N39">
        <f>SmtRes!AA71</f>
        <v>590.78</v>
      </c>
      <c r="O39">
        <f>ROUND(ROUND(L39*Source!I69, 6)*SmtRes!DA71, 2)</f>
        <v>31.84</v>
      </c>
      <c r="P39">
        <f>SmtRes!AG71</f>
        <v>0</v>
      </c>
      <c r="Q39">
        <f>SmtRes!DC71</f>
        <v>0</v>
      </c>
      <c r="R39">
        <f>ROUND(ROUND(Q39*Source!I69, 6)*1, 2)</f>
        <v>0</v>
      </c>
      <c r="S39">
        <f>SmtRes!AC71</f>
        <v>0</v>
      </c>
      <c r="T39">
        <f>ROUND(ROUND(Q39*Source!I69, 6)*SmtRes!AK71, 2)</f>
        <v>0</v>
      </c>
      <c r="U39">
        <f>SmtRes!X71</f>
        <v>-1662970571</v>
      </c>
      <c r="V39">
        <v>496958337</v>
      </c>
      <c r="W39">
        <v>496958337</v>
      </c>
    </row>
    <row r="40" spans="1:23" x14ac:dyDescent="0.2">
      <c r="A40">
        <f>Source!A70</f>
        <v>17</v>
      </c>
      <c r="C40">
        <v>3</v>
      </c>
      <c r="D40">
        <v>0</v>
      </c>
      <c r="E40">
        <f>SmtRes!AV78</f>
        <v>0</v>
      </c>
      <c r="F40" t="str">
        <f>SmtRes!I78</f>
        <v>21.1-25-13</v>
      </c>
      <c r="G40" t="str">
        <f>SmtRes!K78</f>
        <v>Вода</v>
      </c>
      <c r="H40" t="str">
        <f>SmtRes!O78</f>
        <v>м3</v>
      </c>
      <c r="I40">
        <f>SmtRes!Y78*Source!I70</f>
        <v>1.47E-2</v>
      </c>
      <c r="J40">
        <f>SmtRes!AO78</f>
        <v>1</v>
      </c>
      <c r="K40">
        <f>SmtRes!AE78</f>
        <v>35.25</v>
      </c>
      <c r="L40">
        <f>SmtRes!DB78</f>
        <v>5.29</v>
      </c>
      <c r="M40">
        <f>ROUND(ROUND(L40*Source!I70, 6)*1, 2)</f>
        <v>0.52</v>
      </c>
      <c r="N40">
        <f>SmtRes!AA78</f>
        <v>35.25</v>
      </c>
      <c r="O40">
        <f>ROUND(ROUND(L40*Source!I70, 6)*SmtRes!DA78, 2)</f>
        <v>0.52</v>
      </c>
      <c r="P40">
        <f>SmtRes!AG78</f>
        <v>0</v>
      </c>
      <c r="Q40">
        <f>SmtRes!DC78</f>
        <v>0</v>
      </c>
      <c r="R40">
        <f>ROUND(ROUND(Q40*Source!I70, 6)*1, 2)</f>
        <v>0</v>
      </c>
      <c r="S40">
        <f>SmtRes!AC78</f>
        <v>0</v>
      </c>
      <c r="T40">
        <f>ROUND(ROUND(Q40*Source!I70, 6)*SmtRes!AK78, 2)</f>
        <v>0</v>
      </c>
      <c r="U40">
        <f>SmtRes!X78</f>
        <v>2028445372</v>
      </c>
      <c r="V40">
        <v>1411454429</v>
      </c>
      <c r="W40">
        <v>1411454429</v>
      </c>
    </row>
    <row r="41" spans="1:23" x14ac:dyDescent="0.2">
      <c r="A41">
        <f>Source!A70</f>
        <v>17</v>
      </c>
      <c r="C41">
        <v>3</v>
      </c>
      <c r="D41">
        <v>0</v>
      </c>
      <c r="E41">
        <f>SmtRes!AV77</f>
        <v>0</v>
      </c>
      <c r="F41" t="str">
        <f>SmtRes!I77</f>
        <v>21.1-12-45</v>
      </c>
      <c r="G41" t="str">
        <f>SmtRes!K77</f>
        <v>Щебень из естественного камня для строительных работ, рядовой, марка 300-200</v>
      </c>
      <c r="H41" t="str">
        <f>SmtRes!O77</f>
        <v>м3</v>
      </c>
      <c r="I41">
        <f>SmtRes!Y77*Source!I70</f>
        <v>0.11269999999999999</v>
      </c>
      <c r="J41">
        <f>SmtRes!AO77</f>
        <v>1</v>
      </c>
      <c r="K41">
        <f>SmtRes!AE77</f>
        <v>1436.5</v>
      </c>
      <c r="L41">
        <f>SmtRes!DB77</f>
        <v>1651.98</v>
      </c>
      <c r="M41">
        <f>ROUND(ROUND(L41*Source!I70, 6)*1, 2)</f>
        <v>161.88999999999999</v>
      </c>
      <c r="N41">
        <f>SmtRes!AA77</f>
        <v>1436.5</v>
      </c>
      <c r="O41">
        <f>ROUND(ROUND(L41*Source!I70, 6)*SmtRes!DA77, 2)</f>
        <v>161.88999999999999</v>
      </c>
      <c r="P41">
        <f>SmtRes!AG77</f>
        <v>0</v>
      </c>
      <c r="Q41">
        <f>SmtRes!DC77</f>
        <v>0</v>
      </c>
      <c r="R41">
        <f>ROUND(ROUND(Q41*Source!I70, 6)*1, 2)</f>
        <v>0</v>
      </c>
      <c r="S41">
        <f>SmtRes!AC77</f>
        <v>0</v>
      </c>
      <c r="T41">
        <f>ROUND(ROUND(Q41*Source!I70, 6)*SmtRes!AK77, 2)</f>
        <v>0</v>
      </c>
      <c r="U41">
        <f>SmtRes!X77</f>
        <v>353177933</v>
      </c>
      <c r="V41">
        <v>-1690885940</v>
      </c>
      <c r="W41">
        <v>-1690885940</v>
      </c>
    </row>
    <row r="42" spans="1:23" x14ac:dyDescent="0.2">
      <c r="A42">
        <f>Source!A73</f>
        <v>18</v>
      </c>
      <c r="C42">
        <v>3</v>
      </c>
      <c r="D42">
        <f>Source!BI73</f>
        <v>4</v>
      </c>
      <c r="E42">
        <f>Source!FS73</f>
        <v>0</v>
      </c>
      <c r="F42" t="str">
        <f>Source!F73</f>
        <v>21.7-7-41</v>
      </c>
      <c r="G42" t="str">
        <f>Source!G73</f>
        <v>Деталь закладная дополнительная для монтажа малых форм</v>
      </c>
      <c r="H42" t="str">
        <f>Source!H73</f>
        <v>шт.</v>
      </c>
      <c r="I42">
        <f>Source!I73</f>
        <v>1</v>
      </c>
      <c r="J42">
        <v>1</v>
      </c>
      <c r="K42">
        <f>Source!AC73</f>
        <v>210</v>
      </c>
      <c r="M42">
        <f>ROUND(K42*I42, 2)</f>
        <v>210</v>
      </c>
      <c r="N42">
        <f>Source!AC73*IF(Source!BC73&lt;&gt; 0, Source!BC73, 1)</f>
        <v>210</v>
      </c>
      <c r="O42">
        <f>ROUND(N42*I42, 2)</f>
        <v>210</v>
      </c>
      <c r="P42">
        <f>Source!AE73</f>
        <v>0</v>
      </c>
      <c r="R42">
        <f>ROUND(P42*I42, 2)</f>
        <v>0</v>
      </c>
      <c r="S42">
        <f>Source!AE73*IF(Source!BS73&lt;&gt; 0, Source!BS73, 1)</f>
        <v>0</v>
      </c>
      <c r="T42">
        <f>ROUND(S42*I42, 2)</f>
        <v>0</v>
      </c>
      <c r="U42">
        <f>Source!GF73</f>
        <v>462942439</v>
      </c>
      <c r="V42">
        <v>1739765598</v>
      </c>
      <c r="W42">
        <v>1739765598</v>
      </c>
    </row>
    <row r="43" spans="1:23" x14ac:dyDescent="0.2">
      <c r="A43">
        <f>Source!A75</f>
        <v>17</v>
      </c>
      <c r="C43">
        <v>3</v>
      </c>
      <c r="D43">
        <f>Source!BI75</f>
        <v>1</v>
      </c>
      <c r="E43">
        <f>Source!FS75</f>
        <v>0</v>
      </c>
      <c r="F43" t="str">
        <f>Source!F75</f>
        <v>Цена поставщика</v>
      </c>
      <c r="G43" t="str">
        <f>Source!G75</f>
        <v>Уличный тренажер "Воздушный ходок" арт. ЛГТУ-15, размеры 481х1071х1518 мм (Базисная стоимость: 43 242,43 = 50 873,45/1,2 + 2% Транспорт.)</v>
      </c>
      <c r="H43" t="str">
        <f>Source!H75</f>
        <v>шт.</v>
      </c>
      <c r="I43">
        <f>Source!I75</f>
        <v>1</v>
      </c>
      <c r="J43">
        <v>1</v>
      </c>
      <c r="K43">
        <f>Source!AC75</f>
        <v>56492.1</v>
      </c>
      <c r="M43">
        <f>ROUND(K43*I43, 2)</f>
        <v>56492.1</v>
      </c>
      <c r="N43">
        <f>Source!AC75*IF(Source!BC75&lt;&gt; 0, Source!BC75, 1)</f>
        <v>56492.1</v>
      </c>
      <c r="O43">
        <f>ROUND(N43*I43, 2)</f>
        <v>56492.1</v>
      </c>
      <c r="P43">
        <f>Source!AE75</f>
        <v>0</v>
      </c>
      <c r="R43">
        <f>ROUND(P43*I43, 2)</f>
        <v>0</v>
      </c>
      <c r="S43">
        <f>Source!AE75*IF(Source!BS75&lt;&gt; 0, Source!BS75, 1)</f>
        <v>0</v>
      </c>
      <c r="T43">
        <f>ROUND(S43*I43, 2)</f>
        <v>0</v>
      </c>
      <c r="U43">
        <f>Source!GF75</f>
        <v>-1268267767</v>
      </c>
      <c r="V43">
        <v>-339537805</v>
      </c>
      <c r="W43">
        <v>-339537805</v>
      </c>
    </row>
    <row r="44" spans="1:23" x14ac:dyDescent="0.2">
      <c r="A44">
        <f>Source!A77</f>
        <v>17</v>
      </c>
      <c r="C44">
        <v>3</v>
      </c>
      <c r="D44">
        <v>0</v>
      </c>
      <c r="E44">
        <f>SmtRes!AV86</f>
        <v>0</v>
      </c>
      <c r="F44" t="str">
        <f>SmtRes!I86</f>
        <v>21.1-25-13</v>
      </c>
      <c r="G44" t="str">
        <f>SmtRes!K86</f>
        <v>Вода</v>
      </c>
      <c r="H44" t="str">
        <f>SmtRes!O86</f>
        <v>м3</v>
      </c>
      <c r="I44">
        <f>SmtRes!Y86*Source!I77</f>
        <v>7.3499999999999998E-3</v>
      </c>
      <c r="J44">
        <f>SmtRes!AO86</f>
        <v>1</v>
      </c>
      <c r="K44">
        <f>SmtRes!AE86</f>
        <v>35.25</v>
      </c>
      <c r="L44">
        <f>SmtRes!DB86</f>
        <v>5.29</v>
      </c>
      <c r="M44">
        <f>ROUND(ROUND(L44*Source!I77, 6)*1, 2)</f>
        <v>0.26</v>
      </c>
      <c r="N44">
        <f>SmtRes!AA86</f>
        <v>35.25</v>
      </c>
      <c r="O44">
        <f>ROUND(ROUND(L44*Source!I77, 6)*SmtRes!DA86, 2)</f>
        <v>0.26</v>
      </c>
      <c r="P44">
        <f>SmtRes!AG86</f>
        <v>0</v>
      </c>
      <c r="Q44">
        <f>SmtRes!DC86</f>
        <v>0</v>
      </c>
      <c r="R44">
        <f>ROUND(ROUND(Q44*Source!I77, 6)*1, 2)</f>
        <v>0</v>
      </c>
      <c r="S44">
        <f>SmtRes!AC86</f>
        <v>0</v>
      </c>
      <c r="T44">
        <f>ROUND(ROUND(Q44*Source!I77, 6)*SmtRes!AK86, 2)</f>
        <v>0</v>
      </c>
      <c r="U44">
        <f>SmtRes!X86</f>
        <v>2028445372</v>
      </c>
      <c r="V44">
        <v>1411454429</v>
      </c>
      <c r="W44">
        <v>1411454429</v>
      </c>
    </row>
    <row r="45" spans="1:23" x14ac:dyDescent="0.2">
      <c r="A45">
        <f>Source!A77</f>
        <v>17</v>
      </c>
      <c r="C45">
        <v>3</v>
      </c>
      <c r="D45">
        <v>0</v>
      </c>
      <c r="E45">
        <f>SmtRes!AV85</f>
        <v>0</v>
      </c>
      <c r="F45" t="str">
        <f>SmtRes!I85</f>
        <v>21.1-12-11</v>
      </c>
      <c r="G45" t="str">
        <f>SmtRes!K85</f>
        <v>Песок для строительных работ, рядовой</v>
      </c>
      <c r="H45" t="str">
        <f>SmtRes!O85</f>
        <v>м3</v>
      </c>
      <c r="I45">
        <f>SmtRes!Y85*Source!I77</f>
        <v>5.3900000000000003E-2</v>
      </c>
      <c r="J45">
        <f>SmtRes!AO85</f>
        <v>1</v>
      </c>
      <c r="K45">
        <f>SmtRes!AE85</f>
        <v>590.78</v>
      </c>
      <c r="L45">
        <f>SmtRes!DB85</f>
        <v>649.86</v>
      </c>
      <c r="M45">
        <f>ROUND(ROUND(L45*Source!I77, 6)*1, 2)</f>
        <v>31.84</v>
      </c>
      <c r="N45">
        <f>SmtRes!AA85</f>
        <v>590.78</v>
      </c>
      <c r="O45">
        <f>ROUND(ROUND(L45*Source!I77, 6)*SmtRes!DA85, 2)</f>
        <v>31.84</v>
      </c>
      <c r="P45">
        <f>SmtRes!AG85</f>
        <v>0</v>
      </c>
      <c r="Q45">
        <f>SmtRes!DC85</f>
        <v>0</v>
      </c>
      <c r="R45">
        <f>ROUND(ROUND(Q45*Source!I77, 6)*1, 2)</f>
        <v>0</v>
      </c>
      <c r="S45">
        <f>SmtRes!AC85</f>
        <v>0</v>
      </c>
      <c r="T45">
        <f>ROUND(ROUND(Q45*Source!I77, 6)*SmtRes!AK85, 2)</f>
        <v>0</v>
      </c>
      <c r="U45">
        <f>SmtRes!X85</f>
        <v>-1662970571</v>
      </c>
      <c r="V45">
        <v>496958337</v>
      </c>
      <c r="W45">
        <v>496958337</v>
      </c>
    </row>
    <row r="46" spans="1:23" x14ac:dyDescent="0.2">
      <c r="A46">
        <f>Source!A78</f>
        <v>17</v>
      </c>
      <c r="C46">
        <v>3</v>
      </c>
      <c r="D46">
        <v>0</v>
      </c>
      <c r="E46">
        <f>SmtRes!AV92</f>
        <v>0</v>
      </c>
      <c r="F46" t="str">
        <f>SmtRes!I92</f>
        <v>21.1-25-13</v>
      </c>
      <c r="G46" t="str">
        <f>SmtRes!K92</f>
        <v>Вода</v>
      </c>
      <c r="H46" t="str">
        <f>SmtRes!O92</f>
        <v>м3</v>
      </c>
      <c r="I46">
        <f>SmtRes!Y92*Source!I78</f>
        <v>1.47E-2</v>
      </c>
      <c r="J46">
        <f>SmtRes!AO92</f>
        <v>1</v>
      </c>
      <c r="K46">
        <f>SmtRes!AE92</f>
        <v>35.25</v>
      </c>
      <c r="L46">
        <f>SmtRes!DB92</f>
        <v>5.29</v>
      </c>
      <c r="M46">
        <f>ROUND(ROUND(L46*Source!I78, 6)*1, 2)</f>
        <v>0.52</v>
      </c>
      <c r="N46">
        <f>SmtRes!AA92</f>
        <v>35.25</v>
      </c>
      <c r="O46">
        <f>ROUND(ROUND(L46*Source!I78, 6)*SmtRes!DA92, 2)</f>
        <v>0.52</v>
      </c>
      <c r="P46">
        <f>SmtRes!AG92</f>
        <v>0</v>
      </c>
      <c r="Q46">
        <f>SmtRes!DC92</f>
        <v>0</v>
      </c>
      <c r="R46">
        <f>ROUND(ROUND(Q46*Source!I78, 6)*1, 2)</f>
        <v>0</v>
      </c>
      <c r="S46">
        <f>SmtRes!AC92</f>
        <v>0</v>
      </c>
      <c r="T46">
        <f>ROUND(ROUND(Q46*Source!I78, 6)*SmtRes!AK92, 2)</f>
        <v>0</v>
      </c>
      <c r="U46">
        <f>SmtRes!X92</f>
        <v>2028445372</v>
      </c>
      <c r="V46">
        <v>1411454429</v>
      </c>
      <c r="W46">
        <v>1411454429</v>
      </c>
    </row>
    <row r="47" spans="1:23" x14ac:dyDescent="0.2">
      <c r="A47">
        <f>Source!A78</f>
        <v>17</v>
      </c>
      <c r="C47">
        <v>3</v>
      </c>
      <c r="D47">
        <v>0</v>
      </c>
      <c r="E47">
        <f>SmtRes!AV91</f>
        <v>0</v>
      </c>
      <c r="F47" t="str">
        <f>SmtRes!I91</f>
        <v>21.1-12-45</v>
      </c>
      <c r="G47" t="str">
        <f>SmtRes!K91</f>
        <v>Щебень из естественного камня для строительных работ, рядовой, марка 300-200</v>
      </c>
      <c r="H47" t="str">
        <f>SmtRes!O91</f>
        <v>м3</v>
      </c>
      <c r="I47">
        <f>SmtRes!Y91*Source!I78</f>
        <v>0.11269999999999999</v>
      </c>
      <c r="J47">
        <f>SmtRes!AO91</f>
        <v>1</v>
      </c>
      <c r="K47">
        <f>SmtRes!AE91</f>
        <v>1436.5</v>
      </c>
      <c r="L47">
        <f>SmtRes!DB91</f>
        <v>1651.98</v>
      </c>
      <c r="M47">
        <f>ROUND(ROUND(L47*Source!I78, 6)*1, 2)</f>
        <v>161.88999999999999</v>
      </c>
      <c r="N47">
        <f>SmtRes!AA91</f>
        <v>1436.5</v>
      </c>
      <c r="O47">
        <f>ROUND(ROUND(L47*Source!I78, 6)*SmtRes!DA91, 2)</f>
        <v>161.88999999999999</v>
      </c>
      <c r="P47">
        <f>SmtRes!AG91</f>
        <v>0</v>
      </c>
      <c r="Q47">
        <f>SmtRes!DC91</f>
        <v>0</v>
      </c>
      <c r="R47">
        <f>ROUND(ROUND(Q47*Source!I78, 6)*1, 2)</f>
        <v>0</v>
      </c>
      <c r="S47">
        <f>SmtRes!AC91</f>
        <v>0</v>
      </c>
      <c r="T47">
        <f>ROUND(ROUND(Q47*Source!I78, 6)*SmtRes!AK91, 2)</f>
        <v>0</v>
      </c>
      <c r="U47">
        <f>SmtRes!X91</f>
        <v>353177933</v>
      </c>
      <c r="V47">
        <v>-1690885940</v>
      </c>
      <c r="W47">
        <v>-1690885940</v>
      </c>
    </row>
    <row r="48" spans="1:23" x14ac:dyDescent="0.2">
      <c r="A48">
        <f>Source!A81</f>
        <v>18</v>
      </c>
      <c r="C48">
        <v>3</v>
      </c>
      <c r="D48">
        <f>Source!BI81</f>
        <v>4</v>
      </c>
      <c r="E48">
        <f>Source!FS81</f>
        <v>0</v>
      </c>
      <c r="F48" t="str">
        <f>Source!F81</f>
        <v>21.7-7-41</v>
      </c>
      <c r="G48" t="str">
        <f>Source!G81</f>
        <v>Деталь закладная дополнительная для монтажа малых форм</v>
      </c>
      <c r="H48" t="str">
        <f>Source!H81</f>
        <v>шт.</v>
      </c>
      <c r="I48">
        <f>Source!I81</f>
        <v>1</v>
      </c>
      <c r="J48">
        <v>1</v>
      </c>
      <c r="K48">
        <f>Source!AC81</f>
        <v>210</v>
      </c>
      <c r="M48">
        <f>ROUND(K48*I48, 2)</f>
        <v>210</v>
      </c>
      <c r="N48">
        <f>Source!AC81*IF(Source!BC81&lt;&gt; 0, Source!BC81, 1)</f>
        <v>210</v>
      </c>
      <c r="O48">
        <f>ROUND(N48*I48, 2)</f>
        <v>210</v>
      </c>
      <c r="P48">
        <f>Source!AE81</f>
        <v>0</v>
      </c>
      <c r="R48">
        <f>ROUND(P48*I48, 2)</f>
        <v>0</v>
      </c>
      <c r="S48">
        <f>Source!AE81*IF(Source!BS81&lt;&gt; 0, Source!BS81, 1)</f>
        <v>0</v>
      </c>
      <c r="T48">
        <f>ROUND(S48*I48, 2)</f>
        <v>0</v>
      </c>
      <c r="U48">
        <f>Source!GF81</f>
        <v>462942439</v>
      </c>
      <c r="V48">
        <v>1739765598</v>
      </c>
      <c r="W48">
        <v>1739765598</v>
      </c>
    </row>
    <row r="49" spans="1:23" x14ac:dyDescent="0.2">
      <c r="A49">
        <f>Source!A83</f>
        <v>17</v>
      </c>
      <c r="C49">
        <v>3</v>
      </c>
      <c r="D49">
        <f>Source!BI83</f>
        <v>1</v>
      </c>
      <c r="E49">
        <f>Source!FS83</f>
        <v>0</v>
      </c>
      <c r="F49" t="str">
        <f>Source!F83</f>
        <v>Цена поставщика</v>
      </c>
      <c r="G49" t="str">
        <f>Source!G83</f>
        <v>Уличный тренажер "Орбитрек" арт. ЛГТУ-16, размеры 844х1230х2051 мм (Базисная стоимость: 65 926,72 = 77 560,85/1,2 + 2% Транспорт.)</v>
      </c>
      <c r="H49" t="str">
        <f>Source!H83</f>
        <v>шт.</v>
      </c>
      <c r="I49">
        <f>Source!I83</f>
        <v>1</v>
      </c>
      <c r="J49">
        <v>1</v>
      </c>
      <c r="K49">
        <f>Source!AC83</f>
        <v>60714.37</v>
      </c>
      <c r="M49">
        <f>ROUND(K49*I49, 2)</f>
        <v>60714.37</v>
      </c>
      <c r="N49">
        <f>Source!AC83*IF(Source!BC83&lt;&gt; 0, Source!BC83, 1)</f>
        <v>60714.37</v>
      </c>
      <c r="O49">
        <f>ROUND(N49*I49, 2)</f>
        <v>60714.37</v>
      </c>
      <c r="P49">
        <f>Source!AE83</f>
        <v>0</v>
      </c>
      <c r="R49">
        <f>ROUND(P49*I49, 2)</f>
        <v>0</v>
      </c>
      <c r="S49">
        <f>Source!AE83*IF(Source!BS83&lt;&gt; 0, Source!BS83, 1)</f>
        <v>0</v>
      </c>
      <c r="T49">
        <f>ROUND(S49*I49, 2)</f>
        <v>0</v>
      </c>
      <c r="U49">
        <f>Source!GF83</f>
        <v>-1543783840</v>
      </c>
      <c r="V49">
        <v>-1337143162</v>
      </c>
      <c r="W49">
        <v>-1337143162</v>
      </c>
    </row>
    <row r="50" spans="1:23" x14ac:dyDescent="0.2">
      <c r="A50">
        <f>Source!A85</f>
        <v>17</v>
      </c>
      <c r="C50">
        <v>3</v>
      </c>
      <c r="D50">
        <v>0</v>
      </c>
      <c r="E50">
        <f>SmtRes!AV100</f>
        <v>0</v>
      </c>
      <c r="F50" t="str">
        <f>SmtRes!I100</f>
        <v>21.1-25-13</v>
      </c>
      <c r="G50" t="str">
        <f>SmtRes!K100</f>
        <v>Вода</v>
      </c>
      <c r="H50" t="str">
        <f>SmtRes!O100</f>
        <v>м3</v>
      </c>
      <c r="I50">
        <f>SmtRes!Y100*Source!I85</f>
        <v>7.3499999999999998E-3</v>
      </c>
      <c r="J50">
        <f>SmtRes!AO100</f>
        <v>1</v>
      </c>
      <c r="K50">
        <f>SmtRes!AE100</f>
        <v>35.25</v>
      </c>
      <c r="L50">
        <f>SmtRes!DB100</f>
        <v>5.29</v>
      </c>
      <c r="M50">
        <f>ROUND(ROUND(L50*Source!I85, 6)*1, 2)</f>
        <v>0.26</v>
      </c>
      <c r="N50">
        <f>SmtRes!AA100</f>
        <v>35.25</v>
      </c>
      <c r="O50">
        <f>ROUND(ROUND(L50*Source!I85, 6)*SmtRes!DA100, 2)</f>
        <v>0.26</v>
      </c>
      <c r="P50">
        <f>SmtRes!AG100</f>
        <v>0</v>
      </c>
      <c r="Q50">
        <f>SmtRes!DC100</f>
        <v>0</v>
      </c>
      <c r="R50">
        <f>ROUND(ROUND(Q50*Source!I85, 6)*1, 2)</f>
        <v>0</v>
      </c>
      <c r="S50">
        <f>SmtRes!AC100</f>
        <v>0</v>
      </c>
      <c r="T50">
        <f>ROUND(ROUND(Q50*Source!I85, 6)*SmtRes!AK100, 2)</f>
        <v>0</v>
      </c>
      <c r="U50">
        <f>SmtRes!X100</f>
        <v>2028445372</v>
      </c>
      <c r="V50">
        <v>1411454429</v>
      </c>
      <c r="W50">
        <v>1411454429</v>
      </c>
    </row>
    <row r="51" spans="1:23" x14ac:dyDescent="0.2">
      <c r="A51">
        <f>Source!A85</f>
        <v>17</v>
      </c>
      <c r="C51">
        <v>3</v>
      </c>
      <c r="D51">
        <v>0</v>
      </c>
      <c r="E51">
        <f>SmtRes!AV99</f>
        <v>0</v>
      </c>
      <c r="F51" t="str">
        <f>SmtRes!I99</f>
        <v>21.1-12-11</v>
      </c>
      <c r="G51" t="str">
        <f>SmtRes!K99</f>
        <v>Песок для строительных работ, рядовой</v>
      </c>
      <c r="H51" t="str">
        <f>SmtRes!O99</f>
        <v>м3</v>
      </c>
      <c r="I51">
        <f>SmtRes!Y99*Source!I85</f>
        <v>5.3900000000000003E-2</v>
      </c>
      <c r="J51">
        <f>SmtRes!AO99</f>
        <v>1</v>
      </c>
      <c r="K51">
        <f>SmtRes!AE99</f>
        <v>590.78</v>
      </c>
      <c r="L51">
        <f>SmtRes!DB99</f>
        <v>649.86</v>
      </c>
      <c r="M51">
        <f>ROUND(ROUND(L51*Source!I85, 6)*1, 2)</f>
        <v>31.84</v>
      </c>
      <c r="N51">
        <f>SmtRes!AA99</f>
        <v>590.78</v>
      </c>
      <c r="O51">
        <f>ROUND(ROUND(L51*Source!I85, 6)*SmtRes!DA99, 2)</f>
        <v>31.84</v>
      </c>
      <c r="P51">
        <f>SmtRes!AG99</f>
        <v>0</v>
      </c>
      <c r="Q51">
        <f>SmtRes!DC99</f>
        <v>0</v>
      </c>
      <c r="R51">
        <f>ROUND(ROUND(Q51*Source!I85, 6)*1, 2)</f>
        <v>0</v>
      </c>
      <c r="S51">
        <f>SmtRes!AC99</f>
        <v>0</v>
      </c>
      <c r="T51">
        <f>ROUND(ROUND(Q51*Source!I85, 6)*SmtRes!AK99, 2)</f>
        <v>0</v>
      </c>
      <c r="U51">
        <f>SmtRes!X99</f>
        <v>-1662970571</v>
      </c>
      <c r="V51">
        <v>496958337</v>
      </c>
      <c r="W51">
        <v>496958337</v>
      </c>
    </row>
    <row r="52" spans="1:23" x14ac:dyDescent="0.2">
      <c r="A52">
        <f>Source!A86</f>
        <v>17</v>
      </c>
      <c r="C52">
        <v>3</v>
      </c>
      <c r="D52">
        <v>0</v>
      </c>
      <c r="E52">
        <f>SmtRes!AV106</f>
        <v>0</v>
      </c>
      <c r="F52" t="str">
        <f>SmtRes!I106</f>
        <v>21.1-25-13</v>
      </c>
      <c r="G52" t="str">
        <f>SmtRes!K106</f>
        <v>Вода</v>
      </c>
      <c r="H52" t="str">
        <f>SmtRes!O106</f>
        <v>м3</v>
      </c>
      <c r="I52">
        <f>SmtRes!Y106*Source!I86</f>
        <v>1.47E-2</v>
      </c>
      <c r="J52">
        <f>SmtRes!AO106</f>
        <v>1</v>
      </c>
      <c r="K52">
        <f>SmtRes!AE106</f>
        <v>35.25</v>
      </c>
      <c r="L52">
        <f>SmtRes!DB106</f>
        <v>5.29</v>
      </c>
      <c r="M52">
        <f>ROUND(ROUND(L52*Source!I86, 6)*1, 2)</f>
        <v>0.52</v>
      </c>
      <c r="N52">
        <f>SmtRes!AA106</f>
        <v>35.25</v>
      </c>
      <c r="O52">
        <f>ROUND(ROUND(L52*Source!I86, 6)*SmtRes!DA106, 2)</f>
        <v>0.52</v>
      </c>
      <c r="P52">
        <f>SmtRes!AG106</f>
        <v>0</v>
      </c>
      <c r="Q52">
        <f>SmtRes!DC106</f>
        <v>0</v>
      </c>
      <c r="R52">
        <f>ROUND(ROUND(Q52*Source!I86, 6)*1, 2)</f>
        <v>0</v>
      </c>
      <c r="S52">
        <f>SmtRes!AC106</f>
        <v>0</v>
      </c>
      <c r="T52">
        <f>ROUND(ROUND(Q52*Source!I86, 6)*SmtRes!AK106, 2)</f>
        <v>0</v>
      </c>
      <c r="U52">
        <f>SmtRes!X106</f>
        <v>2028445372</v>
      </c>
      <c r="V52">
        <v>1411454429</v>
      </c>
      <c r="W52">
        <v>1411454429</v>
      </c>
    </row>
    <row r="53" spans="1:23" x14ac:dyDescent="0.2">
      <c r="A53">
        <f>Source!A86</f>
        <v>17</v>
      </c>
      <c r="C53">
        <v>3</v>
      </c>
      <c r="D53">
        <v>0</v>
      </c>
      <c r="E53">
        <f>SmtRes!AV105</f>
        <v>0</v>
      </c>
      <c r="F53" t="str">
        <f>SmtRes!I105</f>
        <v>21.1-12-45</v>
      </c>
      <c r="G53" t="str">
        <f>SmtRes!K105</f>
        <v>Щебень из естественного камня для строительных работ, рядовой, марка 300-200</v>
      </c>
      <c r="H53" t="str">
        <f>SmtRes!O105</f>
        <v>м3</v>
      </c>
      <c r="I53">
        <f>SmtRes!Y105*Source!I86</f>
        <v>0.11269999999999999</v>
      </c>
      <c r="J53">
        <f>SmtRes!AO105</f>
        <v>1</v>
      </c>
      <c r="K53">
        <f>SmtRes!AE105</f>
        <v>1436.5</v>
      </c>
      <c r="L53">
        <f>SmtRes!DB105</f>
        <v>1651.98</v>
      </c>
      <c r="M53">
        <f>ROUND(ROUND(L53*Source!I86, 6)*1, 2)</f>
        <v>161.88999999999999</v>
      </c>
      <c r="N53">
        <f>SmtRes!AA105</f>
        <v>1436.5</v>
      </c>
      <c r="O53">
        <f>ROUND(ROUND(L53*Source!I86, 6)*SmtRes!DA105, 2)</f>
        <v>161.88999999999999</v>
      </c>
      <c r="P53">
        <f>SmtRes!AG105</f>
        <v>0</v>
      </c>
      <c r="Q53">
        <f>SmtRes!DC105</f>
        <v>0</v>
      </c>
      <c r="R53">
        <f>ROUND(ROUND(Q53*Source!I86, 6)*1, 2)</f>
        <v>0</v>
      </c>
      <c r="S53">
        <f>SmtRes!AC105</f>
        <v>0</v>
      </c>
      <c r="T53">
        <f>ROUND(ROUND(Q53*Source!I86, 6)*SmtRes!AK105, 2)</f>
        <v>0</v>
      </c>
      <c r="U53">
        <f>SmtRes!X105</f>
        <v>353177933</v>
      </c>
      <c r="V53">
        <v>-1690885940</v>
      </c>
      <c r="W53">
        <v>-1690885940</v>
      </c>
    </row>
    <row r="54" spans="1:23" x14ac:dyDescent="0.2">
      <c r="A54">
        <f>Source!A89</f>
        <v>18</v>
      </c>
      <c r="C54">
        <v>3</v>
      </c>
      <c r="D54">
        <f>Source!BI89</f>
        <v>4</v>
      </c>
      <c r="E54">
        <f>Source!FS89</f>
        <v>0</v>
      </c>
      <c r="F54" t="str">
        <f>Source!F89</f>
        <v>21.7-7-41</v>
      </c>
      <c r="G54" t="str">
        <f>Source!G89</f>
        <v>Деталь закладная дополнительная для монтажа малых форм</v>
      </c>
      <c r="H54" t="str">
        <f>Source!H89</f>
        <v>шт.</v>
      </c>
      <c r="I54">
        <f>Source!I89</f>
        <v>1</v>
      </c>
      <c r="J54">
        <v>1</v>
      </c>
      <c r="K54">
        <f>Source!AC89</f>
        <v>210</v>
      </c>
      <c r="M54">
        <f>ROUND(K54*I54, 2)</f>
        <v>210</v>
      </c>
      <c r="N54">
        <f>Source!AC89*IF(Source!BC89&lt;&gt; 0, Source!BC89, 1)</f>
        <v>210</v>
      </c>
      <c r="O54">
        <f>ROUND(N54*I54, 2)</f>
        <v>210</v>
      </c>
      <c r="P54">
        <f>Source!AE89</f>
        <v>0</v>
      </c>
      <c r="R54">
        <f>ROUND(P54*I54, 2)</f>
        <v>0</v>
      </c>
      <c r="S54">
        <f>Source!AE89*IF(Source!BS89&lt;&gt; 0, Source!BS89, 1)</f>
        <v>0</v>
      </c>
      <c r="T54">
        <f>ROUND(S54*I54, 2)</f>
        <v>0</v>
      </c>
      <c r="U54">
        <f>Source!GF89</f>
        <v>462942439</v>
      </c>
      <c r="V54">
        <v>1739765598</v>
      </c>
      <c r="W54">
        <v>1739765598</v>
      </c>
    </row>
    <row r="55" spans="1:23" x14ac:dyDescent="0.2">
      <c r="A55">
        <f>Source!A91</f>
        <v>17</v>
      </c>
      <c r="C55">
        <v>3</v>
      </c>
      <c r="D55">
        <f>Source!BI91</f>
        <v>1</v>
      </c>
      <c r="E55">
        <f>Source!FS91</f>
        <v>0</v>
      </c>
      <c r="F55" t="str">
        <f>Source!F91</f>
        <v>Цена поставщика</v>
      </c>
      <c r="G55" t="str">
        <f>Source!G91</f>
        <v>Уличный тренажер "Батерфляй" арт. ЛГТУ-228, размеры 844х1230х2051 мм (Базисная стоимость: 78 332,35 = 92 155,70/1,2 + 2% Транспорт.)</v>
      </c>
      <c r="H55" t="str">
        <f>Source!H91</f>
        <v>шт.</v>
      </c>
      <c r="I55">
        <f>Source!I91</f>
        <v>1</v>
      </c>
      <c r="J55">
        <v>1</v>
      </c>
      <c r="K55">
        <f>Source!AC91</f>
        <v>88114.76</v>
      </c>
      <c r="M55">
        <f>ROUND(K55*I55, 2)</f>
        <v>88114.76</v>
      </c>
      <c r="N55">
        <f>Source!AC91*IF(Source!BC91&lt;&gt; 0, Source!BC91, 1)</f>
        <v>88114.76</v>
      </c>
      <c r="O55">
        <f>ROUND(N55*I55, 2)</f>
        <v>88114.76</v>
      </c>
      <c r="P55">
        <f>Source!AE91</f>
        <v>0</v>
      </c>
      <c r="R55">
        <f>ROUND(P55*I55, 2)</f>
        <v>0</v>
      </c>
      <c r="S55">
        <f>Source!AE91*IF(Source!BS91&lt;&gt; 0, Source!BS91, 1)</f>
        <v>0</v>
      </c>
      <c r="T55">
        <f>ROUND(S55*I55, 2)</f>
        <v>0</v>
      </c>
      <c r="U55">
        <f>Source!GF91</f>
        <v>-313584302</v>
      </c>
      <c r="V55">
        <v>-1002812966</v>
      </c>
      <c r="W55">
        <v>-1002812966</v>
      </c>
    </row>
    <row r="56" spans="1:23" x14ac:dyDescent="0.2">
      <c r="A56">
        <f>Source!A92</f>
        <v>17</v>
      </c>
      <c r="C56">
        <v>3</v>
      </c>
      <c r="D56">
        <v>0</v>
      </c>
      <c r="E56">
        <f>SmtRes!AV110</f>
        <v>0</v>
      </c>
      <c r="F56" t="str">
        <f>SmtRes!I110</f>
        <v>21.1-11-21</v>
      </c>
      <c r="G56" t="str">
        <f>SmtRes!K110</f>
        <v>Болты строительные черные с гайками и шайбами (10х100мм)</v>
      </c>
      <c r="H56" t="str">
        <f>SmtRes!O110</f>
        <v>т</v>
      </c>
      <c r="I56">
        <f>SmtRes!Y110*Source!I92</f>
        <v>1.1424E-3</v>
      </c>
      <c r="J56">
        <f>SmtRes!AO110</f>
        <v>1</v>
      </c>
      <c r="K56">
        <f>SmtRes!AE110</f>
        <v>105084.63</v>
      </c>
      <c r="L56">
        <f>SmtRes!DB110</f>
        <v>750.3</v>
      </c>
      <c r="M56">
        <f>ROUND(ROUND(L56*Source!I92, 6)*1, 2)</f>
        <v>120.05</v>
      </c>
      <c r="N56">
        <f>SmtRes!AA110</f>
        <v>105084.63</v>
      </c>
      <c r="O56">
        <f>ROUND(ROUND(L56*Source!I92, 6)*SmtRes!DA110, 2)</f>
        <v>120.05</v>
      </c>
      <c r="P56">
        <f>SmtRes!AG110</f>
        <v>0</v>
      </c>
      <c r="Q56">
        <f>SmtRes!DC110</f>
        <v>0</v>
      </c>
      <c r="R56">
        <f>ROUND(ROUND(Q56*Source!I92, 6)*1, 2)</f>
        <v>0</v>
      </c>
      <c r="S56">
        <f>SmtRes!AC110</f>
        <v>0</v>
      </c>
      <c r="T56">
        <f>ROUND(ROUND(Q56*Source!I92, 6)*SmtRes!AK110, 2)</f>
        <v>0</v>
      </c>
      <c r="U56">
        <f>SmtRes!X110</f>
        <v>-1356276541</v>
      </c>
      <c r="V56">
        <v>442495294</v>
      </c>
      <c r="W56">
        <v>442495294</v>
      </c>
    </row>
    <row r="57" spans="1:23" x14ac:dyDescent="0.2">
      <c r="A57">
        <f>Source!A93</f>
        <v>17</v>
      </c>
      <c r="C57">
        <v>3</v>
      </c>
      <c r="D57">
        <f>Source!BI93</f>
        <v>1</v>
      </c>
      <c r="E57">
        <f>Source!FS93</f>
        <v>0</v>
      </c>
      <c r="F57" t="str">
        <f>Source!F93</f>
        <v>Цена поставщика</v>
      </c>
      <c r="G57" t="str">
        <f>Source!G93</f>
        <v>RFID метка UHF CONFIDEX Ironside Slim, М4Е (84x21x10 мм.)  Базисная стоимость: 230,00 = [276,00 / 1,2 ]</v>
      </c>
      <c r="H57" t="str">
        <f>Source!H93</f>
        <v>шт.</v>
      </c>
      <c r="I57">
        <f>Source!I93</f>
        <v>8</v>
      </c>
      <c r="J57">
        <v>1</v>
      </c>
      <c r="K57">
        <f>Source!AC93</f>
        <v>230</v>
      </c>
      <c r="M57">
        <f>ROUND(K57*I57, 2)</f>
        <v>1840</v>
      </c>
      <c r="N57">
        <f>Source!AC93*IF(Source!BC93&lt;&gt; 0, Source!BC93, 1)</f>
        <v>230</v>
      </c>
      <c r="O57">
        <f>ROUND(N57*I57, 2)</f>
        <v>1840</v>
      </c>
      <c r="P57">
        <f>Source!AE93</f>
        <v>0</v>
      </c>
      <c r="R57">
        <f>ROUND(P57*I57, 2)</f>
        <v>0</v>
      </c>
      <c r="S57">
        <f>Source!AE93*IF(Source!BS93&lt;&gt; 0, Source!BS93, 1)</f>
        <v>0</v>
      </c>
      <c r="T57">
        <f>ROUND(S57*I57, 2)</f>
        <v>0</v>
      </c>
      <c r="U57">
        <f>Source!GF93</f>
        <v>2118936820</v>
      </c>
      <c r="V57">
        <v>1755344680</v>
      </c>
      <c r="W57">
        <v>1755344680</v>
      </c>
    </row>
    <row r="58" spans="1:23" x14ac:dyDescent="0.2">
      <c r="A58">
        <v>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5"/>
  <sheetViews>
    <sheetView workbookViewId="0"/>
  </sheetViews>
  <sheetFormatPr defaultRowHeight="12.75" x14ac:dyDescent="0.2"/>
  <cols>
    <col min="1" max="1" width="12.7109375" customWidth="1"/>
    <col min="2" max="2" width="40.7109375" customWidth="1"/>
    <col min="3" max="6" width="12.7109375" customWidth="1"/>
    <col min="35" max="38" width="0" hidden="1" customWidth="1"/>
  </cols>
  <sheetData>
    <row r="2" spans="1:37" ht="16.5" x14ac:dyDescent="0.2">
      <c r="A2" s="73" t="s">
        <v>322</v>
      </c>
      <c r="B2" s="74"/>
      <c r="C2" s="74"/>
      <c r="D2" s="74"/>
      <c r="E2" s="74"/>
      <c r="F2" s="74"/>
    </row>
    <row r="3" spans="1:37" ht="16.5" x14ac:dyDescent="0.2">
      <c r="A3" s="73" t="str">
        <f>CONCATENATE("Объект: ",IF(Source!G153&lt;&gt;"Новый объект", Source!G153, ""))</f>
        <v>Объект: установка спортивных тренажеров по адресу: ул. Нижегородская, д. 3</v>
      </c>
      <c r="B3" s="74"/>
      <c r="C3" s="74"/>
      <c r="D3" s="74"/>
      <c r="E3" s="74"/>
      <c r="F3" s="74"/>
    </row>
    <row r="4" spans="1:37" x14ac:dyDescent="0.2">
      <c r="A4" s="64" t="s">
        <v>323</v>
      </c>
      <c r="B4" s="64" t="s">
        <v>324</v>
      </c>
      <c r="C4" s="64" t="s">
        <v>265</v>
      </c>
      <c r="D4" s="64" t="s">
        <v>325</v>
      </c>
      <c r="E4" s="76" t="s">
        <v>326</v>
      </c>
      <c r="F4" s="77"/>
    </row>
    <row r="5" spans="1:37" x14ac:dyDescent="0.2">
      <c r="A5" s="65"/>
      <c r="B5" s="65"/>
      <c r="C5" s="65"/>
      <c r="D5" s="65"/>
      <c r="E5" s="78"/>
      <c r="F5" s="79"/>
    </row>
    <row r="6" spans="1:37" ht="14.25" x14ac:dyDescent="0.2">
      <c r="A6" s="75"/>
      <c r="B6" s="75"/>
      <c r="C6" s="75"/>
      <c r="D6" s="75"/>
      <c r="E6" s="19" t="s">
        <v>327</v>
      </c>
      <c r="F6" s="19" t="s">
        <v>328</v>
      </c>
    </row>
    <row r="7" spans="1:37" ht="14.25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37" ht="16.5" x14ac:dyDescent="0.2">
      <c r="A8" s="73" t="str">
        <f>CONCATENATE("Локальная смета: ",IF(Source!G22&lt;&gt;"Новая локальная смета", Source!G22, ""))</f>
        <v xml:space="preserve">Локальная смета: </v>
      </c>
      <c r="B8" s="74"/>
      <c r="C8" s="74"/>
      <c r="D8" s="74"/>
      <c r="E8" s="74"/>
      <c r="F8" s="74"/>
    </row>
    <row r="9" spans="1:37" ht="16.5" x14ac:dyDescent="0.2">
      <c r="A9" s="73" t="str">
        <f>CONCATENATE("Раздел: ",IF(Source!G26&lt;&gt;"Новый раздел", Source!G26, ""))</f>
        <v>Раздел: Установка спортивных тренажеров</v>
      </c>
      <c r="B9" s="74"/>
      <c r="C9" s="74"/>
      <c r="D9" s="74"/>
      <c r="E9" s="74"/>
      <c r="F9" s="74"/>
    </row>
    <row r="10" spans="1:37" ht="14.25" x14ac:dyDescent="0.2">
      <c r="A10" s="80" t="s">
        <v>329</v>
      </c>
      <c r="B10" s="81"/>
      <c r="C10" s="81"/>
      <c r="D10" s="81"/>
      <c r="E10" s="81"/>
      <c r="F10" s="81"/>
    </row>
    <row r="11" spans="1:37" ht="28.5" x14ac:dyDescent="0.2">
      <c r="A11" s="36" t="s">
        <v>215</v>
      </c>
      <c r="B11" s="37" t="s">
        <v>217</v>
      </c>
      <c r="C11" s="37" t="s">
        <v>42</v>
      </c>
      <c r="D11" s="38">
        <f>ROUND(SUMIF(RV_DATA!W8:'RV_DATA'!W57, 442495294, RV_DATA!I8:'RV_DATA'!I57), 6)</f>
        <v>1.142E-3</v>
      </c>
      <c r="E11" s="39">
        <f>ROUND(RV_DATA!N56, 6)</f>
        <v>105084.63</v>
      </c>
      <c r="F11" s="39">
        <f>ROUND(SUMIF(RV_DATA!W8:'RV_DATA'!W57, 442495294, RV_DATA!O8:'RV_DATA'!O57), 6)</f>
        <v>120.05</v>
      </c>
      <c r="AK11">
        <v>3</v>
      </c>
    </row>
    <row r="12" spans="1:37" ht="28.5" x14ac:dyDescent="0.2">
      <c r="A12" s="36" t="s">
        <v>206</v>
      </c>
      <c r="B12" s="37" t="s">
        <v>208</v>
      </c>
      <c r="C12" s="37" t="s">
        <v>29</v>
      </c>
      <c r="D12" s="38">
        <f>ROUND(SUMIF(RV_DATA!W8:'RV_DATA'!W57, 496958337, RV_DATA!I8:'RV_DATA'!I57), 6)</f>
        <v>0.43120000000000003</v>
      </c>
      <c r="E12" s="39">
        <f>ROUND(RV_DATA!N9, 6)</f>
        <v>590.78</v>
      </c>
      <c r="F12" s="39">
        <f>ROUND(SUMIF(RV_DATA!W8:'RV_DATA'!W57, 496958337, RV_DATA!O8:'RV_DATA'!O57), 6)</f>
        <v>254.72</v>
      </c>
      <c r="AK12">
        <v>3</v>
      </c>
    </row>
    <row r="13" spans="1:37" ht="42.75" x14ac:dyDescent="0.2">
      <c r="A13" s="36" t="s">
        <v>212</v>
      </c>
      <c r="B13" s="37" t="s">
        <v>214</v>
      </c>
      <c r="C13" s="37" t="s">
        <v>29</v>
      </c>
      <c r="D13" s="38">
        <f>ROUND(SUMIF(RV_DATA!W8:'RV_DATA'!W57, -1690885940, RV_DATA!I8:'RV_DATA'!I57), 6)</f>
        <v>0.90159999999999996</v>
      </c>
      <c r="E13" s="39">
        <f>ROUND(RV_DATA!N11, 6)</f>
        <v>1436.5</v>
      </c>
      <c r="F13" s="39">
        <f>ROUND(SUMIF(RV_DATA!W8:'RV_DATA'!W57, -1690885940, RV_DATA!O8:'RV_DATA'!O57), 6)</f>
        <v>1295.1199999999999</v>
      </c>
      <c r="AK13">
        <v>3</v>
      </c>
    </row>
    <row r="14" spans="1:37" ht="14.25" x14ac:dyDescent="0.2">
      <c r="A14" s="36" t="s">
        <v>209</v>
      </c>
      <c r="B14" s="37" t="s">
        <v>211</v>
      </c>
      <c r="C14" s="37" t="s">
        <v>29</v>
      </c>
      <c r="D14" s="38">
        <f>ROUND(SUMIF(RV_DATA!W8:'RV_DATA'!W57, 1411454429, RV_DATA!I8:'RV_DATA'!I57), 6)</f>
        <v>0.1764</v>
      </c>
      <c r="E14" s="39">
        <f>ROUND(RV_DATA!N8, 6)</f>
        <v>35.25</v>
      </c>
      <c r="F14" s="39">
        <f>ROUND(SUMIF(RV_DATA!W8:'RV_DATA'!W57, 1411454429, RV_DATA!O8:'RV_DATA'!O57), 6)</f>
        <v>6.24</v>
      </c>
      <c r="AK14">
        <v>3</v>
      </c>
    </row>
    <row r="15" spans="1:37" ht="28.5" x14ac:dyDescent="0.2">
      <c r="A15" s="36" t="s">
        <v>45</v>
      </c>
      <c r="B15" s="37" t="s">
        <v>46</v>
      </c>
      <c r="C15" s="37" t="s">
        <v>47</v>
      </c>
      <c r="D15" s="38">
        <f>ROUND(SUMIF(RV_DATA!W8:'RV_DATA'!W57, 1739765598, RV_DATA!I8:'RV_DATA'!I57), 6)</f>
        <v>8</v>
      </c>
      <c r="E15" s="39">
        <f>ROUND(RV_DATA!N12, 6)</f>
        <v>210</v>
      </c>
      <c r="F15" s="39">
        <f>ROUND(SUMIF(RV_DATA!W8:'RV_DATA'!W57, 1739765598, RV_DATA!O8:'RV_DATA'!O57), 6)</f>
        <v>1680</v>
      </c>
      <c r="AK15">
        <v>3</v>
      </c>
    </row>
    <row r="16" spans="1:37" ht="57" x14ac:dyDescent="0.2">
      <c r="A16" s="36" t="s">
        <v>54</v>
      </c>
      <c r="B16" s="37" t="s">
        <v>55</v>
      </c>
      <c r="C16" s="37" t="s">
        <v>47</v>
      </c>
      <c r="D16" s="38">
        <f>ROUND(SUMIF(RV_DATA!W8:'RV_DATA'!W57, 1025115178, RV_DATA!I8:'RV_DATA'!I57), 6)</f>
        <v>1</v>
      </c>
      <c r="E16" s="39">
        <f>ROUND(RV_DATA!N13, 6)</f>
        <v>108411.1</v>
      </c>
      <c r="F16" s="39">
        <f>ROUND(SUMIF(RV_DATA!W8:'RV_DATA'!W57, 1025115178, RV_DATA!O8:'RV_DATA'!O57), 6)</f>
        <v>108411.1</v>
      </c>
      <c r="AK16">
        <v>3</v>
      </c>
    </row>
    <row r="17" spans="1:37" ht="71.25" x14ac:dyDescent="0.2">
      <c r="A17" s="36" t="s">
        <v>54</v>
      </c>
      <c r="B17" s="37" t="s">
        <v>67</v>
      </c>
      <c r="C17" s="37" t="s">
        <v>47</v>
      </c>
      <c r="D17" s="38">
        <f>ROUND(SUMIF(RV_DATA!W8:'RV_DATA'!W57, 659772285, RV_DATA!I8:'RV_DATA'!I57), 6)</f>
        <v>1</v>
      </c>
      <c r="E17" s="39">
        <f>ROUND(RV_DATA!N19, 6)</f>
        <v>62508.75</v>
      </c>
      <c r="F17" s="39">
        <f>ROUND(SUMIF(RV_DATA!W8:'RV_DATA'!W57, 659772285, RV_DATA!O8:'RV_DATA'!O57), 6)</f>
        <v>62508.75</v>
      </c>
      <c r="AK17">
        <v>3</v>
      </c>
    </row>
    <row r="18" spans="1:37" ht="71.25" x14ac:dyDescent="0.2">
      <c r="A18" s="36" t="s">
        <v>54</v>
      </c>
      <c r="B18" s="37" t="s">
        <v>77</v>
      </c>
      <c r="C18" s="37" t="s">
        <v>47</v>
      </c>
      <c r="D18" s="38">
        <f>ROUND(SUMIF(RV_DATA!W8:'RV_DATA'!W57, 1436854278, RV_DATA!I8:'RV_DATA'!I57), 6)</f>
        <v>1</v>
      </c>
      <c r="E18" s="39">
        <f>ROUND(RV_DATA!N25, 6)</f>
        <v>68889.62</v>
      </c>
      <c r="F18" s="39">
        <f>ROUND(SUMIF(RV_DATA!W8:'RV_DATA'!W57, 1436854278, RV_DATA!O8:'RV_DATA'!O57), 6)</f>
        <v>68889.62</v>
      </c>
      <c r="AK18">
        <v>3</v>
      </c>
    </row>
    <row r="19" spans="1:37" ht="57" x14ac:dyDescent="0.2">
      <c r="A19" s="36" t="s">
        <v>54</v>
      </c>
      <c r="B19" s="37" t="s">
        <v>87</v>
      </c>
      <c r="C19" s="37" t="s">
        <v>47</v>
      </c>
      <c r="D19" s="38">
        <f>ROUND(SUMIF(RV_DATA!W8:'RV_DATA'!W57, 1957187480, RV_DATA!I8:'RV_DATA'!I57), 6)</f>
        <v>1</v>
      </c>
      <c r="E19" s="39">
        <f>ROUND(RV_DATA!N31, 6)</f>
        <v>50280.78</v>
      </c>
      <c r="F19" s="39">
        <f>ROUND(SUMIF(RV_DATA!W8:'RV_DATA'!W57, 1957187480, RV_DATA!O8:'RV_DATA'!O57), 6)</f>
        <v>50280.78</v>
      </c>
      <c r="AK19">
        <v>3</v>
      </c>
    </row>
    <row r="20" spans="1:37" ht="57" x14ac:dyDescent="0.2">
      <c r="A20" s="36" t="s">
        <v>54</v>
      </c>
      <c r="B20" s="37" t="s">
        <v>97</v>
      </c>
      <c r="C20" s="37" t="s">
        <v>47</v>
      </c>
      <c r="D20" s="38">
        <f>ROUND(SUMIF(RV_DATA!W8:'RV_DATA'!W57, 402642204, RV_DATA!I8:'RV_DATA'!I57), 6)</f>
        <v>1</v>
      </c>
      <c r="E20" s="39">
        <f>ROUND(RV_DATA!N37, 6)</f>
        <v>58973.55</v>
      </c>
      <c r="F20" s="39">
        <f>ROUND(SUMIF(RV_DATA!W8:'RV_DATA'!W57, 402642204, RV_DATA!O8:'RV_DATA'!O57), 6)</f>
        <v>58973.55</v>
      </c>
      <c r="AK20">
        <v>3</v>
      </c>
    </row>
    <row r="21" spans="1:37" ht="57" x14ac:dyDescent="0.2">
      <c r="A21" s="36" t="s">
        <v>54</v>
      </c>
      <c r="B21" s="37" t="s">
        <v>107</v>
      </c>
      <c r="C21" s="37" t="s">
        <v>47</v>
      </c>
      <c r="D21" s="38">
        <f>ROUND(SUMIF(RV_DATA!W8:'RV_DATA'!W57, -339537805, RV_DATA!I8:'RV_DATA'!I57), 6)</f>
        <v>1</v>
      </c>
      <c r="E21" s="39">
        <f>ROUND(RV_DATA!N43, 6)</f>
        <v>56492.1</v>
      </c>
      <c r="F21" s="39">
        <f>ROUND(SUMIF(RV_DATA!W8:'RV_DATA'!W57, -339537805, RV_DATA!O8:'RV_DATA'!O57), 6)</f>
        <v>56492.1</v>
      </c>
      <c r="AK21">
        <v>3</v>
      </c>
    </row>
    <row r="22" spans="1:37" ht="57" x14ac:dyDescent="0.2">
      <c r="A22" s="36" t="s">
        <v>54</v>
      </c>
      <c r="B22" s="37" t="s">
        <v>117</v>
      </c>
      <c r="C22" s="37" t="s">
        <v>47</v>
      </c>
      <c r="D22" s="38">
        <f>ROUND(SUMIF(RV_DATA!W8:'RV_DATA'!W57, -1337143162, RV_DATA!I8:'RV_DATA'!I57), 6)</f>
        <v>1</v>
      </c>
      <c r="E22" s="39">
        <f>ROUND(RV_DATA!N49, 6)</f>
        <v>60714.37</v>
      </c>
      <c r="F22" s="39">
        <f>ROUND(SUMIF(RV_DATA!W8:'RV_DATA'!W57, -1337143162, RV_DATA!O8:'RV_DATA'!O57), 6)</f>
        <v>60714.37</v>
      </c>
      <c r="AK22">
        <v>3</v>
      </c>
    </row>
    <row r="23" spans="1:37" ht="57" x14ac:dyDescent="0.2">
      <c r="A23" s="36" t="s">
        <v>54</v>
      </c>
      <c r="B23" s="37" t="s">
        <v>127</v>
      </c>
      <c r="C23" s="37" t="s">
        <v>47</v>
      </c>
      <c r="D23" s="38">
        <f>ROUND(SUMIF(RV_DATA!W8:'RV_DATA'!W57, -1002812966, RV_DATA!I8:'RV_DATA'!I57), 6)</f>
        <v>1</v>
      </c>
      <c r="E23" s="39">
        <f>ROUND(RV_DATA!N55, 6)</f>
        <v>88114.76</v>
      </c>
      <c r="F23" s="39">
        <f>ROUND(SUMIF(RV_DATA!W8:'RV_DATA'!W57, -1002812966, RV_DATA!O8:'RV_DATA'!O57), 6)</f>
        <v>88114.76</v>
      </c>
      <c r="AK23">
        <v>3</v>
      </c>
    </row>
    <row r="24" spans="1:37" ht="42.75" x14ac:dyDescent="0.2">
      <c r="A24" s="36" t="s">
        <v>54</v>
      </c>
      <c r="B24" s="37" t="s">
        <v>135</v>
      </c>
      <c r="C24" s="37" t="s">
        <v>47</v>
      </c>
      <c r="D24" s="38">
        <f>ROUND(SUMIF(RV_DATA!W8:'RV_DATA'!W57, 1755344680, RV_DATA!I8:'RV_DATA'!I57), 6)</f>
        <v>8</v>
      </c>
      <c r="E24" s="39">
        <f>ROUND(RV_DATA!N57, 6)</f>
        <v>230</v>
      </c>
      <c r="F24" s="39">
        <f>ROUND(SUMIF(RV_DATA!W8:'RV_DATA'!W57, 1755344680, RV_DATA!O8:'RV_DATA'!O57), 6)</f>
        <v>1840</v>
      </c>
      <c r="AK24">
        <v>3</v>
      </c>
    </row>
    <row r="25" spans="1:37" ht="15" x14ac:dyDescent="0.25">
      <c r="A25" s="82" t="s">
        <v>330</v>
      </c>
      <c r="B25" s="82"/>
      <c r="C25" s="82"/>
      <c r="D25" s="82"/>
      <c r="E25" s="83">
        <f>SUMIF(AK11:AK24, 3, F11:F24)</f>
        <v>559581.15999999992</v>
      </c>
      <c r="F25" s="82"/>
    </row>
  </sheetData>
  <sortState ref="A11:AL24">
    <sortCondition ref="A11"/>
  </sortState>
  <mergeCells count="12">
    <mergeCell ref="A8:F8"/>
    <mergeCell ref="A9:F9"/>
    <mergeCell ref="A10:F10"/>
    <mergeCell ref="A25:D25"/>
    <mergeCell ref="E25:F25"/>
    <mergeCell ref="A2:F2"/>
    <mergeCell ref="A3:F3"/>
    <mergeCell ref="A4:A6"/>
    <mergeCell ref="B4:B6"/>
    <mergeCell ref="C4:C6"/>
    <mergeCell ref="D4:D6"/>
    <mergeCell ref="E4:F5"/>
  </mergeCells>
  <pageMargins left="0.6" right="0.4" top="0.65" bottom="0.4" header="0.4" footer="0.4"/>
  <pageSetup paperSize="9" scale="90" fitToHeight="0" orientation="portrait" verticalDpi="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</cols>
  <sheetData>
    <row r="1" spans="1:5" x14ac:dyDescent="0.2">
      <c r="A1" s="8" t="str">
        <f>Source!B1</f>
        <v>Smeta.RU  (495) 974-1589</v>
      </c>
    </row>
    <row r="2" spans="1:5" ht="14.25" x14ac:dyDescent="0.2">
      <c r="C2" s="10"/>
      <c r="D2" s="10"/>
    </row>
    <row r="3" spans="1:5" ht="15" x14ac:dyDescent="0.25">
      <c r="C3" s="10"/>
      <c r="D3" s="28" t="s">
        <v>250</v>
      </c>
    </row>
    <row r="4" spans="1:5" ht="15" x14ac:dyDescent="0.25">
      <c r="C4" s="28"/>
      <c r="D4" s="28"/>
    </row>
    <row r="5" spans="1:5" ht="15" x14ac:dyDescent="0.25">
      <c r="C5" s="85" t="s">
        <v>331</v>
      </c>
      <c r="D5" s="85"/>
    </row>
    <row r="6" spans="1:5" ht="15" x14ac:dyDescent="0.25">
      <c r="C6" s="40"/>
      <c r="D6" s="40"/>
    </row>
    <row r="7" spans="1:5" ht="15" x14ac:dyDescent="0.25">
      <c r="C7" s="85" t="s">
        <v>331</v>
      </c>
      <c r="D7" s="85"/>
    </row>
    <row r="8" spans="1:5" ht="15" x14ac:dyDescent="0.25">
      <c r="C8" s="40"/>
      <c r="D8" s="40"/>
    </row>
    <row r="9" spans="1:5" ht="15" x14ac:dyDescent="0.25">
      <c r="C9" s="28" t="s">
        <v>332</v>
      </c>
      <c r="D9" s="10"/>
    </row>
    <row r="10" spans="1:5" ht="14.25" x14ac:dyDescent="0.2">
      <c r="A10" s="10"/>
      <c r="B10" s="10"/>
      <c r="C10" s="10"/>
      <c r="D10" s="10"/>
      <c r="E10" s="10"/>
    </row>
    <row r="11" spans="1:5" ht="15.75" x14ac:dyDescent="0.25">
      <c r="A11" s="86" t="str">
        <f>CONCATENATE("Дефектный акт ", IF(Source!AN15&lt;&gt;"", Source!AN15," "))</f>
        <v xml:space="preserve">Дефектный акт  </v>
      </c>
      <c r="B11" s="86"/>
      <c r="C11" s="86"/>
      <c r="D11" s="86"/>
      <c r="E11" s="10"/>
    </row>
    <row r="12" spans="1:5" ht="15" x14ac:dyDescent="0.25">
      <c r="A12" s="87" t="str">
        <f>CONCATENATE("На капитальный ремонт ", Source!F12)</f>
        <v>На капитальный ремонт Новый объект</v>
      </c>
      <c r="B12" s="87"/>
      <c r="C12" s="87"/>
      <c r="D12" s="87"/>
      <c r="E12" s="10"/>
    </row>
    <row r="13" spans="1:5" ht="14.25" x14ac:dyDescent="0.2">
      <c r="A13" s="10"/>
      <c r="B13" s="10"/>
      <c r="C13" s="10"/>
      <c r="D13" s="10"/>
      <c r="E13" s="10"/>
    </row>
    <row r="14" spans="1:5" ht="15" x14ac:dyDescent="0.2">
      <c r="A14" s="10"/>
      <c r="B14" s="41" t="s">
        <v>333</v>
      </c>
      <c r="C14" s="10"/>
      <c r="D14" s="10"/>
      <c r="E14" s="10"/>
    </row>
    <row r="15" spans="1:5" ht="15" x14ac:dyDescent="0.2">
      <c r="A15" s="10"/>
      <c r="B15" s="41" t="s">
        <v>334</v>
      </c>
      <c r="C15" s="10"/>
      <c r="D15" s="10"/>
      <c r="E15" s="10"/>
    </row>
    <row r="16" spans="1:5" ht="15" x14ac:dyDescent="0.2">
      <c r="A16" s="10"/>
      <c r="B16" s="41" t="s">
        <v>335</v>
      </c>
      <c r="C16" s="10"/>
      <c r="D16" s="10"/>
      <c r="E16" s="10"/>
    </row>
    <row r="17" spans="1:5" ht="28.5" x14ac:dyDescent="0.2">
      <c r="A17" s="19" t="s">
        <v>336</v>
      </c>
      <c r="B17" s="19" t="s">
        <v>264</v>
      </c>
      <c r="C17" s="19" t="s">
        <v>265</v>
      </c>
      <c r="D17" s="19" t="s">
        <v>337</v>
      </c>
      <c r="E17" s="42" t="s">
        <v>338</v>
      </c>
    </row>
    <row r="18" spans="1:5" ht="14.25" x14ac:dyDescent="0.2">
      <c r="A18" s="44">
        <v>1</v>
      </c>
      <c r="B18" s="44">
        <v>2</v>
      </c>
      <c r="C18" s="44">
        <v>3</v>
      </c>
      <c r="D18" s="44">
        <v>4</v>
      </c>
      <c r="E18" s="45">
        <v>5</v>
      </c>
    </row>
    <row r="19" spans="1:5" ht="16.5" x14ac:dyDescent="0.25">
      <c r="A19" s="84" t="str">
        <f>CONCATENATE("Локальная смета: ", Source!G20)</f>
        <v>Локальная смета: Новая локальная смета</v>
      </c>
      <c r="B19" s="84"/>
      <c r="C19" s="84"/>
      <c r="D19" s="84"/>
      <c r="E19" s="84"/>
    </row>
    <row r="20" spans="1:5" ht="16.5" x14ac:dyDescent="0.25">
      <c r="A20" s="84" t="str">
        <f>CONCATENATE("Раздел: ", Source!G24)</f>
        <v>Раздел: Установка спортивных тренажеров</v>
      </c>
      <c r="B20" s="84"/>
      <c r="C20" s="84"/>
      <c r="D20" s="84"/>
      <c r="E20" s="84"/>
    </row>
    <row r="21" spans="1:5" ht="28.5" x14ac:dyDescent="0.2">
      <c r="A21" s="47">
        <v>1</v>
      </c>
      <c r="B21" s="48" t="str">
        <f>Source!G28</f>
        <v>Разработка грунта вручную в траншеях глубиной до 2 м без креплений с откосами группа грунтов 1-3</v>
      </c>
      <c r="C21" s="49" t="str">
        <f>Source!DW28</f>
        <v>100 м3</v>
      </c>
      <c r="D21" s="50">
        <f>Source!I28</f>
        <v>4.8999999999999998E-3</v>
      </c>
      <c r="E21" s="47"/>
    </row>
    <row r="22" spans="1:5" ht="14.25" x14ac:dyDescent="0.2">
      <c r="A22" s="47">
        <v>2</v>
      </c>
      <c r="B22" s="48" t="str">
        <f>Source!G29</f>
        <v>Устройство песчаного основания под фундаменты</v>
      </c>
      <c r="C22" s="49" t="str">
        <f>Source!DW29</f>
        <v>м3</v>
      </c>
      <c r="D22" s="50">
        <f>Source!I29</f>
        <v>4.9000000000000002E-2</v>
      </c>
      <c r="E22" s="47"/>
    </row>
    <row r="23" spans="1:5" ht="14.25" x14ac:dyDescent="0.2">
      <c r="A23" s="47">
        <v>3</v>
      </c>
      <c r="B23" s="48" t="str">
        <f>Source!G30</f>
        <v>Устройство щебеночного основания под фундаменты</v>
      </c>
      <c r="C23" s="49" t="str">
        <f>Source!DW30</f>
        <v>м3</v>
      </c>
      <c r="D23" s="50">
        <f>Source!I30</f>
        <v>9.8000000000000004E-2</v>
      </c>
      <c r="E23" s="47"/>
    </row>
    <row r="24" spans="1:5" ht="14.25" x14ac:dyDescent="0.2">
      <c r="A24" s="47">
        <v>4</v>
      </c>
      <c r="B24" s="48" t="str">
        <f>Source!G31</f>
        <v>Устройство фундаментов-столбов бетонных</v>
      </c>
      <c r="C24" s="49" t="str">
        <f>Source!DW31</f>
        <v>100 м3</v>
      </c>
      <c r="D24" s="50">
        <f>Source!I31</f>
        <v>3.4299999999999999E-3</v>
      </c>
      <c r="E24" s="47"/>
    </row>
    <row r="25" spans="1:5" ht="14.25" x14ac:dyDescent="0.2">
      <c r="A25" s="47">
        <v>5</v>
      </c>
      <c r="B25" s="48" t="str">
        <f>Source!G32</f>
        <v>Установка закладных деталей весом до 4 кг</v>
      </c>
      <c r="C25" s="49" t="str">
        <f>Source!DW32</f>
        <v>т</v>
      </c>
      <c r="D25" s="50">
        <f>Source!I32</f>
        <v>0.09</v>
      </c>
      <c r="E25" s="47"/>
    </row>
    <row r="26" spans="1:5" ht="28.5" x14ac:dyDescent="0.2">
      <c r="A26" s="47">
        <v>6</v>
      </c>
      <c r="B26" s="48" t="str">
        <f>Source!G36</f>
        <v>Разработка грунта вручную в траншеях глубиной до 2 м без креплений с откосами группа грунтов 1-3</v>
      </c>
      <c r="C26" s="49" t="str">
        <f>Source!DW36</f>
        <v>100 м3</v>
      </c>
      <c r="D26" s="50">
        <f>Source!I36</f>
        <v>4.8999999999999998E-3</v>
      </c>
      <c r="E26" s="47"/>
    </row>
    <row r="27" spans="1:5" ht="14.25" x14ac:dyDescent="0.2">
      <c r="A27" s="47">
        <v>7</v>
      </c>
      <c r="B27" s="48" t="str">
        <f>Source!G37</f>
        <v>Устройство песчаного основания под фундаменты</v>
      </c>
      <c r="C27" s="49" t="str">
        <f>Source!DW37</f>
        <v>м3</v>
      </c>
      <c r="D27" s="50">
        <f>Source!I37</f>
        <v>4.9000000000000002E-2</v>
      </c>
      <c r="E27" s="47"/>
    </row>
    <row r="28" spans="1:5" ht="14.25" x14ac:dyDescent="0.2">
      <c r="A28" s="47">
        <v>8</v>
      </c>
      <c r="B28" s="48" t="str">
        <f>Source!G38</f>
        <v>Устройство щебеночного основания под фундаменты</v>
      </c>
      <c r="C28" s="49" t="str">
        <f>Source!DW38</f>
        <v>м3</v>
      </c>
      <c r="D28" s="50">
        <f>Source!I38</f>
        <v>9.8000000000000004E-2</v>
      </c>
      <c r="E28" s="47"/>
    </row>
    <row r="29" spans="1:5" ht="14.25" x14ac:dyDescent="0.2">
      <c r="A29" s="47">
        <v>9</v>
      </c>
      <c r="B29" s="48" t="str">
        <f>Source!G39</f>
        <v>Устройство фундаментов-столбов бетонных</v>
      </c>
      <c r="C29" s="49" t="str">
        <f>Source!DW39</f>
        <v>100 м3</v>
      </c>
      <c r="D29" s="50">
        <f>Source!I39</f>
        <v>3.4299999999999999E-3</v>
      </c>
      <c r="E29" s="47"/>
    </row>
    <row r="30" spans="1:5" ht="14.25" x14ac:dyDescent="0.2">
      <c r="A30" s="47">
        <v>10</v>
      </c>
      <c r="B30" s="48" t="str">
        <f>Source!G40</f>
        <v>Установка закладных деталей весом до 4 кг</v>
      </c>
      <c r="C30" s="49" t="str">
        <f>Source!DW40</f>
        <v>т</v>
      </c>
      <c r="D30" s="50">
        <f>Source!I40</f>
        <v>0.09</v>
      </c>
      <c r="E30" s="47"/>
    </row>
    <row r="31" spans="1:5" ht="28.5" x14ac:dyDescent="0.2">
      <c r="A31" s="47">
        <v>11</v>
      </c>
      <c r="B31" s="48" t="str">
        <f>Source!G44</f>
        <v>Разработка грунта вручную в траншеях глубиной до 2 м без креплений с откосами группа грунтов 1-3</v>
      </c>
      <c r="C31" s="49" t="str">
        <f>Source!DW44</f>
        <v>100 м3</v>
      </c>
      <c r="D31" s="50">
        <f>Source!I44</f>
        <v>4.8999999999999998E-3</v>
      </c>
      <c r="E31" s="47"/>
    </row>
    <row r="32" spans="1:5" ht="14.25" x14ac:dyDescent="0.2">
      <c r="A32" s="47">
        <v>12</v>
      </c>
      <c r="B32" s="48" t="str">
        <f>Source!G45</f>
        <v>Устройство песчаного основания под фундаменты</v>
      </c>
      <c r="C32" s="49" t="str">
        <f>Source!DW45</f>
        <v>м3</v>
      </c>
      <c r="D32" s="50">
        <f>Source!I45</f>
        <v>4.9000000000000002E-2</v>
      </c>
      <c r="E32" s="47"/>
    </row>
    <row r="33" spans="1:5" ht="14.25" x14ac:dyDescent="0.2">
      <c r="A33" s="47">
        <v>13</v>
      </c>
      <c r="B33" s="48" t="str">
        <f>Source!G46</f>
        <v>Устройство щебеночного основания под фундаменты</v>
      </c>
      <c r="C33" s="49" t="str">
        <f>Source!DW46</f>
        <v>м3</v>
      </c>
      <c r="D33" s="50">
        <f>Source!I46</f>
        <v>9.8000000000000004E-2</v>
      </c>
      <c r="E33" s="47"/>
    </row>
    <row r="34" spans="1:5" ht="14.25" x14ac:dyDescent="0.2">
      <c r="A34" s="47">
        <v>14</v>
      </c>
      <c r="B34" s="48" t="str">
        <f>Source!G47</f>
        <v>Устройство фундаментов-столбов бетонных</v>
      </c>
      <c r="C34" s="49" t="str">
        <f>Source!DW47</f>
        <v>100 м3</v>
      </c>
      <c r="D34" s="50">
        <f>Source!I47</f>
        <v>3.4299999999999999E-3</v>
      </c>
      <c r="E34" s="47"/>
    </row>
    <row r="35" spans="1:5" ht="14.25" x14ac:dyDescent="0.2">
      <c r="A35" s="47">
        <v>15</v>
      </c>
      <c r="B35" s="48" t="str">
        <f>Source!G48</f>
        <v>Установка закладных деталей весом до 4 кг</v>
      </c>
      <c r="C35" s="49" t="str">
        <f>Source!DW48</f>
        <v>т</v>
      </c>
      <c r="D35" s="50">
        <f>Source!I48</f>
        <v>8.5000000000000006E-2</v>
      </c>
      <c r="E35" s="47"/>
    </row>
    <row r="36" spans="1:5" ht="28.5" x14ac:dyDescent="0.2">
      <c r="A36" s="47">
        <v>16</v>
      </c>
      <c r="B36" s="48" t="str">
        <f>Source!G52</f>
        <v>Разработка грунта вручную в траншеях глубиной до 2 м без креплений с откосами группа грунтов 1-3</v>
      </c>
      <c r="C36" s="49" t="str">
        <f>Source!DW52</f>
        <v>100 м3</v>
      </c>
      <c r="D36" s="50">
        <f>Source!I52</f>
        <v>4.8999999999999998E-3</v>
      </c>
      <c r="E36" s="47"/>
    </row>
    <row r="37" spans="1:5" ht="14.25" x14ac:dyDescent="0.2">
      <c r="A37" s="47">
        <v>17</v>
      </c>
      <c r="B37" s="48" t="str">
        <f>Source!G53</f>
        <v>Устройство песчаного основания под фундаменты</v>
      </c>
      <c r="C37" s="49" t="str">
        <f>Source!DW53</f>
        <v>м3</v>
      </c>
      <c r="D37" s="50">
        <f>Source!I53</f>
        <v>4.9000000000000002E-2</v>
      </c>
      <c r="E37" s="47"/>
    </row>
    <row r="38" spans="1:5" ht="14.25" x14ac:dyDescent="0.2">
      <c r="A38" s="47">
        <v>18</v>
      </c>
      <c r="B38" s="48" t="str">
        <f>Source!G54</f>
        <v>Устройство щебеночного основания под фундаменты</v>
      </c>
      <c r="C38" s="49" t="str">
        <f>Source!DW54</f>
        <v>м3</v>
      </c>
      <c r="D38" s="50">
        <f>Source!I54</f>
        <v>9.8000000000000004E-2</v>
      </c>
      <c r="E38" s="47"/>
    </row>
    <row r="39" spans="1:5" ht="14.25" x14ac:dyDescent="0.2">
      <c r="A39" s="47">
        <v>19</v>
      </c>
      <c r="B39" s="48" t="str">
        <f>Source!G55</f>
        <v>Устройство фундаментов-столбов бетонных</v>
      </c>
      <c r="C39" s="49" t="str">
        <f>Source!DW55</f>
        <v>100 м3</v>
      </c>
      <c r="D39" s="50">
        <f>Source!I55</f>
        <v>3.4299999999999999E-3</v>
      </c>
      <c r="E39" s="47"/>
    </row>
    <row r="40" spans="1:5" ht="14.25" x14ac:dyDescent="0.2">
      <c r="A40" s="47">
        <v>20</v>
      </c>
      <c r="B40" s="48" t="str">
        <f>Source!G56</f>
        <v>Установка закладных деталей весом до 4 кг</v>
      </c>
      <c r="C40" s="49" t="str">
        <f>Source!DW56</f>
        <v>т</v>
      </c>
      <c r="D40" s="50">
        <f>Source!I56</f>
        <v>0.09</v>
      </c>
      <c r="E40" s="47"/>
    </row>
    <row r="41" spans="1:5" ht="28.5" x14ac:dyDescent="0.2">
      <c r="A41" s="47">
        <v>21</v>
      </c>
      <c r="B41" s="48" t="str">
        <f>Source!G60</f>
        <v>Разработка грунта вручную в траншеях глубиной до 2 м без креплений с откосами группа грунтов 1-3</v>
      </c>
      <c r="C41" s="49" t="str">
        <f>Source!DW60</f>
        <v>100 м3</v>
      </c>
      <c r="D41" s="50">
        <f>Source!I60</f>
        <v>4.8999999999999998E-3</v>
      </c>
      <c r="E41" s="47"/>
    </row>
    <row r="42" spans="1:5" ht="14.25" x14ac:dyDescent="0.2">
      <c r="A42" s="47">
        <v>22</v>
      </c>
      <c r="B42" s="48" t="str">
        <f>Source!G61</f>
        <v>Устройство песчаного основания под фундаменты</v>
      </c>
      <c r="C42" s="49" t="str">
        <f>Source!DW61</f>
        <v>м3</v>
      </c>
      <c r="D42" s="50">
        <f>Source!I61</f>
        <v>4.9000000000000002E-2</v>
      </c>
      <c r="E42" s="47"/>
    </row>
    <row r="43" spans="1:5" ht="14.25" x14ac:dyDescent="0.2">
      <c r="A43" s="47">
        <v>23</v>
      </c>
      <c r="B43" s="48" t="str">
        <f>Source!G62</f>
        <v>Устройство щебеночного основания под фундаменты</v>
      </c>
      <c r="C43" s="49" t="str">
        <f>Source!DW62</f>
        <v>м3</v>
      </c>
      <c r="D43" s="50">
        <f>Source!I62</f>
        <v>9.8000000000000004E-2</v>
      </c>
      <c r="E43" s="47"/>
    </row>
    <row r="44" spans="1:5" ht="14.25" x14ac:dyDescent="0.2">
      <c r="A44" s="47">
        <v>24</v>
      </c>
      <c r="B44" s="48" t="str">
        <f>Source!G63</f>
        <v>Устройство фундаментов-столбов бетонных</v>
      </c>
      <c r="C44" s="49" t="str">
        <f>Source!DW63</f>
        <v>100 м3</v>
      </c>
      <c r="D44" s="50">
        <f>Source!I63</f>
        <v>3.4299999999999999E-3</v>
      </c>
      <c r="E44" s="47"/>
    </row>
    <row r="45" spans="1:5" ht="14.25" x14ac:dyDescent="0.2">
      <c r="A45" s="47">
        <v>25</v>
      </c>
      <c r="B45" s="48" t="str">
        <f>Source!G64</f>
        <v>Установка закладных деталей весом до 4 кг</v>
      </c>
      <c r="C45" s="49" t="str">
        <f>Source!DW64</f>
        <v>т</v>
      </c>
      <c r="D45" s="50">
        <f>Source!I64</f>
        <v>0.105</v>
      </c>
      <c r="E45" s="47"/>
    </row>
    <row r="46" spans="1:5" ht="28.5" x14ac:dyDescent="0.2">
      <c r="A46" s="47">
        <v>26</v>
      </c>
      <c r="B46" s="48" t="str">
        <f>Source!G68</f>
        <v>Разработка грунта вручную в траншеях глубиной до 2 м без креплений с откосами группа грунтов 1-3</v>
      </c>
      <c r="C46" s="49" t="str">
        <f>Source!DW68</f>
        <v>100 м3</v>
      </c>
      <c r="D46" s="50">
        <f>Source!I68</f>
        <v>4.8999999999999998E-3</v>
      </c>
      <c r="E46" s="47"/>
    </row>
    <row r="47" spans="1:5" ht="14.25" x14ac:dyDescent="0.2">
      <c r="A47" s="47">
        <v>27</v>
      </c>
      <c r="B47" s="48" t="str">
        <f>Source!G69</f>
        <v>Устройство песчаного основания под фундаменты</v>
      </c>
      <c r="C47" s="49" t="str">
        <f>Source!DW69</f>
        <v>м3</v>
      </c>
      <c r="D47" s="50">
        <f>Source!I69</f>
        <v>4.9000000000000002E-2</v>
      </c>
      <c r="E47" s="47"/>
    </row>
    <row r="48" spans="1:5" ht="14.25" x14ac:dyDescent="0.2">
      <c r="A48" s="47">
        <v>28</v>
      </c>
      <c r="B48" s="48" t="str">
        <f>Source!G70</f>
        <v>Устройство щебеночного основания под фундаменты</v>
      </c>
      <c r="C48" s="49" t="str">
        <f>Source!DW70</f>
        <v>м3</v>
      </c>
      <c r="D48" s="50">
        <f>Source!I70</f>
        <v>9.8000000000000004E-2</v>
      </c>
      <c r="E48" s="47"/>
    </row>
    <row r="49" spans="1:5" ht="14.25" x14ac:dyDescent="0.2">
      <c r="A49" s="47">
        <v>29</v>
      </c>
      <c r="B49" s="48" t="str">
        <f>Source!G71</f>
        <v>Устройство фундаментов-столбов бетонных</v>
      </c>
      <c r="C49" s="49" t="str">
        <f>Source!DW71</f>
        <v>100 м3</v>
      </c>
      <c r="D49" s="50">
        <f>Source!I71</f>
        <v>3.4299999999999999E-3</v>
      </c>
      <c r="E49" s="47"/>
    </row>
    <row r="50" spans="1:5" ht="14.25" x14ac:dyDescent="0.2">
      <c r="A50" s="47">
        <v>30</v>
      </c>
      <c r="B50" s="48" t="str">
        <f>Source!G72</f>
        <v>Установка закладных деталей весом до 4 кг</v>
      </c>
      <c r="C50" s="49" t="str">
        <f>Source!DW72</f>
        <v>т</v>
      </c>
      <c r="D50" s="50">
        <f>Source!I72</f>
        <v>7.85E-2</v>
      </c>
      <c r="E50" s="47"/>
    </row>
    <row r="51" spans="1:5" ht="28.5" x14ac:dyDescent="0.2">
      <c r="A51" s="47">
        <v>31</v>
      </c>
      <c r="B51" s="48" t="str">
        <f>Source!G76</f>
        <v>Разработка грунта вручную в траншеях глубиной до 2 м без креплений с откосами группа грунтов 1-3</v>
      </c>
      <c r="C51" s="49" t="str">
        <f>Source!DW76</f>
        <v>100 м3</v>
      </c>
      <c r="D51" s="50">
        <f>Source!I76</f>
        <v>4.8999999999999998E-3</v>
      </c>
      <c r="E51" s="47"/>
    </row>
    <row r="52" spans="1:5" ht="14.25" x14ac:dyDescent="0.2">
      <c r="A52" s="47">
        <v>32</v>
      </c>
      <c r="B52" s="48" t="str">
        <f>Source!G77</f>
        <v>Устройство песчаного основания под фундаменты</v>
      </c>
      <c r="C52" s="49" t="str">
        <f>Source!DW77</f>
        <v>м3</v>
      </c>
      <c r="D52" s="50">
        <f>Source!I77</f>
        <v>4.9000000000000002E-2</v>
      </c>
      <c r="E52" s="47"/>
    </row>
    <row r="53" spans="1:5" ht="14.25" x14ac:dyDescent="0.2">
      <c r="A53" s="47">
        <v>33</v>
      </c>
      <c r="B53" s="48" t="str">
        <f>Source!G78</f>
        <v>Устройство щебеночного основания под фундаменты</v>
      </c>
      <c r="C53" s="49" t="str">
        <f>Source!DW78</f>
        <v>м3</v>
      </c>
      <c r="D53" s="50">
        <f>Source!I78</f>
        <v>9.8000000000000004E-2</v>
      </c>
      <c r="E53" s="47"/>
    </row>
    <row r="54" spans="1:5" ht="14.25" x14ac:dyDescent="0.2">
      <c r="A54" s="47">
        <v>34</v>
      </c>
      <c r="B54" s="48" t="str">
        <f>Source!G79</f>
        <v>Устройство фундаментов-столбов бетонных</v>
      </c>
      <c r="C54" s="49" t="str">
        <f>Source!DW79</f>
        <v>100 м3</v>
      </c>
      <c r="D54" s="50">
        <f>Source!I79</f>
        <v>3.4299999999999999E-3</v>
      </c>
      <c r="E54" s="47"/>
    </row>
    <row r="55" spans="1:5" ht="14.25" x14ac:dyDescent="0.2">
      <c r="A55" s="47">
        <v>35</v>
      </c>
      <c r="B55" s="48" t="str">
        <f>Source!G80</f>
        <v>Установка закладных деталей весом до 4 кг</v>
      </c>
      <c r="C55" s="49" t="str">
        <f>Source!DW80</f>
        <v>т</v>
      </c>
      <c r="D55" s="50">
        <f>Source!I80</f>
        <v>7.1999999999999995E-2</v>
      </c>
      <c r="E55" s="47"/>
    </row>
    <row r="56" spans="1:5" ht="28.5" x14ac:dyDescent="0.2">
      <c r="A56" s="47">
        <v>36</v>
      </c>
      <c r="B56" s="48" t="str">
        <f>Source!G84</f>
        <v>Разработка грунта вручную в траншеях глубиной до 2 м без креплений с откосами группа грунтов 1-3</v>
      </c>
      <c r="C56" s="49" t="str">
        <f>Source!DW84</f>
        <v>100 м3</v>
      </c>
      <c r="D56" s="50">
        <f>Source!I84</f>
        <v>4.8999999999999998E-3</v>
      </c>
      <c r="E56" s="47"/>
    </row>
    <row r="57" spans="1:5" ht="14.25" x14ac:dyDescent="0.2">
      <c r="A57" s="47">
        <v>37</v>
      </c>
      <c r="B57" s="48" t="str">
        <f>Source!G85</f>
        <v>Устройство песчаного основания под фундаменты</v>
      </c>
      <c r="C57" s="49" t="str">
        <f>Source!DW85</f>
        <v>м3</v>
      </c>
      <c r="D57" s="50">
        <f>Source!I85</f>
        <v>4.9000000000000002E-2</v>
      </c>
      <c r="E57" s="47"/>
    </row>
    <row r="58" spans="1:5" ht="14.25" x14ac:dyDescent="0.2">
      <c r="A58" s="47">
        <v>38</v>
      </c>
      <c r="B58" s="48" t="str">
        <f>Source!G86</f>
        <v>Устройство щебеночного основания под фундаменты</v>
      </c>
      <c r="C58" s="49" t="str">
        <f>Source!DW86</f>
        <v>м3</v>
      </c>
      <c r="D58" s="50">
        <f>Source!I86</f>
        <v>9.8000000000000004E-2</v>
      </c>
      <c r="E58" s="47"/>
    </row>
    <row r="59" spans="1:5" ht="14.25" x14ac:dyDescent="0.2">
      <c r="A59" s="47">
        <v>39</v>
      </c>
      <c r="B59" s="48" t="str">
        <f>Source!G87</f>
        <v>Устройство фундаментов-столбов бетонных</v>
      </c>
      <c r="C59" s="49" t="str">
        <f>Source!DW87</f>
        <v>100 м3</v>
      </c>
      <c r="D59" s="50">
        <f>Source!I87</f>
        <v>3.4299999999999999E-3</v>
      </c>
      <c r="E59" s="47"/>
    </row>
    <row r="60" spans="1:5" ht="14.25" x14ac:dyDescent="0.2">
      <c r="A60" s="47">
        <v>40</v>
      </c>
      <c r="B60" s="48" t="str">
        <f>Source!G88</f>
        <v>Установка закладных деталей весом до 4 кг</v>
      </c>
      <c r="C60" s="49" t="str">
        <f>Source!DW88</f>
        <v>т</v>
      </c>
      <c r="D60" s="50">
        <f>Source!I88</f>
        <v>0.1</v>
      </c>
      <c r="E60" s="47"/>
    </row>
    <row r="61" spans="1:5" ht="14.25" x14ac:dyDescent="0.2">
      <c r="A61" s="46">
        <v>41</v>
      </c>
      <c r="B61" s="37" t="str">
        <f>Source!G92</f>
        <v>Постановка болтов нормальной точности</v>
      </c>
      <c r="C61" s="38" t="str">
        <f>Source!DW92</f>
        <v>100 шт.</v>
      </c>
      <c r="D61" s="35">
        <f>Source!I92</f>
        <v>0.16</v>
      </c>
      <c r="E61" s="46"/>
    </row>
    <row r="64" spans="1:5" ht="15" x14ac:dyDescent="0.25">
      <c r="A64" s="33"/>
      <c r="B64" s="33" t="s">
        <v>339</v>
      </c>
      <c r="C64" s="33"/>
      <c r="D64" s="33"/>
      <c r="E64" s="10"/>
    </row>
  </sheetData>
  <mergeCells count="6">
    <mergeCell ref="A20:E20"/>
    <mergeCell ref="C5:D5"/>
    <mergeCell ref="C7:D7"/>
    <mergeCell ref="A11:D11"/>
    <mergeCell ref="A12:D12"/>
    <mergeCell ref="A19:E19"/>
  </mergeCells>
  <pageMargins left="0.4" right="0.2" top="0.2" bottom="0.4" header="0.2" footer="0.2"/>
  <pageSetup paperSize="9" scale="77" fitToHeight="0" orientation="portrait" verticalDpi="0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4" width="15.7109375" customWidth="1"/>
    <col min="5" max="5" width="15.7109375" hidden="1" customWidth="1"/>
  </cols>
  <sheetData>
    <row r="1" spans="1:5" x14ac:dyDescent="0.2">
      <c r="A1" s="8" t="str">
        <f>Source!B1</f>
        <v>Smeta.RU  (495) 974-1589</v>
      </c>
    </row>
    <row r="2" spans="1:5" ht="14.25" x14ac:dyDescent="0.2">
      <c r="C2" s="10"/>
      <c r="D2" s="10"/>
    </row>
    <row r="3" spans="1:5" ht="15" x14ac:dyDescent="0.25">
      <c r="C3" s="10"/>
      <c r="D3" s="28" t="s">
        <v>250</v>
      </c>
    </row>
    <row r="4" spans="1:5" ht="15" x14ac:dyDescent="0.25">
      <c r="C4" s="28"/>
      <c r="D4" s="28"/>
    </row>
    <row r="5" spans="1:5" ht="15" x14ac:dyDescent="0.25">
      <c r="C5" s="85" t="s">
        <v>331</v>
      </c>
      <c r="D5" s="85"/>
    </row>
    <row r="6" spans="1:5" ht="15" x14ac:dyDescent="0.25">
      <c r="C6" s="40"/>
      <c r="D6" s="40"/>
    </row>
    <row r="7" spans="1:5" ht="15" x14ac:dyDescent="0.25">
      <c r="C7" s="85" t="s">
        <v>331</v>
      </c>
      <c r="D7" s="85"/>
    </row>
    <row r="8" spans="1:5" ht="15" x14ac:dyDescent="0.25">
      <c r="C8" s="40"/>
      <c r="D8" s="40"/>
    </row>
    <row r="9" spans="1:5" ht="15" x14ac:dyDescent="0.25">
      <c r="C9" s="28" t="s">
        <v>332</v>
      </c>
      <c r="D9" s="10"/>
    </row>
    <row r="10" spans="1:5" ht="14.25" x14ac:dyDescent="0.2">
      <c r="A10" s="10"/>
      <c r="B10" s="10"/>
      <c r="C10" s="10"/>
      <c r="D10" s="10"/>
      <c r="E10" s="10"/>
    </row>
    <row r="11" spans="1:5" ht="15.75" x14ac:dyDescent="0.25">
      <c r="A11" s="86" t="str">
        <f>CONCATENATE("Ведомость объемов работ ", IF(Source!AN15&lt;&gt;"", Source!AN15," "))</f>
        <v xml:space="preserve">Ведомость объемов работ  </v>
      </c>
      <c r="B11" s="86"/>
      <c r="C11" s="86"/>
      <c r="D11" s="86"/>
      <c r="E11" s="10"/>
    </row>
    <row r="12" spans="1:5" ht="15" x14ac:dyDescent="0.25">
      <c r="A12" s="87" t="str">
        <f>CONCATENATE("На капитальный ремонт ", Source!F12)</f>
        <v>На капитальный ремонт Новый объект</v>
      </c>
      <c r="B12" s="87"/>
      <c r="C12" s="87"/>
      <c r="D12" s="87"/>
      <c r="E12" s="10"/>
    </row>
    <row r="13" spans="1:5" ht="14.25" x14ac:dyDescent="0.2">
      <c r="A13" s="10"/>
      <c r="B13" s="10"/>
      <c r="C13" s="10"/>
      <c r="D13" s="10"/>
      <c r="E13" s="10"/>
    </row>
    <row r="14" spans="1:5" ht="15" x14ac:dyDescent="0.2">
      <c r="A14" s="10"/>
      <c r="B14" s="41" t="s">
        <v>333</v>
      </c>
      <c r="C14" s="10"/>
      <c r="D14" s="10"/>
      <c r="E14" s="10"/>
    </row>
    <row r="15" spans="1:5" ht="15" x14ac:dyDescent="0.2">
      <c r="A15" s="10"/>
      <c r="B15" s="41" t="s">
        <v>334</v>
      </c>
      <c r="C15" s="10"/>
      <c r="D15" s="10"/>
      <c r="E15" s="10"/>
    </row>
    <row r="16" spans="1:5" ht="15" x14ac:dyDescent="0.2">
      <c r="A16" s="10"/>
      <c r="B16" s="41" t="s">
        <v>335</v>
      </c>
      <c r="C16" s="10"/>
      <c r="D16" s="10"/>
      <c r="E16" s="10"/>
    </row>
    <row r="17" spans="1:5" ht="28.5" x14ac:dyDescent="0.2">
      <c r="A17" s="19" t="s">
        <v>336</v>
      </c>
      <c r="B17" s="19" t="s">
        <v>264</v>
      </c>
      <c r="C17" s="19" t="s">
        <v>265</v>
      </c>
      <c r="D17" s="19" t="s">
        <v>337</v>
      </c>
      <c r="E17" s="42" t="s">
        <v>338</v>
      </c>
    </row>
    <row r="18" spans="1:5" ht="14.25" x14ac:dyDescent="0.2">
      <c r="A18" s="44">
        <v>1</v>
      </c>
      <c r="B18" s="44">
        <v>2</v>
      </c>
      <c r="C18" s="44">
        <v>3</v>
      </c>
      <c r="D18" s="44">
        <v>4</v>
      </c>
      <c r="E18" s="43">
        <v>5</v>
      </c>
    </row>
    <row r="19" spans="1:5" ht="16.5" x14ac:dyDescent="0.25">
      <c r="A19" s="84" t="str">
        <f>CONCATENATE("Локальная смета: ", Source!G20)</f>
        <v>Локальная смета: Новая локальная смета</v>
      </c>
      <c r="B19" s="84"/>
      <c r="C19" s="84"/>
      <c r="D19" s="84"/>
    </row>
    <row r="20" spans="1:5" ht="16.5" x14ac:dyDescent="0.25">
      <c r="A20" s="84" t="str">
        <f>CONCATENATE("Раздел: ", Source!G24)</f>
        <v>Раздел: Установка спортивных тренажеров</v>
      </c>
      <c r="B20" s="84"/>
      <c r="C20" s="84"/>
      <c r="D20" s="84"/>
    </row>
    <row r="21" spans="1:5" ht="28.5" x14ac:dyDescent="0.2">
      <c r="A21" s="47">
        <v>1</v>
      </c>
      <c r="B21" s="48" t="str">
        <f>Source!G28</f>
        <v>Разработка грунта вручную в траншеях глубиной до 2 м без креплений с откосами группа грунтов 1-3</v>
      </c>
      <c r="C21" s="49" t="str">
        <f>Source!DW28</f>
        <v>100 м3</v>
      </c>
      <c r="D21" s="50">
        <f>Source!I28</f>
        <v>4.8999999999999998E-3</v>
      </c>
    </row>
    <row r="22" spans="1:5" ht="14.25" x14ac:dyDescent="0.2">
      <c r="A22" s="47">
        <v>2</v>
      </c>
      <c r="B22" s="48" t="str">
        <f>Source!G29</f>
        <v>Устройство песчаного основания под фундаменты</v>
      </c>
      <c r="C22" s="49" t="str">
        <f>Source!DW29</f>
        <v>м3</v>
      </c>
      <c r="D22" s="50">
        <f>Source!I29</f>
        <v>4.9000000000000002E-2</v>
      </c>
    </row>
    <row r="23" spans="1:5" ht="14.25" x14ac:dyDescent="0.2">
      <c r="A23" s="47">
        <v>3</v>
      </c>
      <c r="B23" s="48" t="str">
        <f>Source!G30</f>
        <v>Устройство щебеночного основания под фундаменты</v>
      </c>
      <c r="C23" s="49" t="str">
        <f>Source!DW30</f>
        <v>м3</v>
      </c>
      <c r="D23" s="50">
        <f>Source!I30</f>
        <v>9.8000000000000004E-2</v>
      </c>
    </row>
    <row r="24" spans="1:5" ht="14.25" x14ac:dyDescent="0.2">
      <c r="A24" s="47">
        <v>4</v>
      </c>
      <c r="B24" s="48" t="str">
        <f>Source!G31</f>
        <v>Устройство фундаментов-столбов бетонных</v>
      </c>
      <c r="C24" s="49" t="str">
        <f>Source!DW31</f>
        <v>100 м3</v>
      </c>
      <c r="D24" s="50">
        <f>Source!I31</f>
        <v>3.4299999999999999E-3</v>
      </c>
    </row>
    <row r="25" spans="1:5" ht="14.25" x14ac:dyDescent="0.2">
      <c r="A25" s="47">
        <v>5</v>
      </c>
      <c r="B25" s="48" t="str">
        <f>Source!G32</f>
        <v>Установка закладных деталей весом до 4 кг</v>
      </c>
      <c r="C25" s="49" t="str">
        <f>Source!DW32</f>
        <v>т</v>
      </c>
      <c r="D25" s="50">
        <f>Source!I32</f>
        <v>0.09</v>
      </c>
    </row>
    <row r="26" spans="1:5" ht="28.5" x14ac:dyDescent="0.2">
      <c r="A26" s="47">
        <v>6</v>
      </c>
      <c r="B26" s="48" t="str">
        <f>Source!G36</f>
        <v>Разработка грунта вручную в траншеях глубиной до 2 м без креплений с откосами группа грунтов 1-3</v>
      </c>
      <c r="C26" s="49" t="str">
        <f>Source!DW36</f>
        <v>100 м3</v>
      </c>
      <c r="D26" s="50">
        <f>Source!I36</f>
        <v>4.8999999999999998E-3</v>
      </c>
    </row>
    <row r="27" spans="1:5" ht="14.25" x14ac:dyDescent="0.2">
      <c r="A27" s="47">
        <v>7</v>
      </c>
      <c r="B27" s="48" t="str">
        <f>Source!G37</f>
        <v>Устройство песчаного основания под фундаменты</v>
      </c>
      <c r="C27" s="49" t="str">
        <f>Source!DW37</f>
        <v>м3</v>
      </c>
      <c r="D27" s="50">
        <f>Source!I37</f>
        <v>4.9000000000000002E-2</v>
      </c>
    </row>
    <row r="28" spans="1:5" ht="14.25" x14ac:dyDescent="0.2">
      <c r="A28" s="47">
        <v>8</v>
      </c>
      <c r="B28" s="48" t="str">
        <f>Source!G38</f>
        <v>Устройство щебеночного основания под фундаменты</v>
      </c>
      <c r="C28" s="49" t="str">
        <f>Source!DW38</f>
        <v>м3</v>
      </c>
      <c r="D28" s="50">
        <f>Source!I38</f>
        <v>9.8000000000000004E-2</v>
      </c>
    </row>
    <row r="29" spans="1:5" ht="14.25" x14ac:dyDescent="0.2">
      <c r="A29" s="47">
        <v>9</v>
      </c>
      <c r="B29" s="48" t="str">
        <f>Source!G39</f>
        <v>Устройство фундаментов-столбов бетонных</v>
      </c>
      <c r="C29" s="49" t="str">
        <f>Source!DW39</f>
        <v>100 м3</v>
      </c>
      <c r="D29" s="50">
        <f>Source!I39</f>
        <v>3.4299999999999999E-3</v>
      </c>
    </row>
    <row r="30" spans="1:5" ht="14.25" x14ac:dyDescent="0.2">
      <c r="A30" s="47">
        <v>10</v>
      </c>
      <c r="B30" s="48" t="str">
        <f>Source!G40</f>
        <v>Установка закладных деталей весом до 4 кг</v>
      </c>
      <c r="C30" s="49" t="str">
        <f>Source!DW40</f>
        <v>т</v>
      </c>
      <c r="D30" s="50">
        <f>Source!I40</f>
        <v>0.09</v>
      </c>
    </row>
    <row r="31" spans="1:5" ht="28.5" x14ac:dyDescent="0.2">
      <c r="A31" s="47">
        <v>11</v>
      </c>
      <c r="B31" s="48" t="str">
        <f>Source!G44</f>
        <v>Разработка грунта вручную в траншеях глубиной до 2 м без креплений с откосами группа грунтов 1-3</v>
      </c>
      <c r="C31" s="49" t="str">
        <f>Source!DW44</f>
        <v>100 м3</v>
      </c>
      <c r="D31" s="50">
        <f>Source!I44</f>
        <v>4.8999999999999998E-3</v>
      </c>
    </row>
    <row r="32" spans="1:5" ht="14.25" x14ac:dyDescent="0.2">
      <c r="A32" s="47">
        <v>12</v>
      </c>
      <c r="B32" s="48" t="str">
        <f>Source!G45</f>
        <v>Устройство песчаного основания под фундаменты</v>
      </c>
      <c r="C32" s="49" t="str">
        <f>Source!DW45</f>
        <v>м3</v>
      </c>
      <c r="D32" s="50">
        <f>Source!I45</f>
        <v>4.9000000000000002E-2</v>
      </c>
    </row>
    <row r="33" spans="1:4" ht="14.25" x14ac:dyDescent="0.2">
      <c r="A33" s="47">
        <v>13</v>
      </c>
      <c r="B33" s="48" t="str">
        <f>Source!G46</f>
        <v>Устройство щебеночного основания под фундаменты</v>
      </c>
      <c r="C33" s="49" t="str">
        <f>Source!DW46</f>
        <v>м3</v>
      </c>
      <c r="D33" s="50">
        <f>Source!I46</f>
        <v>9.8000000000000004E-2</v>
      </c>
    </row>
    <row r="34" spans="1:4" ht="14.25" x14ac:dyDescent="0.2">
      <c r="A34" s="47">
        <v>14</v>
      </c>
      <c r="B34" s="48" t="str">
        <f>Source!G47</f>
        <v>Устройство фундаментов-столбов бетонных</v>
      </c>
      <c r="C34" s="49" t="str">
        <f>Source!DW47</f>
        <v>100 м3</v>
      </c>
      <c r="D34" s="50">
        <f>Source!I47</f>
        <v>3.4299999999999999E-3</v>
      </c>
    </row>
    <row r="35" spans="1:4" ht="14.25" x14ac:dyDescent="0.2">
      <c r="A35" s="47">
        <v>15</v>
      </c>
      <c r="B35" s="48" t="str">
        <f>Source!G48</f>
        <v>Установка закладных деталей весом до 4 кг</v>
      </c>
      <c r="C35" s="49" t="str">
        <f>Source!DW48</f>
        <v>т</v>
      </c>
      <c r="D35" s="50">
        <f>Source!I48</f>
        <v>8.5000000000000006E-2</v>
      </c>
    </row>
    <row r="36" spans="1:4" ht="28.5" x14ac:dyDescent="0.2">
      <c r="A36" s="47">
        <v>16</v>
      </c>
      <c r="B36" s="48" t="str">
        <f>Source!G52</f>
        <v>Разработка грунта вручную в траншеях глубиной до 2 м без креплений с откосами группа грунтов 1-3</v>
      </c>
      <c r="C36" s="49" t="str">
        <f>Source!DW52</f>
        <v>100 м3</v>
      </c>
      <c r="D36" s="50">
        <f>Source!I52</f>
        <v>4.8999999999999998E-3</v>
      </c>
    </row>
    <row r="37" spans="1:4" ht="14.25" x14ac:dyDescent="0.2">
      <c r="A37" s="47">
        <v>17</v>
      </c>
      <c r="B37" s="48" t="str">
        <f>Source!G53</f>
        <v>Устройство песчаного основания под фундаменты</v>
      </c>
      <c r="C37" s="49" t="str">
        <f>Source!DW53</f>
        <v>м3</v>
      </c>
      <c r="D37" s="50">
        <f>Source!I53</f>
        <v>4.9000000000000002E-2</v>
      </c>
    </row>
    <row r="38" spans="1:4" ht="14.25" x14ac:dyDescent="0.2">
      <c r="A38" s="47">
        <v>18</v>
      </c>
      <c r="B38" s="48" t="str">
        <f>Source!G54</f>
        <v>Устройство щебеночного основания под фундаменты</v>
      </c>
      <c r="C38" s="49" t="str">
        <f>Source!DW54</f>
        <v>м3</v>
      </c>
      <c r="D38" s="50">
        <f>Source!I54</f>
        <v>9.8000000000000004E-2</v>
      </c>
    </row>
    <row r="39" spans="1:4" ht="14.25" x14ac:dyDescent="0.2">
      <c r="A39" s="47">
        <v>19</v>
      </c>
      <c r="B39" s="48" t="str">
        <f>Source!G55</f>
        <v>Устройство фундаментов-столбов бетонных</v>
      </c>
      <c r="C39" s="49" t="str">
        <f>Source!DW55</f>
        <v>100 м3</v>
      </c>
      <c r="D39" s="50">
        <f>Source!I55</f>
        <v>3.4299999999999999E-3</v>
      </c>
    </row>
    <row r="40" spans="1:4" ht="14.25" x14ac:dyDescent="0.2">
      <c r="A40" s="47">
        <v>20</v>
      </c>
      <c r="B40" s="48" t="str">
        <f>Source!G56</f>
        <v>Установка закладных деталей весом до 4 кг</v>
      </c>
      <c r="C40" s="49" t="str">
        <f>Source!DW56</f>
        <v>т</v>
      </c>
      <c r="D40" s="50">
        <f>Source!I56</f>
        <v>0.09</v>
      </c>
    </row>
    <row r="41" spans="1:4" ht="28.5" x14ac:dyDescent="0.2">
      <c r="A41" s="47">
        <v>21</v>
      </c>
      <c r="B41" s="48" t="str">
        <f>Source!G60</f>
        <v>Разработка грунта вручную в траншеях глубиной до 2 м без креплений с откосами группа грунтов 1-3</v>
      </c>
      <c r="C41" s="49" t="str">
        <f>Source!DW60</f>
        <v>100 м3</v>
      </c>
      <c r="D41" s="50">
        <f>Source!I60</f>
        <v>4.8999999999999998E-3</v>
      </c>
    </row>
    <row r="42" spans="1:4" ht="14.25" x14ac:dyDescent="0.2">
      <c r="A42" s="47">
        <v>22</v>
      </c>
      <c r="B42" s="48" t="str">
        <f>Source!G61</f>
        <v>Устройство песчаного основания под фундаменты</v>
      </c>
      <c r="C42" s="49" t="str">
        <f>Source!DW61</f>
        <v>м3</v>
      </c>
      <c r="D42" s="50">
        <f>Source!I61</f>
        <v>4.9000000000000002E-2</v>
      </c>
    </row>
    <row r="43" spans="1:4" ht="14.25" x14ac:dyDescent="0.2">
      <c r="A43" s="47">
        <v>23</v>
      </c>
      <c r="B43" s="48" t="str">
        <f>Source!G62</f>
        <v>Устройство щебеночного основания под фундаменты</v>
      </c>
      <c r="C43" s="49" t="str">
        <f>Source!DW62</f>
        <v>м3</v>
      </c>
      <c r="D43" s="50">
        <f>Source!I62</f>
        <v>9.8000000000000004E-2</v>
      </c>
    </row>
    <row r="44" spans="1:4" ht="14.25" x14ac:dyDescent="0.2">
      <c r="A44" s="47">
        <v>24</v>
      </c>
      <c r="B44" s="48" t="str">
        <f>Source!G63</f>
        <v>Устройство фундаментов-столбов бетонных</v>
      </c>
      <c r="C44" s="49" t="str">
        <f>Source!DW63</f>
        <v>100 м3</v>
      </c>
      <c r="D44" s="50">
        <f>Source!I63</f>
        <v>3.4299999999999999E-3</v>
      </c>
    </row>
    <row r="45" spans="1:4" ht="14.25" x14ac:dyDescent="0.2">
      <c r="A45" s="47">
        <v>25</v>
      </c>
      <c r="B45" s="48" t="str">
        <f>Source!G64</f>
        <v>Установка закладных деталей весом до 4 кг</v>
      </c>
      <c r="C45" s="49" t="str">
        <f>Source!DW64</f>
        <v>т</v>
      </c>
      <c r="D45" s="50">
        <f>Source!I64</f>
        <v>0.105</v>
      </c>
    </row>
    <row r="46" spans="1:4" ht="28.5" x14ac:dyDescent="0.2">
      <c r="A46" s="47">
        <v>26</v>
      </c>
      <c r="B46" s="48" t="str">
        <f>Source!G68</f>
        <v>Разработка грунта вручную в траншеях глубиной до 2 м без креплений с откосами группа грунтов 1-3</v>
      </c>
      <c r="C46" s="49" t="str">
        <f>Source!DW68</f>
        <v>100 м3</v>
      </c>
      <c r="D46" s="50">
        <f>Source!I68</f>
        <v>4.8999999999999998E-3</v>
      </c>
    </row>
    <row r="47" spans="1:4" ht="14.25" x14ac:dyDescent="0.2">
      <c r="A47" s="47">
        <v>27</v>
      </c>
      <c r="B47" s="48" t="str">
        <f>Source!G69</f>
        <v>Устройство песчаного основания под фундаменты</v>
      </c>
      <c r="C47" s="49" t="str">
        <f>Source!DW69</f>
        <v>м3</v>
      </c>
      <c r="D47" s="50">
        <f>Source!I69</f>
        <v>4.9000000000000002E-2</v>
      </c>
    </row>
    <row r="48" spans="1:4" ht="14.25" x14ac:dyDescent="0.2">
      <c r="A48" s="47">
        <v>28</v>
      </c>
      <c r="B48" s="48" t="str">
        <f>Source!G70</f>
        <v>Устройство щебеночного основания под фундаменты</v>
      </c>
      <c r="C48" s="49" t="str">
        <f>Source!DW70</f>
        <v>м3</v>
      </c>
      <c r="D48" s="50">
        <f>Source!I70</f>
        <v>9.8000000000000004E-2</v>
      </c>
    </row>
    <row r="49" spans="1:5" ht="14.25" x14ac:dyDescent="0.2">
      <c r="A49" s="47">
        <v>29</v>
      </c>
      <c r="B49" s="48" t="str">
        <f>Source!G71</f>
        <v>Устройство фундаментов-столбов бетонных</v>
      </c>
      <c r="C49" s="49" t="str">
        <f>Source!DW71</f>
        <v>100 м3</v>
      </c>
      <c r="D49" s="50">
        <f>Source!I71</f>
        <v>3.4299999999999999E-3</v>
      </c>
    </row>
    <row r="50" spans="1:5" ht="14.25" x14ac:dyDescent="0.2">
      <c r="A50" s="47">
        <v>30</v>
      </c>
      <c r="B50" s="48" t="str">
        <f>Source!G72</f>
        <v>Установка закладных деталей весом до 4 кг</v>
      </c>
      <c r="C50" s="49" t="str">
        <f>Source!DW72</f>
        <v>т</v>
      </c>
      <c r="D50" s="50">
        <f>Source!I72</f>
        <v>7.85E-2</v>
      </c>
    </row>
    <row r="51" spans="1:5" ht="28.5" x14ac:dyDescent="0.2">
      <c r="A51" s="47">
        <v>31</v>
      </c>
      <c r="B51" s="48" t="str">
        <f>Source!G76</f>
        <v>Разработка грунта вручную в траншеях глубиной до 2 м без креплений с откосами группа грунтов 1-3</v>
      </c>
      <c r="C51" s="49" t="str">
        <f>Source!DW76</f>
        <v>100 м3</v>
      </c>
      <c r="D51" s="50">
        <f>Source!I76</f>
        <v>4.8999999999999998E-3</v>
      </c>
    </row>
    <row r="52" spans="1:5" ht="14.25" x14ac:dyDescent="0.2">
      <c r="A52" s="47">
        <v>32</v>
      </c>
      <c r="B52" s="48" t="str">
        <f>Source!G77</f>
        <v>Устройство песчаного основания под фундаменты</v>
      </c>
      <c r="C52" s="49" t="str">
        <f>Source!DW77</f>
        <v>м3</v>
      </c>
      <c r="D52" s="50">
        <f>Source!I77</f>
        <v>4.9000000000000002E-2</v>
      </c>
    </row>
    <row r="53" spans="1:5" ht="14.25" x14ac:dyDescent="0.2">
      <c r="A53" s="47">
        <v>33</v>
      </c>
      <c r="B53" s="48" t="str">
        <f>Source!G78</f>
        <v>Устройство щебеночного основания под фундаменты</v>
      </c>
      <c r="C53" s="49" t="str">
        <f>Source!DW78</f>
        <v>м3</v>
      </c>
      <c r="D53" s="50">
        <f>Source!I78</f>
        <v>9.8000000000000004E-2</v>
      </c>
    </row>
    <row r="54" spans="1:5" ht="14.25" x14ac:dyDescent="0.2">
      <c r="A54" s="47">
        <v>34</v>
      </c>
      <c r="B54" s="48" t="str">
        <f>Source!G79</f>
        <v>Устройство фундаментов-столбов бетонных</v>
      </c>
      <c r="C54" s="49" t="str">
        <f>Source!DW79</f>
        <v>100 м3</v>
      </c>
      <c r="D54" s="50">
        <f>Source!I79</f>
        <v>3.4299999999999999E-3</v>
      </c>
    </row>
    <row r="55" spans="1:5" ht="14.25" x14ac:dyDescent="0.2">
      <c r="A55" s="47">
        <v>35</v>
      </c>
      <c r="B55" s="48" t="str">
        <f>Source!G80</f>
        <v>Установка закладных деталей весом до 4 кг</v>
      </c>
      <c r="C55" s="49" t="str">
        <f>Source!DW80</f>
        <v>т</v>
      </c>
      <c r="D55" s="50">
        <f>Source!I80</f>
        <v>7.1999999999999995E-2</v>
      </c>
    </row>
    <row r="56" spans="1:5" ht="28.5" x14ac:dyDescent="0.2">
      <c r="A56" s="47">
        <v>36</v>
      </c>
      <c r="B56" s="48" t="str">
        <f>Source!G84</f>
        <v>Разработка грунта вручную в траншеях глубиной до 2 м без креплений с откосами группа грунтов 1-3</v>
      </c>
      <c r="C56" s="49" t="str">
        <f>Source!DW84</f>
        <v>100 м3</v>
      </c>
      <c r="D56" s="50">
        <f>Source!I84</f>
        <v>4.8999999999999998E-3</v>
      </c>
    </row>
    <row r="57" spans="1:5" ht="14.25" x14ac:dyDescent="0.2">
      <c r="A57" s="47">
        <v>37</v>
      </c>
      <c r="B57" s="48" t="str">
        <f>Source!G85</f>
        <v>Устройство песчаного основания под фундаменты</v>
      </c>
      <c r="C57" s="49" t="str">
        <f>Source!DW85</f>
        <v>м3</v>
      </c>
      <c r="D57" s="50">
        <f>Source!I85</f>
        <v>4.9000000000000002E-2</v>
      </c>
    </row>
    <row r="58" spans="1:5" ht="14.25" x14ac:dyDescent="0.2">
      <c r="A58" s="47">
        <v>38</v>
      </c>
      <c r="B58" s="48" t="str">
        <f>Source!G86</f>
        <v>Устройство щебеночного основания под фундаменты</v>
      </c>
      <c r="C58" s="49" t="str">
        <f>Source!DW86</f>
        <v>м3</v>
      </c>
      <c r="D58" s="50">
        <f>Source!I86</f>
        <v>9.8000000000000004E-2</v>
      </c>
    </row>
    <row r="59" spans="1:5" ht="14.25" x14ac:dyDescent="0.2">
      <c r="A59" s="47">
        <v>39</v>
      </c>
      <c r="B59" s="48" t="str">
        <f>Source!G87</f>
        <v>Устройство фундаментов-столбов бетонных</v>
      </c>
      <c r="C59" s="49" t="str">
        <f>Source!DW87</f>
        <v>100 м3</v>
      </c>
      <c r="D59" s="50">
        <f>Source!I87</f>
        <v>3.4299999999999999E-3</v>
      </c>
    </row>
    <row r="60" spans="1:5" ht="14.25" x14ac:dyDescent="0.2">
      <c r="A60" s="47">
        <v>40</v>
      </c>
      <c r="B60" s="48" t="str">
        <f>Source!G88</f>
        <v>Установка закладных деталей весом до 4 кг</v>
      </c>
      <c r="C60" s="49" t="str">
        <f>Source!DW88</f>
        <v>т</v>
      </c>
      <c r="D60" s="50">
        <f>Source!I88</f>
        <v>0.1</v>
      </c>
    </row>
    <row r="61" spans="1:5" ht="14.25" x14ac:dyDescent="0.2">
      <c r="A61" s="46">
        <v>41</v>
      </c>
      <c r="B61" s="37" t="str">
        <f>Source!G92</f>
        <v>Постановка болтов нормальной точности</v>
      </c>
      <c r="C61" s="38" t="str">
        <f>Source!DW92</f>
        <v>100 шт.</v>
      </c>
      <c r="D61" s="35">
        <f>Source!I92</f>
        <v>0.16</v>
      </c>
    </row>
    <row r="64" spans="1:5" ht="15" x14ac:dyDescent="0.25">
      <c r="A64" s="33"/>
      <c r="B64" s="33" t="s">
        <v>339</v>
      </c>
      <c r="C64" s="33"/>
      <c r="D64" s="33"/>
      <c r="E64" s="10"/>
    </row>
  </sheetData>
  <mergeCells count="6">
    <mergeCell ref="A20:D20"/>
    <mergeCell ref="C5:D5"/>
    <mergeCell ref="C7:D7"/>
    <mergeCell ref="A11:D11"/>
    <mergeCell ref="A12:D12"/>
    <mergeCell ref="A19:D19"/>
  </mergeCells>
  <pageMargins left="0.4" right="0.2" top="0.2" bottom="0.4" header="0.2" footer="0.2"/>
  <pageSetup paperSize="9" scale="87" fitToHeight="0" orientation="portrait" verticalDpi="0" r:id="rId1"/>
  <headerFooter>
    <oddHeader>&amp;L&amp;8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92"/>
  <sheetViews>
    <sheetView topLeftCell="B51" workbookViewId="0">
      <selection activeCell="ES83" sqref="ES83"/>
    </sheetView>
  </sheetViews>
  <sheetFormatPr defaultColWidth="9.140625" defaultRowHeight="12.75" x14ac:dyDescent="0.2"/>
  <cols>
    <col min="1" max="5" width="9.140625" customWidth="1"/>
    <col min="6" max="6" width="17.85546875" customWidth="1"/>
    <col min="7" max="7" width="76.7109375" customWidth="1"/>
    <col min="8" max="8" width="9.140625" customWidth="1"/>
    <col min="9" max="37" width="9.140625" hidden="1" customWidth="1"/>
    <col min="38" max="38" width="9.140625" customWidth="1"/>
    <col min="39" max="93" width="9.140625" hidden="1" customWidth="1"/>
    <col min="94" max="95" width="9.140625" customWidth="1"/>
    <col min="96" max="147" width="9.140625" hidden="1" customWidth="1"/>
    <col min="148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33353</v>
      </c>
      <c r="M1">
        <v>10</v>
      </c>
    </row>
    <row r="12" spans="1:133" x14ac:dyDescent="0.2">
      <c r="A12" s="1">
        <v>1</v>
      </c>
      <c r="B12" s="1">
        <v>188</v>
      </c>
      <c r="C12" s="1">
        <v>0</v>
      </c>
      <c r="D12" s="1">
        <f>ROW(A153)</f>
        <v>153</v>
      </c>
      <c r="E12" s="1">
        <v>0</v>
      </c>
      <c r="F12" s="1" t="s">
        <v>4</v>
      </c>
      <c r="G12" s="51" t="s">
        <v>342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1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10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B153</f>
        <v>188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установка спортивных тренажеров по адресу: ул. Нижегородская, д. 3</v>
      </c>
      <c r="H18" s="2"/>
      <c r="I18" s="2"/>
      <c r="J18" s="2"/>
      <c r="K18" s="2"/>
      <c r="L18" s="2"/>
      <c r="M18" s="2"/>
      <c r="N18" s="2"/>
      <c r="O18" s="2">
        <f t="shared" ref="O18:AT18" si="1">O153</f>
        <v>611636.62</v>
      </c>
      <c r="P18" s="2">
        <f t="shared" si="1"/>
        <v>569545.4</v>
      </c>
      <c r="Q18" s="2">
        <f t="shared" si="1"/>
        <v>274</v>
      </c>
      <c r="R18" s="2">
        <f t="shared" si="1"/>
        <v>160.24</v>
      </c>
      <c r="S18" s="2">
        <f t="shared" si="1"/>
        <v>41817.22</v>
      </c>
      <c r="T18" s="2">
        <f t="shared" si="1"/>
        <v>0</v>
      </c>
      <c r="U18" s="2">
        <f t="shared" si="1"/>
        <v>189.23992999999996</v>
      </c>
      <c r="V18" s="2">
        <f t="shared" si="1"/>
        <v>0</v>
      </c>
      <c r="W18" s="2">
        <f t="shared" si="1"/>
        <v>0</v>
      </c>
      <c r="X18" s="2">
        <f t="shared" si="1"/>
        <v>29272.05</v>
      </c>
      <c r="Y18" s="2">
        <f t="shared" si="1"/>
        <v>4181.79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645263.57999999996</v>
      </c>
      <c r="AS18" s="2">
        <f t="shared" si="1"/>
        <v>556225.03</v>
      </c>
      <c r="AT18" s="2">
        <f t="shared" si="1"/>
        <v>0</v>
      </c>
      <c r="AU18" s="2">
        <f t="shared" ref="AU18:BZ18" si="2">AU153</f>
        <v>89038.55</v>
      </c>
      <c r="AV18" s="2">
        <f t="shared" si="2"/>
        <v>569545.4</v>
      </c>
      <c r="AW18" s="2">
        <f t="shared" si="2"/>
        <v>569545.4</v>
      </c>
      <c r="AX18" s="2">
        <f t="shared" si="2"/>
        <v>0</v>
      </c>
      <c r="AY18" s="2">
        <f t="shared" si="2"/>
        <v>569545.4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CA153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DG153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EM153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FS153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ROW(A124)</f>
        <v>124</v>
      </c>
      <c r="E20" s="1"/>
      <c r="F20" s="1" t="s">
        <v>15</v>
      </c>
      <c r="G20" s="1" t="s">
        <v>15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B124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O124</f>
        <v>611636.62</v>
      </c>
      <c r="P22" s="2">
        <f t="shared" si="8"/>
        <v>569545.4</v>
      </c>
      <c r="Q22" s="2">
        <f t="shared" si="8"/>
        <v>274</v>
      </c>
      <c r="R22" s="2">
        <f t="shared" si="8"/>
        <v>160.24</v>
      </c>
      <c r="S22" s="2">
        <f t="shared" si="8"/>
        <v>41817.22</v>
      </c>
      <c r="T22" s="2">
        <f t="shared" si="8"/>
        <v>0</v>
      </c>
      <c r="U22" s="2">
        <f t="shared" si="8"/>
        <v>189.23992999999996</v>
      </c>
      <c r="V22" s="2">
        <f t="shared" si="8"/>
        <v>0</v>
      </c>
      <c r="W22" s="2">
        <f t="shared" si="8"/>
        <v>0</v>
      </c>
      <c r="X22" s="2">
        <f t="shared" si="8"/>
        <v>29272.05</v>
      </c>
      <c r="Y22" s="2">
        <f t="shared" si="8"/>
        <v>4181.79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645263.57999999996</v>
      </c>
      <c r="AS22" s="2">
        <f t="shared" si="8"/>
        <v>556225.03</v>
      </c>
      <c r="AT22" s="2">
        <f t="shared" si="8"/>
        <v>0</v>
      </c>
      <c r="AU22" s="2">
        <f t="shared" ref="AU22:BZ22" si="9">AU124</f>
        <v>89038.55</v>
      </c>
      <c r="AV22" s="2">
        <f t="shared" si="9"/>
        <v>569545.4</v>
      </c>
      <c r="AW22" s="2">
        <f t="shared" si="9"/>
        <v>569545.4</v>
      </c>
      <c r="AX22" s="2">
        <f t="shared" si="9"/>
        <v>0</v>
      </c>
      <c r="AY22" s="2">
        <f t="shared" si="9"/>
        <v>569545.4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CA124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DG124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EM124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FS124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ROW(A95)</f>
        <v>95</v>
      </c>
      <c r="E24" s="1"/>
      <c r="F24" s="1" t="s">
        <v>16</v>
      </c>
      <c r="G24" s="1" t="s">
        <v>17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B95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Установка спортивных тренажеров</v>
      </c>
      <c r="H26" s="2"/>
      <c r="I26" s="2"/>
      <c r="J26" s="2"/>
      <c r="K26" s="2"/>
      <c r="L26" s="2"/>
      <c r="M26" s="2"/>
      <c r="N26" s="2"/>
      <c r="O26" s="2">
        <f t="shared" ref="O26:AT26" si="15">O95</f>
        <v>611636.62</v>
      </c>
      <c r="P26" s="2">
        <f t="shared" si="15"/>
        <v>569545.4</v>
      </c>
      <c r="Q26" s="2">
        <f t="shared" si="15"/>
        <v>274</v>
      </c>
      <c r="R26" s="2">
        <f t="shared" si="15"/>
        <v>160.24</v>
      </c>
      <c r="S26" s="2">
        <f t="shared" si="15"/>
        <v>41817.22</v>
      </c>
      <c r="T26" s="2">
        <f t="shared" si="15"/>
        <v>0</v>
      </c>
      <c r="U26" s="2">
        <f t="shared" si="15"/>
        <v>189.23992999999996</v>
      </c>
      <c r="V26" s="2">
        <f t="shared" si="15"/>
        <v>0</v>
      </c>
      <c r="W26" s="2">
        <f t="shared" si="15"/>
        <v>0</v>
      </c>
      <c r="X26" s="2">
        <f t="shared" si="15"/>
        <v>29272.05</v>
      </c>
      <c r="Y26" s="2">
        <f t="shared" si="15"/>
        <v>4181.79</v>
      </c>
      <c r="Z26" s="2">
        <f t="shared" si="15"/>
        <v>0</v>
      </c>
      <c r="AA26" s="2">
        <f t="shared" si="15"/>
        <v>0</v>
      </c>
      <c r="AB26" s="2">
        <f t="shared" si="15"/>
        <v>611636.62</v>
      </c>
      <c r="AC26" s="2">
        <f t="shared" si="15"/>
        <v>569545.4</v>
      </c>
      <c r="AD26" s="2">
        <f t="shared" si="15"/>
        <v>274</v>
      </c>
      <c r="AE26" s="2">
        <f t="shared" si="15"/>
        <v>160.24</v>
      </c>
      <c r="AF26" s="2">
        <f t="shared" si="15"/>
        <v>41817.22</v>
      </c>
      <c r="AG26" s="2">
        <f t="shared" si="15"/>
        <v>0</v>
      </c>
      <c r="AH26" s="2">
        <f t="shared" si="15"/>
        <v>189.23992999999996</v>
      </c>
      <c r="AI26" s="2">
        <f t="shared" si="15"/>
        <v>0</v>
      </c>
      <c r="AJ26" s="2">
        <f t="shared" si="15"/>
        <v>0</v>
      </c>
      <c r="AK26" s="2">
        <f t="shared" si="15"/>
        <v>29272.05</v>
      </c>
      <c r="AL26" s="2">
        <f t="shared" si="15"/>
        <v>4181.79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645263.57999999996</v>
      </c>
      <c r="AS26" s="2">
        <f t="shared" si="15"/>
        <v>556225.03</v>
      </c>
      <c r="AT26" s="2">
        <f t="shared" si="15"/>
        <v>0</v>
      </c>
      <c r="AU26" s="2">
        <f t="shared" ref="AU26:BZ26" si="16">AU95</f>
        <v>89038.55</v>
      </c>
      <c r="AV26" s="2">
        <f t="shared" si="16"/>
        <v>569545.4</v>
      </c>
      <c r="AW26" s="2">
        <f t="shared" si="16"/>
        <v>569545.4</v>
      </c>
      <c r="AX26" s="2">
        <f t="shared" si="16"/>
        <v>0</v>
      </c>
      <c r="AY26" s="2">
        <f t="shared" si="16"/>
        <v>569545.4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CA95</f>
        <v>645263.57999999996</v>
      </c>
      <c r="CB26" s="2">
        <f t="shared" si="17"/>
        <v>556225.03</v>
      </c>
      <c r="CC26" s="2">
        <f t="shared" si="17"/>
        <v>0</v>
      </c>
      <c r="CD26" s="2">
        <f t="shared" si="17"/>
        <v>89038.55</v>
      </c>
      <c r="CE26" s="2">
        <f t="shared" si="17"/>
        <v>569545.4</v>
      </c>
      <c r="CF26" s="2">
        <f t="shared" si="17"/>
        <v>569545.4</v>
      </c>
      <c r="CG26" s="2">
        <f t="shared" si="17"/>
        <v>0</v>
      </c>
      <c r="CH26" s="2">
        <f t="shared" si="17"/>
        <v>569545.4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DG95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EM95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FS95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D28">
        <f>ROW(EtalonRes!A1)</f>
        <v>1</v>
      </c>
      <c r="E28" t="s">
        <v>18</v>
      </c>
      <c r="F28" t="s">
        <v>19</v>
      </c>
      <c r="G28" t="s">
        <v>20</v>
      </c>
      <c r="H28" t="s">
        <v>21</v>
      </c>
      <c r="I28">
        <f>ROUND(0.7*0.7*1/100,9)</f>
        <v>4.8999999999999998E-3</v>
      </c>
      <c r="J28">
        <v>0</v>
      </c>
      <c r="O28">
        <f t="shared" ref="O28:O59" si="21">ROUND(CP28,2)</f>
        <v>205.56</v>
      </c>
      <c r="P28">
        <f t="shared" ref="P28:P59" si="22">ROUND(CQ28*I28,2)</f>
        <v>0</v>
      </c>
      <c r="Q28">
        <f t="shared" ref="Q28:Q59" si="23">ROUND(CR28*I28,2)</f>
        <v>0</v>
      </c>
      <c r="R28">
        <f t="shared" ref="R28:R59" si="24">ROUND(CS28*I28,2)</f>
        <v>0</v>
      </c>
      <c r="S28">
        <f t="shared" ref="S28:S59" si="25">ROUND(CT28*I28,2)</f>
        <v>205.56</v>
      </c>
      <c r="T28">
        <f t="shared" ref="T28:T59" si="26">ROUND(CU28*I28,2)</f>
        <v>0</v>
      </c>
      <c r="U28">
        <f t="shared" ref="U28:U59" si="27">CV28*I28</f>
        <v>1.0858399999999999</v>
      </c>
      <c r="V28">
        <f t="shared" ref="V28:V59" si="28">CW28*I28</f>
        <v>0</v>
      </c>
      <c r="W28">
        <f t="shared" ref="W28:W59" si="29">ROUND(CX28*I28,2)</f>
        <v>0</v>
      </c>
      <c r="X28">
        <f t="shared" ref="X28:X59" si="30">ROUND(CY28,2)</f>
        <v>143.88999999999999</v>
      </c>
      <c r="Y28">
        <f t="shared" ref="Y28:Y59" si="31">ROUND(CZ28,2)</f>
        <v>20.56</v>
      </c>
      <c r="AA28">
        <v>42278323</v>
      </c>
      <c r="AB28">
        <f t="shared" ref="AB28:AB59" si="32">ROUND((AC28+AD28+AF28),6)</f>
        <v>41951.1</v>
      </c>
      <c r="AC28">
        <f t="shared" ref="AC28:AC59" si="33">ROUND((ES28),6)</f>
        <v>0</v>
      </c>
      <c r="AD28">
        <f t="shared" ref="AD28:AD59" si="34">ROUND((((ET28)-(EU28))+AE28),6)</f>
        <v>0</v>
      </c>
      <c r="AE28">
        <f t="shared" ref="AE28:AE59" si="35">ROUND((EU28),6)</f>
        <v>0</v>
      </c>
      <c r="AF28">
        <f t="shared" ref="AF28:AF59" si="36">ROUND((EV28),6)</f>
        <v>41951.1</v>
      </c>
      <c r="AG28">
        <f t="shared" ref="AG28:AG59" si="37">ROUND((AP28),6)</f>
        <v>0</v>
      </c>
      <c r="AH28">
        <f t="shared" ref="AH28:AH59" si="38">(EW28)</f>
        <v>221.6</v>
      </c>
      <c r="AI28">
        <f t="shared" ref="AI28:AI59" si="39">(EX28)</f>
        <v>0</v>
      </c>
      <c r="AJ28">
        <f t="shared" ref="AJ28:AJ59" si="40">(AS28)</f>
        <v>0</v>
      </c>
      <c r="AK28">
        <v>41951.1</v>
      </c>
      <c r="AL28">
        <v>0</v>
      </c>
      <c r="AM28">
        <v>0</v>
      </c>
      <c r="AN28">
        <v>0</v>
      </c>
      <c r="AO28">
        <v>41951.1</v>
      </c>
      <c r="AP28">
        <v>0</v>
      </c>
      <c r="AQ28">
        <v>221.6</v>
      </c>
      <c r="AR28">
        <v>0</v>
      </c>
      <c r="AS28">
        <v>0</v>
      </c>
      <c r="AT28">
        <v>70</v>
      </c>
      <c r="AU28">
        <v>10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22</v>
      </c>
      <c r="BM28">
        <v>0</v>
      </c>
      <c r="BN28">
        <v>0</v>
      </c>
      <c r="BO28" t="s">
        <v>3</v>
      </c>
      <c r="BP28">
        <v>0</v>
      </c>
      <c r="BQ28">
        <v>1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70</v>
      </c>
      <c r="CA28">
        <v>10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59" si="41">(P28+Q28+S28)</f>
        <v>205.56</v>
      </c>
      <c r="CQ28">
        <f t="shared" ref="CQ28:CQ59" si="42">(AC28*BC28*AW28)</f>
        <v>0</v>
      </c>
      <c r="CR28">
        <f t="shared" ref="CR28:CR59" si="43">((((ET28)*BB28-(EU28)*BS28)+AE28*BS28)*AV28)</f>
        <v>0</v>
      </c>
      <c r="CS28">
        <f t="shared" ref="CS28:CS59" si="44">(AE28*BS28*AV28)</f>
        <v>0</v>
      </c>
      <c r="CT28">
        <f t="shared" ref="CT28:CT59" si="45">(AF28*BA28*AV28)</f>
        <v>41951.1</v>
      </c>
      <c r="CU28">
        <f t="shared" ref="CU28:CU59" si="46">AG28</f>
        <v>0</v>
      </c>
      <c r="CV28">
        <f t="shared" ref="CV28:CV59" si="47">(AH28*AV28)</f>
        <v>221.6</v>
      </c>
      <c r="CW28">
        <f t="shared" ref="CW28:CW59" si="48">AI28</f>
        <v>0</v>
      </c>
      <c r="CX28">
        <f t="shared" ref="CX28:CX59" si="49">AJ28</f>
        <v>0</v>
      </c>
      <c r="CY28">
        <f t="shared" ref="CY28:CY59" si="50">((S28*BZ28)/100)</f>
        <v>143.892</v>
      </c>
      <c r="CZ28">
        <f t="shared" ref="CZ28:CZ59" si="51">((S28*CA28)/100)</f>
        <v>20.555999999999997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1007</v>
      </c>
      <c r="DV28" t="s">
        <v>21</v>
      </c>
      <c r="DW28" t="s">
        <v>21</v>
      </c>
      <c r="DX28">
        <v>100</v>
      </c>
      <c r="EE28">
        <v>40658659</v>
      </c>
      <c r="EF28">
        <v>1</v>
      </c>
      <c r="EG28" t="s">
        <v>23</v>
      </c>
      <c r="EH28">
        <v>0</v>
      </c>
      <c r="EI28" t="s">
        <v>3</v>
      </c>
      <c r="EJ28">
        <v>4</v>
      </c>
      <c r="EK28">
        <v>0</v>
      </c>
      <c r="EL28" t="s">
        <v>24</v>
      </c>
      <c r="EM28" t="s">
        <v>25</v>
      </c>
      <c r="EO28" t="s">
        <v>3</v>
      </c>
      <c r="EQ28">
        <v>0</v>
      </c>
      <c r="ER28">
        <v>41951.1</v>
      </c>
      <c r="ES28">
        <v>0</v>
      </c>
      <c r="ET28">
        <v>0</v>
      </c>
      <c r="EU28">
        <v>0</v>
      </c>
      <c r="EV28">
        <v>41951.1</v>
      </c>
      <c r="EW28">
        <v>221.6</v>
      </c>
      <c r="EX28">
        <v>0</v>
      </c>
      <c r="EY28">
        <v>0</v>
      </c>
      <c r="FQ28">
        <v>0</v>
      </c>
      <c r="FR28">
        <f t="shared" ref="FR28:FR59" si="52">ROUND(IF(AND(BH28=3,BI28=3),P28,0),2)</f>
        <v>0</v>
      </c>
      <c r="FS28">
        <v>0</v>
      </c>
      <c r="FX28">
        <v>70</v>
      </c>
      <c r="FY28">
        <v>10</v>
      </c>
      <c r="GA28" t="s">
        <v>3</v>
      </c>
      <c r="GD28">
        <v>0</v>
      </c>
      <c r="GF28">
        <v>1840361055</v>
      </c>
      <c r="GG28">
        <v>2</v>
      </c>
      <c r="GH28">
        <v>1</v>
      </c>
      <c r="GI28">
        <v>-2</v>
      </c>
      <c r="GJ28">
        <v>0</v>
      </c>
      <c r="GK28">
        <f>ROUND(R28*(R12)/100,2)</f>
        <v>0</v>
      </c>
      <c r="GL28">
        <f t="shared" ref="GL28:GL59" si="53">ROUND(IF(AND(BH28=3,BI28=3,FS28&lt;&gt;0),P28,0),2)</f>
        <v>0</v>
      </c>
      <c r="GM28">
        <f t="shared" ref="GM28:GM59" si="54">ROUND(O28+X28+Y28+GK28,2)+GX28</f>
        <v>370.01</v>
      </c>
      <c r="GN28">
        <f t="shared" ref="GN28:GN59" si="55">IF(OR(BI28=0,BI28=1),ROUND(O28+X28+Y28+GK28,2),0)</f>
        <v>0</v>
      </c>
      <c r="GO28">
        <f t="shared" ref="GO28:GO59" si="56">IF(BI28=2,ROUND(O28+X28+Y28+GK28,2),0)</f>
        <v>0</v>
      </c>
      <c r="GP28">
        <f t="shared" ref="GP28:GP59" si="57">IF(BI28=4,ROUND(O28+X28+Y28+GK28,2)+GX28,0)</f>
        <v>370.01</v>
      </c>
      <c r="GR28">
        <v>0</v>
      </c>
      <c r="GS28">
        <v>3</v>
      </c>
      <c r="GT28">
        <v>0</v>
      </c>
      <c r="GU28" t="s">
        <v>3</v>
      </c>
      <c r="GV28">
        <f t="shared" ref="GV28:GV59" si="58">ROUND((GT28),6)</f>
        <v>0</v>
      </c>
      <c r="GW28">
        <v>1</v>
      </c>
      <c r="GX28">
        <f t="shared" ref="GX28:GX59" si="59">ROUND(HC28*I28,2)</f>
        <v>0</v>
      </c>
      <c r="HA28">
        <v>0</v>
      </c>
      <c r="HB28">
        <v>0</v>
      </c>
      <c r="HC28">
        <f t="shared" ref="HC28:HC59" si="60">GV28*GW28</f>
        <v>0</v>
      </c>
      <c r="IK28">
        <v>0</v>
      </c>
    </row>
    <row r="29" spans="1:245" x14ac:dyDescent="0.2">
      <c r="A29">
        <v>17</v>
      </c>
      <c r="B29">
        <v>1</v>
      </c>
      <c r="C29">
        <f>ROW(SmtRes!A6)</f>
        <v>6</v>
      </c>
      <c r="D29">
        <f>ROW(EtalonRes!A7)</f>
        <v>7</v>
      </c>
      <c r="E29" t="s">
        <v>26</v>
      </c>
      <c r="F29" t="s">
        <v>27</v>
      </c>
      <c r="G29" t="s">
        <v>28</v>
      </c>
      <c r="H29" t="s">
        <v>29</v>
      </c>
      <c r="I29">
        <f>ROUND(0.7*0.7*0.1,9)</f>
        <v>4.9000000000000002E-2</v>
      </c>
      <c r="J29">
        <v>0</v>
      </c>
      <c r="O29">
        <f t="shared" si="21"/>
        <v>50.58</v>
      </c>
      <c r="P29">
        <f t="shared" si="22"/>
        <v>32.1</v>
      </c>
      <c r="Q29">
        <f t="shared" si="23"/>
        <v>10.32</v>
      </c>
      <c r="R29">
        <f t="shared" si="24"/>
        <v>6.08</v>
      </c>
      <c r="S29">
        <f t="shared" si="25"/>
        <v>8.16</v>
      </c>
      <c r="T29">
        <f t="shared" si="26"/>
        <v>0</v>
      </c>
      <c r="U29">
        <f t="shared" si="27"/>
        <v>4.41E-2</v>
      </c>
      <c r="V29">
        <f t="shared" si="28"/>
        <v>0</v>
      </c>
      <c r="W29">
        <f t="shared" si="29"/>
        <v>0</v>
      </c>
      <c r="X29">
        <f t="shared" si="30"/>
        <v>5.71</v>
      </c>
      <c r="Y29">
        <f t="shared" si="31"/>
        <v>0.82</v>
      </c>
      <c r="AA29">
        <v>42278323</v>
      </c>
      <c r="AB29">
        <f t="shared" si="32"/>
        <v>1032.3499999999999</v>
      </c>
      <c r="AC29">
        <f t="shared" si="33"/>
        <v>655.15</v>
      </c>
      <c r="AD29">
        <f t="shared" si="34"/>
        <v>210.68</v>
      </c>
      <c r="AE29">
        <f t="shared" si="35"/>
        <v>124.16</v>
      </c>
      <c r="AF29">
        <f t="shared" si="36"/>
        <v>166.52</v>
      </c>
      <c r="AG29">
        <f t="shared" si="37"/>
        <v>0</v>
      </c>
      <c r="AH29">
        <f t="shared" si="38"/>
        <v>0.9</v>
      </c>
      <c r="AI29">
        <f t="shared" si="39"/>
        <v>0</v>
      </c>
      <c r="AJ29">
        <f t="shared" si="40"/>
        <v>0</v>
      </c>
      <c r="AK29">
        <v>1032.3499999999999</v>
      </c>
      <c r="AL29">
        <v>655.15</v>
      </c>
      <c r="AM29">
        <v>210.68</v>
      </c>
      <c r="AN29">
        <v>124.16</v>
      </c>
      <c r="AO29">
        <v>166.52</v>
      </c>
      <c r="AP29">
        <v>0</v>
      </c>
      <c r="AQ29">
        <v>0.9</v>
      </c>
      <c r="AR29">
        <v>0</v>
      </c>
      <c r="AS29">
        <v>0</v>
      </c>
      <c r="AT29">
        <v>70</v>
      </c>
      <c r="AU29">
        <v>10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30</v>
      </c>
      <c r="BM29">
        <v>0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70</v>
      </c>
      <c r="CA29">
        <v>10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50.58</v>
      </c>
      <c r="CQ29">
        <f t="shared" si="42"/>
        <v>655.15</v>
      </c>
      <c r="CR29">
        <f t="shared" si="43"/>
        <v>210.68</v>
      </c>
      <c r="CS29">
        <f t="shared" si="44"/>
        <v>124.16</v>
      </c>
      <c r="CT29">
        <f t="shared" si="45"/>
        <v>166.52</v>
      </c>
      <c r="CU29">
        <f t="shared" si="46"/>
        <v>0</v>
      </c>
      <c r="CV29">
        <f t="shared" si="47"/>
        <v>0.9</v>
      </c>
      <c r="CW29">
        <f t="shared" si="48"/>
        <v>0</v>
      </c>
      <c r="CX29">
        <f t="shared" si="49"/>
        <v>0</v>
      </c>
      <c r="CY29">
        <f t="shared" si="50"/>
        <v>5.7120000000000006</v>
      </c>
      <c r="CZ29">
        <f t="shared" si="51"/>
        <v>0.81599999999999995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">
        <v>29</v>
      </c>
      <c r="DX29">
        <v>1</v>
      </c>
      <c r="EE29">
        <v>40658659</v>
      </c>
      <c r="EF29">
        <v>1</v>
      </c>
      <c r="EG29" t="s">
        <v>23</v>
      </c>
      <c r="EH29">
        <v>0</v>
      </c>
      <c r="EI29" t="s">
        <v>3</v>
      </c>
      <c r="EJ29">
        <v>4</v>
      </c>
      <c r="EK29">
        <v>0</v>
      </c>
      <c r="EL29" t="s">
        <v>24</v>
      </c>
      <c r="EM29" t="s">
        <v>25</v>
      </c>
      <c r="EO29" t="s">
        <v>3</v>
      </c>
      <c r="EQ29">
        <v>0</v>
      </c>
      <c r="ER29">
        <v>1032.3499999999999</v>
      </c>
      <c r="ES29">
        <v>655.15</v>
      </c>
      <c r="ET29">
        <v>210.68</v>
      </c>
      <c r="EU29">
        <v>124.16</v>
      </c>
      <c r="EV29">
        <v>166.52</v>
      </c>
      <c r="EW29">
        <v>0.9</v>
      </c>
      <c r="EX29">
        <v>0</v>
      </c>
      <c r="EY29">
        <v>0</v>
      </c>
      <c r="FQ29">
        <v>0</v>
      </c>
      <c r="FR29">
        <f t="shared" si="52"/>
        <v>0</v>
      </c>
      <c r="FS29">
        <v>0</v>
      </c>
      <c r="FX29">
        <v>70</v>
      </c>
      <c r="FY29">
        <v>10</v>
      </c>
      <c r="GA29" t="s">
        <v>3</v>
      </c>
      <c r="GD29">
        <v>0</v>
      </c>
      <c r="GF29">
        <v>-1061108837</v>
      </c>
      <c r="GG29">
        <v>2</v>
      </c>
      <c r="GH29">
        <v>1</v>
      </c>
      <c r="GI29">
        <v>-2</v>
      </c>
      <c r="GJ29">
        <v>0</v>
      </c>
      <c r="GK29">
        <f>ROUND(R29*(R12)/100,2)</f>
        <v>6.57</v>
      </c>
      <c r="GL29">
        <f t="shared" si="53"/>
        <v>0</v>
      </c>
      <c r="GM29">
        <f t="shared" si="54"/>
        <v>63.68</v>
      </c>
      <c r="GN29">
        <f t="shared" si="55"/>
        <v>0</v>
      </c>
      <c r="GO29">
        <f t="shared" si="56"/>
        <v>0</v>
      </c>
      <c r="GP29">
        <f t="shared" si="57"/>
        <v>63.68</v>
      </c>
      <c r="GR29">
        <v>0</v>
      </c>
      <c r="GS29">
        <v>3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IK29">
        <v>0</v>
      </c>
    </row>
    <row r="30" spans="1:245" x14ac:dyDescent="0.2">
      <c r="A30">
        <v>17</v>
      </c>
      <c r="B30">
        <v>1</v>
      </c>
      <c r="C30">
        <f>ROW(SmtRes!A12)</f>
        <v>12</v>
      </c>
      <c r="D30">
        <f>ROW(EtalonRes!A13)</f>
        <v>13</v>
      </c>
      <c r="E30" t="s">
        <v>31</v>
      </c>
      <c r="F30" t="s">
        <v>32</v>
      </c>
      <c r="G30" t="s">
        <v>33</v>
      </c>
      <c r="H30" t="s">
        <v>29</v>
      </c>
      <c r="I30">
        <f>ROUND(0.7*0.7*0.2,9)</f>
        <v>9.8000000000000004E-2</v>
      </c>
      <c r="J30">
        <v>0</v>
      </c>
      <c r="O30">
        <f t="shared" si="21"/>
        <v>202.23</v>
      </c>
      <c r="P30">
        <f t="shared" si="22"/>
        <v>162.41</v>
      </c>
      <c r="Q30">
        <f t="shared" si="23"/>
        <v>22.05</v>
      </c>
      <c r="R30">
        <f t="shared" si="24"/>
        <v>13.24</v>
      </c>
      <c r="S30">
        <f t="shared" si="25"/>
        <v>17.77</v>
      </c>
      <c r="T30">
        <f t="shared" si="26"/>
        <v>0</v>
      </c>
      <c r="U30">
        <f t="shared" si="27"/>
        <v>9.604E-2</v>
      </c>
      <c r="V30">
        <f t="shared" si="28"/>
        <v>0</v>
      </c>
      <c r="W30">
        <f t="shared" si="29"/>
        <v>0</v>
      </c>
      <c r="X30">
        <f t="shared" si="30"/>
        <v>12.44</v>
      </c>
      <c r="Y30">
        <f t="shared" si="31"/>
        <v>1.78</v>
      </c>
      <c r="AA30">
        <v>42278323</v>
      </c>
      <c r="AB30">
        <f t="shared" si="32"/>
        <v>2063.5700000000002</v>
      </c>
      <c r="AC30">
        <f t="shared" si="33"/>
        <v>1657.26</v>
      </c>
      <c r="AD30">
        <f t="shared" si="34"/>
        <v>224.99</v>
      </c>
      <c r="AE30">
        <f t="shared" si="35"/>
        <v>135.08000000000001</v>
      </c>
      <c r="AF30">
        <f t="shared" si="36"/>
        <v>181.32</v>
      </c>
      <c r="AG30">
        <f t="shared" si="37"/>
        <v>0</v>
      </c>
      <c r="AH30">
        <f t="shared" si="38"/>
        <v>0.98</v>
      </c>
      <c r="AI30">
        <f t="shared" si="39"/>
        <v>0</v>
      </c>
      <c r="AJ30">
        <f t="shared" si="40"/>
        <v>0</v>
      </c>
      <c r="AK30">
        <v>2063.5700000000002</v>
      </c>
      <c r="AL30">
        <v>1657.26</v>
      </c>
      <c r="AM30">
        <v>224.99</v>
      </c>
      <c r="AN30">
        <v>135.08000000000001</v>
      </c>
      <c r="AO30">
        <v>181.32</v>
      </c>
      <c r="AP30">
        <v>0</v>
      </c>
      <c r="AQ30">
        <v>0.98</v>
      </c>
      <c r="AR30">
        <v>0</v>
      </c>
      <c r="AS30">
        <v>0</v>
      </c>
      <c r="AT30">
        <v>70</v>
      </c>
      <c r="AU30">
        <v>10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34</v>
      </c>
      <c r="BM30">
        <v>0</v>
      </c>
      <c r="BN30">
        <v>0</v>
      </c>
      <c r="BO30" t="s">
        <v>3</v>
      </c>
      <c r="BP30">
        <v>0</v>
      </c>
      <c r="BQ30">
        <v>1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70</v>
      </c>
      <c r="CA30">
        <v>10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202.23000000000002</v>
      </c>
      <c r="CQ30">
        <f t="shared" si="42"/>
        <v>1657.26</v>
      </c>
      <c r="CR30">
        <f t="shared" si="43"/>
        <v>224.99</v>
      </c>
      <c r="CS30">
        <f t="shared" si="44"/>
        <v>135.08000000000001</v>
      </c>
      <c r="CT30">
        <f t="shared" si="45"/>
        <v>181.32</v>
      </c>
      <c r="CU30">
        <f t="shared" si="46"/>
        <v>0</v>
      </c>
      <c r="CV30">
        <f t="shared" si="47"/>
        <v>0.98</v>
      </c>
      <c r="CW30">
        <f t="shared" si="48"/>
        <v>0</v>
      </c>
      <c r="CX30">
        <f t="shared" si="49"/>
        <v>0</v>
      </c>
      <c r="CY30">
        <f t="shared" si="50"/>
        <v>12.438999999999998</v>
      </c>
      <c r="CZ30">
        <f t="shared" si="51"/>
        <v>1.7769999999999999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29</v>
      </c>
      <c r="DW30" t="s">
        <v>29</v>
      </c>
      <c r="DX30">
        <v>1</v>
      </c>
      <c r="EE30">
        <v>40658659</v>
      </c>
      <c r="EF30">
        <v>1</v>
      </c>
      <c r="EG30" t="s">
        <v>23</v>
      </c>
      <c r="EH30">
        <v>0</v>
      </c>
      <c r="EI30" t="s">
        <v>3</v>
      </c>
      <c r="EJ30">
        <v>4</v>
      </c>
      <c r="EK30">
        <v>0</v>
      </c>
      <c r="EL30" t="s">
        <v>24</v>
      </c>
      <c r="EM30" t="s">
        <v>25</v>
      </c>
      <c r="EO30" t="s">
        <v>3</v>
      </c>
      <c r="EQ30">
        <v>0</v>
      </c>
      <c r="ER30">
        <v>2063.5700000000002</v>
      </c>
      <c r="ES30">
        <v>1657.26</v>
      </c>
      <c r="ET30">
        <v>224.99</v>
      </c>
      <c r="EU30">
        <v>135.08000000000001</v>
      </c>
      <c r="EV30">
        <v>181.32</v>
      </c>
      <c r="EW30">
        <v>0.98</v>
      </c>
      <c r="EX30">
        <v>0</v>
      </c>
      <c r="EY30">
        <v>0</v>
      </c>
      <c r="FQ30">
        <v>0</v>
      </c>
      <c r="FR30">
        <f t="shared" si="52"/>
        <v>0</v>
      </c>
      <c r="FS30">
        <v>0</v>
      </c>
      <c r="FX30">
        <v>70</v>
      </c>
      <c r="FY30">
        <v>10</v>
      </c>
      <c r="GA30" t="s">
        <v>3</v>
      </c>
      <c r="GD30">
        <v>0</v>
      </c>
      <c r="GF30">
        <v>276142894</v>
      </c>
      <c r="GG30">
        <v>2</v>
      </c>
      <c r="GH30">
        <v>1</v>
      </c>
      <c r="GI30">
        <v>-2</v>
      </c>
      <c r="GJ30">
        <v>0</v>
      </c>
      <c r="GK30">
        <f>ROUND(R30*(R12)/100,2)</f>
        <v>14.3</v>
      </c>
      <c r="GL30">
        <f t="shared" si="53"/>
        <v>0</v>
      </c>
      <c r="GM30">
        <f t="shared" si="54"/>
        <v>230.75</v>
      </c>
      <c r="GN30">
        <f t="shared" si="55"/>
        <v>0</v>
      </c>
      <c r="GO30">
        <f t="shared" si="56"/>
        <v>0</v>
      </c>
      <c r="GP30">
        <f t="shared" si="57"/>
        <v>230.75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HC30">
        <f t="shared" si="60"/>
        <v>0</v>
      </c>
      <c r="IK30">
        <v>0</v>
      </c>
    </row>
    <row r="31" spans="1:245" x14ac:dyDescent="0.2">
      <c r="A31">
        <v>17</v>
      </c>
      <c r="B31">
        <v>1</v>
      </c>
      <c r="D31">
        <f>ROW(EtalonRes!A25)</f>
        <v>25</v>
      </c>
      <c r="E31" t="s">
        <v>35</v>
      </c>
      <c r="F31" t="s">
        <v>36</v>
      </c>
      <c r="G31" t="s">
        <v>37</v>
      </c>
      <c r="H31" t="s">
        <v>21</v>
      </c>
      <c r="I31">
        <f>ROUND((0.7*0.7*0.7)/100,9)</f>
        <v>3.4299999999999999E-3</v>
      </c>
      <c r="J31">
        <v>0</v>
      </c>
      <c r="O31">
        <f t="shared" si="21"/>
        <v>1638.15</v>
      </c>
      <c r="P31">
        <f t="shared" si="22"/>
        <v>1245.53</v>
      </c>
      <c r="Q31">
        <f t="shared" si="23"/>
        <v>1.88</v>
      </c>
      <c r="R31">
        <f t="shared" si="24"/>
        <v>0.71</v>
      </c>
      <c r="S31">
        <f t="shared" si="25"/>
        <v>390.74</v>
      </c>
      <c r="T31">
        <f t="shared" si="26"/>
        <v>0</v>
      </c>
      <c r="U31">
        <f t="shared" si="27"/>
        <v>1.9328049999999999</v>
      </c>
      <c r="V31">
        <f t="shared" si="28"/>
        <v>0</v>
      </c>
      <c r="W31">
        <f t="shared" si="29"/>
        <v>0</v>
      </c>
      <c r="X31">
        <f t="shared" si="30"/>
        <v>273.52</v>
      </c>
      <c r="Y31">
        <f t="shared" si="31"/>
        <v>39.07</v>
      </c>
      <c r="AA31">
        <v>42278323</v>
      </c>
      <c r="AB31">
        <f t="shared" si="32"/>
        <v>477593.84</v>
      </c>
      <c r="AC31">
        <f t="shared" si="33"/>
        <v>363129.4</v>
      </c>
      <c r="AD31">
        <f t="shared" si="34"/>
        <v>547.28</v>
      </c>
      <c r="AE31">
        <f t="shared" si="35"/>
        <v>206.05</v>
      </c>
      <c r="AF31">
        <f t="shared" si="36"/>
        <v>113917.16</v>
      </c>
      <c r="AG31">
        <f t="shared" si="37"/>
        <v>0</v>
      </c>
      <c r="AH31">
        <f t="shared" si="38"/>
        <v>563.5</v>
      </c>
      <c r="AI31">
        <f t="shared" si="39"/>
        <v>0</v>
      </c>
      <c r="AJ31">
        <f t="shared" si="40"/>
        <v>0</v>
      </c>
      <c r="AK31">
        <v>477593.84</v>
      </c>
      <c r="AL31">
        <v>363129.4</v>
      </c>
      <c r="AM31">
        <v>547.28</v>
      </c>
      <c r="AN31">
        <v>206.05</v>
      </c>
      <c r="AO31">
        <v>113917.16</v>
      </c>
      <c r="AP31">
        <v>0</v>
      </c>
      <c r="AQ31">
        <v>563.5</v>
      </c>
      <c r="AR31">
        <v>0</v>
      </c>
      <c r="AS31">
        <v>0</v>
      </c>
      <c r="AT31">
        <v>70</v>
      </c>
      <c r="AU31">
        <v>10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38</v>
      </c>
      <c r="BM31">
        <v>0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70</v>
      </c>
      <c r="CA31">
        <v>10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1638.15</v>
      </c>
      <c r="CQ31">
        <f t="shared" si="42"/>
        <v>363129.4</v>
      </c>
      <c r="CR31">
        <f t="shared" si="43"/>
        <v>547.28</v>
      </c>
      <c r="CS31">
        <f t="shared" si="44"/>
        <v>206.05</v>
      </c>
      <c r="CT31">
        <f t="shared" si="45"/>
        <v>113917.16</v>
      </c>
      <c r="CU31">
        <f t="shared" si="46"/>
        <v>0</v>
      </c>
      <c r="CV31">
        <f t="shared" si="47"/>
        <v>563.5</v>
      </c>
      <c r="CW31">
        <f t="shared" si="48"/>
        <v>0</v>
      </c>
      <c r="CX31">
        <f t="shared" si="49"/>
        <v>0</v>
      </c>
      <c r="CY31">
        <f t="shared" si="50"/>
        <v>273.51799999999997</v>
      </c>
      <c r="CZ31">
        <f t="shared" si="51"/>
        <v>39.073999999999998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21</v>
      </c>
      <c r="DW31" t="s">
        <v>21</v>
      </c>
      <c r="DX31">
        <v>100</v>
      </c>
      <c r="EE31">
        <v>40658659</v>
      </c>
      <c r="EF31">
        <v>1</v>
      </c>
      <c r="EG31" t="s">
        <v>23</v>
      </c>
      <c r="EH31">
        <v>0</v>
      </c>
      <c r="EI31" t="s">
        <v>3</v>
      </c>
      <c r="EJ31">
        <v>4</v>
      </c>
      <c r="EK31">
        <v>0</v>
      </c>
      <c r="EL31" t="s">
        <v>24</v>
      </c>
      <c r="EM31" t="s">
        <v>25</v>
      </c>
      <c r="EO31" t="s">
        <v>3</v>
      </c>
      <c r="EQ31">
        <v>0</v>
      </c>
      <c r="ER31">
        <v>477593.84</v>
      </c>
      <c r="ES31">
        <v>363129.4</v>
      </c>
      <c r="ET31">
        <v>547.28</v>
      </c>
      <c r="EU31">
        <v>206.05</v>
      </c>
      <c r="EV31">
        <v>113917.16</v>
      </c>
      <c r="EW31">
        <v>563.5</v>
      </c>
      <c r="EX31">
        <v>0</v>
      </c>
      <c r="EY31">
        <v>0</v>
      </c>
      <c r="FQ31">
        <v>0</v>
      </c>
      <c r="FR31">
        <f t="shared" si="52"/>
        <v>0</v>
      </c>
      <c r="FS31">
        <v>0</v>
      </c>
      <c r="FX31">
        <v>70</v>
      </c>
      <c r="FY31">
        <v>10</v>
      </c>
      <c r="GA31" t="s">
        <v>3</v>
      </c>
      <c r="GD31">
        <v>0</v>
      </c>
      <c r="GF31">
        <v>2142801283</v>
      </c>
      <c r="GG31">
        <v>2</v>
      </c>
      <c r="GH31">
        <v>1</v>
      </c>
      <c r="GI31">
        <v>-2</v>
      </c>
      <c r="GJ31">
        <v>0</v>
      </c>
      <c r="GK31">
        <f>ROUND(R31*(R12)/100,2)</f>
        <v>0.77</v>
      </c>
      <c r="GL31">
        <f t="shared" si="53"/>
        <v>0</v>
      </c>
      <c r="GM31">
        <f t="shared" si="54"/>
        <v>1951.51</v>
      </c>
      <c r="GN31">
        <f t="shared" si="55"/>
        <v>0</v>
      </c>
      <c r="GO31">
        <f t="shared" si="56"/>
        <v>0</v>
      </c>
      <c r="GP31">
        <f t="shared" si="57"/>
        <v>1951.51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IK31">
        <v>0</v>
      </c>
    </row>
    <row r="32" spans="1:245" x14ac:dyDescent="0.2">
      <c r="A32">
        <v>17</v>
      </c>
      <c r="B32">
        <v>1</v>
      </c>
      <c r="D32">
        <f>ROW(EtalonRes!A27)</f>
        <v>27</v>
      </c>
      <c r="E32" t="s">
        <v>39</v>
      </c>
      <c r="F32" t="s">
        <v>40</v>
      </c>
      <c r="G32" t="s">
        <v>41</v>
      </c>
      <c r="H32" t="s">
        <v>42</v>
      </c>
      <c r="I32">
        <v>0.09</v>
      </c>
      <c r="J32">
        <v>0</v>
      </c>
      <c r="O32">
        <f t="shared" si="21"/>
        <v>9386.17</v>
      </c>
      <c r="P32">
        <f t="shared" si="22"/>
        <v>4791.0200000000004</v>
      </c>
      <c r="Q32">
        <f t="shared" si="23"/>
        <v>0</v>
      </c>
      <c r="R32">
        <f t="shared" si="24"/>
        <v>0</v>
      </c>
      <c r="S32">
        <f t="shared" si="25"/>
        <v>4595.1499999999996</v>
      </c>
      <c r="T32">
        <f t="shared" si="26"/>
        <v>0</v>
      </c>
      <c r="U32">
        <f t="shared" si="27"/>
        <v>20.492999999999999</v>
      </c>
      <c r="V32">
        <f t="shared" si="28"/>
        <v>0</v>
      </c>
      <c r="W32">
        <f t="shared" si="29"/>
        <v>0</v>
      </c>
      <c r="X32">
        <f t="shared" si="30"/>
        <v>3216.61</v>
      </c>
      <c r="Y32">
        <f t="shared" si="31"/>
        <v>459.52</v>
      </c>
      <c r="AA32">
        <v>42278323</v>
      </c>
      <c r="AB32">
        <f t="shared" si="32"/>
        <v>104290.69</v>
      </c>
      <c r="AC32">
        <f t="shared" si="33"/>
        <v>53233.52</v>
      </c>
      <c r="AD32">
        <f t="shared" si="34"/>
        <v>0</v>
      </c>
      <c r="AE32">
        <f t="shared" si="35"/>
        <v>0</v>
      </c>
      <c r="AF32">
        <f t="shared" si="36"/>
        <v>51057.17</v>
      </c>
      <c r="AG32">
        <f t="shared" si="37"/>
        <v>0</v>
      </c>
      <c r="AH32">
        <f t="shared" si="38"/>
        <v>227.7</v>
      </c>
      <c r="AI32">
        <f t="shared" si="39"/>
        <v>0</v>
      </c>
      <c r="AJ32">
        <f t="shared" si="40"/>
        <v>0</v>
      </c>
      <c r="AK32">
        <v>104290.69</v>
      </c>
      <c r="AL32">
        <v>53233.52</v>
      </c>
      <c r="AM32">
        <v>0</v>
      </c>
      <c r="AN32">
        <v>0</v>
      </c>
      <c r="AO32">
        <v>51057.17</v>
      </c>
      <c r="AP32">
        <v>0</v>
      </c>
      <c r="AQ32">
        <v>227.7</v>
      </c>
      <c r="AR32">
        <v>0</v>
      </c>
      <c r="AS32">
        <v>0</v>
      </c>
      <c r="AT32">
        <v>70</v>
      </c>
      <c r="AU32">
        <v>10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4</v>
      </c>
      <c r="BJ32" t="s">
        <v>43</v>
      </c>
      <c r="BM32">
        <v>0</v>
      </c>
      <c r="BN32">
        <v>0</v>
      </c>
      <c r="BO32" t="s">
        <v>3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70</v>
      </c>
      <c r="CA32">
        <v>10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9386.17</v>
      </c>
      <c r="CQ32">
        <f t="shared" si="42"/>
        <v>53233.52</v>
      </c>
      <c r="CR32">
        <f t="shared" si="43"/>
        <v>0</v>
      </c>
      <c r="CS32">
        <f t="shared" si="44"/>
        <v>0</v>
      </c>
      <c r="CT32">
        <f t="shared" si="45"/>
        <v>51057.17</v>
      </c>
      <c r="CU32">
        <f t="shared" si="46"/>
        <v>0</v>
      </c>
      <c r="CV32">
        <f t="shared" si="47"/>
        <v>227.7</v>
      </c>
      <c r="CW32">
        <f t="shared" si="48"/>
        <v>0</v>
      </c>
      <c r="CX32">
        <f t="shared" si="49"/>
        <v>0</v>
      </c>
      <c r="CY32">
        <f t="shared" si="50"/>
        <v>3216.605</v>
      </c>
      <c r="CZ32">
        <f t="shared" si="51"/>
        <v>459.51499999999999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1009</v>
      </c>
      <c r="DV32" t="s">
        <v>42</v>
      </c>
      <c r="DW32" t="s">
        <v>42</v>
      </c>
      <c r="DX32">
        <v>1000</v>
      </c>
      <c r="EE32">
        <v>40658659</v>
      </c>
      <c r="EF32">
        <v>1</v>
      </c>
      <c r="EG32" t="s">
        <v>23</v>
      </c>
      <c r="EH32">
        <v>0</v>
      </c>
      <c r="EI32" t="s">
        <v>3</v>
      </c>
      <c r="EJ32">
        <v>4</v>
      </c>
      <c r="EK32">
        <v>0</v>
      </c>
      <c r="EL32" t="s">
        <v>24</v>
      </c>
      <c r="EM32" t="s">
        <v>25</v>
      </c>
      <c r="EO32" t="s">
        <v>3</v>
      </c>
      <c r="EQ32">
        <v>0</v>
      </c>
      <c r="ER32">
        <v>104290.69</v>
      </c>
      <c r="ES32">
        <v>53233.52</v>
      </c>
      <c r="ET32">
        <v>0</v>
      </c>
      <c r="EU32">
        <v>0</v>
      </c>
      <c r="EV32">
        <v>51057.17</v>
      </c>
      <c r="EW32">
        <v>227.7</v>
      </c>
      <c r="EX32">
        <v>0</v>
      </c>
      <c r="EY32">
        <v>0</v>
      </c>
      <c r="FQ32">
        <v>0</v>
      </c>
      <c r="FR32">
        <f t="shared" si="52"/>
        <v>0</v>
      </c>
      <c r="FS32">
        <v>0</v>
      </c>
      <c r="FX32">
        <v>70</v>
      </c>
      <c r="FY32">
        <v>10</v>
      </c>
      <c r="GA32" t="s">
        <v>3</v>
      </c>
      <c r="GD32">
        <v>0</v>
      </c>
      <c r="GF32">
        <v>-423032956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si="53"/>
        <v>0</v>
      </c>
      <c r="GM32">
        <f t="shared" si="54"/>
        <v>13062.3</v>
      </c>
      <c r="GN32">
        <f t="shared" si="55"/>
        <v>0</v>
      </c>
      <c r="GO32">
        <f t="shared" si="56"/>
        <v>0</v>
      </c>
      <c r="GP32">
        <f t="shared" si="57"/>
        <v>13062.3</v>
      </c>
      <c r="GR32">
        <v>0</v>
      </c>
      <c r="GS32">
        <v>3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HC32">
        <f t="shared" si="60"/>
        <v>0</v>
      </c>
      <c r="IK32">
        <v>0</v>
      </c>
    </row>
    <row r="33" spans="1:245" x14ac:dyDescent="0.2">
      <c r="A33">
        <v>18</v>
      </c>
      <c r="B33">
        <v>1</v>
      </c>
      <c r="E33" t="s">
        <v>44</v>
      </c>
      <c r="F33" t="s">
        <v>45</v>
      </c>
      <c r="G33" t="s">
        <v>46</v>
      </c>
      <c r="H33" t="s">
        <v>47</v>
      </c>
      <c r="I33">
        <f>I32*J33</f>
        <v>0.99999999999999989</v>
      </c>
      <c r="J33">
        <v>11.111111111111111</v>
      </c>
      <c r="O33">
        <f t="shared" si="21"/>
        <v>210</v>
      </c>
      <c r="P33">
        <f t="shared" si="22"/>
        <v>210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42278323</v>
      </c>
      <c r="AB33">
        <f t="shared" si="32"/>
        <v>210</v>
      </c>
      <c r="AC33">
        <f t="shared" si="33"/>
        <v>210</v>
      </c>
      <c r="AD33">
        <f t="shared" si="34"/>
        <v>0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210</v>
      </c>
      <c r="AL33">
        <v>210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70</v>
      </c>
      <c r="AU33">
        <v>10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4</v>
      </c>
      <c r="BJ33" t="s">
        <v>48</v>
      </c>
      <c r="BM33">
        <v>0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70</v>
      </c>
      <c r="CA33">
        <v>10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210</v>
      </c>
      <c r="CQ33">
        <f t="shared" si="42"/>
        <v>210</v>
      </c>
      <c r="CR33">
        <f t="shared" si="43"/>
        <v>0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47</v>
      </c>
      <c r="DW33" t="s">
        <v>47</v>
      </c>
      <c r="DX33">
        <v>1</v>
      </c>
      <c r="EE33">
        <v>40658659</v>
      </c>
      <c r="EF33">
        <v>1</v>
      </c>
      <c r="EG33" t="s">
        <v>23</v>
      </c>
      <c r="EH33">
        <v>0</v>
      </c>
      <c r="EI33" t="s">
        <v>3</v>
      </c>
      <c r="EJ33">
        <v>4</v>
      </c>
      <c r="EK33">
        <v>0</v>
      </c>
      <c r="EL33" t="s">
        <v>24</v>
      </c>
      <c r="EM33" t="s">
        <v>25</v>
      </c>
      <c r="EO33" t="s">
        <v>3</v>
      </c>
      <c r="EQ33">
        <v>0</v>
      </c>
      <c r="ER33">
        <v>210</v>
      </c>
      <c r="ES33">
        <v>210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2"/>
        <v>0</v>
      </c>
      <c r="FS33">
        <v>0</v>
      </c>
      <c r="FX33">
        <v>70</v>
      </c>
      <c r="FY33">
        <v>10</v>
      </c>
      <c r="GA33" t="s">
        <v>3</v>
      </c>
      <c r="GD33">
        <v>0</v>
      </c>
      <c r="GF33">
        <v>462942439</v>
      </c>
      <c r="GG33">
        <v>2</v>
      </c>
      <c r="GH33">
        <v>1</v>
      </c>
      <c r="GI33">
        <v>-2</v>
      </c>
      <c r="GJ33">
        <v>0</v>
      </c>
      <c r="GK33">
        <f>ROUND(R33*(R12)/100,2)</f>
        <v>0</v>
      </c>
      <c r="GL33">
        <f t="shared" si="53"/>
        <v>0</v>
      </c>
      <c r="GM33">
        <f t="shared" si="54"/>
        <v>210</v>
      </c>
      <c r="GN33">
        <f t="shared" si="55"/>
        <v>0</v>
      </c>
      <c r="GO33">
        <f t="shared" si="56"/>
        <v>0</v>
      </c>
      <c r="GP33">
        <f t="shared" si="57"/>
        <v>210</v>
      </c>
      <c r="GR33">
        <v>0</v>
      </c>
      <c r="GS33">
        <v>3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IK33">
        <v>0</v>
      </c>
    </row>
    <row r="34" spans="1:245" x14ac:dyDescent="0.2">
      <c r="A34">
        <v>18</v>
      </c>
      <c r="B34">
        <v>1</v>
      </c>
      <c r="E34" t="s">
        <v>49</v>
      </c>
      <c r="F34" t="s">
        <v>50</v>
      </c>
      <c r="G34" t="s">
        <v>51</v>
      </c>
      <c r="H34" t="s">
        <v>42</v>
      </c>
      <c r="I34">
        <f>I32*J34</f>
        <v>-0.09</v>
      </c>
      <c r="J34">
        <v>-1</v>
      </c>
      <c r="O34">
        <f t="shared" si="21"/>
        <v>-4791.0200000000004</v>
      </c>
      <c r="P34">
        <f t="shared" si="22"/>
        <v>-4791.0200000000004</v>
      </c>
      <c r="Q34">
        <f t="shared" si="23"/>
        <v>0</v>
      </c>
      <c r="R34">
        <f t="shared" si="24"/>
        <v>0</v>
      </c>
      <c r="S34">
        <f t="shared" si="25"/>
        <v>0</v>
      </c>
      <c r="T34">
        <f t="shared" si="26"/>
        <v>0</v>
      </c>
      <c r="U34">
        <f t="shared" si="27"/>
        <v>0</v>
      </c>
      <c r="V34">
        <f t="shared" si="28"/>
        <v>0</v>
      </c>
      <c r="W34">
        <f t="shared" si="29"/>
        <v>0</v>
      </c>
      <c r="X34">
        <f t="shared" si="30"/>
        <v>0</v>
      </c>
      <c r="Y34">
        <f t="shared" si="31"/>
        <v>0</v>
      </c>
      <c r="AA34">
        <v>42278323</v>
      </c>
      <c r="AB34">
        <f t="shared" si="32"/>
        <v>53233.52</v>
      </c>
      <c r="AC34">
        <f t="shared" si="33"/>
        <v>53233.52</v>
      </c>
      <c r="AD34">
        <f t="shared" si="34"/>
        <v>0</v>
      </c>
      <c r="AE34">
        <f t="shared" si="35"/>
        <v>0</v>
      </c>
      <c r="AF34">
        <f t="shared" si="36"/>
        <v>0</v>
      </c>
      <c r="AG34">
        <f t="shared" si="37"/>
        <v>0</v>
      </c>
      <c r="AH34">
        <f t="shared" si="38"/>
        <v>0</v>
      </c>
      <c r="AI34">
        <f t="shared" si="39"/>
        <v>0</v>
      </c>
      <c r="AJ34">
        <f t="shared" si="40"/>
        <v>0</v>
      </c>
      <c r="AK34">
        <v>53233.52</v>
      </c>
      <c r="AL34">
        <v>53233.52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4</v>
      </c>
      <c r="BJ34" t="s">
        <v>52</v>
      </c>
      <c r="BM34">
        <v>0</v>
      </c>
      <c r="BN34">
        <v>0</v>
      </c>
      <c r="BO34" t="s">
        <v>3</v>
      </c>
      <c r="BP34">
        <v>0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70</v>
      </c>
      <c r="CA34">
        <v>10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-4791.0200000000004</v>
      </c>
      <c r="CQ34">
        <f t="shared" si="42"/>
        <v>53233.52</v>
      </c>
      <c r="CR34">
        <f t="shared" si="43"/>
        <v>0</v>
      </c>
      <c r="CS34">
        <f t="shared" si="44"/>
        <v>0</v>
      </c>
      <c r="CT34">
        <f t="shared" si="45"/>
        <v>0</v>
      </c>
      <c r="CU34">
        <f t="shared" si="46"/>
        <v>0</v>
      </c>
      <c r="CV34">
        <f t="shared" si="47"/>
        <v>0</v>
      </c>
      <c r="CW34">
        <f t="shared" si="48"/>
        <v>0</v>
      </c>
      <c r="CX34">
        <f t="shared" si="49"/>
        <v>0</v>
      </c>
      <c r="CY34">
        <f t="shared" si="50"/>
        <v>0</v>
      </c>
      <c r="CZ34">
        <f t="shared" si="51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1009</v>
      </c>
      <c r="DV34" t="s">
        <v>42</v>
      </c>
      <c r="DW34" t="s">
        <v>42</v>
      </c>
      <c r="DX34">
        <v>1000</v>
      </c>
      <c r="EE34">
        <v>40658659</v>
      </c>
      <c r="EF34">
        <v>1</v>
      </c>
      <c r="EG34" t="s">
        <v>23</v>
      </c>
      <c r="EH34">
        <v>0</v>
      </c>
      <c r="EI34" t="s">
        <v>3</v>
      </c>
      <c r="EJ34">
        <v>4</v>
      </c>
      <c r="EK34">
        <v>0</v>
      </c>
      <c r="EL34" t="s">
        <v>24</v>
      </c>
      <c r="EM34" t="s">
        <v>25</v>
      </c>
      <c r="EO34" t="s">
        <v>3</v>
      </c>
      <c r="EQ34">
        <v>0</v>
      </c>
      <c r="ER34">
        <v>53233.52</v>
      </c>
      <c r="ES34">
        <v>53233.52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52"/>
        <v>0</v>
      </c>
      <c r="FS34">
        <v>0</v>
      </c>
      <c r="FX34">
        <v>70</v>
      </c>
      <c r="FY34">
        <v>10</v>
      </c>
      <c r="GA34" t="s">
        <v>3</v>
      </c>
      <c r="GD34">
        <v>0</v>
      </c>
      <c r="GF34">
        <v>588667335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53"/>
        <v>0</v>
      </c>
      <c r="GM34">
        <f t="shared" si="54"/>
        <v>-4791.0200000000004</v>
      </c>
      <c r="GN34">
        <f t="shared" si="55"/>
        <v>0</v>
      </c>
      <c r="GO34">
        <f t="shared" si="56"/>
        <v>0</v>
      </c>
      <c r="GP34">
        <f t="shared" si="57"/>
        <v>-4791.0200000000004</v>
      </c>
      <c r="GR34">
        <v>0</v>
      </c>
      <c r="GS34">
        <v>3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HC34">
        <f t="shared" si="60"/>
        <v>0</v>
      </c>
      <c r="IK34">
        <v>0</v>
      </c>
    </row>
    <row r="35" spans="1:245" x14ac:dyDescent="0.2">
      <c r="A35">
        <v>17</v>
      </c>
      <c r="B35">
        <v>1</v>
      </c>
      <c r="E35" t="s">
        <v>53</v>
      </c>
      <c r="F35" t="s">
        <v>54</v>
      </c>
      <c r="G35" t="s">
        <v>55</v>
      </c>
      <c r="H35" t="s">
        <v>47</v>
      </c>
      <c r="I35">
        <v>1</v>
      </c>
      <c r="J35">
        <v>0</v>
      </c>
      <c r="O35">
        <f t="shared" si="21"/>
        <v>108411.1</v>
      </c>
      <c r="P35">
        <f t="shared" si="22"/>
        <v>108411.1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42278323</v>
      </c>
      <c r="AB35">
        <f t="shared" si="32"/>
        <v>108411.1</v>
      </c>
      <c r="AC35">
        <f t="shared" si="33"/>
        <v>108411.1</v>
      </c>
      <c r="AD35">
        <f t="shared" si="34"/>
        <v>0</v>
      </c>
      <c r="AE35">
        <f t="shared" si="35"/>
        <v>0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96765.15</v>
      </c>
      <c r="AL35">
        <v>108411.1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6001</v>
      </c>
      <c r="BN35">
        <v>0</v>
      </c>
      <c r="BO35" t="s">
        <v>3</v>
      </c>
      <c r="BP35">
        <v>0</v>
      </c>
      <c r="BQ35">
        <v>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108411.1</v>
      </c>
      <c r="CQ35">
        <f t="shared" si="42"/>
        <v>108411.1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47</v>
      </c>
      <c r="DW35" t="s">
        <v>47</v>
      </c>
      <c r="DX35">
        <v>1</v>
      </c>
      <c r="EE35">
        <v>42086242</v>
      </c>
      <c r="EF35">
        <v>0</v>
      </c>
      <c r="EG35" t="s">
        <v>56</v>
      </c>
      <c r="EH35">
        <v>0</v>
      </c>
      <c r="EI35" t="s">
        <v>3</v>
      </c>
      <c r="EJ35">
        <v>1</v>
      </c>
      <c r="EK35">
        <v>6001</v>
      </c>
      <c r="EL35" t="s">
        <v>57</v>
      </c>
      <c r="EM35" t="s">
        <v>56</v>
      </c>
      <c r="EO35" t="s">
        <v>3</v>
      </c>
      <c r="EQ35">
        <v>0</v>
      </c>
      <c r="ER35">
        <v>108411.1</v>
      </c>
      <c r="ES35">
        <v>108411.1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5</v>
      </c>
      <c r="FC35">
        <v>0</v>
      </c>
      <c r="FD35">
        <v>18</v>
      </c>
      <c r="FF35">
        <v>94867.79</v>
      </c>
      <c r="FQ35">
        <v>0</v>
      </c>
      <c r="FR35">
        <f t="shared" si="52"/>
        <v>0</v>
      </c>
      <c r="FS35">
        <v>0</v>
      </c>
      <c r="FX35">
        <v>0</v>
      </c>
      <c r="FY35">
        <v>0</v>
      </c>
      <c r="GA35" t="s">
        <v>58</v>
      </c>
      <c r="GD35">
        <v>0</v>
      </c>
      <c r="GF35">
        <v>-979775266</v>
      </c>
      <c r="GG35">
        <v>2</v>
      </c>
      <c r="GH35">
        <v>3</v>
      </c>
      <c r="GI35">
        <v>-2</v>
      </c>
      <c r="GJ35">
        <v>0</v>
      </c>
      <c r="GK35">
        <f>ROUND(R35*(R12)/100,2)</f>
        <v>0</v>
      </c>
      <c r="GL35">
        <f t="shared" si="53"/>
        <v>0</v>
      </c>
      <c r="GM35">
        <f t="shared" si="54"/>
        <v>108411.1</v>
      </c>
      <c r="GN35">
        <f t="shared" si="55"/>
        <v>108411.1</v>
      </c>
      <c r="GO35">
        <f t="shared" si="56"/>
        <v>0</v>
      </c>
      <c r="GP35">
        <f t="shared" si="57"/>
        <v>0</v>
      </c>
      <c r="GR35">
        <v>1</v>
      </c>
      <c r="GS35">
        <v>1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IK35">
        <v>0</v>
      </c>
    </row>
    <row r="36" spans="1:245" x14ac:dyDescent="0.2">
      <c r="A36">
        <v>17</v>
      </c>
      <c r="B36">
        <v>1</v>
      </c>
      <c r="D36">
        <f>ROW(EtalonRes!A28)</f>
        <v>28</v>
      </c>
      <c r="E36" t="s">
        <v>59</v>
      </c>
      <c r="F36" t="s">
        <v>19</v>
      </c>
      <c r="G36" t="s">
        <v>20</v>
      </c>
      <c r="H36" t="s">
        <v>21</v>
      </c>
      <c r="I36">
        <f>ROUND(0.7*0.7*1/100,9)</f>
        <v>4.8999999999999998E-3</v>
      </c>
      <c r="J36">
        <v>0</v>
      </c>
      <c r="O36">
        <f t="shared" si="21"/>
        <v>205.56</v>
      </c>
      <c r="P36">
        <f t="shared" si="22"/>
        <v>0</v>
      </c>
      <c r="Q36">
        <f t="shared" si="23"/>
        <v>0</v>
      </c>
      <c r="R36">
        <f t="shared" si="24"/>
        <v>0</v>
      </c>
      <c r="S36">
        <f t="shared" si="25"/>
        <v>205.56</v>
      </c>
      <c r="T36">
        <f t="shared" si="26"/>
        <v>0</v>
      </c>
      <c r="U36">
        <f t="shared" si="27"/>
        <v>1.0858399999999999</v>
      </c>
      <c r="V36">
        <f t="shared" si="28"/>
        <v>0</v>
      </c>
      <c r="W36">
        <f t="shared" si="29"/>
        <v>0</v>
      </c>
      <c r="X36">
        <f t="shared" si="30"/>
        <v>143.88999999999999</v>
      </c>
      <c r="Y36">
        <f t="shared" si="31"/>
        <v>20.56</v>
      </c>
      <c r="AA36">
        <v>42278323</v>
      </c>
      <c r="AB36">
        <f t="shared" si="32"/>
        <v>41951.1</v>
      </c>
      <c r="AC36">
        <f t="shared" si="33"/>
        <v>0</v>
      </c>
      <c r="AD36">
        <f t="shared" si="34"/>
        <v>0</v>
      </c>
      <c r="AE36">
        <f t="shared" si="35"/>
        <v>0</v>
      </c>
      <c r="AF36">
        <f t="shared" si="36"/>
        <v>41951.1</v>
      </c>
      <c r="AG36">
        <f t="shared" si="37"/>
        <v>0</v>
      </c>
      <c r="AH36">
        <f t="shared" si="38"/>
        <v>221.6</v>
      </c>
      <c r="AI36">
        <f t="shared" si="39"/>
        <v>0</v>
      </c>
      <c r="AJ36">
        <f t="shared" si="40"/>
        <v>0</v>
      </c>
      <c r="AK36">
        <v>41951.1</v>
      </c>
      <c r="AL36">
        <v>0</v>
      </c>
      <c r="AM36">
        <v>0</v>
      </c>
      <c r="AN36">
        <v>0</v>
      </c>
      <c r="AO36">
        <v>41951.1</v>
      </c>
      <c r="AP36">
        <v>0</v>
      </c>
      <c r="AQ36">
        <v>221.6</v>
      </c>
      <c r="AR36">
        <v>0</v>
      </c>
      <c r="AS36">
        <v>0</v>
      </c>
      <c r="AT36">
        <v>70</v>
      </c>
      <c r="AU36">
        <v>10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4</v>
      </c>
      <c r="BJ36" t="s">
        <v>22</v>
      </c>
      <c r="BM36">
        <v>0</v>
      </c>
      <c r="BN36">
        <v>0</v>
      </c>
      <c r="BO36" t="s">
        <v>3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70</v>
      </c>
      <c r="CA36">
        <v>10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205.56</v>
      </c>
      <c r="CQ36">
        <f t="shared" si="42"/>
        <v>0</v>
      </c>
      <c r="CR36">
        <f t="shared" si="43"/>
        <v>0</v>
      </c>
      <c r="CS36">
        <f t="shared" si="44"/>
        <v>0</v>
      </c>
      <c r="CT36">
        <f t="shared" si="45"/>
        <v>41951.1</v>
      </c>
      <c r="CU36">
        <f t="shared" si="46"/>
        <v>0</v>
      </c>
      <c r="CV36">
        <f t="shared" si="47"/>
        <v>221.6</v>
      </c>
      <c r="CW36">
        <f t="shared" si="48"/>
        <v>0</v>
      </c>
      <c r="CX36">
        <f t="shared" si="49"/>
        <v>0</v>
      </c>
      <c r="CY36">
        <f t="shared" si="50"/>
        <v>143.892</v>
      </c>
      <c r="CZ36">
        <f t="shared" si="51"/>
        <v>20.555999999999997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1007</v>
      </c>
      <c r="DV36" t="s">
        <v>21</v>
      </c>
      <c r="DW36" t="s">
        <v>21</v>
      </c>
      <c r="DX36">
        <v>100</v>
      </c>
      <c r="EE36">
        <v>40658659</v>
      </c>
      <c r="EF36">
        <v>1</v>
      </c>
      <c r="EG36" t="s">
        <v>23</v>
      </c>
      <c r="EH36">
        <v>0</v>
      </c>
      <c r="EI36" t="s">
        <v>3</v>
      </c>
      <c r="EJ36">
        <v>4</v>
      </c>
      <c r="EK36">
        <v>0</v>
      </c>
      <c r="EL36" t="s">
        <v>24</v>
      </c>
      <c r="EM36" t="s">
        <v>25</v>
      </c>
      <c r="EO36" t="s">
        <v>3</v>
      </c>
      <c r="EQ36">
        <v>0</v>
      </c>
      <c r="ER36">
        <v>41951.1</v>
      </c>
      <c r="ES36">
        <v>0</v>
      </c>
      <c r="ET36">
        <v>0</v>
      </c>
      <c r="EU36">
        <v>0</v>
      </c>
      <c r="EV36">
        <v>41951.1</v>
      </c>
      <c r="EW36">
        <v>221.6</v>
      </c>
      <c r="EX36">
        <v>0</v>
      </c>
      <c r="EY36">
        <v>0</v>
      </c>
      <c r="FQ36">
        <v>0</v>
      </c>
      <c r="FR36">
        <f t="shared" si="52"/>
        <v>0</v>
      </c>
      <c r="FS36">
        <v>0</v>
      </c>
      <c r="FX36">
        <v>70</v>
      </c>
      <c r="FY36">
        <v>10</v>
      </c>
      <c r="GA36" t="s">
        <v>3</v>
      </c>
      <c r="GD36">
        <v>0</v>
      </c>
      <c r="GF36">
        <v>1840361055</v>
      </c>
      <c r="GG36">
        <v>2</v>
      </c>
      <c r="GH36">
        <v>1</v>
      </c>
      <c r="GI36">
        <v>-2</v>
      </c>
      <c r="GJ36">
        <v>0</v>
      </c>
      <c r="GK36">
        <f>ROUND(R36*(R12)/100,2)</f>
        <v>0</v>
      </c>
      <c r="GL36">
        <f t="shared" si="53"/>
        <v>0</v>
      </c>
      <c r="GM36">
        <f t="shared" si="54"/>
        <v>370.01</v>
      </c>
      <c r="GN36">
        <f t="shared" si="55"/>
        <v>0</v>
      </c>
      <c r="GO36">
        <f t="shared" si="56"/>
        <v>0</v>
      </c>
      <c r="GP36">
        <f t="shared" si="57"/>
        <v>370.01</v>
      </c>
      <c r="GR36">
        <v>0</v>
      </c>
      <c r="GS36">
        <v>3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HC36">
        <f t="shared" si="60"/>
        <v>0</v>
      </c>
      <c r="IK36">
        <v>0</v>
      </c>
    </row>
    <row r="37" spans="1:245" x14ac:dyDescent="0.2">
      <c r="A37">
        <v>17</v>
      </c>
      <c r="B37">
        <v>1</v>
      </c>
      <c r="C37">
        <f>ROW(SmtRes!A18)</f>
        <v>18</v>
      </c>
      <c r="D37">
        <f>ROW(EtalonRes!A34)</f>
        <v>34</v>
      </c>
      <c r="E37" t="s">
        <v>60</v>
      </c>
      <c r="F37" t="s">
        <v>27</v>
      </c>
      <c r="G37" t="s">
        <v>28</v>
      </c>
      <c r="H37" t="s">
        <v>29</v>
      </c>
      <c r="I37">
        <f>ROUND(0.7*0.7*0.1,9)</f>
        <v>4.9000000000000002E-2</v>
      </c>
      <c r="J37">
        <v>0</v>
      </c>
      <c r="O37">
        <f t="shared" si="21"/>
        <v>50.58</v>
      </c>
      <c r="P37">
        <f t="shared" si="22"/>
        <v>32.1</v>
      </c>
      <c r="Q37">
        <f t="shared" si="23"/>
        <v>10.32</v>
      </c>
      <c r="R37">
        <f t="shared" si="24"/>
        <v>6.08</v>
      </c>
      <c r="S37">
        <f t="shared" si="25"/>
        <v>8.16</v>
      </c>
      <c r="T37">
        <f t="shared" si="26"/>
        <v>0</v>
      </c>
      <c r="U37">
        <f t="shared" si="27"/>
        <v>4.41E-2</v>
      </c>
      <c r="V37">
        <f t="shared" si="28"/>
        <v>0</v>
      </c>
      <c r="W37">
        <f t="shared" si="29"/>
        <v>0</v>
      </c>
      <c r="X37">
        <f t="shared" si="30"/>
        <v>5.71</v>
      </c>
      <c r="Y37">
        <f t="shared" si="31"/>
        <v>0.82</v>
      </c>
      <c r="AA37">
        <v>42278323</v>
      </c>
      <c r="AB37">
        <f t="shared" si="32"/>
        <v>1032.3499999999999</v>
      </c>
      <c r="AC37">
        <f t="shared" si="33"/>
        <v>655.15</v>
      </c>
      <c r="AD37">
        <f t="shared" si="34"/>
        <v>210.68</v>
      </c>
      <c r="AE37">
        <f t="shared" si="35"/>
        <v>124.16</v>
      </c>
      <c r="AF37">
        <f t="shared" si="36"/>
        <v>166.52</v>
      </c>
      <c r="AG37">
        <f t="shared" si="37"/>
        <v>0</v>
      </c>
      <c r="AH37">
        <f t="shared" si="38"/>
        <v>0.9</v>
      </c>
      <c r="AI37">
        <f t="shared" si="39"/>
        <v>0</v>
      </c>
      <c r="AJ37">
        <f t="shared" si="40"/>
        <v>0</v>
      </c>
      <c r="AK37">
        <v>1032.3499999999999</v>
      </c>
      <c r="AL37">
        <v>655.15</v>
      </c>
      <c r="AM37">
        <v>210.68</v>
      </c>
      <c r="AN37">
        <v>124.16</v>
      </c>
      <c r="AO37">
        <v>166.52</v>
      </c>
      <c r="AP37">
        <v>0</v>
      </c>
      <c r="AQ37">
        <v>0.9</v>
      </c>
      <c r="AR37">
        <v>0</v>
      </c>
      <c r="AS37">
        <v>0</v>
      </c>
      <c r="AT37">
        <v>70</v>
      </c>
      <c r="AU37">
        <v>10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30</v>
      </c>
      <c r="BM37">
        <v>0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70</v>
      </c>
      <c r="CA37">
        <v>10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50.58</v>
      </c>
      <c r="CQ37">
        <f t="shared" si="42"/>
        <v>655.15</v>
      </c>
      <c r="CR37">
        <f t="shared" si="43"/>
        <v>210.68</v>
      </c>
      <c r="CS37">
        <f t="shared" si="44"/>
        <v>124.16</v>
      </c>
      <c r="CT37">
        <f t="shared" si="45"/>
        <v>166.52</v>
      </c>
      <c r="CU37">
        <f t="shared" si="46"/>
        <v>0</v>
      </c>
      <c r="CV37">
        <f t="shared" si="47"/>
        <v>0.9</v>
      </c>
      <c r="CW37">
        <f t="shared" si="48"/>
        <v>0</v>
      </c>
      <c r="CX37">
        <f t="shared" si="49"/>
        <v>0</v>
      </c>
      <c r="CY37">
        <f t="shared" si="50"/>
        <v>5.7120000000000006</v>
      </c>
      <c r="CZ37">
        <f t="shared" si="51"/>
        <v>0.81599999999999995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29</v>
      </c>
      <c r="DW37" t="s">
        <v>29</v>
      </c>
      <c r="DX37">
        <v>1</v>
      </c>
      <c r="EE37">
        <v>40658659</v>
      </c>
      <c r="EF37">
        <v>1</v>
      </c>
      <c r="EG37" t="s">
        <v>23</v>
      </c>
      <c r="EH37">
        <v>0</v>
      </c>
      <c r="EI37" t="s">
        <v>3</v>
      </c>
      <c r="EJ37">
        <v>4</v>
      </c>
      <c r="EK37">
        <v>0</v>
      </c>
      <c r="EL37" t="s">
        <v>24</v>
      </c>
      <c r="EM37" t="s">
        <v>25</v>
      </c>
      <c r="EO37" t="s">
        <v>3</v>
      </c>
      <c r="EQ37">
        <v>0</v>
      </c>
      <c r="ER37">
        <v>1032.3499999999999</v>
      </c>
      <c r="ES37">
        <v>655.15</v>
      </c>
      <c r="ET37">
        <v>210.68</v>
      </c>
      <c r="EU37">
        <v>124.16</v>
      </c>
      <c r="EV37">
        <v>166.52</v>
      </c>
      <c r="EW37">
        <v>0.9</v>
      </c>
      <c r="EX37">
        <v>0</v>
      </c>
      <c r="EY37">
        <v>0</v>
      </c>
      <c r="FQ37">
        <v>0</v>
      </c>
      <c r="FR37">
        <f t="shared" si="52"/>
        <v>0</v>
      </c>
      <c r="FS37">
        <v>0</v>
      </c>
      <c r="FX37">
        <v>70</v>
      </c>
      <c r="FY37">
        <v>10</v>
      </c>
      <c r="GA37" t="s">
        <v>3</v>
      </c>
      <c r="GD37">
        <v>0</v>
      </c>
      <c r="GF37">
        <v>-1061108837</v>
      </c>
      <c r="GG37">
        <v>2</v>
      </c>
      <c r="GH37">
        <v>1</v>
      </c>
      <c r="GI37">
        <v>-2</v>
      </c>
      <c r="GJ37">
        <v>0</v>
      </c>
      <c r="GK37">
        <f>ROUND(R37*(R12)/100,2)</f>
        <v>6.57</v>
      </c>
      <c r="GL37">
        <f t="shared" si="53"/>
        <v>0</v>
      </c>
      <c r="GM37">
        <f t="shared" si="54"/>
        <v>63.68</v>
      </c>
      <c r="GN37">
        <f t="shared" si="55"/>
        <v>0</v>
      </c>
      <c r="GO37">
        <f t="shared" si="56"/>
        <v>0</v>
      </c>
      <c r="GP37">
        <f t="shared" si="57"/>
        <v>63.68</v>
      </c>
      <c r="GR37">
        <v>0</v>
      </c>
      <c r="GS37">
        <v>3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IK37">
        <v>0</v>
      </c>
    </row>
    <row r="38" spans="1:245" x14ac:dyDescent="0.2">
      <c r="A38">
        <v>17</v>
      </c>
      <c r="B38">
        <v>1</v>
      </c>
      <c r="C38">
        <f>ROW(SmtRes!A24)</f>
        <v>24</v>
      </c>
      <c r="D38">
        <f>ROW(EtalonRes!A40)</f>
        <v>40</v>
      </c>
      <c r="E38" t="s">
        <v>61</v>
      </c>
      <c r="F38" t="s">
        <v>32</v>
      </c>
      <c r="G38" t="s">
        <v>33</v>
      </c>
      <c r="H38" t="s">
        <v>29</v>
      </c>
      <c r="I38">
        <f>ROUND(0.7*0.7*0.2,9)</f>
        <v>9.8000000000000004E-2</v>
      </c>
      <c r="J38">
        <v>0</v>
      </c>
      <c r="O38">
        <f t="shared" si="21"/>
        <v>202.23</v>
      </c>
      <c r="P38">
        <f t="shared" si="22"/>
        <v>162.41</v>
      </c>
      <c r="Q38">
        <f t="shared" si="23"/>
        <v>22.05</v>
      </c>
      <c r="R38">
        <f t="shared" si="24"/>
        <v>13.24</v>
      </c>
      <c r="S38">
        <f t="shared" si="25"/>
        <v>17.77</v>
      </c>
      <c r="T38">
        <f t="shared" si="26"/>
        <v>0</v>
      </c>
      <c r="U38">
        <f t="shared" si="27"/>
        <v>9.604E-2</v>
      </c>
      <c r="V38">
        <f t="shared" si="28"/>
        <v>0</v>
      </c>
      <c r="W38">
        <f t="shared" si="29"/>
        <v>0</v>
      </c>
      <c r="X38">
        <f t="shared" si="30"/>
        <v>12.44</v>
      </c>
      <c r="Y38">
        <f t="shared" si="31"/>
        <v>1.78</v>
      </c>
      <c r="AA38">
        <v>42278323</v>
      </c>
      <c r="AB38">
        <f t="shared" si="32"/>
        <v>2063.5700000000002</v>
      </c>
      <c r="AC38">
        <f t="shared" si="33"/>
        <v>1657.26</v>
      </c>
      <c r="AD38">
        <f t="shared" si="34"/>
        <v>224.99</v>
      </c>
      <c r="AE38">
        <f t="shared" si="35"/>
        <v>135.08000000000001</v>
      </c>
      <c r="AF38">
        <f t="shared" si="36"/>
        <v>181.32</v>
      </c>
      <c r="AG38">
        <f t="shared" si="37"/>
        <v>0</v>
      </c>
      <c r="AH38">
        <f t="shared" si="38"/>
        <v>0.98</v>
      </c>
      <c r="AI38">
        <f t="shared" si="39"/>
        <v>0</v>
      </c>
      <c r="AJ38">
        <f t="shared" si="40"/>
        <v>0</v>
      </c>
      <c r="AK38">
        <v>2063.5700000000002</v>
      </c>
      <c r="AL38">
        <v>1657.26</v>
      </c>
      <c r="AM38">
        <v>224.99</v>
      </c>
      <c r="AN38">
        <v>135.08000000000001</v>
      </c>
      <c r="AO38">
        <v>181.32</v>
      </c>
      <c r="AP38">
        <v>0</v>
      </c>
      <c r="AQ38">
        <v>0.98</v>
      </c>
      <c r="AR38">
        <v>0</v>
      </c>
      <c r="AS38">
        <v>0</v>
      </c>
      <c r="AT38">
        <v>70</v>
      </c>
      <c r="AU38">
        <v>10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4</v>
      </c>
      <c r="BJ38" t="s">
        <v>34</v>
      </c>
      <c r="BM38">
        <v>0</v>
      </c>
      <c r="BN38">
        <v>0</v>
      </c>
      <c r="BO38" t="s">
        <v>3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70</v>
      </c>
      <c r="CA38">
        <v>10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1"/>
        <v>202.23000000000002</v>
      </c>
      <c r="CQ38">
        <f t="shared" si="42"/>
        <v>1657.26</v>
      </c>
      <c r="CR38">
        <f t="shared" si="43"/>
        <v>224.99</v>
      </c>
      <c r="CS38">
        <f t="shared" si="44"/>
        <v>135.08000000000001</v>
      </c>
      <c r="CT38">
        <f t="shared" si="45"/>
        <v>181.32</v>
      </c>
      <c r="CU38">
        <f t="shared" si="46"/>
        <v>0</v>
      </c>
      <c r="CV38">
        <f t="shared" si="47"/>
        <v>0.98</v>
      </c>
      <c r="CW38">
        <f t="shared" si="48"/>
        <v>0</v>
      </c>
      <c r="CX38">
        <f t="shared" si="49"/>
        <v>0</v>
      </c>
      <c r="CY38">
        <f t="shared" si="50"/>
        <v>12.438999999999998</v>
      </c>
      <c r="CZ38">
        <f t="shared" si="51"/>
        <v>1.7769999999999999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1007</v>
      </c>
      <c r="DV38" t="s">
        <v>29</v>
      </c>
      <c r="DW38" t="s">
        <v>29</v>
      </c>
      <c r="DX38">
        <v>1</v>
      </c>
      <c r="EE38">
        <v>40658659</v>
      </c>
      <c r="EF38">
        <v>1</v>
      </c>
      <c r="EG38" t="s">
        <v>23</v>
      </c>
      <c r="EH38">
        <v>0</v>
      </c>
      <c r="EI38" t="s">
        <v>3</v>
      </c>
      <c r="EJ38">
        <v>4</v>
      </c>
      <c r="EK38">
        <v>0</v>
      </c>
      <c r="EL38" t="s">
        <v>24</v>
      </c>
      <c r="EM38" t="s">
        <v>25</v>
      </c>
      <c r="EO38" t="s">
        <v>3</v>
      </c>
      <c r="EQ38">
        <v>0</v>
      </c>
      <c r="ER38">
        <v>2063.5700000000002</v>
      </c>
      <c r="ES38">
        <v>1657.26</v>
      </c>
      <c r="ET38">
        <v>224.99</v>
      </c>
      <c r="EU38">
        <v>135.08000000000001</v>
      </c>
      <c r="EV38">
        <v>181.32</v>
      </c>
      <c r="EW38">
        <v>0.98</v>
      </c>
      <c r="EX38">
        <v>0</v>
      </c>
      <c r="EY38">
        <v>0</v>
      </c>
      <c r="FQ38">
        <v>0</v>
      </c>
      <c r="FR38">
        <f t="shared" si="52"/>
        <v>0</v>
      </c>
      <c r="FS38">
        <v>0</v>
      </c>
      <c r="FX38">
        <v>70</v>
      </c>
      <c r="FY38">
        <v>10</v>
      </c>
      <c r="GA38" t="s">
        <v>3</v>
      </c>
      <c r="GD38">
        <v>0</v>
      </c>
      <c r="GF38">
        <v>276142894</v>
      </c>
      <c r="GG38">
        <v>2</v>
      </c>
      <c r="GH38">
        <v>1</v>
      </c>
      <c r="GI38">
        <v>-2</v>
      </c>
      <c r="GJ38">
        <v>0</v>
      </c>
      <c r="GK38">
        <f>ROUND(R38*(R12)/100,2)</f>
        <v>14.3</v>
      </c>
      <c r="GL38">
        <f t="shared" si="53"/>
        <v>0</v>
      </c>
      <c r="GM38">
        <f t="shared" si="54"/>
        <v>230.75</v>
      </c>
      <c r="GN38">
        <f t="shared" si="55"/>
        <v>0</v>
      </c>
      <c r="GO38">
        <f t="shared" si="56"/>
        <v>0</v>
      </c>
      <c r="GP38">
        <f t="shared" si="57"/>
        <v>230.75</v>
      </c>
      <c r="GR38">
        <v>0</v>
      </c>
      <c r="GS38">
        <v>3</v>
      </c>
      <c r="GT38">
        <v>0</v>
      </c>
      <c r="GU38" t="s">
        <v>3</v>
      </c>
      <c r="GV38">
        <f t="shared" si="58"/>
        <v>0</v>
      </c>
      <c r="GW38">
        <v>1</v>
      </c>
      <c r="GX38">
        <f t="shared" si="59"/>
        <v>0</v>
      </c>
      <c r="HA38">
        <v>0</v>
      </c>
      <c r="HB38">
        <v>0</v>
      </c>
      <c r="HC38">
        <f t="shared" si="60"/>
        <v>0</v>
      </c>
      <c r="IK38">
        <v>0</v>
      </c>
    </row>
    <row r="39" spans="1:245" x14ac:dyDescent="0.2">
      <c r="A39">
        <v>17</v>
      </c>
      <c r="B39">
        <v>1</v>
      </c>
      <c r="D39">
        <f>ROW(EtalonRes!A52)</f>
        <v>52</v>
      </c>
      <c r="E39" t="s">
        <v>62</v>
      </c>
      <c r="F39" t="s">
        <v>36</v>
      </c>
      <c r="G39" t="s">
        <v>37</v>
      </c>
      <c r="H39" t="s">
        <v>21</v>
      </c>
      <c r="I39">
        <f>ROUND((0.7*0.7*0.7*1)/100,9)</f>
        <v>3.4299999999999999E-3</v>
      </c>
      <c r="J39">
        <v>0</v>
      </c>
      <c r="O39">
        <f t="shared" si="21"/>
        <v>1638.15</v>
      </c>
      <c r="P39">
        <f t="shared" si="22"/>
        <v>1245.53</v>
      </c>
      <c r="Q39">
        <f t="shared" si="23"/>
        <v>1.88</v>
      </c>
      <c r="R39">
        <f t="shared" si="24"/>
        <v>0.71</v>
      </c>
      <c r="S39">
        <f t="shared" si="25"/>
        <v>390.74</v>
      </c>
      <c r="T39">
        <f t="shared" si="26"/>
        <v>0</v>
      </c>
      <c r="U39">
        <f t="shared" si="27"/>
        <v>1.9328049999999999</v>
      </c>
      <c r="V39">
        <f t="shared" si="28"/>
        <v>0</v>
      </c>
      <c r="W39">
        <f t="shared" si="29"/>
        <v>0</v>
      </c>
      <c r="X39">
        <f t="shared" si="30"/>
        <v>273.52</v>
      </c>
      <c r="Y39">
        <f t="shared" si="31"/>
        <v>39.07</v>
      </c>
      <c r="AA39">
        <v>42278323</v>
      </c>
      <c r="AB39">
        <f t="shared" si="32"/>
        <v>477593.84</v>
      </c>
      <c r="AC39">
        <f t="shared" si="33"/>
        <v>363129.4</v>
      </c>
      <c r="AD39">
        <f t="shared" si="34"/>
        <v>547.28</v>
      </c>
      <c r="AE39">
        <f t="shared" si="35"/>
        <v>206.05</v>
      </c>
      <c r="AF39">
        <f t="shared" si="36"/>
        <v>113917.16</v>
      </c>
      <c r="AG39">
        <f t="shared" si="37"/>
        <v>0</v>
      </c>
      <c r="AH39">
        <f t="shared" si="38"/>
        <v>563.5</v>
      </c>
      <c r="AI39">
        <f t="shared" si="39"/>
        <v>0</v>
      </c>
      <c r="AJ39">
        <f t="shared" si="40"/>
        <v>0</v>
      </c>
      <c r="AK39">
        <v>477593.84</v>
      </c>
      <c r="AL39">
        <v>363129.4</v>
      </c>
      <c r="AM39">
        <v>547.28</v>
      </c>
      <c r="AN39">
        <v>206.05</v>
      </c>
      <c r="AO39">
        <v>113917.16</v>
      </c>
      <c r="AP39">
        <v>0</v>
      </c>
      <c r="AQ39">
        <v>563.5</v>
      </c>
      <c r="AR39">
        <v>0</v>
      </c>
      <c r="AS39">
        <v>0</v>
      </c>
      <c r="AT39">
        <v>70</v>
      </c>
      <c r="AU39">
        <v>10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38</v>
      </c>
      <c r="BM39">
        <v>0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70</v>
      </c>
      <c r="CA39">
        <v>10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1638.15</v>
      </c>
      <c r="CQ39">
        <f t="shared" si="42"/>
        <v>363129.4</v>
      </c>
      <c r="CR39">
        <f t="shared" si="43"/>
        <v>547.28</v>
      </c>
      <c r="CS39">
        <f t="shared" si="44"/>
        <v>206.05</v>
      </c>
      <c r="CT39">
        <f t="shared" si="45"/>
        <v>113917.16</v>
      </c>
      <c r="CU39">
        <f t="shared" si="46"/>
        <v>0</v>
      </c>
      <c r="CV39">
        <f t="shared" si="47"/>
        <v>563.5</v>
      </c>
      <c r="CW39">
        <f t="shared" si="48"/>
        <v>0</v>
      </c>
      <c r="CX39">
        <f t="shared" si="49"/>
        <v>0</v>
      </c>
      <c r="CY39">
        <f t="shared" si="50"/>
        <v>273.51799999999997</v>
      </c>
      <c r="CZ39">
        <f t="shared" si="51"/>
        <v>39.073999999999998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21</v>
      </c>
      <c r="DW39" t="s">
        <v>21</v>
      </c>
      <c r="DX39">
        <v>100</v>
      </c>
      <c r="EE39">
        <v>40658659</v>
      </c>
      <c r="EF39">
        <v>1</v>
      </c>
      <c r="EG39" t="s">
        <v>23</v>
      </c>
      <c r="EH39">
        <v>0</v>
      </c>
      <c r="EI39" t="s">
        <v>3</v>
      </c>
      <c r="EJ39">
        <v>4</v>
      </c>
      <c r="EK39">
        <v>0</v>
      </c>
      <c r="EL39" t="s">
        <v>24</v>
      </c>
      <c r="EM39" t="s">
        <v>25</v>
      </c>
      <c r="EO39" t="s">
        <v>3</v>
      </c>
      <c r="EQ39">
        <v>0</v>
      </c>
      <c r="ER39">
        <v>477593.84</v>
      </c>
      <c r="ES39">
        <v>363129.4</v>
      </c>
      <c r="ET39">
        <v>547.28</v>
      </c>
      <c r="EU39">
        <v>206.05</v>
      </c>
      <c r="EV39">
        <v>113917.16</v>
      </c>
      <c r="EW39">
        <v>563.5</v>
      </c>
      <c r="EX39">
        <v>0</v>
      </c>
      <c r="EY39">
        <v>0</v>
      </c>
      <c r="FQ39">
        <v>0</v>
      </c>
      <c r="FR39">
        <f t="shared" si="52"/>
        <v>0</v>
      </c>
      <c r="FS39">
        <v>0</v>
      </c>
      <c r="FX39">
        <v>70</v>
      </c>
      <c r="FY39">
        <v>10</v>
      </c>
      <c r="GA39" t="s">
        <v>3</v>
      </c>
      <c r="GD39">
        <v>0</v>
      </c>
      <c r="GF39">
        <v>2142801283</v>
      </c>
      <c r="GG39">
        <v>2</v>
      </c>
      <c r="GH39">
        <v>1</v>
      </c>
      <c r="GI39">
        <v>-2</v>
      </c>
      <c r="GJ39">
        <v>0</v>
      </c>
      <c r="GK39">
        <f>ROUND(R39*(R12)/100,2)</f>
        <v>0.77</v>
      </c>
      <c r="GL39">
        <f t="shared" si="53"/>
        <v>0</v>
      </c>
      <c r="GM39">
        <f t="shared" si="54"/>
        <v>1951.51</v>
      </c>
      <c r="GN39">
        <f t="shared" si="55"/>
        <v>0</v>
      </c>
      <c r="GO39">
        <f t="shared" si="56"/>
        <v>0</v>
      </c>
      <c r="GP39">
        <f t="shared" si="57"/>
        <v>1951.51</v>
      </c>
      <c r="GR39">
        <v>0</v>
      </c>
      <c r="GS39">
        <v>3</v>
      </c>
      <c r="GT39">
        <v>0</v>
      </c>
      <c r="GU39" t="s">
        <v>3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IK39">
        <v>0</v>
      </c>
    </row>
    <row r="40" spans="1:245" x14ac:dyDescent="0.2">
      <c r="A40">
        <v>17</v>
      </c>
      <c r="B40">
        <v>1</v>
      </c>
      <c r="D40">
        <f>ROW(EtalonRes!A54)</f>
        <v>54</v>
      </c>
      <c r="E40" t="s">
        <v>63</v>
      </c>
      <c r="F40" t="s">
        <v>40</v>
      </c>
      <c r="G40" t="s">
        <v>41</v>
      </c>
      <c r="H40" t="s">
        <v>42</v>
      </c>
      <c r="I40">
        <v>0.09</v>
      </c>
      <c r="J40">
        <v>0</v>
      </c>
      <c r="O40">
        <f t="shared" si="21"/>
        <v>9386.17</v>
      </c>
      <c r="P40">
        <f t="shared" si="22"/>
        <v>4791.0200000000004</v>
      </c>
      <c r="Q40">
        <f t="shared" si="23"/>
        <v>0</v>
      </c>
      <c r="R40">
        <f t="shared" si="24"/>
        <v>0</v>
      </c>
      <c r="S40">
        <f t="shared" si="25"/>
        <v>4595.1499999999996</v>
      </c>
      <c r="T40">
        <f t="shared" si="26"/>
        <v>0</v>
      </c>
      <c r="U40">
        <f t="shared" si="27"/>
        <v>20.492999999999999</v>
      </c>
      <c r="V40">
        <f t="shared" si="28"/>
        <v>0</v>
      </c>
      <c r="W40">
        <f t="shared" si="29"/>
        <v>0</v>
      </c>
      <c r="X40">
        <f t="shared" si="30"/>
        <v>3216.61</v>
      </c>
      <c r="Y40">
        <f t="shared" si="31"/>
        <v>459.52</v>
      </c>
      <c r="AA40">
        <v>42278323</v>
      </c>
      <c r="AB40">
        <f t="shared" si="32"/>
        <v>104290.69</v>
      </c>
      <c r="AC40">
        <f t="shared" si="33"/>
        <v>53233.52</v>
      </c>
      <c r="AD40">
        <f t="shared" si="34"/>
        <v>0</v>
      </c>
      <c r="AE40">
        <f t="shared" si="35"/>
        <v>0</v>
      </c>
      <c r="AF40">
        <f t="shared" si="36"/>
        <v>51057.17</v>
      </c>
      <c r="AG40">
        <f t="shared" si="37"/>
        <v>0</v>
      </c>
      <c r="AH40">
        <f t="shared" si="38"/>
        <v>227.7</v>
      </c>
      <c r="AI40">
        <f t="shared" si="39"/>
        <v>0</v>
      </c>
      <c r="AJ40">
        <f t="shared" si="40"/>
        <v>0</v>
      </c>
      <c r="AK40">
        <v>104290.69</v>
      </c>
      <c r="AL40">
        <v>53233.52</v>
      </c>
      <c r="AM40">
        <v>0</v>
      </c>
      <c r="AN40">
        <v>0</v>
      </c>
      <c r="AO40">
        <v>51057.17</v>
      </c>
      <c r="AP40">
        <v>0</v>
      </c>
      <c r="AQ40">
        <v>227.7</v>
      </c>
      <c r="AR40">
        <v>0</v>
      </c>
      <c r="AS40">
        <v>0</v>
      </c>
      <c r="AT40">
        <v>70</v>
      </c>
      <c r="AU40">
        <v>10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4</v>
      </c>
      <c r="BJ40" t="s">
        <v>43</v>
      </c>
      <c r="BM40">
        <v>0</v>
      </c>
      <c r="BN40">
        <v>0</v>
      </c>
      <c r="BO40" t="s">
        <v>3</v>
      </c>
      <c r="BP40">
        <v>0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70</v>
      </c>
      <c r="CA40">
        <v>10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1"/>
        <v>9386.17</v>
      </c>
      <c r="CQ40">
        <f t="shared" si="42"/>
        <v>53233.52</v>
      </c>
      <c r="CR40">
        <f t="shared" si="43"/>
        <v>0</v>
      </c>
      <c r="CS40">
        <f t="shared" si="44"/>
        <v>0</v>
      </c>
      <c r="CT40">
        <f t="shared" si="45"/>
        <v>51057.17</v>
      </c>
      <c r="CU40">
        <f t="shared" si="46"/>
        <v>0</v>
      </c>
      <c r="CV40">
        <f t="shared" si="47"/>
        <v>227.7</v>
      </c>
      <c r="CW40">
        <f t="shared" si="48"/>
        <v>0</v>
      </c>
      <c r="CX40">
        <f t="shared" si="49"/>
        <v>0</v>
      </c>
      <c r="CY40">
        <f t="shared" si="50"/>
        <v>3216.605</v>
      </c>
      <c r="CZ40">
        <f t="shared" si="51"/>
        <v>459.51499999999999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1009</v>
      </c>
      <c r="DV40" t="s">
        <v>42</v>
      </c>
      <c r="DW40" t="s">
        <v>42</v>
      </c>
      <c r="DX40">
        <v>1000</v>
      </c>
      <c r="EE40">
        <v>40658659</v>
      </c>
      <c r="EF40">
        <v>1</v>
      </c>
      <c r="EG40" t="s">
        <v>23</v>
      </c>
      <c r="EH40">
        <v>0</v>
      </c>
      <c r="EI40" t="s">
        <v>3</v>
      </c>
      <c r="EJ40">
        <v>4</v>
      </c>
      <c r="EK40">
        <v>0</v>
      </c>
      <c r="EL40" t="s">
        <v>24</v>
      </c>
      <c r="EM40" t="s">
        <v>25</v>
      </c>
      <c r="EO40" t="s">
        <v>3</v>
      </c>
      <c r="EQ40">
        <v>0</v>
      </c>
      <c r="ER40">
        <v>104290.69</v>
      </c>
      <c r="ES40">
        <v>53233.52</v>
      </c>
      <c r="ET40">
        <v>0</v>
      </c>
      <c r="EU40">
        <v>0</v>
      </c>
      <c r="EV40">
        <v>51057.17</v>
      </c>
      <c r="EW40">
        <v>227.7</v>
      </c>
      <c r="EX40">
        <v>0</v>
      </c>
      <c r="EY40">
        <v>0</v>
      </c>
      <c r="FQ40">
        <v>0</v>
      </c>
      <c r="FR40">
        <f t="shared" si="52"/>
        <v>0</v>
      </c>
      <c r="FS40">
        <v>0</v>
      </c>
      <c r="FX40">
        <v>70</v>
      </c>
      <c r="FY40">
        <v>10</v>
      </c>
      <c r="GA40" t="s">
        <v>3</v>
      </c>
      <c r="GD40">
        <v>0</v>
      </c>
      <c r="GF40">
        <v>-423032956</v>
      </c>
      <c r="GG40">
        <v>2</v>
      </c>
      <c r="GH40">
        <v>1</v>
      </c>
      <c r="GI40">
        <v>-2</v>
      </c>
      <c r="GJ40">
        <v>0</v>
      </c>
      <c r="GK40">
        <f>ROUND(R40*(R12)/100,2)</f>
        <v>0</v>
      </c>
      <c r="GL40">
        <f t="shared" si="53"/>
        <v>0</v>
      </c>
      <c r="GM40">
        <f t="shared" si="54"/>
        <v>13062.3</v>
      </c>
      <c r="GN40">
        <f t="shared" si="55"/>
        <v>0</v>
      </c>
      <c r="GO40">
        <f t="shared" si="56"/>
        <v>0</v>
      </c>
      <c r="GP40">
        <f t="shared" si="57"/>
        <v>13062.3</v>
      </c>
      <c r="GR40">
        <v>0</v>
      </c>
      <c r="GS40">
        <v>3</v>
      </c>
      <c r="GT40">
        <v>0</v>
      </c>
      <c r="GU40" t="s">
        <v>3</v>
      </c>
      <c r="GV40">
        <f t="shared" si="58"/>
        <v>0</v>
      </c>
      <c r="GW40">
        <v>1</v>
      </c>
      <c r="GX40">
        <f t="shared" si="59"/>
        <v>0</v>
      </c>
      <c r="HA40">
        <v>0</v>
      </c>
      <c r="HB40">
        <v>0</v>
      </c>
      <c r="HC40">
        <f t="shared" si="60"/>
        <v>0</v>
      </c>
      <c r="IK40">
        <v>0</v>
      </c>
    </row>
    <row r="41" spans="1:245" x14ac:dyDescent="0.2">
      <c r="A41">
        <v>18</v>
      </c>
      <c r="B41">
        <v>1</v>
      </c>
      <c r="E41" t="s">
        <v>64</v>
      </c>
      <c r="F41" t="s">
        <v>45</v>
      </c>
      <c r="G41" t="s">
        <v>46</v>
      </c>
      <c r="H41" t="s">
        <v>47</v>
      </c>
      <c r="I41">
        <f>I40*J41</f>
        <v>0.99999999999999989</v>
      </c>
      <c r="J41">
        <v>11.111111111111111</v>
      </c>
      <c r="O41">
        <f t="shared" si="21"/>
        <v>210</v>
      </c>
      <c r="P41">
        <f t="shared" si="22"/>
        <v>210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42278323</v>
      </c>
      <c r="AB41">
        <f t="shared" si="32"/>
        <v>210</v>
      </c>
      <c r="AC41">
        <f t="shared" si="33"/>
        <v>210</v>
      </c>
      <c r="AD41">
        <f t="shared" si="34"/>
        <v>0</v>
      </c>
      <c r="AE41">
        <f t="shared" si="35"/>
        <v>0</v>
      </c>
      <c r="AF41">
        <f t="shared" si="36"/>
        <v>0</v>
      </c>
      <c r="AG41">
        <f t="shared" si="37"/>
        <v>0</v>
      </c>
      <c r="AH41">
        <f t="shared" si="38"/>
        <v>0</v>
      </c>
      <c r="AI41">
        <f t="shared" si="39"/>
        <v>0</v>
      </c>
      <c r="AJ41">
        <f t="shared" si="40"/>
        <v>0</v>
      </c>
      <c r="AK41">
        <v>210</v>
      </c>
      <c r="AL41">
        <v>210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70</v>
      </c>
      <c r="AU41">
        <v>10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4</v>
      </c>
      <c r="BJ41" t="s">
        <v>48</v>
      </c>
      <c r="BM41">
        <v>0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70</v>
      </c>
      <c r="CA41">
        <v>10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1"/>
        <v>210</v>
      </c>
      <c r="CQ41">
        <f t="shared" si="42"/>
        <v>210</v>
      </c>
      <c r="CR41">
        <f t="shared" si="43"/>
        <v>0</v>
      </c>
      <c r="CS41">
        <f t="shared" si="44"/>
        <v>0</v>
      </c>
      <c r="CT41">
        <f t="shared" si="45"/>
        <v>0</v>
      </c>
      <c r="CU41">
        <f t="shared" si="46"/>
        <v>0</v>
      </c>
      <c r="CV41">
        <f t="shared" si="47"/>
        <v>0</v>
      </c>
      <c r="CW41">
        <f t="shared" si="48"/>
        <v>0</v>
      </c>
      <c r="CX41">
        <f t="shared" si="49"/>
        <v>0</v>
      </c>
      <c r="CY41">
        <f t="shared" si="50"/>
        <v>0</v>
      </c>
      <c r="CZ41">
        <f t="shared" si="51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47</v>
      </c>
      <c r="DW41" t="s">
        <v>47</v>
      </c>
      <c r="DX41">
        <v>1</v>
      </c>
      <c r="EE41">
        <v>40658659</v>
      </c>
      <c r="EF41">
        <v>1</v>
      </c>
      <c r="EG41" t="s">
        <v>23</v>
      </c>
      <c r="EH41">
        <v>0</v>
      </c>
      <c r="EI41" t="s">
        <v>3</v>
      </c>
      <c r="EJ41">
        <v>4</v>
      </c>
      <c r="EK41">
        <v>0</v>
      </c>
      <c r="EL41" t="s">
        <v>24</v>
      </c>
      <c r="EM41" t="s">
        <v>25</v>
      </c>
      <c r="EO41" t="s">
        <v>3</v>
      </c>
      <c r="EQ41">
        <v>0</v>
      </c>
      <c r="ER41">
        <v>210</v>
      </c>
      <c r="ES41">
        <v>210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52"/>
        <v>0</v>
      </c>
      <c r="FS41">
        <v>0</v>
      </c>
      <c r="FX41">
        <v>70</v>
      </c>
      <c r="FY41">
        <v>10</v>
      </c>
      <c r="GA41" t="s">
        <v>3</v>
      </c>
      <c r="GD41">
        <v>0</v>
      </c>
      <c r="GF41">
        <v>462942439</v>
      </c>
      <c r="GG41">
        <v>2</v>
      </c>
      <c r="GH41">
        <v>1</v>
      </c>
      <c r="GI41">
        <v>-2</v>
      </c>
      <c r="GJ41">
        <v>0</v>
      </c>
      <c r="GK41">
        <f>ROUND(R41*(R12)/100,2)</f>
        <v>0</v>
      </c>
      <c r="GL41">
        <f t="shared" si="53"/>
        <v>0</v>
      </c>
      <c r="GM41">
        <f t="shared" si="54"/>
        <v>210</v>
      </c>
      <c r="GN41">
        <f t="shared" si="55"/>
        <v>0</v>
      </c>
      <c r="GO41">
        <f t="shared" si="56"/>
        <v>0</v>
      </c>
      <c r="GP41">
        <f t="shared" si="57"/>
        <v>210</v>
      </c>
      <c r="GR41">
        <v>0</v>
      </c>
      <c r="GS41">
        <v>3</v>
      </c>
      <c r="GT41">
        <v>0</v>
      </c>
      <c r="GU41" t="s">
        <v>3</v>
      </c>
      <c r="GV41">
        <f t="shared" si="58"/>
        <v>0</v>
      </c>
      <c r="GW41">
        <v>1</v>
      </c>
      <c r="GX41">
        <f t="shared" si="59"/>
        <v>0</v>
      </c>
      <c r="HA41">
        <v>0</v>
      </c>
      <c r="HB41">
        <v>0</v>
      </c>
      <c r="HC41">
        <f t="shared" si="60"/>
        <v>0</v>
      </c>
      <c r="IK41">
        <v>0</v>
      </c>
    </row>
    <row r="42" spans="1:245" x14ac:dyDescent="0.2">
      <c r="A42">
        <v>18</v>
      </c>
      <c r="B42">
        <v>1</v>
      </c>
      <c r="E42" t="s">
        <v>65</v>
      </c>
      <c r="F42" t="s">
        <v>50</v>
      </c>
      <c r="G42" t="s">
        <v>51</v>
      </c>
      <c r="H42" t="s">
        <v>42</v>
      </c>
      <c r="I42">
        <f>I40*J42</f>
        <v>-0.09</v>
      </c>
      <c r="J42">
        <v>-1</v>
      </c>
      <c r="O42">
        <f t="shared" si="21"/>
        <v>-4791.0200000000004</v>
      </c>
      <c r="P42">
        <f t="shared" si="22"/>
        <v>-4791.0200000000004</v>
      </c>
      <c r="Q42">
        <f t="shared" si="23"/>
        <v>0</v>
      </c>
      <c r="R42">
        <f t="shared" si="24"/>
        <v>0</v>
      </c>
      <c r="S42">
        <f t="shared" si="25"/>
        <v>0</v>
      </c>
      <c r="T42">
        <f t="shared" si="26"/>
        <v>0</v>
      </c>
      <c r="U42">
        <f t="shared" si="27"/>
        <v>0</v>
      </c>
      <c r="V42">
        <f t="shared" si="28"/>
        <v>0</v>
      </c>
      <c r="W42">
        <f t="shared" si="29"/>
        <v>0</v>
      </c>
      <c r="X42">
        <f t="shared" si="30"/>
        <v>0</v>
      </c>
      <c r="Y42">
        <f t="shared" si="31"/>
        <v>0</v>
      </c>
      <c r="AA42">
        <v>42278323</v>
      </c>
      <c r="AB42">
        <f t="shared" si="32"/>
        <v>53233.52</v>
      </c>
      <c r="AC42">
        <f t="shared" si="33"/>
        <v>53233.52</v>
      </c>
      <c r="AD42">
        <f t="shared" si="34"/>
        <v>0</v>
      </c>
      <c r="AE42">
        <f t="shared" si="35"/>
        <v>0</v>
      </c>
      <c r="AF42">
        <f t="shared" si="36"/>
        <v>0</v>
      </c>
      <c r="AG42">
        <f t="shared" si="37"/>
        <v>0</v>
      </c>
      <c r="AH42">
        <f t="shared" si="38"/>
        <v>0</v>
      </c>
      <c r="AI42">
        <f t="shared" si="39"/>
        <v>0</v>
      </c>
      <c r="AJ42">
        <f t="shared" si="40"/>
        <v>0</v>
      </c>
      <c r="AK42">
        <v>53233.52</v>
      </c>
      <c r="AL42">
        <v>53233.52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70</v>
      </c>
      <c r="AU42">
        <v>10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4</v>
      </c>
      <c r="BJ42" t="s">
        <v>52</v>
      </c>
      <c r="BM42">
        <v>0</v>
      </c>
      <c r="BN42">
        <v>0</v>
      </c>
      <c r="BO42" t="s">
        <v>3</v>
      </c>
      <c r="BP42">
        <v>0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70</v>
      </c>
      <c r="CA42">
        <v>10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41"/>
        <v>-4791.0200000000004</v>
      </c>
      <c r="CQ42">
        <f t="shared" si="42"/>
        <v>53233.52</v>
      </c>
      <c r="CR42">
        <f t="shared" si="43"/>
        <v>0</v>
      </c>
      <c r="CS42">
        <f t="shared" si="44"/>
        <v>0</v>
      </c>
      <c r="CT42">
        <f t="shared" si="45"/>
        <v>0</v>
      </c>
      <c r="CU42">
        <f t="shared" si="46"/>
        <v>0</v>
      </c>
      <c r="CV42">
        <f t="shared" si="47"/>
        <v>0</v>
      </c>
      <c r="CW42">
        <f t="shared" si="48"/>
        <v>0</v>
      </c>
      <c r="CX42">
        <f t="shared" si="49"/>
        <v>0</v>
      </c>
      <c r="CY42">
        <f t="shared" si="50"/>
        <v>0</v>
      </c>
      <c r="CZ42">
        <f t="shared" si="51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1009</v>
      </c>
      <c r="DV42" t="s">
        <v>42</v>
      </c>
      <c r="DW42" t="s">
        <v>42</v>
      </c>
      <c r="DX42">
        <v>1000</v>
      </c>
      <c r="EE42">
        <v>40658659</v>
      </c>
      <c r="EF42">
        <v>1</v>
      </c>
      <c r="EG42" t="s">
        <v>23</v>
      </c>
      <c r="EH42">
        <v>0</v>
      </c>
      <c r="EI42" t="s">
        <v>3</v>
      </c>
      <c r="EJ42">
        <v>4</v>
      </c>
      <c r="EK42">
        <v>0</v>
      </c>
      <c r="EL42" t="s">
        <v>24</v>
      </c>
      <c r="EM42" t="s">
        <v>25</v>
      </c>
      <c r="EO42" t="s">
        <v>3</v>
      </c>
      <c r="EQ42">
        <v>32768</v>
      </c>
      <c r="ER42">
        <v>53233.52</v>
      </c>
      <c r="ES42">
        <v>53233.52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52"/>
        <v>0</v>
      </c>
      <c r="FS42">
        <v>0</v>
      </c>
      <c r="FX42">
        <v>70</v>
      </c>
      <c r="FY42">
        <v>10</v>
      </c>
      <c r="GA42" t="s">
        <v>3</v>
      </c>
      <c r="GD42">
        <v>0</v>
      </c>
      <c r="GF42">
        <v>588667335</v>
      </c>
      <c r="GG42">
        <v>2</v>
      </c>
      <c r="GH42">
        <v>1</v>
      </c>
      <c r="GI42">
        <v>-2</v>
      </c>
      <c r="GJ42">
        <v>0</v>
      </c>
      <c r="GK42">
        <f>ROUND(R42*(R12)/100,2)</f>
        <v>0</v>
      </c>
      <c r="GL42">
        <f t="shared" si="53"/>
        <v>0</v>
      </c>
      <c r="GM42">
        <f t="shared" si="54"/>
        <v>-4791.0200000000004</v>
      </c>
      <c r="GN42">
        <f t="shared" si="55"/>
        <v>0</v>
      </c>
      <c r="GO42">
        <f t="shared" si="56"/>
        <v>0</v>
      </c>
      <c r="GP42">
        <f t="shared" si="57"/>
        <v>-4791.0200000000004</v>
      </c>
      <c r="GR42">
        <v>0</v>
      </c>
      <c r="GS42">
        <v>3</v>
      </c>
      <c r="GT42">
        <v>0</v>
      </c>
      <c r="GU42" t="s">
        <v>3</v>
      </c>
      <c r="GV42">
        <f t="shared" si="58"/>
        <v>0</v>
      </c>
      <c r="GW42">
        <v>1</v>
      </c>
      <c r="GX42">
        <f t="shared" si="59"/>
        <v>0</v>
      </c>
      <c r="HA42">
        <v>0</v>
      </c>
      <c r="HB42">
        <v>0</v>
      </c>
      <c r="HC42">
        <f t="shared" si="60"/>
        <v>0</v>
      </c>
      <c r="IK42">
        <v>0</v>
      </c>
    </row>
    <row r="43" spans="1:245" x14ac:dyDescent="0.2">
      <c r="A43">
        <v>17</v>
      </c>
      <c r="B43">
        <v>1</v>
      </c>
      <c r="E43" t="s">
        <v>66</v>
      </c>
      <c r="F43" t="s">
        <v>54</v>
      </c>
      <c r="G43" t="s">
        <v>67</v>
      </c>
      <c r="H43" t="s">
        <v>47</v>
      </c>
      <c r="I43">
        <v>1</v>
      </c>
      <c r="J43">
        <v>0</v>
      </c>
      <c r="O43">
        <f t="shared" si="21"/>
        <v>62508.75</v>
      </c>
      <c r="P43">
        <f t="shared" si="22"/>
        <v>62508.75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42278323</v>
      </c>
      <c r="AB43">
        <f t="shared" si="32"/>
        <v>62508.75</v>
      </c>
      <c r="AC43">
        <f t="shared" si="33"/>
        <v>62508.75</v>
      </c>
      <c r="AD43">
        <f t="shared" si="34"/>
        <v>0</v>
      </c>
      <c r="AE43">
        <f t="shared" si="35"/>
        <v>0</v>
      </c>
      <c r="AF43">
        <f t="shared" si="36"/>
        <v>0</v>
      </c>
      <c r="AG43">
        <f t="shared" si="37"/>
        <v>0</v>
      </c>
      <c r="AH43">
        <f t="shared" si="38"/>
        <v>0</v>
      </c>
      <c r="AI43">
        <f t="shared" si="39"/>
        <v>0</v>
      </c>
      <c r="AJ43">
        <f t="shared" si="40"/>
        <v>0</v>
      </c>
      <c r="AK43">
        <v>50862.81</v>
      </c>
      <c r="AL43">
        <v>62508.75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6001</v>
      </c>
      <c r="BN43">
        <v>0</v>
      </c>
      <c r="BO43" t="s">
        <v>3</v>
      </c>
      <c r="BP43">
        <v>0</v>
      </c>
      <c r="BQ43">
        <v>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1"/>
        <v>62508.75</v>
      </c>
      <c r="CQ43">
        <f t="shared" si="42"/>
        <v>62508.75</v>
      </c>
      <c r="CR43">
        <f t="shared" si="43"/>
        <v>0</v>
      </c>
      <c r="CS43">
        <f t="shared" si="44"/>
        <v>0</v>
      </c>
      <c r="CT43">
        <f t="shared" si="45"/>
        <v>0</v>
      </c>
      <c r="CU43">
        <f t="shared" si="46"/>
        <v>0</v>
      </c>
      <c r="CV43">
        <f t="shared" si="47"/>
        <v>0</v>
      </c>
      <c r="CW43">
        <f t="shared" si="48"/>
        <v>0</v>
      </c>
      <c r="CX43">
        <f t="shared" si="49"/>
        <v>0</v>
      </c>
      <c r="CY43">
        <f t="shared" si="50"/>
        <v>0</v>
      </c>
      <c r="CZ43">
        <f t="shared" si="51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47</v>
      </c>
      <c r="DW43" t="s">
        <v>47</v>
      </c>
      <c r="DX43">
        <v>1</v>
      </c>
      <c r="EE43">
        <v>42086242</v>
      </c>
      <c r="EF43">
        <v>0</v>
      </c>
      <c r="EG43" t="s">
        <v>56</v>
      </c>
      <c r="EH43">
        <v>0</v>
      </c>
      <c r="EI43" t="s">
        <v>3</v>
      </c>
      <c r="EJ43">
        <v>1</v>
      </c>
      <c r="EK43">
        <v>6001</v>
      </c>
      <c r="EL43" t="s">
        <v>57</v>
      </c>
      <c r="EM43" t="s">
        <v>56</v>
      </c>
      <c r="EO43" t="s">
        <v>3</v>
      </c>
      <c r="EQ43">
        <v>0</v>
      </c>
      <c r="ER43">
        <v>62508.75</v>
      </c>
      <c r="ES43">
        <v>62508.75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49865.5</v>
      </c>
      <c r="FQ43">
        <v>0</v>
      </c>
      <c r="FR43">
        <f t="shared" si="52"/>
        <v>0</v>
      </c>
      <c r="FS43">
        <v>0</v>
      </c>
      <c r="FX43">
        <v>0</v>
      </c>
      <c r="FY43">
        <v>0</v>
      </c>
      <c r="GA43" t="s">
        <v>68</v>
      </c>
      <c r="GD43">
        <v>0</v>
      </c>
      <c r="GF43">
        <v>-1905195233</v>
      </c>
      <c r="GG43">
        <v>2</v>
      </c>
      <c r="GH43">
        <v>3</v>
      </c>
      <c r="GI43">
        <v>-2</v>
      </c>
      <c r="GJ43">
        <v>0</v>
      </c>
      <c r="GK43">
        <f>ROUND(R43*(R12)/100,2)</f>
        <v>0</v>
      </c>
      <c r="GL43">
        <f t="shared" si="53"/>
        <v>0</v>
      </c>
      <c r="GM43">
        <f t="shared" si="54"/>
        <v>62508.75</v>
      </c>
      <c r="GN43">
        <f t="shared" si="55"/>
        <v>62508.75</v>
      </c>
      <c r="GO43">
        <f t="shared" si="56"/>
        <v>0</v>
      </c>
      <c r="GP43">
        <f t="shared" si="57"/>
        <v>0</v>
      </c>
      <c r="GR43">
        <v>1</v>
      </c>
      <c r="GS43">
        <v>1</v>
      </c>
      <c r="GT43">
        <v>0</v>
      </c>
      <c r="GU43" t="s">
        <v>3</v>
      </c>
      <c r="GV43">
        <f t="shared" si="58"/>
        <v>0</v>
      </c>
      <c r="GW43">
        <v>1</v>
      </c>
      <c r="GX43">
        <f t="shared" si="59"/>
        <v>0</v>
      </c>
      <c r="HA43">
        <v>0</v>
      </c>
      <c r="HB43">
        <v>0</v>
      </c>
      <c r="HC43">
        <f t="shared" si="60"/>
        <v>0</v>
      </c>
      <c r="IK43">
        <v>0</v>
      </c>
    </row>
    <row r="44" spans="1:245" x14ac:dyDescent="0.2">
      <c r="A44">
        <v>17</v>
      </c>
      <c r="B44">
        <v>1</v>
      </c>
      <c r="D44">
        <f>ROW(EtalonRes!A55)</f>
        <v>55</v>
      </c>
      <c r="E44" t="s">
        <v>69</v>
      </c>
      <c r="F44" t="s">
        <v>19</v>
      </c>
      <c r="G44" t="s">
        <v>20</v>
      </c>
      <c r="H44" t="s">
        <v>21</v>
      </c>
      <c r="I44">
        <f>ROUND(0.7*0.7*1/100,9)</f>
        <v>4.8999999999999998E-3</v>
      </c>
      <c r="J44">
        <v>0</v>
      </c>
      <c r="O44">
        <f t="shared" si="21"/>
        <v>205.56</v>
      </c>
      <c r="P44">
        <f t="shared" si="22"/>
        <v>0</v>
      </c>
      <c r="Q44">
        <f t="shared" si="23"/>
        <v>0</v>
      </c>
      <c r="R44">
        <f t="shared" si="24"/>
        <v>0</v>
      </c>
      <c r="S44">
        <f t="shared" si="25"/>
        <v>205.56</v>
      </c>
      <c r="T44">
        <f t="shared" si="26"/>
        <v>0</v>
      </c>
      <c r="U44">
        <f t="shared" si="27"/>
        <v>1.0858399999999999</v>
      </c>
      <c r="V44">
        <f t="shared" si="28"/>
        <v>0</v>
      </c>
      <c r="W44">
        <f t="shared" si="29"/>
        <v>0</v>
      </c>
      <c r="X44">
        <f t="shared" si="30"/>
        <v>143.88999999999999</v>
      </c>
      <c r="Y44">
        <f t="shared" si="31"/>
        <v>20.56</v>
      </c>
      <c r="AA44">
        <v>42278323</v>
      </c>
      <c r="AB44">
        <f t="shared" si="32"/>
        <v>41951.1</v>
      </c>
      <c r="AC44">
        <f t="shared" si="33"/>
        <v>0</v>
      </c>
      <c r="AD44">
        <f t="shared" si="34"/>
        <v>0</v>
      </c>
      <c r="AE44">
        <f t="shared" si="35"/>
        <v>0</v>
      </c>
      <c r="AF44">
        <f t="shared" si="36"/>
        <v>41951.1</v>
      </c>
      <c r="AG44">
        <f t="shared" si="37"/>
        <v>0</v>
      </c>
      <c r="AH44">
        <f t="shared" si="38"/>
        <v>221.6</v>
      </c>
      <c r="AI44">
        <f t="shared" si="39"/>
        <v>0</v>
      </c>
      <c r="AJ44">
        <f t="shared" si="40"/>
        <v>0</v>
      </c>
      <c r="AK44">
        <v>41951.1</v>
      </c>
      <c r="AL44">
        <v>0</v>
      </c>
      <c r="AM44">
        <v>0</v>
      </c>
      <c r="AN44">
        <v>0</v>
      </c>
      <c r="AO44">
        <v>41951.1</v>
      </c>
      <c r="AP44">
        <v>0</v>
      </c>
      <c r="AQ44">
        <v>221.6</v>
      </c>
      <c r="AR44">
        <v>0</v>
      </c>
      <c r="AS44">
        <v>0</v>
      </c>
      <c r="AT44">
        <v>70</v>
      </c>
      <c r="AU44">
        <v>10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4</v>
      </c>
      <c r="BJ44" t="s">
        <v>22</v>
      </c>
      <c r="BM44">
        <v>0</v>
      </c>
      <c r="BN44">
        <v>0</v>
      </c>
      <c r="BO44" t="s">
        <v>3</v>
      </c>
      <c r="BP44">
        <v>0</v>
      </c>
      <c r="BQ44">
        <v>1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70</v>
      </c>
      <c r="CA44">
        <v>10</v>
      </c>
      <c r="CE44">
        <v>0</v>
      </c>
      <c r="CF44">
        <v>0</v>
      </c>
      <c r="CG44">
        <v>0</v>
      </c>
      <c r="CM44">
        <v>0</v>
      </c>
      <c r="CN44" t="s">
        <v>3</v>
      </c>
      <c r="CO44">
        <v>0</v>
      </c>
      <c r="CP44">
        <f t="shared" si="41"/>
        <v>205.56</v>
      </c>
      <c r="CQ44">
        <f t="shared" si="42"/>
        <v>0</v>
      </c>
      <c r="CR44">
        <f t="shared" si="43"/>
        <v>0</v>
      </c>
      <c r="CS44">
        <f t="shared" si="44"/>
        <v>0</v>
      </c>
      <c r="CT44">
        <f t="shared" si="45"/>
        <v>41951.1</v>
      </c>
      <c r="CU44">
        <f t="shared" si="46"/>
        <v>0</v>
      </c>
      <c r="CV44">
        <f t="shared" si="47"/>
        <v>221.6</v>
      </c>
      <c r="CW44">
        <f t="shared" si="48"/>
        <v>0</v>
      </c>
      <c r="CX44">
        <f t="shared" si="49"/>
        <v>0</v>
      </c>
      <c r="CY44">
        <f t="shared" si="50"/>
        <v>143.892</v>
      </c>
      <c r="CZ44">
        <f t="shared" si="51"/>
        <v>20.555999999999997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1007</v>
      </c>
      <c r="DV44" t="s">
        <v>21</v>
      </c>
      <c r="DW44" t="s">
        <v>21</v>
      </c>
      <c r="DX44">
        <v>100</v>
      </c>
      <c r="EE44">
        <v>40658659</v>
      </c>
      <c r="EF44">
        <v>1</v>
      </c>
      <c r="EG44" t="s">
        <v>23</v>
      </c>
      <c r="EH44">
        <v>0</v>
      </c>
      <c r="EI44" t="s">
        <v>3</v>
      </c>
      <c r="EJ44">
        <v>4</v>
      </c>
      <c r="EK44">
        <v>0</v>
      </c>
      <c r="EL44" t="s">
        <v>24</v>
      </c>
      <c r="EM44" t="s">
        <v>25</v>
      </c>
      <c r="EO44" t="s">
        <v>3</v>
      </c>
      <c r="EQ44">
        <v>0</v>
      </c>
      <c r="ER44">
        <v>41951.1</v>
      </c>
      <c r="ES44">
        <v>0</v>
      </c>
      <c r="ET44">
        <v>0</v>
      </c>
      <c r="EU44">
        <v>0</v>
      </c>
      <c r="EV44">
        <v>41951.1</v>
      </c>
      <c r="EW44">
        <v>221.6</v>
      </c>
      <c r="EX44">
        <v>0</v>
      </c>
      <c r="EY44">
        <v>0</v>
      </c>
      <c r="FQ44">
        <v>0</v>
      </c>
      <c r="FR44">
        <f t="shared" si="52"/>
        <v>0</v>
      </c>
      <c r="FS44">
        <v>0</v>
      </c>
      <c r="FX44">
        <v>70</v>
      </c>
      <c r="FY44">
        <v>10</v>
      </c>
      <c r="GA44" t="s">
        <v>3</v>
      </c>
      <c r="GD44">
        <v>0</v>
      </c>
      <c r="GF44">
        <v>1840361055</v>
      </c>
      <c r="GG44">
        <v>2</v>
      </c>
      <c r="GH44">
        <v>1</v>
      </c>
      <c r="GI44">
        <v>-2</v>
      </c>
      <c r="GJ44">
        <v>0</v>
      </c>
      <c r="GK44">
        <f>ROUND(R44*(R12)/100,2)</f>
        <v>0</v>
      </c>
      <c r="GL44">
        <f t="shared" si="53"/>
        <v>0</v>
      </c>
      <c r="GM44">
        <f t="shared" si="54"/>
        <v>370.01</v>
      </c>
      <c r="GN44">
        <f t="shared" si="55"/>
        <v>0</v>
      </c>
      <c r="GO44">
        <f t="shared" si="56"/>
        <v>0</v>
      </c>
      <c r="GP44">
        <f t="shared" si="57"/>
        <v>370.01</v>
      </c>
      <c r="GR44">
        <v>0</v>
      </c>
      <c r="GS44">
        <v>3</v>
      </c>
      <c r="GT44">
        <v>0</v>
      </c>
      <c r="GU44" t="s">
        <v>3</v>
      </c>
      <c r="GV44">
        <f t="shared" si="58"/>
        <v>0</v>
      </c>
      <c r="GW44">
        <v>1</v>
      </c>
      <c r="GX44">
        <f t="shared" si="59"/>
        <v>0</v>
      </c>
      <c r="HA44">
        <v>0</v>
      </c>
      <c r="HB44">
        <v>0</v>
      </c>
      <c r="HC44">
        <f t="shared" si="60"/>
        <v>0</v>
      </c>
      <c r="IK44">
        <v>0</v>
      </c>
    </row>
    <row r="45" spans="1:245" x14ac:dyDescent="0.2">
      <c r="A45">
        <v>17</v>
      </c>
      <c r="B45">
        <v>1</v>
      </c>
      <c r="C45">
        <f>ROW(SmtRes!A30)</f>
        <v>30</v>
      </c>
      <c r="D45">
        <f>ROW(EtalonRes!A61)</f>
        <v>61</v>
      </c>
      <c r="E45" t="s">
        <v>70</v>
      </c>
      <c r="F45" t="s">
        <v>27</v>
      </c>
      <c r="G45" t="s">
        <v>28</v>
      </c>
      <c r="H45" t="s">
        <v>29</v>
      </c>
      <c r="I45">
        <f>ROUND(0.7*0.7*0.1,9)</f>
        <v>4.9000000000000002E-2</v>
      </c>
      <c r="J45">
        <v>0</v>
      </c>
      <c r="O45">
        <f t="shared" si="21"/>
        <v>50.58</v>
      </c>
      <c r="P45">
        <f t="shared" si="22"/>
        <v>32.1</v>
      </c>
      <c r="Q45">
        <f t="shared" si="23"/>
        <v>10.32</v>
      </c>
      <c r="R45">
        <f t="shared" si="24"/>
        <v>6.08</v>
      </c>
      <c r="S45">
        <f t="shared" si="25"/>
        <v>8.16</v>
      </c>
      <c r="T45">
        <f t="shared" si="26"/>
        <v>0</v>
      </c>
      <c r="U45">
        <f t="shared" si="27"/>
        <v>4.41E-2</v>
      </c>
      <c r="V45">
        <f t="shared" si="28"/>
        <v>0</v>
      </c>
      <c r="W45">
        <f t="shared" si="29"/>
        <v>0</v>
      </c>
      <c r="X45">
        <f t="shared" si="30"/>
        <v>5.71</v>
      </c>
      <c r="Y45">
        <f t="shared" si="31"/>
        <v>0.82</v>
      </c>
      <c r="AA45">
        <v>42278323</v>
      </c>
      <c r="AB45">
        <f t="shared" si="32"/>
        <v>1032.3499999999999</v>
      </c>
      <c r="AC45">
        <f t="shared" si="33"/>
        <v>655.15</v>
      </c>
      <c r="AD45">
        <f t="shared" si="34"/>
        <v>210.68</v>
      </c>
      <c r="AE45">
        <f t="shared" si="35"/>
        <v>124.16</v>
      </c>
      <c r="AF45">
        <f t="shared" si="36"/>
        <v>166.52</v>
      </c>
      <c r="AG45">
        <f t="shared" si="37"/>
        <v>0</v>
      </c>
      <c r="AH45">
        <f t="shared" si="38"/>
        <v>0.9</v>
      </c>
      <c r="AI45">
        <f t="shared" si="39"/>
        <v>0</v>
      </c>
      <c r="AJ45">
        <f t="shared" si="40"/>
        <v>0</v>
      </c>
      <c r="AK45">
        <v>1032.3499999999999</v>
      </c>
      <c r="AL45">
        <v>655.15</v>
      </c>
      <c r="AM45">
        <v>210.68</v>
      </c>
      <c r="AN45">
        <v>124.16</v>
      </c>
      <c r="AO45">
        <v>166.52</v>
      </c>
      <c r="AP45">
        <v>0</v>
      </c>
      <c r="AQ45">
        <v>0.9</v>
      </c>
      <c r="AR45">
        <v>0</v>
      </c>
      <c r="AS45">
        <v>0</v>
      </c>
      <c r="AT45">
        <v>70</v>
      </c>
      <c r="AU45">
        <v>10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30</v>
      </c>
      <c r="BM45">
        <v>0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70</v>
      </c>
      <c r="CA45">
        <v>10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1"/>
        <v>50.58</v>
      </c>
      <c r="CQ45">
        <f t="shared" si="42"/>
        <v>655.15</v>
      </c>
      <c r="CR45">
        <f t="shared" si="43"/>
        <v>210.68</v>
      </c>
      <c r="CS45">
        <f t="shared" si="44"/>
        <v>124.16</v>
      </c>
      <c r="CT45">
        <f t="shared" si="45"/>
        <v>166.52</v>
      </c>
      <c r="CU45">
        <f t="shared" si="46"/>
        <v>0</v>
      </c>
      <c r="CV45">
        <f t="shared" si="47"/>
        <v>0.9</v>
      </c>
      <c r="CW45">
        <f t="shared" si="48"/>
        <v>0</v>
      </c>
      <c r="CX45">
        <f t="shared" si="49"/>
        <v>0</v>
      </c>
      <c r="CY45">
        <f t="shared" si="50"/>
        <v>5.7120000000000006</v>
      </c>
      <c r="CZ45">
        <f t="shared" si="51"/>
        <v>0.81599999999999995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">
        <v>29</v>
      </c>
      <c r="DX45">
        <v>1</v>
      </c>
      <c r="EE45">
        <v>40658659</v>
      </c>
      <c r="EF45">
        <v>1</v>
      </c>
      <c r="EG45" t="s">
        <v>23</v>
      </c>
      <c r="EH45">
        <v>0</v>
      </c>
      <c r="EI45" t="s">
        <v>3</v>
      </c>
      <c r="EJ45">
        <v>4</v>
      </c>
      <c r="EK45">
        <v>0</v>
      </c>
      <c r="EL45" t="s">
        <v>24</v>
      </c>
      <c r="EM45" t="s">
        <v>25</v>
      </c>
      <c r="EO45" t="s">
        <v>3</v>
      </c>
      <c r="EQ45">
        <v>0</v>
      </c>
      <c r="ER45">
        <v>1032.3499999999999</v>
      </c>
      <c r="ES45">
        <v>655.15</v>
      </c>
      <c r="ET45">
        <v>210.68</v>
      </c>
      <c r="EU45">
        <v>124.16</v>
      </c>
      <c r="EV45">
        <v>166.52</v>
      </c>
      <c r="EW45">
        <v>0.9</v>
      </c>
      <c r="EX45">
        <v>0</v>
      </c>
      <c r="EY45">
        <v>0</v>
      </c>
      <c r="FQ45">
        <v>0</v>
      </c>
      <c r="FR45">
        <f t="shared" si="52"/>
        <v>0</v>
      </c>
      <c r="FS45">
        <v>0</v>
      </c>
      <c r="FX45">
        <v>70</v>
      </c>
      <c r="FY45">
        <v>10</v>
      </c>
      <c r="GA45" t="s">
        <v>3</v>
      </c>
      <c r="GD45">
        <v>0</v>
      </c>
      <c r="GF45">
        <v>-1061108837</v>
      </c>
      <c r="GG45">
        <v>2</v>
      </c>
      <c r="GH45">
        <v>1</v>
      </c>
      <c r="GI45">
        <v>-2</v>
      </c>
      <c r="GJ45">
        <v>0</v>
      </c>
      <c r="GK45">
        <f>ROUND(R45*(R12)/100,2)</f>
        <v>6.57</v>
      </c>
      <c r="GL45">
        <f t="shared" si="53"/>
        <v>0</v>
      </c>
      <c r="GM45">
        <f t="shared" si="54"/>
        <v>63.68</v>
      </c>
      <c r="GN45">
        <f t="shared" si="55"/>
        <v>0</v>
      </c>
      <c r="GO45">
        <f t="shared" si="56"/>
        <v>0</v>
      </c>
      <c r="GP45">
        <f t="shared" si="57"/>
        <v>63.68</v>
      </c>
      <c r="GR45">
        <v>0</v>
      </c>
      <c r="GS45">
        <v>3</v>
      </c>
      <c r="GT45">
        <v>0</v>
      </c>
      <c r="GU45" t="s">
        <v>3</v>
      </c>
      <c r="GV45">
        <f t="shared" si="58"/>
        <v>0</v>
      </c>
      <c r="GW45">
        <v>1</v>
      </c>
      <c r="GX45">
        <f t="shared" si="59"/>
        <v>0</v>
      </c>
      <c r="HA45">
        <v>0</v>
      </c>
      <c r="HB45">
        <v>0</v>
      </c>
      <c r="HC45">
        <f t="shared" si="60"/>
        <v>0</v>
      </c>
      <c r="IK45">
        <v>0</v>
      </c>
    </row>
    <row r="46" spans="1:245" x14ac:dyDescent="0.2">
      <c r="A46">
        <v>17</v>
      </c>
      <c r="B46">
        <v>1</v>
      </c>
      <c r="C46">
        <f>ROW(SmtRes!A36)</f>
        <v>36</v>
      </c>
      <c r="D46">
        <f>ROW(EtalonRes!A67)</f>
        <v>67</v>
      </c>
      <c r="E46" t="s">
        <v>71</v>
      </c>
      <c r="F46" t="s">
        <v>32</v>
      </c>
      <c r="G46" t="s">
        <v>33</v>
      </c>
      <c r="H46" t="s">
        <v>29</v>
      </c>
      <c r="I46">
        <f>ROUND(0.7*0.7*0.2,9)</f>
        <v>9.8000000000000004E-2</v>
      </c>
      <c r="J46">
        <v>0</v>
      </c>
      <c r="O46">
        <f t="shared" si="21"/>
        <v>202.23</v>
      </c>
      <c r="P46">
        <f t="shared" si="22"/>
        <v>162.41</v>
      </c>
      <c r="Q46">
        <f t="shared" si="23"/>
        <v>22.05</v>
      </c>
      <c r="R46">
        <f t="shared" si="24"/>
        <v>13.24</v>
      </c>
      <c r="S46">
        <f t="shared" si="25"/>
        <v>17.77</v>
      </c>
      <c r="T46">
        <f t="shared" si="26"/>
        <v>0</v>
      </c>
      <c r="U46">
        <f t="shared" si="27"/>
        <v>9.604E-2</v>
      </c>
      <c r="V46">
        <f t="shared" si="28"/>
        <v>0</v>
      </c>
      <c r="W46">
        <f t="shared" si="29"/>
        <v>0</v>
      </c>
      <c r="X46">
        <f t="shared" si="30"/>
        <v>12.44</v>
      </c>
      <c r="Y46">
        <f t="shared" si="31"/>
        <v>1.78</v>
      </c>
      <c r="AA46">
        <v>42278323</v>
      </c>
      <c r="AB46">
        <f t="shared" si="32"/>
        <v>2063.5700000000002</v>
      </c>
      <c r="AC46">
        <f t="shared" si="33"/>
        <v>1657.26</v>
      </c>
      <c r="AD46">
        <f t="shared" si="34"/>
        <v>224.99</v>
      </c>
      <c r="AE46">
        <f t="shared" si="35"/>
        <v>135.08000000000001</v>
      </c>
      <c r="AF46">
        <f t="shared" si="36"/>
        <v>181.32</v>
      </c>
      <c r="AG46">
        <f t="shared" si="37"/>
        <v>0</v>
      </c>
      <c r="AH46">
        <f t="shared" si="38"/>
        <v>0.98</v>
      </c>
      <c r="AI46">
        <f t="shared" si="39"/>
        <v>0</v>
      </c>
      <c r="AJ46">
        <f t="shared" si="40"/>
        <v>0</v>
      </c>
      <c r="AK46">
        <v>2063.5700000000002</v>
      </c>
      <c r="AL46">
        <v>1657.26</v>
      </c>
      <c r="AM46">
        <v>224.99</v>
      </c>
      <c r="AN46">
        <v>135.08000000000001</v>
      </c>
      <c r="AO46">
        <v>181.32</v>
      </c>
      <c r="AP46">
        <v>0</v>
      </c>
      <c r="AQ46">
        <v>0.98</v>
      </c>
      <c r="AR46">
        <v>0</v>
      </c>
      <c r="AS46">
        <v>0</v>
      </c>
      <c r="AT46">
        <v>70</v>
      </c>
      <c r="AU46">
        <v>10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D46" t="s">
        <v>3</v>
      </c>
      <c r="BE46" t="s">
        <v>3</v>
      </c>
      <c r="BF46" t="s">
        <v>3</v>
      </c>
      <c r="BG46" t="s">
        <v>3</v>
      </c>
      <c r="BH46">
        <v>0</v>
      </c>
      <c r="BI46">
        <v>4</v>
      </c>
      <c r="BJ46" t="s">
        <v>34</v>
      </c>
      <c r="BM46">
        <v>0</v>
      </c>
      <c r="BN46">
        <v>0</v>
      </c>
      <c r="BO46" t="s">
        <v>3</v>
      </c>
      <c r="BP46">
        <v>0</v>
      </c>
      <c r="BQ46">
        <v>1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70</v>
      </c>
      <c r="CA46">
        <v>10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41"/>
        <v>202.23000000000002</v>
      </c>
      <c r="CQ46">
        <f t="shared" si="42"/>
        <v>1657.26</v>
      </c>
      <c r="CR46">
        <f t="shared" si="43"/>
        <v>224.99</v>
      </c>
      <c r="CS46">
        <f t="shared" si="44"/>
        <v>135.08000000000001</v>
      </c>
      <c r="CT46">
        <f t="shared" si="45"/>
        <v>181.32</v>
      </c>
      <c r="CU46">
        <f t="shared" si="46"/>
        <v>0</v>
      </c>
      <c r="CV46">
        <f t="shared" si="47"/>
        <v>0.98</v>
      </c>
      <c r="CW46">
        <f t="shared" si="48"/>
        <v>0</v>
      </c>
      <c r="CX46">
        <f t="shared" si="49"/>
        <v>0</v>
      </c>
      <c r="CY46">
        <f t="shared" si="50"/>
        <v>12.438999999999998</v>
      </c>
      <c r="CZ46">
        <f t="shared" si="51"/>
        <v>1.7769999999999999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1007</v>
      </c>
      <c r="DV46" t="s">
        <v>29</v>
      </c>
      <c r="DW46" t="s">
        <v>29</v>
      </c>
      <c r="DX46">
        <v>1</v>
      </c>
      <c r="EE46">
        <v>40658659</v>
      </c>
      <c r="EF46">
        <v>1</v>
      </c>
      <c r="EG46" t="s">
        <v>23</v>
      </c>
      <c r="EH46">
        <v>0</v>
      </c>
      <c r="EI46" t="s">
        <v>3</v>
      </c>
      <c r="EJ46">
        <v>4</v>
      </c>
      <c r="EK46">
        <v>0</v>
      </c>
      <c r="EL46" t="s">
        <v>24</v>
      </c>
      <c r="EM46" t="s">
        <v>25</v>
      </c>
      <c r="EO46" t="s">
        <v>3</v>
      </c>
      <c r="EQ46">
        <v>0</v>
      </c>
      <c r="ER46">
        <v>2063.5700000000002</v>
      </c>
      <c r="ES46">
        <v>1657.26</v>
      </c>
      <c r="ET46">
        <v>224.99</v>
      </c>
      <c r="EU46">
        <v>135.08000000000001</v>
      </c>
      <c r="EV46">
        <v>181.32</v>
      </c>
      <c r="EW46">
        <v>0.98</v>
      </c>
      <c r="EX46">
        <v>0</v>
      </c>
      <c r="EY46">
        <v>0</v>
      </c>
      <c r="FQ46">
        <v>0</v>
      </c>
      <c r="FR46">
        <f t="shared" si="52"/>
        <v>0</v>
      </c>
      <c r="FS46">
        <v>0</v>
      </c>
      <c r="FX46">
        <v>70</v>
      </c>
      <c r="FY46">
        <v>10</v>
      </c>
      <c r="GA46" t="s">
        <v>3</v>
      </c>
      <c r="GD46">
        <v>0</v>
      </c>
      <c r="GF46">
        <v>276142894</v>
      </c>
      <c r="GG46">
        <v>2</v>
      </c>
      <c r="GH46">
        <v>1</v>
      </c>
      <c r="GI46">
        <v>-2</v>
      </c>
      <c r="GJ46">
        <v>0</v>
      </c>
      <c r="GK46">
        <f>ROUND(R46*(R12)/100,2)</f>
        <v>14.3</v>
      </c>
      <c r="GL46">
        <f t="shared" si="53"/>
        <v>0</v>
      </c>
      <c r="GM46">
        <f t="shared" si="54"/>
        <v>230.75</v>
      </c>
      <c r="GN46">
        <f t="shared" si="55"/>
        <v>0</v>
      </c>
      <c r="GO46">
        <f t="shared" si="56"/>
        <v>0</v>
      </c>
      <c r="GP46">
        <f t="shared" si="57"/>
        <v>230.75</v>
      </c>
      <c r="GR46">
        <v>0</v>
      </c>
      <c r="GS46">
        <v>3</v>
      </c>
      <c r="GT46">
        <v>0</v>
      </c>
      <c r="GU46" t="s">
        <v>3</v>
      </c>
      <c r="GV46">
        <f t="shared" si="58"/>
        <v>0</v>
      </c>
      <c r="GW46">
        <v>1</v>
      </c>
      <c r="GX46">
        <f t="shared" si="59"/>
        <v>0</v>
      </c>
      <c r="HA46">
        <v>0</v>
      </c>
      <c r="HB46">
        <v>0</v>
      </c>
      <c r="HC46">
        <f t="shared" si="60"/>
        <v>0</v>
      </c>
      <c r="IK46">
        <v>0</v>
      </c>
    </row>
    <row r="47" spans="1:245" x14ac:dyDescent="0.2">
      <c r="A47">
        <v>17</v>
      </c>
      <c r="B47">
        <v>1</v>
      </c>
      <c r="D47">
        <f>ROW(EtalonRes!A79)</f>
        <v>79</v>
      </c>
      <c r="E47" t="s">
        <v>72</v>
      </c>
      <c r="F47" t="s">
        <v>36</v>
      </c>
      <c r="G47" t="s">
        <v>37</v>
      </c>
      <c r="H47" t="s">
        <v>21</v>
      </c>
      <c r="I47">
        <f>ROUND((0.7*0.7*0.7*1)/100,9)</f>
        <v>3.4299999999999999E-3</v>
      </c>
      <c r="J47">
        <v>0</v>
      </c>
      <c r="O47">
        <f t="shared" si="21"/>
        <v>1638.15</v>
      </c>
      <c r="P47">
        <f t="shared" si="22"/>
        <v>1245.53</v>
      </c>
      <c r="Q47">
        <f t="shared" si="23"/>
        <v>1.88</v>
      </c>
      <c r="R47">
        <f t="shared" si="24"/>
        <v>0.71</v>
      </c>
      <c r="S47">
        <f t="shared" si="25"/>
        <v>390.74</v>
      </c>
      <c r="T47">
        <f t="shared" si="26"/>
        <v>0</v>
      </c>
      <c r="U47">
        <f t="shared" si="27"/>
        <v>1.9328049999999999</v>
      </c>
      <c r="V47">
        <f t="shared" si="28"/>
        <v>0</v>
      </c>
      <c r="W47">
        <f t="shared" si="29"/>
        <v>0</v>
      </c>
      <c r="X47">
        <f t="shared" si="30"/>
        <v>273.52</v>
      </c>
      <c r="Y47">
        <f t="shared" si="31"/>
        <v>39.07</v>
      </c>
      <c r="AA47">
        <v>42278323</v>
      </c>
      <c r="AB47">
        <f t="shared" si="32"/>
        <v>477593.84</v>
      </c>
      <c r="AC47">
        <f t="shared" si="33"/>
        <v>363129.4</v>
      </c>
      <c r="AD47">
        <f t="shared" si="34"/>
        <v>547.28</v>
      </c>
      <c r="AE47">
        <f t="shared" si="35"/>
        <v>206.05</v>
      </c>
      <c r="AF47">
        <f t="shared" si="36"/>
        <v>113917.16</v>
      </c>
      <c r="AG47">
        <f t="shared" si="37"/>
        <v>0</v>
      </c>
      <c r="AH47">
        <f t="shared" si="38"/>
        <v>563.5</v>
      </c>
      <c r="AI47">
        <f t="shared" si="39"/>
        <v>0</v>
      </c>
      <c r="AJ47">
        <f t="shared" si="40"/>
        <v>0</v>
      </c>
      <c r="AK47">
        <v>477593.84</v>
      </c>
      <c r="AL47">
        <v>363129.4</v>
      </c>
      <c r="AM47">
        <v>547.28</v>
      </c>
      <c r="AN47">
        <v>206.05</v>
      </c>
      <c r="AO47">
        <v>113917.16</v>
      </c>
      <c r="AP47">
        <v>0</v>
      </c>
      <c r="AQ47">
        <v>563.5</v>
      </c>
      <c r="AR47">
        <v>0</v>
      </c>
      <c r="AS47">
        <v>0</v>
      </c>
      <c r="AT47">
        <v>70</v>
      </c>
      <c r="AU47">
        <v>10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4</v>
      </c>
      <c r="BJ47" t="s">
        <v>38</v>
      </c>
      <c r="BM47">
        <v>0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70</v>
      </c>
      <c r="CA47">
        <v>10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1"/>
        <v>1638.15</v>
      </c>
      <c r="CQ47">
        <f t="shared" si="42"/>
        <v>363129.4</v>
      </c>
      <c r="CR47">
        <f t="shared" si="43"/>
        <v>547.28</v>
      </c>
      <c r="CS47">
        <f t="shared" si="44"/>
        <v>206.05</v>
      </c>
      <c r="CT47">
        <f t="shared" si="45"/>
        <v>113917.16</v>
      </c>
      <c r="CU47">
        <f t="shared" si="46"/>
        <v>0</v>
      </c>
      <c r="CV47">
        <f t="shared" si="47"/>
        <v>563.5</v>
      </c>
      <c r="CW47">
        <f t="shared" si="48"/>
        <v>0</v>
      </c>
      <c r="CX47">
        <f t="shared" si="49"/>
        <v>0</v>
      </c>
      <c r="CY47">
        <f t="shared" si="50"/>
        <v>273.51799999999997</v>
      </c>
      <c r="CZ47">
        <f t="shared" si="51"/>
        <v>39.073999999999998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21</v>
      </c>
      <c r="DW47" t="s">
        <v>21</v>
      </c>
      <c r="DX47">
        <v>100</v>
      </c>
      <c r="EE47">
        <v>40658659</v>
      </c>
      <c r="EF47">
        <v>1</v>
      </c>
      <c r="EG47" t="s">
        <v>23</v>
      </c>
      <c r="EH47">
        <v>0</v>
      </c>
      <c r="EI47" t="s">
        <v>3</v>
      </c>
      <c r="EJ47">
        <v>4</v>
      </c>
      <c r="EK47">
        <v>0</v>
      </c>
      <c r="EL47" t="s">
        <v>24</v>
      </c>
      <c r="EM47" t="s">
        <v>25</v>
      </c>
      <c r="EO47" t="s">
        <v>3</v>
      </c>
      <c r="EQ47">
        <v>0</v>
      </c>
      <c r="ER47">
        <v>477593.84</v>
      </c>
      <c r="ES47">
        <v>363129.4</v>
      </c>
      <c r="ET47">
        <v>547.28</v>
      </c>
      <c r="EU47">
        <v>206.05</v>
      </c>
      <c r="EV47">
        <v>113917.16</v>
      </c>
      <c r="EW47">
        <v>563.5</v>
      </c>
      <c r="EX47">
        <v>0</v>
      </c>
      <c r="EY47">
        <v>0</v>
      </c>
      <c r="FQ47">
        <v>0</v>
      </c>
      <c r="FR47">
        <f t="shared" si="52"/>
        <v>0</v>
      </c>
      <c r="FS47">
        <v>0</v>
      </c>
      <c r="FX47">
        <v>70</v>
      </c>
      <c r="FY47">
        <v>10</v>
      </c>
      <c r="GA47" t="s">
        <v>3</v>
      </c>
      <c r="GD47">
        <v>0</v>
      </c>
      <c r="GF47">
        <v>2142801283</v>
      </c>
      <c r="GG47">
        <v>2</v>
      </c>
      <c r="GH47">
        <v>1</v>
      </c>
      <c r="GI47">
        <v>-2</v>
      </c>
      <c r="GJ47">
        <v>0</v>
      </c>
      <c r="GK47">
        <f>ROUND(R47*(R12)/100,2)</f>
        <v>0.77</v>
      </c>
      <c r="GL47">
        <f t="shared" si="53"/>
        <v>0</v>
      </c>
      <c r="GM47">
        <f t="shared" si="54"/>
        <v>1951.51</v>
      </c>
      <c r="GN47">
        <f t="shared" si="55"/>
        <v>0</v>
      </c>
      <c r="GO47">
        <f t="shared" si="56"/>
        <v>0</v>
      </c>
      <c r="GP47">
        <f t="shared" si="57"/>
        <v>1951.51</v>
      </c>
      <c r="GR47">
        <v>0</v>
      </c>
      <c r="GS47">
        <v>3</v>
      </c>
      <c r="GT47">
        <v>0</v>
      </c>
      <c r="GU47" t="s">
        <v>3</v>
      </c>
      <c r="GV47">
        <f t="shared" si="58"/>
        <v>0</v>
      </c>
      <c r="GW47">
        <v>1</v>
      </c>
      <c r="GX47">
        <f t="shared" si="59"/>
        <v>0</v>
      </c>
      <c r="HA47">
        <v>0</v>
      </c>
      <c r="HB47">
        <v>0</v>
      </c>
      <c r="HC47">
        <f t="shared" si="60"/>
        <v>0</v>
      </c>
      <c r="IK47">
        <v>0</v>
      </c>
    </row>
    <row r="48" spans="1:245" x14ac:dyDescent="0.2">
      <c r="A48">
        <v>17</v>
      </c>
      <c r="B48">
        <v>1</v>
      </c>
      <c r="C48">
        <f>ROW(SmtRes!A38)</f>
        <v>38</v>
      </c>
      <c r="D48">
        <f>ROW(EtalonRes!A81)</f>
        <v>81</v>
      </c>
      <c r="E48" t="s">
        <v>73</v>
      </c>
      <c r="F48" t="s">
        <v>40</v>
      </c>
      <c r="G48" t="s">
        <v>41</v>
      </c>
      <c r="H48" t="s">
        <v>42</v>
      </c>
      <c r="I48">
        <v>8.5000000000000006E-2</v>
      </c>
      <c r="J48">
        <v>0</v>
      </c>
      <c r="O48">
        <f t="shared" si="21"/>
        <v>8864.7099999999991</v>
      </c>
      <c r="P48">
        <f t="shared" si="22"/>
        <v>4524.8500000000004</v>
      </c>
      <c r="Q48">
        <f t="shared" si="23"/>
        <v>0</v>
      </c>
      <c r="R48">
        <f t="shared" si="24"/>
        <v>0</v>
      </c>
      <c r="S48">
        <f t="shared" si="25"/>
        <v>4339.8599999999997</v>
      </c>
      <c r="T48">
        <f t="shared" si="26"/>
        <v>0</v>
      </c>
      <c r="U48">
        <f t="shared" si="27"/>
        <v>19.354500000000002</v>
      </c>
      <c r="V48">
        <f t="shared" si="28"/>
        <v>0</v>
      </c>
      <c r="W48">
        <f t="shared" si="29"/>
        <v>0</v>
      </c>
      <c r="X48">
        <f t="shared" si="30"/>
        <v>3037.9</v>
      </c>
      <c r="Y48">
        <f t="shared" si="31"/>
        <v>433.99</v>
      </c>
      <c r="AA48">
        <v>42278323</v>
      </c>
      <c r="AB48">
        <f t="shared" si="32"/>
        <v>104290.69</v>
      </c>
      <c r="AC48">
        <f t="shared" si="33"/>
        <v>53233.52</v>
      </c>
      <c r="AD48">
        <f t="shared" si="34"/>
        <v>0</v>
      </c>
      <c r="AE48">
        <f t="shared" si="35"/>
        <v>0</v>
      </c>
      <c r="AF48">
        <f t="shared" si="36"/>
        <v>51057.17</v>
      </c>
      <c r="AG48">
        <f t="shared" si="37"/>
        <v>0</v>
      </c>
      <c r="AH48">
        <f t="shared" si="38"/>
        <v>227.7</v>
      </c>
      <c r="AI48">
        <f t="shared" si="39"/>
        <v>0</v>
      </c>
      <c r="AJ48">
        <f t="shared" si="40"/>
        <v>0</v>
      </c>
      <c r="AK48">
        <v>104290.69</v>
      </c>
      <c r="AL48">
        <v>53233.52</v>
      </c>
      <c r="AM48">
        <v>0</v>
      </c>
      <c r="AN48">
        <v>0</v>
      </c>
      <c r="AO48">
        <v>51057.17</v>
      </c>
      <c r="AP48">
        <v>0</v>
      </c>
      <c r="AQ48">
        <v>227.7</v>
      </c>
      <c r="AR48">
        <v>0</v>
      </c>
      <c r="AS48">
        <v>0</v>
      </c>
      <c r="AT48">
        <v>70</v>
      </c>
      <c r="AU48">
        <v>10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4</v>
      </c>
      <c r="BJ48" t="s">
        <v>43</v>
      </c>
      <c r="BM48">
        <v>0</v>
      </c>
      <c r="BN48">
        <v>0</v>
      </c>
      <c r="BO48" t="s">
        <v>3</v>
      </c>
      <c r="BP48">
        <v>0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70</v>
      </c>
      <c r="CA48">
        <v>10</v>
      </c>
      <c r="CE48">
        <v>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41"/>
        <v>8864.7099999999991</v>
      </c>
      <c r="CQ48">
        <f t="shared" si="42"/>
        <v>53233.52</v>
      </c>
      <c r="CR48">
        <f t="shared" si="43"/>
        <v>0</v>
      </c>
      <c r="CS48">
        <f t="shared" si="44"/>
        <v>0</v>
      </c>
      <c r="CT48">
        <f t="shared" si="45"/>
        <v>51057.17</v>
      </c>
      <c r="CU48">
        <f t="shared" si="46"/>
        <v>0</v>
      </c>
      <c r="CV48">
        <f t="shared" si="47"/>
        <v>227.7</v>
      </c>
      <c r="CW48">
        <f t="shared" si="48"/>
        <v>0</v>
      </c>
      <c r="CX48">
        <f t="shared" si="49"/>
        <v>0</v>
      </c>
      <c r="CY48">
        <f t="shared" si="50"/>
        <v>3037.9019999999996</v>
      </c>
      <c r="CZ48">
        <f t="shared" si="51"/>
        <v>433.98599999999999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1009</v>
      </c>
      <c r="DV48" t="s">
        <v>42</v>
      </c>
      <c r="DW48" t="s">
        <v>42</v>
      </c>
      <c r="DX48">
        <v>1000</v>
      </c>
      <c r="EE48">
        <v>40658659</v>
      </c>
      <c r="EF48">
        <v>1</v>
      </c>
      <c r="EG48" t="s">
        <v>23</v>
      </c>
      <c r="EH48">
        <v>0</v>
      </c>
      <c r="EI48" t="s">
        <v>3</v>
      </c>
      <c r="EJ48">
        <v>4</v>
      </c>
      <c r="EK48">
        <v>0</v>
      </c>
      <c r="EL48" t="s">
        <v>24</v>
      </c>
      <c r="EM48" t="s">
        <v>25</v>
      </c>
      <c r="EO48" t="s">
        <v>3</v>
      </c>
      <c r="EQ48">
        <v>0</v>
      </c>
      <c r="ER48">
        <v>104290.69</v>
      </c>
      <c r="ES48">
        <v>53233.52</v>
      </c>
      <c r="ET48">
        <v>0</v>
      </c>
      <c r="EU48">
        <v>0</v>
      </c>
      <c r="EV48">
        <v>51057.17</v>
      </c>
      <c r="EW48">
        <v>227.7</v>
      </c>
      <c r="EX48">
        <v>0</v>
      </c>
      <c r="EY48">
        <v>0</v>
      </c>
      <c r="FQ48">
        <v>0</v>
      </c>
      <c r="FR48">
        <f t="shared" si="52"/>
        <v>0</v>
      </c>
      <c r="FS48">
        <v>0</v>
      </c>
      <c r="FX48">
        <v>70</v>
      </c>
      <c r="FY48">
        <v>10</v>
      </c>
      <c r="GA48" t="s">
        <v>3</v>
      </c>
      <c r="GD48">
        <v>0</v>
      </c>
      <c r="GF48">
        <v>-423032956</v>
      </c>
      <c r="GG48">
        <v>2</v>
      </c>
      <c r="GH48">
        <v>1</v>
      </c>
      <c r="GI48">
        <v>-2</v>
      </c>
      <c r="GJ48">
        <v>0</v>
      </c>
      <c r="GK48">
        <f>ROUND(R48*(R12)/100,2)</f>
        <v>0</v>
      </c>
      <c r="GL48">
        <f t="shared" si="53"/>
        <v>0</v>
      </c>
      <c r="GM48">
        <f t="shared" si="54"/>
        <v>12336.6</v>
      </c>
      <c r="GN48">
        <f t="shared" si="55"/>
        <v>0</v>
      </c>
      <c r="GO48">
        <f t="shared" si="56"/>
        <v>0</v>
      </c>
      <c r="GP48">
        <f t="shared" si="57"/>
        <v>12336.6</v>
      </c>
      <c r="GR48">
        <v>0</v>
      </c>
      <c r="GS48">
        <v>3</v>
      </c>
      <c r="GT48">
        <v>0</v>
      </c>
      <c r="GU48" t="s">
        <v>3</v>
      </c>
      <c r="GV48">
        <f t="shared" si="58"/>
        <v>0</v>
      </c>
      <c r="GW48">
        <v>1</v>
      </c>
      <c r="GX48">
        <f t="shared" si="59"/>
        <v>0</v>
      </c>
      <c r="HA48">
        <v>0</v>
      </c>
      <c r="HB48">
        <v>0</v>
      </c>
      <c r="HC48">
        <f t="shared" si="60"/>
        <v>0</v>
      </c>
      <c r="IK48">
        <v>0</v>
      </c>
    </row>
    <row r="49" spans="1:245" x14ac:dyDescent="0.2">
      <c r="A49">
        <v>18</v>
      </c>
      <c r="B49">
        <v>1</v>
      </c>
      <c r="C49">
        <v>38</v>
      </c>
      <c r="E49" t="s">
        <v>74</v>
      </c>
      <c r="F49" t="s">
        <v>45</v>
      </c>
      <c r="G49" t="s">
        <v>46</v>
      </c>
      <c r="H49" t="s">
        <v>47</v>
      </c>
      <c r="I49">
        <f>I48*J49</f>
        <v>1</v>
      </c>
      <c r="J49">
        <v>11.76470588235294</v>
      </c>
      <c r="O49">
        <f t="shared" si="21"/>
        <v>210</v>
      </c>
      <c r="P49">
        <f t="shared" si="22"/>
        <v>210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42278323</v>
      </c>
      <c r="AB49">
        <f t="shared" si="32"/>
        <v>210</v>
      </c>
      <c r="AC49">
        <f t="shared" si="33"/>
        <v>210</v>
      </c>
      <c r="AD49">
        <f t="shared" si="34"/>
        <v>0</v>
      </c>
      <c r="AE49">
        <f t="shared" si="35"/>
        <v>0</v>
      </c>
      <c r="AF49">
        <f t="shared" si="36"/>
        <v>0</v>
      </c>
      <c r="AG49">
        <f t="shared" si="37"/>
        <v>0</v>
      </c>
      <c r="AH49">
        <f t="shared" si="38"/>
        <v>0</v>
      </c>
      <c r="AI49">
        <f t="shared" si="39"/>
        <v>0</v>
      </c>
      <c r="AJ49">
        <f t="shared" si="40"/>
        <v>0</v>
      </c>
      <c r="AK49">
        <v>210</v>
      </c>
      <c r="AL49">
        <v>210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70</v>
      </c>
      <c r="AU49">
        <v>10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4</v>
      </c>
      <c r="BJ49" t="s">
        <v>48</v>
      </c>
      <c r="BM49">
        <v>0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70</v>
      </c>
      <c r="CA49">
        <v>10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41"/>
        <v>210</v>
      </c>
      <c r="CQ49">
        <f t="shared" si="42"/>
        <v>210</v>
      </c>
      <c r="CR49">
        <f t="shared" si="43"/>
        <v>0</v>
      </c>
      <c r="CS49">
        <f t="shared" si="44"/>
        <v>0</v>
      </c>
      <c r="CT49">
        <f t="shared" si="45"/>
        <v>0</v>
      </c>
      <c r="CU49">
        <f t="shared" si="46"/>
        <v>0</v>
      </c>
      <c r="CV49">
        <f t="shared" si="47"/>
        <v>0</v>
      </c>
      <c r="CW49">
        <f t="shared" si="48"/>
        <v>0</v>
      </c>
      <c r="CX49">
        <f t="shared" si="49"/>
        <v>0</v>
      </c>
      <c r="CY49">
        <f t="shared" si="50"/>
        <v>0</v>
      </c>
      <c r="CZ49">
        <f t="shared" si="51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47</v>
      </c>
      <c r="DW49" t="s">
        <v>47</v>
      </c>
      <c r="DX49">
        <v>1</v>
      </c>
      <c r="EE49">
        <v>40658659</v>
      </c>
      <c r="EF49">
        <v>1</v>
      </c>
      <c r="EG49" t="s">
        <v>23</v>
      </c>
      <c r="EH49">
        <v>0</v>
      </c>
      <c r="EI49" t="s">
        <v>3</v>
      </c>
      <c r="EJ49">
        <v>4</v>
      </c>
      <c r="EK49">
        <v>0</v>
      </c>
      <c r="EL49" t="s">
        <v>24</v>
      </c>
      <c r="EM49" t="s">
        <v>25</v>
      </c>
      <c r="EO49" t="s">
        <v>3</v>
      </c>
      <c r="EQ49">
        <v>0</v>
      </c>
      <c r="ER49">
        <v>210</v>
      </c>
      <c r="ES49">
        <v>210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52"/>
        <v>0</v>
      </c>
      <c r="FS49">
        <v>0</v>
      </c>
      <c r="FX49">
        <v>70</v>
      </c>
      <c r="FY49">
        <v>10</v>
      </c>
      <c r="GA49" t="s">
        <v>3</v>
      </c>
      <c r="GD49">
        <v>0</v>
      </c>
      <c r="GF49">
        <v>462942439</v>
      </c>
      <c r="GG49">
        <v>2</v>
      </c>
      <c r="GH49">
        <v>1</v>
      </c>
      <c r="GI49">
        <v>-2</v>
      </c>
      <c r="GJ49">
        <v>0</v>
      </c>
      <c r="GK49">
        <f>ROUND(R49*(R12)/100,2)</f>
        <v>0</v>
      </c>
      <c r="GL49">
        <f t="shared" si="53"/>
        <v>0</v>
      </c>
      <c r="GM49">
        <f t="shared" si="54"/>
        <v>210</v>
      </c>
      <c r="GN49">
        <f t="shared" si="55"/>
        <v>0</v>
      </c>
      <c r="GO49">
        <f t="shared" si="56"/>
        <v>0</v>
      </c>
      <c r="GP49">
        <f t="shared" si="57"/>
        <v>210</v>
      </c>
      <c r="GR49">
        <v>0</v>
      </c>
      <c r="GS49">
        <v>3</v>
      </c>
      <c r="GT49">
        <v>0</v>
      </c>
      <c r="GU49" t="s">
        <v>3</v>
      </c>
      <c r="GV49">
        <f t="shared" si="58"/>
        <v>0</v>
      </c>
      <c r="GW49">
        <v>1</v>
      </c>
      <c r="GX49">
        <f t="shared" si="59"/>
        <v>0</v>
      </c>
      <c r="HA49">
        <v>0</v>
      </c>
      <c r="HB49">
        <v>0</v>
      </c>
      <c r="HC49">
        <f t="shared" si="60"/>
        <v>0</v>
      </c>
      <c r="IK49">
        <v>0</v>
      </c>
    </row>
    <row r="50" spans="1:245" x14ac:dyDescent="0.2">
      <c r="A50">
        <v>18</v>
      </c>
      <c r="B50">
        <v>1</v>
      </c>
      <c r="C50">
        <v>37</v>
      </c>
      <c r="E50" t="s">
        <v>75</v>
      </c>
      <c r="F50" t="s">
        <v>50</v>
      </c>
      <c r="G50" t="s">
        <v>51</v>
      </c>
      <c r="H50" t="s">
        <v>42</v>
      </c>
      <c r="I50">
        <f>I48*J50</f>
        <v>-8.5000000000000006E-2</v>
      </c>
      <c r="J50">
        <v>-1</v>
      </c>
      <c r="O50">
        <f t="shared" si="21"/>
        <v>-4524.8500000000004</v>
      </c>
      <c r="P50">
        <f t="shared" si="22"/>
        <v>-4524.8500000000004</v>
      </c>
      <c r="Q50">
        <f t="shared" si="23"/>
        <v>0</v>
      </c>
      <c r="R50">
        <f t="shared" si="24"/>
        <v>0</v>
      </c>
      <c r="S50">
        <f t="shared" si="25"/>
        <v>0</v>
      </c>
      <c r="T50">
        <f t="shared" si="26"/>
        <v>0</v>
      </c>
      <c r="U50">
        <f t="shared" si="27"/>
        <v>0</v>
      </c>
      <c r="V50">
        <f t="shared" si="28"/>
        <v>0</v>
      </c>
      <c r="W50">
        <f t="shared" si="29"/>
        <v>0</v>
      </c>
      <c r="X50">
        <f t="shared" si="30"/>
        <v>0</v>
      </c>
      <c r="Y50">
        <f t="shared" si="31"/>
        <v>0</v>
      </c>
      <c r="AA50">
        <v>42278323</v>
      </c>
      <c r="AB50">
        <f t="shared" si="32"/>
        <v>53233.52</v>
      </c>
      <c r="AC50">
        <f t="shared" si="33"/>
        <v>53233.52</v>
      </c>
      <c r="AD50">
        <f t="shared" si="34"/>
        <v>0</v>
      </c>
      <c r="AE50">
        <f t="shared" si="35"/>
        <v>0</v>
      </c>
      <c r="AF50">
        <f t="shared" si="36"/>
        <v>0</v>
      </c>
      <c r="AG50">
        <f t="shared" si="37"/>
        <v>0</v>
      </c>
      <c r="AH50">
        <f t="shared" si="38"/>
        <v>0</v>
      </c>
      <c r="AI50">
        <f t="shared" si="39"/>
        <v>0</v>
      </c>
      <c r="AJ50">
        <f t="shared" si="40"/>
        <v>0</v>
      </c>
      <c r="AK50">
        <v>53233.52</v>
      </c>
      <c r="AL50">
        <v>53233.52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70</v>
      </c>
      <c r="AU50">
        <v>10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4</v>
      </c>
      <c r="BJ50" t="s">
        <v>52</v>
      </c>
      <c r="BM50">
        <v>0</v>
      </c>
      <c r="BN50">
        <v>0</v>
      </c>
      <c r="BO50" t="s">
        <v>3</v>
      </c>
      <c r="BP50">
        <v>0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70</v>
      </c>
      <c r="CA50">
        <v>10</v>
      </c>
      <c r="CE50">
        <v>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41"/>
        <v>-4524.8500000000004</v>
      </c>
      <c r="CQ50">
        <f t="shared" si="42"/>
        <v>53233.52</v>
      </c>
      <c r="CR50">
        <f t="shared" si="43"/>
        <v>0</v>
      </c>
      <c r="CS50">
        <f t="shared" si="44"/>
        <v>0</v>
      </c>
      <c r="CT50">
        <f t="shared" si="45"/>
        <v>0</v>
      </c>
      <c r="CU50">
        <f t="shared" si="46"/>
        <v>0</v>
      </c>
      <c r="CV50">
        <f t="shared" si="47"/>
        <v>0</v>
      </c>
      <c r="CW50">
        <f t="shared" si="48"/>
        <v>0</v>
      </c>
      <c r="CX50">
        <f t="shared" si="49"/>
        <v>0</v>
      </c>
      <c r="CY50">
        <f t="shared" si="50"/>
        <v>0</v>
      </c>
      <c r="CZ50">
        <f t="shared" si="51"/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42</v>
      </c>
      <c r="DW50" t="s">
        <v>42</v>
      </c>
      <c r="DX50">
        <v>1000</v>
      </c>
      <c r="EE50">
        <v>40658659</v>
      </c>
      <c r="EF50">
        <v>1</v>
      </c>
      <c r="EG50" t="s">
        <v>23</v>
      </c>
      <c r="EH50">
        <v>0</v>
      </c>
      <c r="EI50" t="s">
        <v>3</v>
      </c>
      <c r="EJ50">
        <v>4</v>
      </c>
      <c r="EK50">
        <v>0</v>
      </c>
      <c r="EL50" t="s">
        <v>24</v>
      </c>
      <c r="EM50" t="s">
        <v>25</v>
      </c>
      <c r="EO50" t="s">
        <v>3</v>
      </c>
      <c r="EQ50">
        <v>32768</v>
      </c>
      <c r="ER50">
        <v>53233.52</v>
      </c>
      <c r="ES50">
        <v>53233.52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52"/>
        <v>0</v>
      </c>
      <c r="FS50">
        <v>0</v>
      </c>
      <c r="FX50">
        <v>70</v>
      </c>
      <c r="FY50">
        <v>10</v>
      </c>
      <c r="GA50" t="s">
        <v>3</v>
      </c>
      <c r="GD50">
        <v>0</v>
      </c>
      <c r="GF50">
        <v>588667335</v>
      </c>
      <c r="GG50">
        <v>2</v>
      </c>
      <c r="GH50">
        <v>1</v>
      </c>
      <c r="GI50">
        <v>-2</v>
      </c>
      <c r="GJ50">
        <v>0</v>
      </c>
      <c r="GK50">
        <f>ROUND(R50*(R12)/100,2)</f>
        <v>0</v>
      </c>
      <c r="GL50">
        <f t="shared" si="53"/>
        <v>0</v>
      </c>
      <c r="GM50">
        <f t="shared" si="54"/>
        <v>-4524.8500000000004</v>
      </c>
      <c r="GN50">
        <f t="shared" si="55"/>
        <v>0</v>
      </c>
      <c r="GO50">
        <f t="shared" si="56"/>
        <v>0</v>
      </c>
      <c r="GP50">
        <f t="shared" si="57"/>
        <v>-4524.8500000000004</v>
      </c>
      <c r="GR50">
        <v>0</v>
      </c>
      <c r="GS50">
        <v>3</v>
      </c>
      <c r="GT50">
        <v>0</v>
      </c>
      <c r="GU50" t="s">
        <v>3</v>
      </c>
      <c r="GV50">
        <f t="shared" si="58"/>
        <v>0</v>
      </c>
      <c r="GW50">
        <v>1</v>
      </c>
      <c r="GX50">
        <f t="shared" si="59"/>
        <v>0</v>
      </c>
      <c r="HA50">
        <v>0</v>
      </c>
      <c r="HB50">
        <v>0</v>
      </c>
      <c r="HC50">
        <f t="shared" si="60"/>
        <v>0</v>
      </c>
      <c r="IK50">
        <v>0</v>
      </c>
    </row>
    <row r="51" spans="1:245" x14ac:dyDescent="0.2">
      <c r="A51">
        <v>17</v>
      </c>
      <c r="B51">
        <v>1</v>
      </c>
      <c r="E51" t="s">
        <v>76</v>
      </c>
      <c r="F51" t="s">
        <v>54</v>
      </c>
      <c r="G51" t="s">
        <v>77</v>
      </c>
      <c r="H51" t="s">
        <v>47</v>
      </c>
      <c r="I51">
        <v>1</v>
      </c>
      <c r="J51">
        <v>0</v>
      </c>
      <c r="O51">
        <f t="shared" si="21"/>
        <v>68889.62</v>
      </c>
      <c r="P51">
        <f t="shared" si="22"/>
        <v>68889.62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42278323</v>
      </c>
      <c r="AB51">
        <f t="shared" si="32"/>
        <v>68889.62</v>
      </c>
      <c r="AC51">
        <f t="shared" si="33"/>
        <v>68889.62</v>
      </c>
      <c r="AD51">
        <f t="shared" si="34"/>
        <v>0</v>
      </c>
      <c r="AE51">
        <f t="shared" si="35"/>
        <v>0</v>
      </c>
      <c r="AF51">
        <f t="shared" si="36"/>
        <v>0</v>
      </c>
      <c r="AG51">
        <f t="shared" si="37"/>
        <v>0</v>
      </c>
      <c r="AH51">
        <f t="shared" si="38"/>
        <v>0</v>
      </c>
      <c r="AI51">
        <f t="shared" si="39"/>
        <v>0</v>
      </c>
      <c r="AJ51">
        <f t="shared" si="40"/>
        <v>0</v>
      </c>
      <c r="AK51">
        <v>57243.68</v>
      </c>
      <c r="AL51">
        <v>68889.62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6001</v>
      </c>
      <c r="BN51">
        <v>0</v>
      </c>
      <c r="BO51" t="s">
        <v>3</v>
      </c>
      <c r="BP51">
        <v>0</v>
      </c>
      <c r="BQ51">
        <v>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1"/>
        <v>68889.62</v>
      </c>
      <c r="CQ51">
        <f t="shared" si="42"/>
        <v>68889.62</v>
      </c>
      <c r="CR51">
        <f t="shared" si="43"/>
        <v>0</v>
      </c>
      <c r="CS51">
        <f t="shared" si="44"/>
        <v>0</v>
      </c>
      <c r="CT51">
        <f t="shared" si="45"/>
        <v>0</v>
      </c>
      <c r="CU51">
        <f t="shared" si="46"/>
        <v>0</v>
      </c>
      <c r="CV51">
        <f t="shared" si="47"/>
        <v>0</v>
      </c>
      <c r="CW51">
        <f t="shared" si="48"/>
        <v>0</v>
      </c>
      <c r="CX51">
        <f t="shared" si="49"/>
        <v>0</v>
      </c>
      <c r="CY51">
        <f t="shared" si="50"/>
        <v>0</v>
      </c>
      <c r="CZ51">
        <f t="shared" si="51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47</v>
      </c>
      <c r="DW51" t="s">
        <v>47</v>
      </c>
      <c r="DX51">
        <v>1</v>
      </c>
      <c r="EE51">
        <v>42086242</v>
      </c>
      <c r="EF51">
        <v>0</v>
      </c>
      <c r="EG51" t="s">
        <v>56</v>
      </c>
      <c r="EH51">
        <v>0</v>
      </c>
      <c r="EI51" t="s">
        <v>3</v>
      </c>
      <c r="EJ51">
        <v>1</v>
      </c>
      <c r="EK51">
        <v>6001</v>
      </c>
      <c r="EL51" t="s">
        <v>57</v>
      </c>
      <c r="EM51" t="s">
        <v>56</v>
      </c>
      <c r="EO51" t="s">
        <v>3</v>
      </c>
      <c r="EQ51">
        <v>0</v>
      </c>
      <c r="ER51">
        <v>68889.62</v>
      </c>
      <c r="ES51">
        <v>68889.62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56121.25</v>
      </c>
      <c r="FQ51">
        <v>0</v>
      </c>
      <c r="FR51">
        <f t="shared" si="52"/>
        <v>0</v>
      </c>
      <c r="FS51">
        <v>0</v>
      </c>
      <c r="FX51">
        <v>0</v>
      </c>
      <c r="FY51">
        <v>0</v>
      </c>
      <c r="GA51" t="s">
        <v>78</v>
      </c>
      <c r="GD51">
        <v>0</v>
      </c>
      <c r="GF51">
        <v>2140298361</v>
      </c>
      <c r="GG51">
        <v>2</v>
      </c>
      <c r="GH51">
        <v>3</v>
      </c>
      <c r="GI51">
        <v>-2</v>
      </c>
      <c r="GJ51">
        <v>0</v>
      </c>
      <c r="GK51">
        <f>ROUND(R51*(R12)/100,2)</f>
        <v>0</v>
      </c>
      <c r="GL51">
        <f t="shared" si="53"/>
        <v>0</v>
      </c>
      <c r="GM51">
        <f t="shared" si="54"/>
        <v>68889.62</v>
      </c>
      <c r="GN51">
        <f t="shared" si="55"/>
        <v>68889.62</v>
      </c>
      <c r="GO51">
        <f t="shared" si="56"/>
        <v>0</v>
      </c>
      <c r="GP51">
        <f t="shared" si="57"/>
        <v>0</v>
      </c>
      <c r="GR51">
        <v>1</v>
      </c>
      <c r="GS51">
        <v>1</v>
      </c>
      <c r="GT51">
        <v>0</v>
      </c>
      <c r="GU51" t="s">
        <v>3</v>
      </c>
      <c r="GV51">
        <f t="shared" si="58"/>
        <v>0</v>
      </c>
      <c r="GW51">
        <v>1</v>
      </c>
      <c r="GX51">
        <f t="shared" si="59"/>
        <v>0</v>
      </c>
      <c r="HA51">
        <v>0</v>
      </c>
      <c r="HB51">
        <v>0</v>
      </c>
      <c r="HC51">
        <f t="shared" si="60"/>
        <v>0</v>
      </c>
      <c r="IK51">
        <v>0</v>
      </c>
    </row>
    <row r="52" spans="1:245" x14ac:dyDescent="0.2">
      <c r="A52">
        <v>17</v>
      </c>
      <c r="B52">
        <v>1</v>
      </c>
      <c r="D52">
        <f>ROW(EtalonRes!A82)</f>
        <v>82</v>
      </c>
      <c r="E52" t="s">
        <v>79</v>
      </c>
      <c r="F52" t="s">
        <v>19</v>
      </c>
      <c r="G52" t="s">
        <v>20</v>
      </c>
      <c r="H52" t="s">
        <v>21</v>
      </c>
      <c r="I52">
        <f>ROUND(0.7*0.7*1/100,9)</f>
        <v>4.8999999999999998E-3</v>
      </c>
      <c r="J52">
        <v>0</v>
      </c>
      <c r="O52">
        <f t="shared" si="21"/>
        <v>205.56</v>
      </c>
      <c r="P52">
        <f t="shared" si="22"/>
        <v>0</v>
      </c>
      <c r="Q52">
        <f t="shared" si="23"/>
        <v>0</v>
      </c>
      <c r="R52">
        <f t="shared" si="24"/>
        <v>0</v>
      </c>
      <c r="S52">
        <f t="shared" si="25"/>
        <v>205.56</v>
      </c>
      <c r="T52">
        <f t="shared" si="26"/>
        <v>0</v>
      </c>
      <c r="U52">
        <f t="shared" si="27"/>
        <v>1.0858399999999999</v>
      </c>
      <c r="V52">
        <f t="shared" si="28"/>
        <v>0</v>
      </c>
      <c r="W52">
        <f t="shared" si="29"/>
        <v>0</v>
      </c>
      <c r="X52">
        <f t="shared" si="30"/>
        <v>143.88999999999999</v>
      </c>
      <c r="Y52">
        <f t="shared" si="31"/>
        <v>20.56</v>
      </c>
      <c r="AA52">
        <v>42278323</v>
      </c>
      <c r="AB52">
        <f t="shared" si="32"/>
        <v>41951.1</v>
      </c>
      <c r="AC52">
        <f t="shared" si="33"/>
        <v>0</v>
      </c>
      <c r="AD52">
        <f t="shared" si="34"/>
        <v>0</v>
      </c>
      <c r="AE52">
        <f t="shared" si="35"/>
        <v>0</v>
      </c>
      <c r="AF52">
        <f t="shared" si="36"/>
        <v>41951.1</v>
      </c>
      <c r="AG52">
        <f t="shared" si="37"/>
        <v>0</v>
      </c>
      <c r="AH52">
        <f t="shared" si="38"/>
        <v>221.6</v>
      </c>
      <c r="AI52">
        <f t="shared" si="39"/>
        <v>0</v>
      </c>
      <c r="AJ52">
        <f t="shared" si="40"/>
        <v>0</v>
      </c>
      <c r="AK52">
        <v>41951.1</v>
      </c>
      <c r="AL52">
        <v>0</v>
      </c>
      <c r="AM52">
        <v>0</v>
      </c>
      <c r="AN52">
        <v>0</v>
      </c>
      <c r="AO52">
        <v>41951.1</v>
      </c>
      <c r="AP52">
        <v>0</v>
      </c>
      <c r="AQ52">
        <v>221.6</v>
      </c>
      <c r="AR52">
        <v>0</v>
      </c>
      <c r="AS52">
        <v>0</v>
      </c>
      <c r="AT52">
        <v>70</v>
      </c>
      <c r="AU52">
        <v>10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D52" t="s">
        <v>3</v>
      </c>
      <c r="BE52" t="s">
        <v>3</v>
      </c>
      <c r="BF52" t="s">
        <v>3</v>
      </c>
      <c r="BG52" t="s">
        <v>3</v>
      </c>
      <c r="BH52">
        <v>0</v>
      </c>
      <c r="BI52">
        <v>4</v>
      </c>
      <c r="BJ52" t="s">
        <v>22</v>
      </c>
      <c r="BM52">
        <v>0</v>
      </c>
      <c r="BN52">
        <v>0</v>
      </c>
      <c r="BO52" t="s">
        <v>3</v>
      </c>
      <c r="BP52">
        <v>0</v>
      </c>
      <c r="BQ52">
        <v>1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70</v>
      </c>
      <c r="CA52">
        <v>10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41"/>
        <v>205.56</v>
      </c>
      <c r="CQ52">
        <f t="shared" si="42"/>
        <v>0</v>
      </c>
      <c r="CR52">
        <f t="shared" si="43"/>
        <v>0</v>
      </c>
      <c r="CS52">
        <f t="shared" si="44"/>
        <v>0</v>
      </c>
      <c r="CT52">
        <f t="shared" si="45"/>
        <v>41951.1</v>
      </c>
      <c r="CU52">
        <f t="shared" si="46"/>
        <v>0</v>
      </c>
      <c r="CV52">
        <f t="shared" si="47"/>
        <v>221.6</v>
      </c>
      <c r="CW52">
        <f t="shared" si="48"/>
        <v>0</v>
      </c>
      <c r="CX52">
        <f t="shared" si="49"/>
        <v>0</v>
      </c>
      <c r="CY52">
        <f t="shared" si="50"/>
        <v>143.892</v>
      </c>
      <c r="CZ52">
        <f t="shared" si="51"/>
        <v>20.555999999999997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1007</v>
      </c>
      <c r="DV52" t="s">
        <v>21</v>
      </c>
      <c r="DW52" t="s">
        <v>21</v>
      </c>
      <c r="DX52">
        <v>100</v>
      </c>
      <c r="EE52">
        <v>40658659</v>
      </c>
      <c r="EF52">
        <v>1</v>
      </c>
      <c r="EG52" t="s">
        <v>23</v>
      </c>
      <c r="EH52">
        <v>0</v>
      </c>
      <c r="EI52" t="s">
        <v>3</v>
      </c>
      <c r="EJ52">
        <v>4</v>
      </c>
      <c r="EK52">
        <v>0</v>
      </c>
      <c r="EL52" t="s">
        <v>24</v>
      </c>
      <c r="EM52" t="s">
        <v>25</v>
      </c>
      <c r="EO52" t="s">
        <v>3</v>
      </c>
      <c r="EQ52">
        <v>0</v>
      </c>
      <c r="ER52">
        <v>41951.1</v>
      </c>
      <c r="ES52">
        <v>0</v>
      </c>
      <c r="ET52">
        <v>0</v>
      </c>
      <c r="EU52">
        <v>0</v>
      </c>
      <c r="EV52">
        <v>41951.1</v>
      </c>
      <c r="EW52">
        <v>221.6</v>
      </c>
      <c r="EX52">
        <v>0</v>
      </c>
      <c r="EY52">
        <v>0</v>
      </c>
      <c r="FQ52">
        <v>0</v>
      </c>
      <c r="FR52">
        <f t="shared" si="52"/>
        <v>0</v>
      </c>
      <c r="FS52">
        <v>0</v>
      </c>
      <c r="FX52">
        <v>70</v>
      </c>
      <c r="FY52">
        <v>10</v>
      </c>
      <c r="GA52" t="s">
        <v>3</v>
      </c>
      <c r="GD52">
        <v>0</v>
      </c>
      <c r="GF52">
        <v>1840361055</v>
      </c>
      <c r="GG52">
        <v>2</v>
      </c>
      <c r="GH52">
        <v>1</v>
      </c>
      <c r="GI52">
        <v>-2</v>
      </c>
      <c r="GJ52">
        <v>0</v>
      </c>
      <c r="GK52">
        <f>ROUND(R52*(R12)/100,2)</f>
        <v>0</v>
      </c>
      <c r="GL52">
        <f t="shared" si="53"/>
        <v>0</v>
      </c>
      <c r="GM52">
        <f t="shared" si="54"/>
        <v>370.01</v>
      </c>
      <c r="GN52">
        <f t="shared" si="55"/>
        <v>0</v>
      </c>
      <c r="GO52">
        <f t="shared" si="56"/>
        <v>0</v>
      </c>
      <c r="GP52">
        <f t="shared" si="57"/>
        <v>370.01</v>
      </c>
      <c r="GR52">
        <v>0</v>
      </c>
      <c r="GS52">
        <v>3</v>
      </c>
      <c r="GT52">
        <v>0</v>
      </c>
      <c r="GU52" t="s">
        <v>3</v>
      </c>
      <c r="GV52">
        <f t="shared" si="58"/>
        <v>0</v>
      </c>
      <c r="GW52">
        <v>1</v>
      </c>
      <c r="GX52">
        <f t="shared" si="59"/>
        <v>0</v>
      </c>
      <c r="HA52">
        <v>0</v>
      </c>
      <c r="HB52">
        <v>0</v>
      </c>
      <c r="HC52">
        <f t="shared" si="60"/>
        <v>0</v>
      </c>
      <c r="IK52">
        <v>0</v>
      </c>
    </row>
    <row r="53" spans="1:245" x14ac:dyDescent="0.2">
      <c r="A53">
        <v>17</v>
      </c>
      <c r="B53">
        <v>1</v>
      </c>
      <c r="C53">
        <f>ROW(SmtRes!A44)</f>
        <v>44</v>
      </c>
      <c r="D53">
        <f>ROW(EtalonRes!A88)</f>
        <v>88</v>
      </c>
      <c r="E53" t="s">
        <v>80</v>
      </c>
      <c r="F53" t="s">
        <v>27</v>
      </c>
      <c r="G53" t="s">
        <v>28</v>
      </c>
      <c r="H53" t="s">
        <v>29</v>
      </c>
      <c r="I53">
        <f>ROUND(0.7*0.7*0.1,9)</f>
        <v>4.9000000000000002E-2</v>
      </c>
      <c r="J53">
        <v>0</v>
      </c>
      <c r="O53">
        <f t="shared" si="21"/>
        <v>50.58</v>
      </c>
      <c r="P53">
        <f t="shared" si="22"/>
        <v>32.1</v>
      </c>
      <c r="Q53">
        <f t="shared" si="23"/>
        <v>10.32</v>
      </c>
      <c r="R53">
        <f t="shared" si="24"/>
        <v>6.08</v>
      </c>
      <c r="S53">
        <f t="shared" si="25"/>
        <v>8.16</v>
      </c>
      <c r="T53">
        <f t="shared" si="26"/>
        <v>0</v>
      </c>
      <c r="U53">
        <f t="shared" si="27"/>
        <v>4.41E-2</v>
      </c>
      <c r="V53">
        <f t="shared" si="28"/>
        <v>0</v>
      </c>
      <c r="W53">
        <f t="shared" si="29"/>
        <v>0</v>
      </c>
      <c r="X53">
        <f t="shared" si="30"/>
        <v>5.71</v>
      </c>
      <c r="Y53">
        <f t="shared" si="31"/>
        <v>0.82</v>
      </c>
      <c r="AA53">
        <v>42278323</v>
      </c>
      <c r="AB53">
        <f t="shared" si="32"/>
        <v>1032.3499999999999</v>
      </c>
      <c r="AC53">
        <f t="shared" si="33"/>
        <v>655.15</v>
      </c>
      <c r="AD53">
        <f t="shared" si="34"/>
        <v>210.68</v>
      </c>
      <c r="AE53">
        <f t="shared" si="35"/>
        <v>124.16</v>
      </c>
      <c r="AF53">
        <f t="shared" si="36"/>
        <v>166.52</v>
      </c>
      <c r="AG53">
        <f t="shared" si="37"/>
        <v>0</v>
      </c>
      <c r="AH53">
        <f t="shared" si="38"/>
        <v>0.9</v>
      </c>
      <c r="AI53">
        <f t="shared" si="39"/>
        <v>0</v>
      </c>
      <c r="AJ53">
        <f t="shared" si="40"/>
        <v>0</v>
      </c>
      <c r="AK53">
        <v>1032.3499999999999</v>
      </c>
      <c r="AL53">
        <v>655.15</v>
      </c>
      <c r="AM53">
        <v>210.68</v>
      </c>
      <c r="AN53">
        <v>124.16</v>
      </c>
      <c r="AO53">
        <v>166.52</v>
      </c>
      <c r="AP53">
        <v>0</v>
      </c>
      <c r="AQ53">
        <v>0.9</v>
      </c>
      <c r="AR53">
        <v>0</v>
      </c>
      <c r="AS53">
        <v>0</v>
      </c>
      <c r="AT53">
        <v>70</v>
      </c>
      <c r="AU53">
        <v>10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4</v>
      </c>
      <c r="BJ53" t="s">
        <v>30</v>
      </c>
      <c r="BM53">
        <v>0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70</v>
      </c>
      <c r="CA53">
        <v>10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41"/>
        <v>50.58</v>
      </c>
      <c r="CQ53">
        <f t="shared" si="42"/>
        <v>655.15</v>
      </c>
      <c r="CR53">
        <f t="shared" si="43"/>
        <v>210.68</v>
      </c>
      <c r="CS53">
        <f t="shared" si="44"/>
        <v>124.16</v>
      </c>
      <c r="CT53">
        <f t="shared" si="45"/>
        <v>166.52</v>
      </c>
      <c r="CU53">
        <f t="shared" si="46"/>
        <v>0</v>
      </c>
      <c r="CV53">
        <f t="shared" si="47"/>
        <v>0.9</v>
      </c>
      <c r="CW53">
        <f t="shared" si="48"/>
        <v>0</v>
      </c>
      <c r="CX53">
        <f t="shared" si="49"/>
        <v>0</v>
      </c>
      <c r="CY53">
        <f t="shared" si="50"/>
        <v>5.7120000000000006</v>
      </c>
      <c r="CZ53">
        <f t="shared" si="51"/>
        <v>0.81599999999999995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1007</v>
      </c>
      <c r="DV53" t="s">
        <v>29</v>
      </c>
      <c r="DW53" t="s">
        <v>29</v>
      </c>
      <c r="DX53">
        <v>1</v>
      </c>
      <c r="EE53">
        <v>40658659</v>
      </c>
      <c r="EF53">
        <v>1</v>
      </c>
      <c r="EG53" t="s">
        <v>23</v>
      </c>
      <c r="EH53">
        <v>0</v>
      </c>
      <c r="EI53" t="s">
        <v>3</v>
      </c>
      <c r="EJ53">
        <v>4</v>
      </c>
      <c r="EK53">
        <v>0</v>
      </c>
      <c r="EL53" t="s">
        <v>24</v>
      </c>
      <c r="EM53" t="s">
        <v>25</v>
      </c>
      <c r="EO53" t="s">
        <v>3</v>
      </c>
      <c r="EQ53">
        <v>0</v>
      </c>
      <c r="ER53">
        <v>1032.3499999999999</v>
      </c>
      <c r="ES53">
        <v>655.15</v>
      </c>
      <c r="ET53">
        <v>210.68</v>
      </c>
      <c r="EU53">
        <v>124.16</v>
      </c>
      <c r="EV53">
        <v>166.52</v>
      </c>
      <c r="EW53">
        <v>0.9</v>
      </c>
      <c r="EX53">
        <v>0</v>
      </c>
      <c r="EY53">
        <v>0</v>
      </c>
      <c r="FQ53">
        <v>0</v>
      </c>
      <c r="FR53">
        <f t="shared" si="52"/>
        <v>0</v>
      </c>
      <c r="FS53">
        <v>0</v>
      </c>
      <c r="FX53">
        <v>70</v>
      </c>
      <c r="FY53">
        <v>10</v>
      </c>
      <c r="GA53" t="s">
        <v>3</v>
      </c>
      <c r="GD53">
        <v>0</v>
      </c>
      <c r="GF53">
        <v>-1061108837</v>
      </c>
      <c r="GG53">
        <v>2</v>
      </c>
      <c r="GH53">
        <v>1</v>
      </c>
      <c r="GI53">
        <v>-2</v>
      </c>
      <c r="GJ53">
        <v>0</v>
      </c>
      <c r="GK53">
        <f>ROUND(R53*(R12)/100,2)</f>
        <v>6.57</v>
      </c>
      <c r="GL53">
        <f t="shared" si="53"/>
        <v>0</v>
      </c>
      <c r="GM53">
        <f t="shared" si="54"/>
        <v>63.68</v>
      </c>
      <c r="GN53">
        <f t="shared" si="55"/>
        <v>0</v>
      </c>
      <c r="GO53">
        <f t="shared" si="56"/>
        <v>0</v>
      </c>
      <c r="GP53">
        <f t="shared" si="57"/>
        <v>63.68</v>
      </c>
      <c r="GR53">
        <v>0</v>
      </c>
      <c r="GS53">
        <v>3</v>
      </c>
      <c r="GT53">
        <v>0</v>
      </c>
      <c r="GU53" t="s">
        <v>3</v>
      </c>
      <c r="GV53">
        <f t="shared" si="58"/>
        <v>0</v>
      </c>
      <c r="GW53">
        <v>1</v>
      </c>
      <c r="GX53">
        <f t="shared" si="59"/>
        <v>0</v>
      </c>
      <c r="HA53">
        <v>0</v>
      </c>
      <c r="HB53">
        <v>0</v>
      </c>
      <c r="HC53">
        <f t="shared" si="60"/>
        <v>0</v>
      </c>
      <c r="IK53">
        <v>0</v>
      </c>
    </row>
    <row r="54" spans="1:245" x14ac:dyDescent="0.2">
      <c r="A54">
        <v>17</v>
      </c>
      <c r="B54">
        <v>1</v>
      </c>
      <c r="C54">
        <f>ROW(SmtRes!A50)</f>
        <v>50</v>
      </c>
      <c r="D54">
        <f>ROW(EtalonRes!A94)</f>
        <v>94</v>
      </c>
      <c r="E54" t="s">
        <v>81</v>
      </c>
      <c r="F54" t="s">
        <v>32</v>
      </c>
      <c r="G54" t="s">
        <v>33</v>
      </c>
      <c r="H54" t="s">
        <v>29</v>
      </c>
      <c r="I54">
        <f>ROUND(0.7*0.7*0.2,9)</f>
        <v>9.8000000000000004E-2</v>
      </c>
      <c r="J54">
        <v>0</v>
      </c>
      <c r="O54">
        <f t="shared" si="21"/>
        <v>202.23</v>
      </c>
      <c r="P54">
        <f t="shared" si="22"/>
        <v>162.41</v>
      </c>
      <c r="Q54">
        <f t="shared" si="23"/>
        <v>22.05</v>
      </c>
      <c r="R54">
        <f t="shared" si="24"/>
        <v>13.24</v>
      </c>
      <c r="S54">
        <f t="shared" si="25"/>
        <v>17.77</v>
      </c>
      <c r="T54">
        <f t="shared" si="26"/>
        <v>0</v>
      </c>
      <c r="U54">
        <f t="shared" si="27"/>
        <v>9.604E-2</v>
      </c>
      <c r="V54">
        <f t="shared" si="28"/>
        <v>0</v>
      </c>
      <c r="W54">
        <f t="shared" si="29"/>
        <v>0</v>
      </c>
      <c r="X54">
        <f t="shared" si="30"/>
        <v>12.44</v>
      </c>
      <c r="Y54">
        <f t="shared" si="31"/>
        <v>1.78</v>
      </c>
      <c r="AA54">
        <v>42278323</v>
      </c>
      <c r="AB54">
        <f t="shared" si="32"/>
        <v>2063.5700000000002</v>
      </c>
      <c r="AC54">
        <f t="shared" si="33"/>
        <v>1657.26</v>
      </c>
      <c r="AD54">
        <f t="shared" si="34"/>
        <v>224.99</v>
      </c>
      <c r="AE54">
        <f t="shared" si="35"/>
        <v>135.08000000000001</v>
      </c>
      <c r="AF54">
        <f t="shared" si="36"/>
        <v>181.32</v>
      </c>
      <c r="AG54">
        <f t="shared" si="37"/>
        <v>0</v>
      </c>
      <c r="AH54">
        <f t="shared" si="38"/>
        <v>0.98</v>
      </c>
      <c r="AI54">
        <f t="shared" si="39"/>
        <v>0</v>
      </c>
      <c r="AJ54">
        <f t="shared" si="40"/>
        <v>0</v>
      </c>
      <c r="AK54">
        <v>2063.5700000000002</v>
      </c>
      <c r="AL54">
        <v>1657.26</v>
      </c>
      <c r="AM54">
        <v>224.99</v>
      </c>
      <c r="AN54">
        <v>135.08000000000001</v>
      </c>
      <c r="AO54">
        <v>181.32</v>
      </c>
      <c r="AP54">
        <v>0</v>
      </c>
      <c r="AQ54">
        <v>0.98</v>
      </c>
      <c r="AR54">
        <v>0</v>
      </c>
      <c r="AS54">
        <v>0</v>
      </c>
      <c r="AT54">
        <v>70</v>
      </c>
      <c r="AU54">
        <v>10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D54" t="s">
        <v>3</v>
      </c>
      <c r="BE54" t="s">
        <v>3</v>
      </c>
      <c r="BF54" t="s">
        <v>3</v>
      </c>
      <c r="BG54" t="s">
        <v>3</v>
      </c>
      <c r="BH54">
        <v>0</v>
      </c>
      <c r="BI54">
        <v>4</v>
      </c>
      <c r="BJ54" t="s">
        <v>34</v>
      </c>
      <c r="BM54">
        <v>0</v>
      </c>
      <c r="BN54">
        <v>0</v>
      </c>
      <c r="BO54" t="s">
        <v>3</v>
      </c>
      <c r="BP54">
        <v>0</v>
      </c>
      <c r="BQ54">
        <v>1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70</v>
      </c>
      <c r="CA54">
        <v>10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41"/>
        <v>202.23000000000002</v>
      </c>
      <c r="CQ54">
        <f t="shared" si="42"/>
        <v>1657.26</v>
      </c>
      <c r="CR54">
        <f t="shared" si="43"/>
        <v>224.99</v>
      </c>
      <c r="CS54">
        <f t="shared" si="44"/>
        <v>135.08000000000001</v>
      </c>
      <c r="CT54">
        <f t="shared" si="45"/>
        <v>181.32</v>
      </c>
      <c r="CU54">
        <f t="shared" si="46"/>
        <v>0</v>
      </c>
      <c r="CV54">
        <f t="shared" si="47"/>
        <v>0.98</v>
      </c>
      <c r="CW54">
        <f t="shared" si="48"/>
        <v>0</v>
      </c>
      <c r="CX54">
        <f t="shared" si="49"/>
        <v>0</v>
      </c>
      <c r="CY54">
        <f t="shared" si="50"/>
        <v>12.438999999999998</v>
      </c>
      <c r="CZ54">
        <f t="shared" si="51"/>
        <v>1.7769999999999999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1007</v>
      </c>
      <c r="DV54" t="s">
        <v>29</v>
      </c>
      <c r="DW54" t="s">
        <v>29</v>
      </c>
      <c r="DX54">
        <v>1</v>
      </c>
      <c r="EE54">
        <v>40658659</v>
      </c>
      <c r="EF54">
        <v>1</v>
      </c>
      <c r="EG54" t="s">
        <v>23</v>
      </c>
      <c r="EH54">
        <v>0</v>
      </c>
      <c r="EI54" t="s">
        <v>3</v>
      </c>
      <c r="EJ54">
        <v>4</v>
      </c>
      <c r="EK54">
        <v>0</v>
      </c>
      <c r="EL54" t="s">
        <v>24</v>
      </c>
      <c r="EM54" t="s">
        <v>25</v>
      </c>
      <c r="EO54" t="s">
        <v>3</v>
      </c>
      <c r="EQ54">
        <v>0</v>
      </c>
      <c r="ER54">
        <v>2063.5700000000002</v>
      </c>
      <c r="ES54">
        <v>1657.26</v>
      </c>
      <c r="ET54">
        <v>224.99</v>
      </c>
      <c r="EU54">
        <v>135.08000000000001</v>
      </c>
      <c r="EV54">
        <v>181.32</v>
      </c>
      <c r="EW54">
        <v>0.98</v>
      </c>
      <c r="EX54">
        <v>0</v>
      </c>
      <c r="EY54">
        <v>0</v>
      </c>
      <c r="FQ54">
        <v>0</v>
      </c>
      <c r="FR54">
        <f t="shared" si="52"/>
        <v>0</v>
      </c>
      <c r="FS54">
        <v>0</v>
      </c>
      <c r="FX54">
        <v>70</v>
      </c>
      <c r="FY54">
        <v>10</v>
      </c>
      <c r="GA54" t="s">
        <v>3</v>
      </c>
      <c r="GD54">
        <v>0</v>
      </c>
      <c r="GF54">
        <v>276142894</v>
      </c>
      <c r="GG54">
        <v>2</v>
      </c>
      <c r="GH54">
        <v>1</v>
      </c>
      <c r="GI54">
        <v>-2</v>
      </c>
      <c r="GJ54">
        <v>0</v>
      </c>
      <c r="GK54">
        <f>ROUND(R54*(R12)/100,2)</f>
        <v>14.3</v>
      </c>
      <c r="GL54">
        <f t="shared" si="53"/>
        <v>0</v>
      </c>
      <c r="GM54">
        <f t="shared" si="54"/>
        <v>230.75</v>
      </c>
      <c r="GN54">
        <f t="shared" si="55"/>
        <v>0</v>
      </c>
      <c r="GO54">
        <f t="shared" si="56"/>
        <v>0</v>
      </c>
      <c r="GP54">
        <f t="shared" si="57"/>
        <v>230.75</v>
      </c>
      <c r="GR54">
        <v>0</v>
      </c>
      <c r="GS54">
        <v>3</v>
      </c>
      <c r="GT54">
        <v>0</v>
      </c>
      <c r="GU54" t="s">
        <v>3</v>
      </c>
      <c r="GV54">
        <f t="shared" si="58"/>
        <v>0</v>
      </c>
      <c r="GW54">
        <v>1</v>
      </c>
      <c r="GX54">
        <f t="shared" si="59"/>
        <v>0</v>
      </c>
      <c r="HA54">
        <v>0</v>
      </c>
      <c r="HB54">
        <v>0</v>
      </c>
      <c r="HC54">
        <f t="shared" si="60"/>
        <v>0</v>
      </c>
      <c r="IK54">
        <v>0</v>
      </c>
    </row>
    <row r="55" spans="1:245" x14ac:dyDescent="0.2">
      <c r="A55">
        <v>17</v>
      </c>
      <c r="B55">
        <v>1</v>
      </c>
      <c r="D55">
        <f>ROW(EtalonRes!A106)</f>
        <v>106</v>
      </c>
      <c r="E55" t="s">
        <v>82</v>
      </c>
      <c r="F55" t="s">
        <v>36</v>
      </c>
      <c r="G55" t="s">
        <v>37</v>
      </c>
      <c r="H55" t="s">
        <v>21</v>
      </c>
      <c r="I55">
        <f>ROUND((0.7*0.7*0.7*1)/100,9)</f>
        <v>3.4299999999999999E-3</v>
      </c>
      <c r="J55">
        <v>0</v>
      </c>
      <c r="O55">
        <f t="shared" si="21"/>
        <v>1638.15</v>
      </c>
      <c r="P55">
        <f t="shared" si="22"/>
        <v>1245.53</v>
      </c>
      <c r="Q55">
        <f t="shared" si="23"/>
        <v>1.88</v>
      </c>
      <c r="R55">
        <f t="shared" si="24"/>
        <v>0.71</v>
      </c>
      <c r="S55">
        <f t="shared" si="25"/>
        <v>390.74</v>
      </c>
      <c r="T55">
        <f t="shared" si="26"/>
        <v>0</v>
      </c>
      <c r="U55">
        <f t="shared" si="27"/>
        <v>1.9328049999999999</v>
      </c>
      <c r="V55">
        <f t="shared" si="28"/>
        <v>0</v>
      </c>
      <c r="W55">
        <f t="shared" si="29"/>
        <v>0</v>
      </c>
      <c r="X55">
        <f t="shared" si="30"/>
        <v>273.52</v>
      </c>
      <c r="Y55">
        <f t="shared" si="31"/>
        <v>39.07</v>
      </c>
      <c r="AA55">
        <v>42278323</v>
      </c>
      <c r="AB55">
        <f t="shared" si="32"/>
        <v>477593.84</v>
      </c>
      <c r="AC55">
        <f t="shared" si="33"/>
        <v>363129.4</v>
      </c>
      <c r="AD55">
        <f t="shared" si="34"/>
        <v>547.28</v>
      </c>
      <c r="AE55">
        <f t="shared" si="35"/>
        <v>206.05</v>
      </c>
      <c r="AF55">
        <f t="shared" si="36"/>
        <v>113917.16</v>
      </c>
      <c r="AG55">
        <f t="shared" si="37"/>
        <v>0</v>
      </c>
      <c r="AH55">
        <f t="shared" si="38"/>
        <v>563.5</v>
      </c>
      <c r="AI55">
        <f t="shared" si="39"/>
        <v>0</v>
      </c>
      <c r="AJ55">
        <f t="shared" si="40"/>
        <v>0</v>
      </c>
      <c r="AK55">
        <v>477593.84</v>
      </c>
      <c r="AL55">
        <v>363129.4</v>
      </c>
      <c r="AM55">
        <v>547.28</v>
      </c>
      <c r="AN55">
        <v>206.05</v>
      </c>
      <c r="AO55">
        <v>113917.16</v>
      </c>
      <c r="AP55">
        <v>0</v>
      </c>
      <c r="AQ55">
        <v>563.5</v>
      </c>
      <c r="AR55">
        <v>0</v>
      </c>
      <c r="AS55">
        <v>0</v>
      </c>
      <c r="AT55">
        <v>70</v>
      </c>
      <c r="AU55">
        <v>10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4</v>
      </c>
      <c r="BJ55" t="s">
        <v>38</v>
      </c>
      <c r="BM55">
        <v>0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70</v>
      </c>
      <c r="CA55">
        <v>10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41"/>
        <v>1638.15</v>
      </c>
      <c r="CQ55">
        <f t="shared" si="42"/>
        <v>363129.4</v>
      </c>
      <c r="CR55">
        <f t="shared" si="43"/>
        <v>547.28</v>
      </c>
      <c r="CS55">
        <f t="shared" si="44"/>
        <v>206.05</v>
      </c>
      <c r="CT55">
        <f t="shared" si="45"/>
        <v>113917.16</v>
      </c>
      <c r="CU55">
        <f t="shared" si="46"/>
        <v>0</v>
      </c>
      <c r="CV55">
        <f t="shared" si="47"/>
        <v>563.5</v>
      </c>
      <c r="CW55">
        <f t="shared" si="48"/>
        <v>0</v>
      </c>
      <c r="CX55">
        <f t="shared" si="49"/>
        <v>0</v>
      </c>
      <c r="CY55">
        <f t="shared" si="50"/>
        <v>273.51799999999997</v>
      </c>
      <c r="CZ55">
        <f t="shared" si="51"/>
        <v>39.073999999999998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21</v>
      </c>
      <c r="DW55" t="s">
        <v>21</v>
      </c>
      <c r="DX55">
        <v>100</v>
      </c>
      <c r="EE55">
        <v>40658659</v>
      </c>
      <c r="EF55">
        <v>1</v>
      </c>
      <c r="EG55" t="s">
        <v>23</v>
      </c>
      <c r="EH55">
        <v>0</v>
      </c>
      <c r="EI55" t="s">
        <v>3</v>
      </c>
      <c r="EJ55">
        <v>4</v>
      </c>
      <c r="EK55">
        <v>0</v>
      </c>
      <c r="EL55" t="s">
        <v>24</v>
      </c>
      <c r="EM55" t="s">
        <v>25</v>
      </c>
      <c r="EO55" t="s">
        <v>3</v>
      </c>
      <c r="EQ55">
        <v>0</v>
      </c>
      <c r="ER55">
        <v>477593.84</v>
      </c>
      <c r="ES55">
        <v>363129.4</v>
      </c>
      <c r="ET55">
        <v>547.28</v>
      </c>
      <c r="EU55">
        <v>206.05</v>
      </c>
      <c r="EV55">
        <v>113917.16</v>
      </c>
      <c r="EW55">
        <v>563.5</v>
      </c>
      <c r="EX55">
        <v>0</v>
      </c>
      <c r="EY55">
        <v>0</v>
      </c>
      <c r="FQ55">
        <v>0</v>
      </c>
      <c r="FR55">
        <f t="shared" si="52"/>
        <v>0</v>
      </c>
      <c r="FS55">
        <v>0</v>
      </c>
      <c r="FX55">
        <v>70</v>
      </c>
      <c r="FY55">
        <v>10</v>
      </c>
      <c r="GA55" t="s">
        <v>3</v>
      </c>
      <c r="GD55">
        <v>0</v>
      </c>
      <c r="GF55">
        <v>2142801283</v>
      </c>
      <c r="GG55">
        <v>2</v>
      </c>
      <c r="GH55">
        <v>1</v>
      </c>
      <c r="GI55">
        <v>-2</v>
      </c>
      <c r="GJ55">
        <v>0</v>
      </c>
      <c r="GK55">
        <f>ROUND(R55*(R12)/100,2)</f>
        <v>0.77</v>
      </c>
      <c r="GL55">
        <f t="shared" si="53"/>
        <v>0</v>
      </c>
      <c r="GM55">
        <f t="shared" si="54"/>
        <v>1951.51</v>
      </c>
      <c r="GN55">
        <f t="shared" si="55"/>
        <v>0</v>
      </c>
      <c r="GO55">
        <f t="shared" si="56"/>
        <v>0</v>
      </c>
      <c r="GP55">
        <f t="shared" si="57"/>
        <v>1951.51</v>
      </c>
      <c r="GR55">
        <v>0</v>
      </c>
      <c r="GS55">
        <v>3</v>
      </c>
      <c r="GT55">
        <v>0</v>
      </c>
      <c r="GU55" t="s">
        <v>3</v>
      </c>
      <c r="GV55">
        <f t="shared" si="58"/>
        <v>0</v>
      </c>
      <c r="GW55">
        <v>1</v>
      </c>
      <c r="GX55">
        <f t="shared" si="59"/>
        <v>0</v>
      </c>
      <c r="HA55">
        <v>0</v>
      </c>
      <c r="HB55">
        <v>0</v>
      </c>
      <c r="HC55">
        <f t="shared" si="60"/>
        <v>0</v>
      </c>
      <c r="IK55">
        <v>0</v>
      </c>
    </row>
    <row r="56" spans="1:245" x14ac:dyDescent="0.2">
      <c r="A56">
        <v>17</v>
      </c>
      <c r="B56">
        <v>1</v>
      </c>
      <c r="C56">
        <f>ROW(SmtRes!A52)</f>
        <v>52</v>
      </c>
      <c r="D56">
        <f>ROW(EtalonRes!A108)</f>
        <v>108</v>
      </c>
      <c r="E56" t="s">
        <v>83</v>
      </c>
      <c r="F56" t="s">
        <v>40</v>
      </c>
      <c r="G56" t="s">
        <v>41</v>
      </c>
      <c r="H56" t="s">
        <v>42</v>
      </c>
      <c r="I56">
        <v>0.09</v>
      </c>
      <c r="J56">
        <v>0</v>
      </c>
      <c r="O56">
        <f t="shared" si="21"/>
        <v>9386.17</v>
      </c>
      <c r="P56">
        <f t="shared" si="22"/>
        <v>4791.0200000000004</v>
      </c>
      <c r="Q56">
        <f t="shared" si="23"/>
        <v>0</v>
      </c>
      <c r="R56">
        <f t="shared" si="24"/>
        <v>0</v>
      </c>
      <c r="S56">
        <f t="shared" si="25"/>
        <v>4595.1499999999996</v>
      </c>
      <c r="T56">
        <f t="shared" si="26"/>
        <v>0</v>
      </c>
      <c r="U56">
        <f t="shared" si="27"/>
        <v>20.492999999999999</v>
      </c>
      <c r="V56">
        <f t="shared" si="28"/>
        <v>0</v>
      </c>
      <c r="W56">
        <f t="shared" si="29"/>
        <v>0</v>
      </c>
      <c r="X56">
        <f t="shared" si="30"/>
        <v>3216.61</v>
      </c>
      <c r="Y56">
        <f t="shared" si="31"/>
        <v>459.52</v>
      </c>
      <c r="AA56">
        <v>42278323</v>
      </c>
      <c r="AB56">
        <f t="shared" si="32"/>
        <v>104290.69</v>
      </c>
      <c r="AC56">
        <f t="shared" si="33"/>
        <v>53233.52</v>
      </c>
      <c r="AD56">
        <f t="shared" si="34"/>
        <v>0</v>
      </c>
      <c r="AE56">
        <f t="shared" si="35"/>
        <v>0</v>
      </c>
      <c r="AF56">
        <f t="shared" si="36"/>
        <v>51057.17</v>
      </c>
      <c r="AG56">
        <f t="shared" si="37"/>
        <v>0</v>
      </c>
      <c r="AH56">
        <f t="shared" si="38"/>
        <v>227.7</v>
      </c>
      <c r="AI56">
        <f t="shared" si="39"/>
        <v>0</v>
      </c>
      <c r="AJ56">
        <f t="shared" si="40"/>
        <v>0</v>
      </c>
      <c r="AK56">
        <v>104290.69</v>
      </c>
      <c r="AL56">
        <v>53233.52</v>
      </c>
      <c r="AM56">
        <v>0</v>
      </c>
      <c r="AN56">
        <v>0</v>
      </c>
      <c r="AO56">
        <v>51057.17</v>
      </c>
      <c r="AP56">
        <v>0</v>
      </c>
      <c r="AQ56">
        <v>227.7</v>
      </c>
      <c r="AR56">
        <v>0</v>
      </c>
      <c r="AS56">
        <v>0</v>
      </c>
      <c r="AT56">
        <v>70</v>
      </c>
      <c r="AU56">
        <v>10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D56" t="s">
        <v>3</v>
      </c>
      <c r="BE56" t="s">
        <v>3</v>
      </c>
      <c r="BF56" t="s">
        <v>3</v>
      </c>
      <c r="BG56" t="s">
        <v>3</v>
      </c>
      <c r="BH56">
        <v>0</v>
      </c>
      <c r="BI56">
        <v>4</v>
      </c>
      <c r="BJ56" t="s">
        <v>43</v>
      </c>
      <c r="BM56">
        <v>0</v>
      </c>
      <c r="BN56">
        <v>0</v>
      </c>
      <c r="BO56" t="s">
        <v>3</v>
      </c>
      <c r="BP56">
        <v>0</v>
      </c>
      <c r="BQ56">
        <v>1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70</v>
      </c>
      <c r="CA56">
        <v>10</v>
      </c>
      <c r="CE56">
        <v>0</v>
      </c>
      <c r="CF56">
        <v>0</v>
      </c>
      <c r="CG56">
        <v>0</v>
      </c>
      <c r="CM56">
        <v>0</v>
      </c>
      <c r="CN56" t="s">
        <v>3</v>
      </c>
      <c r="CO56">
        <v>0</v>
      </c>
      <c r="CP56">
        <f t="shared" si="41"/>
        <v>9386.17</v>
      </c>
      <c r="CQ56">
        <f t="shared" si="42"/>
        <v>53233.52</v>
      </c>
      <c r="CR56">
        <f t="shared" si="43"/>
        <v>0</v>
      </c>
      <c r="CS56">
        <f t="shared" si="44"/>
        <v>0</v>
      </c>
      <c r="CT56">
        <f t="shared" si="45"/>
        <v>51057.17</v>
      </c>
      <c r="CU56">
        <f t="shared" si="46"/>
        <v>0</v>
      </c>
      <c r="CV56">
        <f t="shared" si="47"/>
        <v>227.7</v>
      </c>
      <c r="CW56">
        <f t="shared" si="48"/>
        <v>0</v>
      </c>
      <c r="CX56">
        <f t="shared" si="49"/>
        <v>0</v>
      </c>
      <c r="CY56">
        <f t="shared" si="50"/>
        <v>3216.605</v>
      </c>
      <c r="CZ56">
        <f t="shared" si="51"/>
        <v>459.51499999999999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1009</v>
      </c>
      <c r="DV56" t="s">
        <v>42</v>
      </c>
      <c r="DW56" t="s">
        <v>42</v>
      </c>
      <c r="DX56">
        <v>1000</v>
      </c>
      <c r="EE56">
        <v>40658659</v>
      </c>
      <c r="EF56">
        <v>1</v>
      </c>
      <c r="EG56" t="s">
        <v>23</v>
      </c>
      <c r="EH56">
        <v>0</v>
      </c>
      <c r="EI56" t="s">
        <v>3</v>
      </c>
      <c r="EJ56">
        <v>4</v>
      </c>
      <c r="EK56">
        <v>0</v>
      </c>
      <c r="EL56" t="s">
        <v>24</v>
      </c>
      <c r="EM56" t="s">
        <v>25</v>
      </c>
      <c r="EO56" t="s">
        <v>3</v>
      </c>
      <c r="EQ56">
        <v>0</v>
      </c>
      <c r="ER56">
        <v>104290.69</v>
      </c>
      <c r="ES56">
        <v>53233.52</v>
      </c>
      <c r="ET56">
        <v>0</v>
      </c>
      <c r="EU56">
        <v>0</v>
      </c>
      <c r="EV56">
        <v>51057.17</v>
      </c>
      <c r="EW56">
        <v>227.7</v>
      </c>
      <c r="EX56">
        <v>0</v>
      </c>
      <c r="EY56">
        <v>0</v>
      </c>
      <c r="FQ56">
        <v>0</v>
      </c>
      <c r="FR56">
        <f t="shared" si="52"/>
        <v>0</v>
      </c>
      <c r="FS56">
        <v>0</v>
      </c>
      <c r="FX56">
        <v>70</v>
      </c>
      <c r="FY56">
        <v>10</v>
      </c>
      <c r="GA56" t="s">
        <v>3</v>
      </c>
      <c r="GD56">
        <v>0</v>
      </c>
      <c r="GF56">
        <v>-423032956</v>
      </c>
      <c r="GG56">
        <v>2</v>
      </c>
      <c r="GH56">
        <v>1</v>
      </c>
      <c r="GI56">
        <v>-2</v>
      </c>
      <c r="GJ56">
        <v>0</v>
      </c>
      <c r="GK56">
        <f>ROUND(R56*(R12)/100,2)</f>
        <v>0</v>
      </c>
      <c r="GL56">
        <f t="shared" si="53"/>
        <v>0</v>
      </c>
      <c r="GM56">
        <f t="shared" si="54"/>
        <v>13062.3</v>
      </c>
      <c r="GN56">
        <f t="shared" si="55"/>
        <v>0</v>
      </c>
      <c r="GO56">
        <f t="shared" si="56"/>
        <v>0</v>
      </c>
      <c r="GP56">
        <f t="shared" si="57"/>
        <v>13062.3</v>
      </c>
      <c r="GR56">
        <v>0</v>
      </c>
      <c r="GS56">
        <v>3</v>
      </c>
      <c r="GT56">
        <v>0</v>
      </c>
      <c r="GU56" t="s">
        <v>3</v>
      </c>
      <c r="GV56">
        <f t="shared" si="58"/>
        <v>0</v>
      </c>
      <c r="GW56">
        <v>1</v>
      </c>
      <c r="GX56">
        <f t="shared" si="59"/>
        <v>0</v>
      </c>
      <c r="HA56">
        <v>0</v>
      </c>
      <c r="HB56">
        <v>0</v>
      </c>
      <c r="HC56">
        <f t="shared" si="60"/>
        <v>0</v>
      </c>
      <c r="IK56">
        <v>0</v>
      </c>
    </row>
    <row r="57" spans="1:245" x14ac:dyDescent="0.2">
      <c r="A57">
        <v>18</v>
      </c>
      <c r="B57">
        <v>1</v>
      </c>
      <c r="C57">
        <v>52</v>
      </c>
      <c r="E57" t="s">
        <v>84</v>
      </c>
      <c r="F57" t="s">
        <v>45</v>
      </c>
      <c r="G57" t="s">
        <v>46</v>
      </c>
      <c r="H57" t="s">
        <v>47</v>
      </c>
      <c r="I57">
        <f>I56*J57</f>
        <v>0.99999999999999989</v>
      </c>
      <c r="J57">
        <v>11.111111111111111</v>
      </c>
      <c r="O57">
        <f t="shared" si="21"/>
        <v>210</v>
      </c>
      <c r="P57">
        <f t="shared" si="22"/>
        <v>210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0</v>
      </c>
      <c r="X57">
        <f t="shared" si="30"/>
        <v>0</v>
      </c>
      <c r="Y57">
        <f t="shared" si="31"/>
        <v>0</v>
      </c>
      <c r="AA57">
        <v>42278323</v>
      </c>
      <c r="AB57">
        <f t="shared" si="32"/>
        <v>210</v>
      </c>
      <c r="AC57">
        <f t="shared" si="33"/>
        <v>210</v>
      </c>
      <c r="AD57">
        <f t="shared" si="34"/>
        <v>0</v>
      </c>
      <c r="AE57">
        <f t="shared" si="35"/>
        <v>0</v>
      </c>
      <c r="AF57">
        <f t="shared" si="36"/>
        <v>0</v>
      </c>
      <c r="AG57">
        <f t="shared" si="37"/>
        <v>0</v>
      </c>
      <c r="AH57">
        <f t="shared" si="38"/>
        <v>0</v>
      </c>
      <c r="AI57">
        <f t="shared" si="39"/>
        <v>0</v>
      </c>
      <c r="AJ57">
        <f t="shared" si="40"/>
        <v>0</v>
      </c>
      <c r="AK57">
        <v>210</v>
      </c>
      <c r="AL57">
        <v>210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70</v>
      </c>
      <c r="AU57">
        <v>10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4</v>
      </c>
      <c r="BJ57" t="s">
        <v>48</v>
      </c>
      <c r="BM57">
        <v>0</v>
      </c>
      <c r="BN57">
        <v>0</v>
      </c>
      <c r="BO57" t="s">
        <v>3</v>
      </c>
      <c r="BP57">
        <v>0</v>
      </c>
      <c r="BQ57">
        <v>1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70</v>
      </c>
      <c r="CA57">
        <v>10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41"/>
        <v>210</v>
      </c>
      <c r="CQ57">
        <f t="shared" si="42"/>
        <v>210</v>
      </c>
      <c r="CR57">
        <f t="shared" si="43"/>
        <v>0</v>
      </c>
      <c r="CS57">
        <f t="shared" si="44"/>
        <v>0</v>
      </c>
      <c r="CT57">
        <f t="shared" si="45"/>
        <v>0</v>
      </c>
      <c r="CU57">
        <f t="shared" si="46"/>
        <v>0</v>
      </c>
      <c r="CV57">
        <f t="shared" si="47"/>
        <v>0</v>
      </c>
      <c r="CW57">
        <f t="shared" si="48"/>
        <v>0</v>
      </c>
      <c r="CX57">
        <f t="shared" si="49"/>
        <v>0</v>
      </c>
      <c r="CY57">
        <f t="shared" si="50"/>
        <v>0</v>
      </c>
      <c r="CZ57">
        <f t="shared" si="51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47</v>
      </c>
      <c r="DW57" t="s">
        <v>47</v>
      </c>
      <c r="DX57">
        <v>1</v>
      </c>
      <c r="EE57">
        <v>40658659</v>
      </c>
      <c r="EF57">
        <v>1</v>
      </c>
      <c r="EG57" t="s">
        <v>23</v>
      </c>
      <c r="EH57">
        <v>0</v>
      </c>
      <c r="EI57" t="s">
        <v>3</v>
      </c>
      <c r="EJ57">
        <v>4</v>
      </c>
      <c r="EK57">
        <v>0</v>
      </c>
      <c r="EL57" t="s">
        <v>24</v>
      </c>
      <c r="EM57" t="s">
        <v>25</v>
      </c>
      <c r="EO57" t="s">
        <v>3</v>
      </c>
      <c r="EQ57">
        <v>0</v>
      </c>
      <c r="ER57">
        <v>210</v>
      </c>
      <c r="ES57">
        <v>210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52"/>
        <v>0</v>
      </c>
      <c r="FS57">
        <v>0</v>
      </c>
      <c r="FX57">
        <v>70</v>
      </c>
      <c r="FY57">
        <v>10</v>
      </c>
      <c r="GA57" t="s">
        <v>3</v>
      </c>
      <c r="GD57">
        <v>0</v>
      </c>
      <c r="GF57">
        <v>462942439</v>
      </c>
      <c r="GG57">
        <v>2</v>
      </c>
      <c r="GH57">
        <v>1</v>
      </c>
      <c r="GI57">
        <v>-2</v>
      </c>
      <c r="GJ57">
        <v>0</v>
      </c>
      <c r="GK57">
        <f>ROUND(R57*(R12)/100,2)</f>
        <v>0</v>
      </c>
      <c r="GL57">
        <f t="shared" si="53"/>
        <v>0</v>
      </c>
      <c r="GM57">
        <f t="shared" si="54"/>
        <v>210</v>
      </c>
      <c r="GN57">
        <f t="shared" si="55"/>
        <v>0</v>
      </c>
      <c r="GO57">
        <f t="shared" si="56"/>
        <v>0</v>
      </c>
      <c r="GP57">
        <f t="shared" si="57"/>
        <v>210</v>
      </c>
      <c r="GR57">
        <v>0</v>
      </c>
      <c r="GS57">
        <v>3</v>
      </c>
      <c r="GT57">
        <v>0</v>
      </c>
      <c r="GU57" t="s">
        <v>3</v>
      </c>
      <c r="GV57">
        <f t="shared" si="58"/>
        <v>0</v>
      </c>
      <c r="GW57">
        <v>1</v>
      </c>
      <c r="GX57">
        <f t="shared" si="59"/>
        <v>0</v>
      </c>
      <c r="HA57">
        <v>0</v>
      </c>
      <c r="HB57">
        <v>0</v>
      </c>
      <c r="HC57">
        <f t="shared" si="60"/>
        <v>0</v>
      </c>
      <c r="IK57">
        <v>0</v>
      </c>
    </row>
    <row r="58" spans="1:245" x14ac:dyDescent="0.2">
      <c r="A58">
        <v>18</v>
      </c>
      <c r="B58">
        <v>1</v>
      </c>
      <c r="C58">
        <v>51</v>
      </c>
      <c r="E58" t="s">
        <v>85</v>
      </c>
      <c r="F58" t="s">
        <v>50</v>
      </c>
      <c r="G58" t="s">
        <v>51</v>
      </c>
      <c r="H58" t="s">
        <v>42</v>
      </c>
      <c r="I58">
        <f>I56*J58</f>
        <v>-0.09</v>
      </c>
      <c r="J58">
        <v>-1</v>
      </c>
      <c r="O58">
        <f t="shared" si="21"/>
        <v>-4791.0200000000004</v>
      </c>
      <c r="P58">
        <f t="shared" si="22"/>
        <v>-4791.0200000000004</v>
      </c>
      <c r="Q58">
        <f t="shared" si="23"/>
        <v>0</v>
      </c>
      <c r="R58">
        <f t="shared" si="24"/>
        <v>0</v>
      </c>
      <c r="S58">
        <f t="shared" si="25"/>
        <v>0</v>
      </c>
      <c r="T58">
        <f t="shared" si="26"/>
        <v>0</v>
      </c>
      <c r="U58">
        <f t="shared" si="27"/>
        <v>0</v>
      </c>
      <c r="V58">
        <f t="shared" si="28"/>
        <v>0</v>
      </c>
      <c r="W58">
        <f t="shared" si="29"/>
        <v>0</v>
      </c>
      <c r="X58">
        <f t="shared" si="30"/>
        <v>0</v>
      </c>
      <c r="Y58">
        <f t="shared" si="31"/>
        <v>0</v>
      </c>
      <c r="AA58">
        <v>42278323</v>
      </c>
      <c r="AB58">
        <f t="shared" si="32"/>
        <v>53233.52</v>
      </c>
      <c r="AC58">
        <f t="shared" si="33"/>
        <v>53233.52</v>
      </c>
      <c r="AD58">
        <f t="shared" si="34"/>
        <v>0</v>
      </c>
      <c r="AE58">
        <f t="shared" si="35"/>
        <v>0</v>
      </c>
      <c r="AF58">
        <f t="shared" si="36"/>
        <v>0</v>
      </c>
      <c r="AG58">
        <f t="shared" si="37"/>
        <v>0</v>
      </c>
      <c r="AH58">
        <f t="shared" si="38"/>
        <v>0</v>
      </c>
      <c r="AI58">
        <f t="shared" si="39"/>
        <v>0</v>
      </c>
      <c r="AJ58">
        <f t="shared" si="40"/>
        <v>0</v>
      </c>
      <c r="AK58">
        <v>53233.52</v>
      </c>
      <c r="AL58">
        <v>53233.52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70</v>
      </c>
      <c r="AU58">
        <v>10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D58" t="s">
        <v>3</v>
      </c>
      <c r="BE58" t="s">
        <v>3</v>
      </c>
      <c r="BF58" t="s">
        <v>3</v>
      </c>
      <c r="BG58" t="s">
        <v>3</v>
      </c>
      <c r="BH58">
        <v>3</v>
      </c>
      <c r="BI58">
        <v>4</v>
      </c>
      <c r="BJ58" t="s">
        <v>52</v>
      </c>
      <c r="BM58">
        <v>0</v>
      </c>
      <c r="BN58">
        <v>0</v>
      </c>
      <c r="BO58" t="s">
        <v>3</v>
      </c>
      <c r="BP58">
        <v>0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70</v>
      </c>
      <c r="CA58">
        <v>10</v>
      </c>
      <c r="CE58">
        <v>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41"/>
        <v>-4791.0200000000004</v>
      </c>
      <c r="CQ58">
        <f t="shared" si="42"/>
        <v>53233.52</v>
      </c>
      <c r="CR58">
        <f t="shared" si="43"/>
        <v>0</v>
      </c>
      <c r="CS58">
        <f t="shared" si="44"/>
        <v>0</v>
      </c>
      <c r="CT58">
        <f t="shared" si="45"/>
        <v>0</v>
      </c>
      <c r="CU58">
        <f t="shared" si="46"/>
        <v>0</v>
      </c>
      <c r="CV58">
        <f t="shared" si="47"/>
        <v>0</v>
      </c>
      <c r="CW58">
        <f t="shared" si="48"/>
        <v>0</v>
      </c>
      <c r="CX58">
        <f t="shared" si="49"/>
        <v>0</v>
      </c>
      <c r="CY58">
        <f t="shared" si="50"/>
        <v>0</v>
      </c>
      <c r="CZ58">
        <f t="shared" si="51"/>
        <v>0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1009</v>
      </c>
      <c r="DV58" t="s">
        <v>42</v>
      </c>
      <c r="DW58" t="s">
        <v>42</v>
      </c>
      <c r="DX58">
        <v>1000</v>
      </c>
      <c r="EE58">
        <v>40658659</v>
      </c>
      <c r="EF58">
        <v>1</v>
      </c>
      <c r="EG58" t="s">
        <v>23</v>
      </c>
      <c r="EH58">
        <v>0</v>
      </c>
      <c r="EI58" t="s">
        <v>3</v>
      </c>
      <c r="EJ58">
        <v>4</v>
      </c>
      <c r="EK58">
        <v>0</v>
      </c>
      <c r="EL58" t="s">
        <v>24</v>
      </c>
      <c r="EM58" t="s">
        <v>25</v>
      </c>
      <c r="EO58" t="s">
        <v>3</v>
      </c>
      <c r="EQ58">
        <v>32768</v>
      </c>
      <c r="ER58">
        <v>53233.52</v>
      </c>
      <c r="ES58">
        <v>53233.52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52"/>
        <v>0</v>
      </c>
      <c r="FS58">
        <v>0</v>
      </c>
      <c r="FX58">
        <v>70</v>
      </c>
      <c r="FY58">
        <v>10</v>
      </c>
      <c r="GA58" t="s">
        <v>3</v>
      </c>
      <c r="GD58">
        <v>0</v>
      </c>
      <c r="GF58">
        <v>588667335</v>
      </c>
      <c r="GG58">
        <v>2</v>
      </c>
      <c r="GH58">
        <v>1</v>
      </c>
      <c r="GI58">
        <v>-2</v>
      </c>
      <c r="GJ58">
        <v>0</v>
      </c>
      <c r="GK58">
        <f>ROUND(R58*(R12)/100,2)</f>
        <v>0</v>
      </c>
      <c r="GL58">
        <f t="shared" si="53"/>
        <v>0</v>
      </c>
      <c r="GM58">
        <f t="shared" si="54"/>
        <v>-4791.0200000000004</v>
      </c>
      <c r="GN58">
        <f t="shared" si="55"/>
        <v>0</v>
      </c>
      <c r="GO58">
        <f t="shared" si="56"/>
        <v>0</v>
      </c>
      <c r="GP58">
        <f t="shared" si="57"/>
        <v>-4791.0200000000004</v>
      </c>
      <c r="GR58">
        <v>0</v>
      </c>
      <c r="GS58">
        <v>3</v>
      </c>
      <c r="GT58">
        <v>0</v>
      </c>
      <c r="GU58" t="s">
        <v>3</v>
      </c>
      <c r="GV58">
        <f t="shared" si="58"/>
        <v>0</v>
      </c>
      <c r="GW58">
        <v>1</v>
      </c>
      <c r="GX58">
        <f t="shared" si="59"/>
        <v>0</v>
      </c>
      <c r="HA58">
        <v>0</v>
      </c>
      <c r="HB58">
        <v>0</v>
      </c>
      <c r="HC58">
        <f t="shared" si="60"/>
        <v>0</v>
      </c>
      <c r="IK58">
        <v>0</v>
      </c>
    </row>
    <row r="59" spans="1:245" x14ac:dyDescent="0.2">
      <c r="A59">
        <v>17</v>
      </c>
      <c r="B59">
        <v>1</v>
      </c>
      <c r="E59" t="s">
        <v>86</v>
      </c>
      <c r="F59" t="s">
        <v>54</v>
      </c>
      <c r="G59" t="s">
        <v>87</v>
      </c>
      <c r="H59" t="s">
        <v>47</v>
      </c>
      <c r="I59">
        <v>1</v>
      </c>
      <c r="J59">
        <v>0</v>
      </c>
      <c r="O59">
        <f t="shared" si="21"/>
        <v>50280.78</v>
      </c>
      <c r="P59">
        <f t="shared" si="22"/>
        <v>50280.78</v>
      </c>
      <c r="Q59">
        <f t="shared" si="23"/>
        <v>0</v>
      </c>
      <c r="R59">
        <f t="shared" si="24"/>
        <v>0</v>
      </c>
      <c r="S59">
        <f t="shared" si="25"/>
        <v>0</v>
      </c>
      <c r="T59">
        <f t="shared" si="26"/>
        <v>0</v>
      </c>
      <c r="U59">
        <f t="shared" si="27"/>
        <v>0</v>
      </c>
      <c r="V59">
        <f t="shared" si="28"/>
        <v>0</v>
      </c>
      <c r="W59">
        <f t="shared" si="29"/>
        <v>0</v>
      </c>
      <c r="X59">
        <f t="shared" si="30"/>
        <v>0</v>
      </c>
      <c r="Y59">
        <f t="shared" si="31"/>
        <v>0</v>
      </c>
      <c r="AA59">
        <v>42278323</v>
      </c>
      <c r="AB59">
        <f t="shared" si="32"/>
        <v>50280.78</v>
      </c>
      <c r="AC59">
        <f t="shared" si="33"/>
        <v>50280.78</v>
      </c>
      <c r="AD59">
        <f t="shared" si="34"/>
        <v>0</v>
      </c>
      <c r="AE59">
        <f t="shared" si="35"/>
        <v>0</v>
      </c>
      <c r="AF59">
        <f t="shared" si="36"/>
        <v>0</v>
      </c>
      <c r="AG59">
        <f t="shared" si="37"/>
        <v>0</v>
      </c>
      <c r="AH59">
        <f t="shared" si="38"/>
        <v>0</v>
      </c>
      <c r="AI59">
        <f t="shared" si="39"/>
        <v>0</v>
      </c>
      <c r="AJ59">
        <f t="shared" si="40"/>
        <v>0</v>
      </c>
      <c r="AK59">
        <v>38634.840000000004</v>
      </c>
      <c r="AL59">
        <v>50280.78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6001</v>
      </c>
      <c r="BN59">
        <v>0</v>
      </c>
      <c r="BO59" t="s">
        <v>3</v>
      </c>
      <c r="BP59">
        <v>0</v>
      </c>
      <c r="BQ59">
        <v>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41"/>
        <v>50280.78</v>
      </c>
      <c r="CQ59">
        <f t="shared" si="42"/>
        <v>50280.78</v>
      </c>
      <c r="CR59">
        <f t="shared" si="43"/>
        <v>0</v>
      </c>
      <c r="CS59">
        <f t="shared" si="44"/>
        <v>0</v>
      </c>
      <c r="CT59">
        <f t="shared" si="45"/>
        <v>0</v>
      </c>
      <c r="CU59">
        <f t="shared" si="46"/>
        <v>0</v>
      </c>
      <c r="CV59">
        <f t="shared" si="47"/>
        <v>0</v>
      </c>
      <c r="CW59">
        <f t="shared" si="48"/>
        <v>0</v>
      </c>
      <c r="CX59">
        <f t="shared" si="49"/>
        <v>0</v>
      </c>
      <c r="CY59">
        <f t="shared" si="50"/>
        <v>0</v>
      </c>
      <c r="CZ59">
        <f t="shared" si="51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47</v>
      </c>
      <c r="DW59" t="s">
        <v>47</v>
      </c>
      <c r="DX59">
        <v>1</v>
      </c>
      <c r="EE59">
        <v>42086242</v>
      </c>
      <c r="EF59">
        <v>0</v>
      </c>
      <c r="EG59" t="s">
        <v>56</v>
      </c>
      <c r="EH59">
        <v>0</v>
      </c>
      <c r="EI59" t="s">
        <v>3</v>
      </c>
      <c r="EJ59">
        <v>1</v>
      </c>
      <c r="EK59">
        <v>6001</v>
      </c>
      <c r="EL59" t="s">
        <v>57</v>
      </c>
      <c r="EM59" t="s">
        <v>56</v>
      </c>
      <c r="EO59" t="s">
        <v>3</v>
      </c>
      <c r="EQ59">
        <v>0</v>
      </c>
      <c r="ER59">
        <v>50280.78</v>
      </c>
      <c r="ES59">
        <v>50280.78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37877.29</v>
      </c>
      <c r="FQ59">
        <v>0</v>
      </c>
      <c r="FR59">
        <f t="shared" si="52"/>
        <v>0</v>
      </c>
      <c r="FS59">
        <v>0</v>
      </c>
      <c r="FX59">
        <v>0</v>
      </c>
      <c r="FY59">
        <v>0</v>
      </c>
      <c r="GA59" t="s">
        <v>88</v>
      </c>
      <c r="GD59">
        <v>0</v>
      </c>
      <c r="GF59">
        <v>976026142</v>
      </c>
      <c r="GG59">
        <v>2</v>
      </c>
      <c r="GH59">
        <v>3</v>
      </c>
      <c r="GI59">
        <v>-2</v>
      </c>
      <c r="GJ59">
        <v>0</v>
      </c>
      <c r="GK59">
        <f>ROUND(R59*(R12)/100,2)</f>
        <v>0</v>
      </c>
      <c r="GL59">
        <f t="shared" si="53"/>
        <v>0</v>
      </c>
      <c r="GM59">
        <f t="shared" si="54"/>
        <v>50280.78</v>
      </c>
      <c r="GN59">
        <f t="shared" si="55"/>
        <v>50280.78</v>
      </c>
      <c r="GO59">
        <f t="shared" si="56"/>
        <v>0</v>
      </c>
      <c r="GP59">
        <f t="shared" si="57"/>
        <v>0</v>
      </c>
      <c r="GR59">
        <v>1</v>
      </c>
      <c r="GS59">
        <v>1</v>
      </c>
      <c r="GT59">
        <v>0</v>
      </c>
      <c r="GU59" t="s">
        <v>3</v>
      </c>
      <c r="GV59">
        <f t="shared" si="58"/>
        <v>0</v>
      </c>
      <c r="GW59">
        <v>1</v>
      </c>
      <c r="GX59">
        <f t="shared" si="59"/>
        <v>0</v>
      </c>
      <c r="HA59">
        <v>0</v>
      </c>
      <c r="HB59">
        <v>0</v>
      </c>
      <c r="HC59">
        <f t="shared" si="60"/>
        <v>0</v>
      </c>
      <c r="IK59">
        <v>0</v>
      </c>
    </row>
    <row r="60" spans="1:245" x14ac:dyDescent="0.2">
      <c r="A60">
        <v>17</v>
      </c>
      <c r="B60">
        <v>1</v>
      </c>
      <c r="D60">
        <f>ROW(EtalonRes!A109)</f>
        <v>109</v>
      </c>
      <c r="E60" t="s">
        <v>89</v>
      </c>
      <c r="F60" t="s">
        <v>19</v>
      </c>
      <c r="G60" t="s">
        <v>20</v>
      </c>
      <c r="H60" t="s">
        <v>21</v>
      </c>
      <c r="I60">
        <f>ROUND(0.7*0.7*1/100,9)</f>
        <v>4.8999999999999998E-3</v>
      </c>
      <c r="J60">
        <v>0</v>
      </c>
      <c r="O60">
        <f t="shared" ref="O60:O93" si="61">ROUND(CP60,2)</f>
        <v>205.56</v>
      </c>
      <c r="P60">
        <f t="shared" ref="P60:P93" si="62">ROUND(CQ60*I60,2)</f>
        <v>0</v>
      </c>
      <c r="Q60">
        <f t="shared" ref="Q60:Q93" si="63">ROUND(CR60*I60,2)</f>
        <v>0</v>
      </c>
      <c r="R60">
        <f t="shared" ref="R60:R93" si="64">ROUND(CS60*I60,2)</f>
        <v>0</v>
      </c>
      <c r="S60">
        <f t="shared" ref="S60:S93" si="65">ROUND(CT60*I60,2)</f>
        <v>205.56</v>
      </c>
      <c r="T60">
        <f t="shared" ref="T60:T93" si="66">ROUND(CU60*I60,2)</f>
        <v>0</v>
      </c>
      <c r="U60">
        <f t="shared" ref="U60:U93" si="67">CV60*I60</f>
        <v>1.0858399999999999</v>
      </c>
      <c r="V60">
        <f t="shared" ref="V60:V93" si="68">CW60*I60</f>
        <v>0</v>
      </c>
      <c r="W60">
        <f t="shared" ref="W60:W93" si="69">ROUND(CX60*I60,2)</f>
        <v>0</v>
      </c>
      <c r="X60">
        <f t="shared" ref="X60:X93" si="70">ROUND(CY60,2)</f>
        <v>143.88999999999999</v>
      </c>
      <c r="Y60">
        <f t="shared" ref="Y60:Y93" si="71">ROUND(CZ60,2)</f>
        <v>20.56</v>
      </c>
      <c r="AA60">
        <v>42278323</v>
      </c>
      <c r="AB60">
        <f t="shared" ref="AB60:AB91" si="72">ROUND((AC60+AD60+AF60),6)</f>
        <v>41951.1</v>
      </c>
      <c r="AC60">
        <f t="shared" ref="AC60:AC93" si="73">ROUND((ES60),6)</f>
        <v>0</v>
      </c>
      <c r="AD60">
        <f t="shared" ref="AD60:AD91" si="74">ROUND((((ET60)-(EU60))+AE60),6)</f>
        <v>0</v>
      </c>
      <c r="AE60">
        <f t="shared" ref="AE60:AE93" si="75">ROUND((EU60),6)</f>
        <v>0</v>
      </c>
      <c r="AF60">
        <f t="shared" ref="AF60:AF93" si="76">ROUND((EV60),6)</f>
        <v>41951.1</v>
      </c>
      <c r="AG60">
        <f t="shared" ref="AG60:AG93" si="77">ROUND((AP60),6)</f>
        <v>0</v>
      </c>
      <c r="AH60">
        <f t="shared" ref="AH60:AH93" si="78">(EW60)</f>
        <v>221.6</v>
      </c>
      <c r="AI60">
        <f t="shared" ref="AI60:AI93" si="79">(EX60)</f>
        <v>0</v>
      </c>
      <c r="AJ60">
        <f t="shared" ref="AJ60:AJ93" si="80">(AS60)</f>
        <v>0</v>
      </c>
      <c r="AK60">
        <v>41951.1</v>
      </c>
      <c r="AL60">
        <v>0</v>
      </c>
      <c r="AM60">
        <v>0</v>
      </c>
      <c r="AN60">
        <v>0</v>
      </c>
      <c r="AO60">
        <v>41951.1</v>
      </c>
      <c r="AP60">
        <v>0</v>
      </c>
      <c r="AQ60">
        <v>221.6</v>
      </c>
      <c r="AR60">
        <v>0</v>
      </c>
      <c r="AS60">
        <v>0</v>
      </c>
      <c r="AT60">
        <v>70</v>
      </c>
      <c r="AU60">
        <v>10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D60" t="s">
        <v>3</v>
      </c>
      <c r="BE60" t="s">
        <v>3</v>
      </c>
      <c r="BF60" t="s">
        <v>3</v>
      </c>
      <c r="BG60" t="s">
        <v>3</v>
      </c>
      <c r="BH60">
        <v>0</v>
      </c>
      <c r="BI60">
        <v>4</v>
      </c>
      <c r="BJ60" t="s">
        <v>22</v>
      </c>
      <c r="BM60">
        <v>0</v>
      </c>
      <c r="BN60">
        <v>0</v>
      </c>
      <c r="BO60" t="s">
        <v>3</v>
      </c>
      <c r="BP60">
        <v>0</v>
      </c>
      <c r="BQ60">
        <v>1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70</v>
      </c>
      <c r="CA60">
        <v>10</v>
      </c>
      <c r="CE60">
        <v>0</v>
      </c>
      <c r="CF60">
        <v>0</v>
      </c>
      <c r="CG60">
        <v>0</v>
      </c>
      <c r="CM60">
        <v>0</v>
      </c>
      <c r="CN60" t="s">
        <v>3</v>
      </c>
      <c r="CO60">
        <v>0</v>
      </c>
      <c r="CP60">
        <f t="shared" ref="CP60:CP93" si="81">(P60+Q60+S60)</f>
        <v>205.56</v>
      </c>
      <c r="CQ60">
        <f t="shared" ref="CQ60:CQ93" si="82">(AC60*BC60*AW60)</f>
        <v>0</v>
      </c>
      <c r="CR60">
        <f t="shared" ref="CR60:CR93" si="83">((((ET60)*BB60-(EU60)*BS60)+AE60*BS60)*AV60)</f>
        <v>0</v>
      </c>
      <c r="CS60">
        <f t="shared" ref="CS60:CS93" si="84">(AE60*BS60*AV60)</f>
        <v>0</v>
      </c>
      <c r="CT60">
        <f t="shared" ref="CT60:CT93" si="85">(AF60*BA60*AV60)</f>
        <v>41951.1</v>
      </c>
      <c r="CU60">
        <f t="shared" ref="CU60:CU93" si="86">AG60</f>
        <v>0</v>
      </c>
      <c r="CV60">
        <f t="shared" ref="CV60:CV93" si="87">(AH60*AV60)</f>
        <v>221.6</v>
      </c>
      <c r="CW60">
        <f t="shared" ref="CW60:CW93" si="88">AI60</f>
        <v>0</v>
      </c>
      <c r="CX60">
        <f t="shared" ref="CX60:CX93" si="89">AJ60</f>
        <v>0</v>
      </c>
      <c r="CY60">
        <f t="shared" ref="CY60:CY93" si="90">((S60*BZ60)/100)</f>
        <v>143.892</v>
      </c>
      <c r="CZ60">
        <f t="shared" ref="CZ60:CZ93" si="91">((S60*CA60)/100)</f>
        <v>20.555999999999997</v>
      </c>
      <c r="DC60" t="s">
        <v>3</v>
      </c>
      <c r="DD60" t="s">
        <v>3</v>
      </c>
      <c r="DE60" t="s">
        <v>3</v>
      </c>
      <c r="DF60" t="s">
        <v>3</v>
      </c>
      <c r="DG60" t="s">
        <v>3</v>
      </c>
      <c r="DH60" t="s">
        <v>3</v>
      </c>
      <c r="DI60" t="s">
        <v>3</v>
      </c>
      <c r="DJ60" t="s">
        <v>3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1007</v>
      </c>
      <c r="DV60" t="s">
        <v>21</v>
      </c>
      <c r="DW60" t="s">
        <v>21</v>
      </c>
      <c r="DX60">
        <v>100</v>
      </c>
      <c r="EE60">
        <v>40658659</v>
      </c>
      <c r="EF60">
        <v>1</v>
      </c>
      <c r="EG60" t="s">
        <v>23</v>
      </c>
      <c r="EH60">
        <v>0</v>
      </c>
      <c r="EI60" t="s">
        <v>3</v>
      </c>
      <c r="EJ60">
        <v>4</v>
      </c>
      <c r="EK60">
        <v>0</v>
      </c>
      <c r="EL60" t="s">
        <v>24</v>
      </c>
      <c r="EM60" t="s">
        <v>25</v>
      </c>
      <c r="EO60" t="s">
        <v>3</v>
      </c>
      <c r="EQ60">
        <v>0</v>
      </c>
      <c r="ER60">
        <v>41951.1</v>
      </c>
      <c r="ES60">
        <v>0</v>
      </c>
      <c r="ET60">
        <v>0</v>
      </c>
      <c r="EU60">
        <v>0</v>
      </c>
      <c r="EV60">
        <v>41951.1</v>
      </c>
      <c r="EW60">
        <v>221.6</v>
      </c>
      <c r="EX60">
        <v>0</v>
      </c>
      <c r="EY60">
        <v>0</v>
      </c>
      <c r="FQ60">
        <v>0</v>
      </c>
      <c r="FR60">
        <f t="shared" ref="FR60:FR93" si="92">ROUND(IF(AND(BH60=3,BI60=3),P60,0),2)</f>
        <v>0</v>
      </c>
      <c r="FS60">
        <v>0</v>
      </c>
      <c r="FX60">
        <v>70</v>
      </c>
      <c r="FY60">
        <v>10</v>
      </c>
      <c r="GA60" t="s">
        <v>3</v>
      </c>
      <c r="GD60">
        <v>0</v>
      </c>
      <c r="GF60">
        <v>1840361055</v>
      </c>
      <c r="GG60">
        <v>2</v>
      </c>
      <c r="GH60">
        <v>1</v>
      </c>
      <c r="GI60">
        <v>-2</v>
      </c>
      <c r="GJ60">
        <v>0</v>
      </c>
      <c r="GK60">
        <f>ROUND(R60*(R12)/100,2)</f>
        <v>0</v>
      </c>
      <c r="GL60">
        <f t="shared" ref="GL60:GL93" si="93">ROUND(IF(AND(BH60=3,BI60=3,FS60&lt;&gt;0),P60,0),2)</f>
        <v>0</v>
      </c>
      <c r="GM60">
        <f t="shared" ref="GM60:GM93" si="94">ROUND(O60+X60+Y60+GK60,2)+GX60</f>
        <v>370.01</v>
      </c>
      <c r="GN60">
        <f t="shared" ref="GN60:GN93" si="95">IF(OR(BI60=0,BI60=1),ROUND(O60+X60+Y60+GK60,2),0)</f>
        <v>0</v>
      </c>
      <c r="GO60">
        <f t="shared" ref="GO60:GO93" si="96">IF(BI60=2,ROUND(O60+X60+Y60+GK60,2),0)</f>
        <v>0</v>
      </c>
      <c r="GP60">
        <f t="shared" ref="GP60:GP93" si="97">IF(BI60=4,ROUND(O60+X60+Y60+GK60,2)+GX60,0)</f>
        <v>370.01</v>
      </c>
      <c r="GR60">
        <v>0</v>
      </c>
      <c r="GS60">
        <v>3</v>
      </c>
      <c r="GT60">
        <v>0</v>
      </c>
      <c r="GU60" t="s">
        <v>3</v>
      </c>
      <c r="GV60">
        <f t="shared" ref="GV60:GV93" si="98">ROUND((GT60),6)</f>
        <v>0</v>
      </c>
      <c r="GW60">
        <v>1</v>
      </c>
      <c r="GX60">
        <f t="shared" ref="GX60:GX93" si="99">ROUND(HC60*I60,2)</f>
        <v>0</v>
      </c>
      <c r="HA60">
        <v>0</v>
      </c>
      <c r="HB60">
        <v>0</v>
      </c>
      <c r="HC60">
        <f t="shared" ref="HC60:HC93" si="100">GV60*GW60</f>
        <v>0</v>
      </c>
      <c r="IK60">
        <v>0</v>
      </c>
    </row>
    <row r="61" spans="1:245" x14ac:dyDescent="0.2">
      <c r="A61">
        <v>17</v>
      </c>
      <c r="B61">
        <v>1</v>
      </c>
      <c r="C61">
        <f>ROW(SmtRes!A58)</f>
        <v>58</v>
      </c>
      <c r="D61">
        <f>ROW(EtalonRes!A115)</f>
        <v>115</v>
      </c>
      <c r="E61" t="s">
        <v>90</v>
      </c>
      <c r="F61" t="s">
        <v>27</v>
      </c>
      <c r="G61" t="s">
        <v>28</v>
      </c>
      <c r="H61" t="s">
        <v>29</v>
      </c>
      <c r="I61">
        <f>ROUND(0.7*0.7*0.1,9)</f>
        <v>4.9000000000000002E-2</v>
      </c>
      <c r="J61">
        <v>0</v>
      </c>
      <c r="O61">
        <f t="shared" si="61"/>
        <v>50.58</v>
      </c>
      <c r="P61">
        <f t="shared" si="62"/>
        <v>32.1</v>
      </c>
      <c r="Q61">
        <f t="shared" si="63"/>
        <v>10.32</v>
      </c>
      <c r="R61">
        <f t="shared" si="64"/>
        <v>6.08</v>
      </c>
      <c r="S61">
        <f t="shared" si="65"/>
        <v>8.16</v>
      </c>
      <c r="T61">
        <f t="shared" si="66"/>
        <v>0</v>
      </c>
      <c r="U61">
        <f t="shared" si="67"/>
        <v>4.41E-2</v>
      </c>
      <c r="V61">
        <f t="shared" si="68"/>
        <v>0</v>
      </c>
      <c r="W61">
        <f t="shared" si="69"/>
        <v>0</v>
      </c>
      <c r="X61">
        <f t="shared" si="70"/>
        <v>5.71</v>
      </c>
      <c r="Y61">
        <f t="shared" si="71"/>
        <v>0.82</v>
      </c>
      <c r="AA61">
        <v>42278323</v>
      </c>
      <c r="AB61">
        <f t="shared" si="72"/>
        <v>1032.3499999999999</v>
      </c>
      <c r="AC61">
        <f t="shared" si="73"/>
        <v>655.15</v>
      </c>
      <c r="AD61">
        <f t="shared" si="74"/>
        <v>210.68</v>
      </c>
      <c r="AE61">
        <f t="shared" si="75"/>
        <v>124.16</v>
      </c>
      <c r="AF61">
        <f t="shared" si="76"/>
        <v>166.52</v>
      </c>
      <c r="AG61">
        <f t="shared" si="77"/>
        <v>0</v>
      </c>
      <c r="AH61">
        <f t="shared" si="78"/>
        <v>0.9</v>
      </c>
      <c r="AI61">
        <f t="shared" si="79"/>
        <v>0</v>
      </c>
      <c r="AJ61">
        <f t="shared" si="80"/>
        <v>0</v>
      </c>
      <c r="AK61">
        <v>1032.3499999999999</v>
      </c>
      <c r="AL61">
        <v>655.15</v>
      </c>
      <c r="AM61">
        <v>210.68</v>
      </c>
      <c r="AN61">
        <v>124.16</v>
      </c>
      <c r="AO61">
        <v>166.52</v>
      </c>
      <c r="AP61">
        <v>0</v>
      </c>
      <c r="AQ61">
        <v>0.9</v>
      </c>
      <c r="AR61">
        <v>0</v>
      </c>
      <c r="AS61">
        <v>0</v>
      </c>
      <c r="AT61">
        <v>70</v>
      </c>
      <c r="AU61">
        <v>10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30</v>
      </c>
      <c r="BM61">
        <v>0</v>
      </c>
      <c r="BN61">
        <v>0</v>
      </c>
      <c r="BO61" t="s">
        <v>3</v>
      </c>
      <c r="BP61">
        <v>0</v>
      </c>
      <c r="BQ61">
        <v>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70</v>
      </c>
      <c r="CA61">
        <v>10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81"/>
        <v>50.58</v>
      </c>
      <c r="CQ61">
        <f t="shared" si="82"/>
        <v>655.15</v>
      </c>
      <c r="CR61">
        <f t="shared" si="83"/>
        <v>210.68</v>
      </c>
      <c r="CS61">
        <f t="shared" si="84"/>
        <v>124.16</v>
      </c>
      <c r="CT61">
        <f t="shared" si="85"/>
        <v>166.52</v>
      </c>
      <c r="CU61">
        <f t="shared" si="86"/>
        <v>0</v>
      </c>
      <c r="CV61">
        <f t="shared" si="87"/>
        <v>0.9</v>
      </c>
      <c r="CW61">
        <f t="shared" si="88"/>
        <v>0</v>
      </c>
      <c r="CX61">
        <f t="shared" si="89"/>
        <v>0</v>
      </c>
      <c r="CY61">
        <f t="shared" si="90"/>
        <v>5.7120000000000006</v>
      </c>
      <c r="CZ61">
        <f t="shared" si="91"/>
        <v>0.81599999999999995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1007</v>
      </c>
      <c r="DV61" t="s">
        <v>29</v>
      </c>
      <c r="DW61" t="s">
        <v>29</v>
      </c>
      <c r="DX61">
        <v>1</v>
      </c>
      <c r="EE61">
        <v>40658659</v>
      </c>
      <c r="EF61">
        <v>1</v>
      </c>
      <c r="EG61" t="s">
        <v>23</v>
      </c>
      <c r="EH61">
        <v>0</v>
      </c>
      <c r="EI61" t="s">
        <v>3</v>
      </c>
      <c r="EJ61">
        <v>4</v>
      </c>
      <c r="EK61">
        <v>0</v>
      </c>
      <c r="EL61" t="s">
        <v>24</v>
      </c>
      <c r="EM61" t="s">
        <v>25</v>
      </c>
      <c r="EO61" t="s">
        <v>3</v>
      </c>
      <c r="EQ61">
        <v>0</v>
      </c>
      <c r="ER61">
        <v>1032.3499999999999</v>
      </c>
      <c r="ES61">
        <v>655.15</v>
      </c>
      <c r="ET61">
        <v>210.68</v>
      </c>
      <c r="EU61">
        <v>124.16</v>
      </c>
      <c r="EV61">
        <v>166.52</v>
      </c>
      <c r="EW61">
        <v>0.9</v>
      </c>
      <c r="EX61">
        <v>0</v>
      </c>
      <c r="EY61">
        <v>0</v>
      </c>
      <c r="FQ61">
        <v>0</v>
      </c>
      <c r="FR61">
        <f t="shared" si="92"/>
        <v>0</v>
      </c>
      <c r="FS61">
        <v>0</v>
      </c>
      <c r="FX61">
        <v>70</v>
      </c>
      <c r="FY61">
        <v>10</v>
      </c>
      <c r="GA61" t="s">
        <v>3</v>
      </c>
      <c r="GD61">
        <v>0</v>
      </c>
      <c r="GF61">
        <v>-1061108837</v>
      </c>
      <c r="GG61">
        <v>2</v>
      </c>
      <c r="GH61">
        <v>1</v>
      </c>
      <c r="GI61">
        <v>-2</v>
      </c>
      <c r="GJ61">
        <v>0</v>
      </c>
      <c r="GK61">
        <f>ROUND(R61*(R12)/100,2)</f>
        <v>6.57</v>
      </c>
      <c r="GL61">
        <f t="shared" si="93"/>
        <v>0</v>
      </c>
      <c r="GM61">
        <f t="shared" si="94"/>
        <v>63.68</v>
      </c>
      <c r="GN61">
        <f t="shared" si="95"/>
        <v>0</v>
      </c>
      <c r="GO61">
        <f t="shared" si="96"/>
        <v>0</v>
      </c>
      <c r="GP61">
        <f t="shared" si="97"/>
        <v>63.68</v>
      </c>
      <c r="GR61">
        <v>0</v>
      </c>
      <c r="GS61">
        <v>3</v>
      </c>
      <c r="GT61">
        <v>0</v>
      </c>
      <c r="GU61" t="s">
        <v>3</v>
      </c>
      <c r="GV61">
        <f t="shared" si="98"/>
        <v>0</v>
      </c>
      <c r="GW61">
        <v>1</v>
      </c>
      <c r="GX61">
        <f t="shared" si="99"/>
        <v>0</v>
      </c>
      <c r="HA61">
        <v>0</v>
      </c>
      <c r="HB61">
        <v>0</v>
      </c>
      <c r="HC61">
        <f t="shared" si="100"/>
        <v>0</v>
      </c>
      <c r="IK61">
        <v>0</v>
      </c>
    </row>
    <row r="62" spans="1:245" x14ac:dyDescent="0.2">
      <c r="A62">
        <v>17</v>
      </c>
      <c r="B62">
        <v>1</v>
      </c>
      <c r="C62">
        <f>ROW(SmtRes!A64)</f>
        <v>64</v>
      </c>
      <c r="D62">
        <f>ROW(EtalonRes!A121)</f>
        <v>121</v>
      </c>
      <c r="E62" t="s">
        <v>91</v>
      </c>
      <c r="F62" t="s">
        <v>32</v>
      </c>
      <c r="G62" t="s">
        <v>33</v>
      </c>
      <c r="H62" t="s">
        <v>29</v>
      </c>
      <c r="I62">
        <f>ROUND(0.7*0.7*0.2,9)</f>
        <v>9.8000000000000004E-2</v>
      </c>
      <c r="J62">
        <v>0</v>
      </c>
      <c r="O62">
        <f t="shared" si="61"/>
        <v>202.23</v>
      </c>
      <c r="P62">
        <f t="shared" si="62"/>
        <v>162.41</v>
      </c>
      <c r="Q62">
        <f t="shared" si="63"/>
        <v>22.05</v>
      </c>
      <c r="R62">
        <f t="shared" si="64"/>
        <v>13.24</v>
      </c>
      <c r="S62">
        <f t="shared" si="65"/>
        <v>17.77</v>
      </c>
      <c r="T62">
        <f t="shared" si="66"/>
        <v>0</v>
      </c>
      <c r="U62">
        <f t="shared" si="67"/>
        <v>9.604E-2</v>
      </c>
      <c r="V62">
        <f t="shared" si="68"/>
        <v>0</v>
      </c>
      <c r="W62">
        <f t="shared" si="69"/>
        <v>0</v>
      </c>
      <c r="X62">
        <f t="shared" si="70"/>
        <v>12.44</v>
      </c>
      <c r="Y62">
        <f t="shared" si="71"/>
        <v>1.78</v>
      </c>
      <c r="AA62">
        <v>42278323</v>
      </c>
      <c r="AB62">
        <f t="shared" si="72"/>
        <v>2063.5700000000002</v>
      </c>
      <c r="AC62">
        <f t="shared" si="73"/>
        <v>1657.26</v>
      </c>
      <c r="AD62">
        <f t="shared" si="74"/>
        <v>224.99</v>
      </c>
      <c r="AE62">
        <f t="shared" si="75"/>
        <v>135.08000000000001</v>
      </c>
      <c r="AF62">
        <f t="shared" si="76"/>
        <v>181.32</v>
      </c>
      <c r="AG62">
        <f t="shared" si="77"/>
        <v>0</v>
      </c>
      <c r="AH62">
        <f t="shared" si="78"/>
        <v>0.98</v>
      </c>
      <c r="AI62">
        <f t="shared" si="79"/>
        <v>0</v>
      </c>
      <c r="AJ62">
        <f t="shared" si="80"/>
        <v>0</v>
      </c>
      <c r="AK62">
        <v>2063.5700000000002</v>
      </c>
      <c r="AL62">
        <v>1657.26</v>
      </c>
      <c r="AM62">
        <v>224.99</v>
      </c>
      <c r="AN62">
        <v>135.08000000000001</v>
      </c>
      <c r="AO62">
        <v>181.32</v>
      </c>
      <c r="AP62">
        <v>0</v>
      </c>
      <c r="AQ62">
        <v>0.98</v>
      </c>
      <c r="AR62">
        <v>0</v>
      </c>
      <c r="AS62">
        <v>0</v>
      </c>
      <c r="AT62">
        <v>70</v>
      </c>
      <c r="AU62">
        <v>10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D62" t="s">
        <v>3</v>
      </c>
      <c r="BE62" t="s">
        <v>3</v>
      </c>
      <c r="BF62" t="s">
        <v>3</v>
      </c>
      <c r="BG62" t="s">
        <v>3</v>
      </c>
      <c r="BH62">
        <v>0</v>
      </c>
      <c r="BI62">
        <v>4</v>
      </c>
      <c r="BJ62" t="s">
        <v>34</v>
      </c>
      <c r="BM62">
        <v>0</v>
      </c>
      <c r="BN62">
        <v>0</v>
      </c>
      <c r="BO62" t="s">
        <v>3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70</v>
      </c>
      <c r="CA62">
        <v>10</v>
      </c>
      <c r="CE62">
        <v>0</v>
      </c>
      <c r="CF62">
        <v>0</v>
      </c>
      <c r="CG62">
        <v>0</v>
      </c>
      <c r="CM62">
        <v>0</v>
      </c>
      <c r="CN62" t="s">
        <v>3</v>
      </c>
      <c r="CO62">
        <v>0</v>
      </c>
      <c r="CP62">
        <f t="shared" si="81"/>
        <v>202.23000000000002</v>
      </c>
      <c r="CQ62">
        <f t="shared" si="82"/>
        <v>1657.26</v>
      </c>
      <c r="CR62">
        <f t="shared" si="83"/>
        <v>224.99</v>
      </c>
      <c r="CS62">
        <f t="shared" si="84"/>
        <v>135.08000000000001</v>
      </c>
      <c r="CT62">
        <f t="shared" si="85"/>
        <v>181.32</v>
      </c>
      <c r="CU62">
        <f t="shared" si="86"/>
        <v>0</v>
      </c>
      <c r="CV62">
        <f t="shared" si="87"/>
        <v>0.98</v>
      </c>
      <c r="CW62">
        <f t="shared" si="88"/>
        <v>0</v>
      </c>
      <c r="CX62">
        <f t="shared" si="89"/>
        <v>0</v>
      </c>
      <c r="CY62">
        <f t="shared" si="90"/>
        <v>12.438999999999998</v>
      </c>
      <c r="CZ62">
        <f t="shared" si="91"/>
        <v>1.7769999999999999</v>
      </c>
      <c r="DC62" t="s">
        <v>3</v>
      </c>
      <c r="DD62" t="s">
        <v>3</v>
      </c>
      <c r="DE62" t="s">
        <v>3</v>
      </c>
      <c r="DF62" t="s">
        <v>3</v>
      </c>
      <c r="DG62" t="s">
        <v>3</v>
      </c>
      <c r="DH62" t="s">
        <v>3</v>
      </c>
      <c r="DI62" t="s">
        <v>3</v>
      </c>
      <c r="DJ62" t="s">
        <v>3</v>
      </c>
      <c r="DK62" t="s">
        <v>3</v>
      </c>
      <c r="DL62" t="s">
        <v>3</v>
      </c>
      <c r="DM62" t="s">
        <v>3</v>
      </c>
      <c r="DN62">
        <v>0</v>
      </c>
      <c r="DO62">
        <v>0</v>
      </c>
      <c r="DP62">
        <v>1</v>
      </c>
      <c r="DQ62">
        <v>1</v>
      </c>
      <c r="DU62">
        <v>1007</v>
      </c>
      <c r="DV62" t="s">
        <v>29</v>
      </c>
      <c r="DW62" t="s">
        <v>29</v>
      </c>
      <c r="DX62">
        <v>1</v>
      </c>
      <c r="EE62">
        <v>40658659</v>
      </c>
      <c r="EF62">
        <v>1</v>
      </c>
      <c r="EG62" t="s">
        <v>23</v>
      </c>
      <c r="EH62">
        <v>0</v>
      </c>
      <c r="EI62" t="s">
        <v>3</v>
      </c>
      <c r="EJ62">
        <v>4</v>
      </c>
      <c r="EK62">
        <v>0</v>
      </c>
      <c r="EL62" t="s">
        <v>24</v>
      </c>
      <c r="EM62" t="s">
        <v>25</v>
      </c>
      <c r="EO62" t="s">
        <v>3</v>
      </c>
      <c r="EQ62">
        <v>0</v>
      </c>
      <c r="ER62">
        <v>2063.5700000000002</v>
      </c>
      <c r="ES62">
        <v>1657.26</v>
      </c>
      <c r="ET62">
        <v>224.99</v>
      </c>
      <c r="EU62">
        <v>135.08000000000001</v>
      </c>
      <c r="EV62">
        <v>181.32</v>
      </c>
      <c r="EW62">
        <v>0.98</v>
      </c>
      <c r="EX62">
        <v>0</v>
      </c>
      <c r="EY62">
        <v>0</v>
      </c>
      <c r="FQ62">
        <v>0</v>
      </c>
      <c r="FR62">
        <f t="shared" si="92"/>
        <v>0</v>
      </c>
      <c r="FS62">
        <v>0</v>
      </c>
      <c r="FX62">
        <v>70</v>
      </c>
      <c r="FY62">
        <v>10</v>
      </c>
      <c r="GA62" t="s">
        <v>3</v>
      </c>
      <c r="GD62">
        <v>0</v>
      </c>
      <c r="GF62">
        <v>276142894</v>
      </c>
      <c r="GG62">
        <v>2</v>
      </c>
      <c r="GH62">
        <v>1</v>
      </c>
      <c r="GI62">
        <v>-2</v>
      </c>
      <c r="GJ62">
        <v>0</v>
      </c>
      <c r="GK62">
        <f>ROUND(R62*(R12)/100,2)</f>
        <v>14.3</v>
      </c>
      <c r="GL62">
        <f t="shared" si="93"/>
        <v>0</v>
      </c>
      <c r="GM62">
        <f t="shared" si="94"/>
        <v>230.75</v>
      </c>
      <c r="GN62">
        <f t="shared" si="95"/>
        <v>0</v>
      </c>
      <c r="GO62">
        <f t="shared" si="96"/>
        <v>0</v>
      </c>
      <c r="GP62">
        <f t="shared" si="97"/>
        <v>230.75</v>
      </c>
      <c r="GR62">
        <v>0</v>
      </c>
      <c r="GS62">
        <v>3</v>
      </c>
      <c r="GT62">
        <v>0</v>
      </c>
      <c r="GU62" t="s">
        <v>3</v>
      </c>
      <c r="GV62">
        <f t="shared" si="98"/>
        <v>0</v>
      </c>
      <c r="GW62">
        <v>1</v>
      </c>
      <c r="GX62">
        <f t="shared" si="99"/>
        <v>0</v>
      </c>
      <c r="HA62">
        <v>0</v>
      </c>
      <c r="HB62">
        <v>0</v>
      </c>
      <c r="HC62">
        <f t="shared" si="100"/>
        <v>0</v>
      </c>
      <c r="IK62">
        <v>0</v>
      </c>
    </row>
    <row r="63" spans="1:245" x14ac:dyDescent="0.2">
      <c r="A63">
        <v>17</v>
      </c>
      <c r="B63">
        <v>1</v>
      </c>
      <c r="D63">
        <f>ROW(EtalonRes!A133)</f>
        <v>133</v>
      </c>
      <c r="E63" t="s">
        <v>92</v>
      </c>
      <c r="F63" t="s">
        <v>36</v>
      </c>
      <c r="G63" t="s">
        <v>37</v>
      </c>
      <c r="H63" t="s">
        <v>21</v>
      </c>
      <c r="I63">
        <f>ROUND((0.7*0.7*0.7*1)/100,9)</f>
        <v>3.4299999999999999E-3</v>
      </c>
      <c r="J63">
        <v>0</v>
      </c>
      <c r="O63">
        <f t="shared" si="61"/>
        <v>1638.15</v>
      </c>
      <c r="P63">
        <f t="shared" si="62"/>
        <v>1245.53</v>
      </c>
      <c r="Q63">
        <f t="shared" si="63"/>
        <v>1.88</v>
      </c>
      <c r="R63">
        <f t="shared" si="64"/>
        <v>0.71</v>
      </c>
      <c r="S63">
        <f t="shared" si="65"/>
        <v>390.74</v>
      </c>
      <c r="T63">
        <f t="shared" si="66"/>
        <v>0</v>
      </c>
      <c r="U63">
        <f t="shared" si="67"/>
        <v>1.9328049999999999</v>
      </c>
      <c r="V63">
        <f t="shared" si="68"/>
        <v>0</v>
      </c>
      <c r="W63">
        <f t="shared" si="69"/>
        <v>0</v>
      </c>
      <c r="X63">
        <f t="shared" si="70"/>
        <v>273.52</v>
      </c>
      <c r="Y63">
        <f t="shared" si="71"/>
        <v>39.07</v>
      </c>
      <c r="AA63">
        <v>42278323</v>
      </c>
      <c r="AB63">
        <f t="shared" si="72"/>
        <v>477593.84</v>
      </c>
      <c r="AC63">
        <f t="shared" si="73"/>
        <v>363129.4</v>
      </c>
      <c r="AD63">
        <f t="shared" si="74"/>
        <v>547.28</v>
      </c>
      <c r="AE63">
        <f t="shared" si="75"/>
        <v>206.05</v>
      </c>
      <c r="AF63">
        <f t="shared" si="76"/>
        <v>113917.16</v>
      </c>
      <c r="AG63">
        <f t="shared" si="77"/>
        <v>0</v>
      </c>
      <c r="AH63">
        <f t="shared" si="78"/>
        <v>563.5</v>
      </c>
      <c r="AI63">
        <f t="shared" si="79"/>
        <v>0</v>
      </c>
      <c r="AJ63">
        <f t="shared" si="80"/>
        <v>0</v>
      </c>
      <c r="AK63">
        <v>477593.84</v>
      </c>
      <c r="AL63">
        <v>363129.4</v>
      </c>
      <c r="AM63">
        <v>547.28</v>
      </c>
      <c r="AN63">
        <v>206.05</v>
      </c>
      <c r="AO63">
        <v>113917.16</v>
      </c>
      <c r="AP63">
        <v>0</v>
      </c>
      <c r="AQ63">
        <v>563.5</v>
      </c>
      <c r="AR63">
        <v>0</v>
      </c>
      <c r="AS63">
        <v>0</v>
      </c>
      <c r="AT63">
        <v>70</v>
      </c>
      <c r="AU63">
        <v>10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38</v>
      </c>
      <c r="BM63">
        <v>0</v>
      </c>
      <c r="BN63">
        <v>0</v>
      </c>
      <c r="BO63" t="s">
        <v>3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70</v>
      </c>
      <c r="CA63">
        <v>10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81"/>
        <v>1638.15</v>
      </c>
      <c r="CQ63">
        <f t="shared" si="82"/>
        <v>363129.4</v>
      </c>
      <c r="CR63">
        <f t="shared" si="83"/>
        <v>547.28</v>
      </c>
      <c r="CS63">
        <f t="shared" si="84"/>
        <v>206.05</v>
      </c>
      <c r="CT63">
        <f t="shared" si="85"/>
        <v>113917.16</v>
      </c>
      <c r="CU63">
        <f t="shared" si="86"/>
        <v>0</v>
      </c>
      <c r="CV63">
        <f t="shared" si="87"/>
        <v>563.5</v>
      </c>
      <c r="CW63">
        <f t="shared" si="88"/>
        <v>0</v>
      </c>
      <c r="CX63">
        <f t="shared" si="89"/>
        <v>0</v>
      </c>
      <c r="CY63">
        <f t="shared" si="90"/>
        <v>273.51799999999997</v>
      </c>
      <c r="CZ63">
        <f t="shared" si="91"/>
        <v>39.073999999999998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21</v>
      </c>
      <c r="DW63" t="s">
        <v>21</v>
      </c>
      <c r="DX63">
        <v>100</v>
      </c>
      <c r="EE63">
        <v>40658659</v>
      </c>
      <c r="EF63">
        <v>1</v>
      </c>
      <c r="EG63" t="s">
        <v>23</v>
      </c>
      <c r="EH63">
        <v>0</v>
      </c>
      <c r="EI63" t="s">
        <v>3</v>
      </c>
      <c r="EJ63">
        <v>4</v>
      </c>
      <c r="EK63">
        <v>0</v>
      </c>
      <c r="EL63" t="s">
        <v>24</v>
      </c>
      <c r="EM63" t="s">
        <v>25</v>
      </c>
      <c r="EO63" t="s">
        <v>3</v>
      </c>
      <c r="EQ63">
        <v>0</v>
      </c>
      <c r="ER63">
        <v>477593.84</v>
      </c>
      <c r="ES63">
        <v>363129.4</v>
      </c>
      <c r="ET63">
        <v>547.28</v>
      </c>
      <c r="EU63">
        <v>206.05</v>
      </c>
      <c r="EV63">
        <v>113917.16</v>
      </c>
      <c r="EW63">
        <v>563.5</v>
      </c>
      <c r="EX63">
        <v>0</v>
      </c>
      <c r="EY63">
        <v>0</v>
      </c>
      <c r="FQ63">
        <v>0</v>
      </c>
      <c r="FR63">
        <f t="shared" si="92"/>
        <v>0</v>
      </c>
      <c r="FS63">
        <v>0</v>
      </c>
      <c r="FX63">
        <v>70</v>
      </c>
      <c r="FY63">
        <v>10</v>
      </c>
      <c r="GA63" t="s">
        <v>3</v>
      </c>
      <c r="GD63">
        <v>0</v>
      </c>
      <c r="GF63">
        <v>2142801283</v>
      </c>
      <c r="GG63">
        <v>2</v>
      </c>
      <c r="GH63">
        <v>1</v>
      </c>
      <c r="GI63">
        <v>-2</v>
      </c>
      <c r="GJ63">
        <v>0</v>
      </c>
      <c r="GK63">
        <f>ROUND(R63*(R12)/100,2)</f>
        <v>0.77</v>
      </c>
      <c r="GL63">
        <f t="shared" si="93"/>
        <v>0</v>
      </c>
      <c r="GM63">
        <f t="shared" si="94"/>
        <v>1951.51</v>
      </c>
      <c r="GN63">
        <f t="shared" si="95"/>
        <v>0</v>
      </c>
      <c r="GO63">
        <f t="shared" si="96"/>
        <v>0</v>
      </c>
      <c r="GP63">
        <f t="shared" si="97"/>
        <v>1951.51</v>
      </c>
      <c r="GR63">
        <v>0</v>
      </c>
      <c r="GS63">
        <v>3</v>
      </c>
      <c r="GT63">
        <v>0</v>
      </c>
      <c r="GU63" t="s">
        <v>3</v>
      </c>
      <c r="GV63">
        <f t="shared" si="98"/>
        <v>0</v>
      </c>
      <c r="GW63">
        <v>1</v>
      </c>
      <c r="GX63">
        <f t="shared" si="99"/>
        <v>0</v>
      </c>
      <c r="HA63">
        <v>0</v>
      </c>
      <c r="HB63">
        <v>0</v>
      </c>
      <c r="HC63">
        <f t="shared" si="100"/>
        <v>0</v>
      </c>
      <c r="IK63">
        <v>0</v>
      </c>
    </row>
    <row r="64" spans="1:245" x14ac:dyDescent="0.2">
      <c r="A64">
        <v>17</v>
      </c>
      <c r="B64">
        <v>1</v>
      </c>
      <c r="C64">
        <f>ROW(SmtRes!A66)</f>
        <v>66</v>
      </c>
      <c r="D64">
        <f>ROW(EtalonRes!A135)</f>
        <v>135</v>
      </c>
      <c r="E64" t="s">
        <v>93</v>
      </c>
      <c r="F64" t="s">
        <v>40</v>
      </c>
      <c r="G64" t="s">
        <v>41</v>
      </c>
      <c r="H64" t="s">
        <v>42</v>
      </c>
      <c r="I64">
        <v>0.105</v>
      </c>
      <c r="J64">
        <v>0</v>
      </c>
      <c r="O64">
        <f t="shared" si="61"/>
        <v>10950.52</v>
      </c>
      <c r="P64">
        <f t="shared" si="62"/>
        <v>5589.52</v>
      </c>
      <c r="Q64">
        <f t="shared" si="63"/>
        <v>0</v>
      </c>
      <c r="R64">
        <f t="shared" si="64"/>
        <v>0</v>
      </c>
      <c r="S64">
        <f t="shared" si="65"/>
        <v>5361</v>
      </c>
      <c r="T64">
        <f t="shared" si="66"/>
        <v>0</v>
      </c>
      <c r="U64">
        <f t="shared" si="67"/>
        <v>23.908499999999997</v>
      </c>
      <c r="V64">
        <f t="shared" si="68"/>
        <v>0</v>
      </c>
      <c r="W64">
        <f t="shared" si="69"/>
        <v>0</v>
      </c>
      <c r="X64">
        <f t="shared" si="70"/>
        <v>3752.7</v>
      </c>
      <c r="Y64">
        <f t="shared" si="71"/>
        <v>536.1</v>
      </c>
      <c r="AA64">
        <v>42278323</v>
      </c>
      <c r="AB64">
        <f t="shared" si="72"/>
        <v>104290.69</v>
      </c>
      <c r="AC64">
        <f t="shared" si="73"/>
        <v>53233.52</v>
      </c>
      <c r="AD64">
        <f t="shared" si="74"/>
        <v>0</v>
      </c>
      <c r="AE64">
        <f t="shared" si="75"/>
        <v>0</v>
      </c>
      <c r="AF64">
        <f t="shared" si="76"/>
        <v>51057.17</v>
      </c>
      <c r="AG64">
        <f t="shared" si="77"/>
        <v>0</v>
      </c>
      <c r="AH64">
        <f t="shared" si="78"/>
        <v>227.7</v>
      </c>
      <c r="AI64">
        <f t="shared" si="79"/>
        <v>0</v>
      </c>
      <c r="AJ64">
        <f t="shared" si="80"/>
        <v>0</v>
      </c>
      <c r="AK64">
        <v>104290.69</v>
      </c>
      <c r="AL64">
        <v>53233.52</v>
      </c>
      <c r="AM64">
        <v>0</v>
      </c>
      <c r="AN64">
        <v>0</v>
      </c>
      <c r="AO64">
        <v>51057.17</v>
      </c>
      <c r="AP64">
        <v>0</v>
      </c>
      <c r="AQ64">
        <v>227.7</v>
      </c>
      <c r="AR64">
        <v>0</v>
      </c>
      <c r="AS64">
        <v>0</v>
      </c>
      <c r="AT64">
        <v>70</v>
      </c>
      <c r="AU64">
        <v>10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D64" t="s">
        <v>3</v>
      </c>
      <c r="BE64" t="s">
        <v>3</v>
      </c>
      <c r="BF64" t="s">
        <v>3</v>
      </c>
      <c r="BG64" t="s">
        <v>3</v>
      </c>
      <c r="BH64">
        <v>0</v>
      </c>
      <c r="BI64">
        <v>4</v>
      </c>
      <c r="BJ64" t="s">
        <v>43</v>
      </c>
      <c r="BM64">
        <v>0</v>
      </c>
      <c r="BN64">
        <v>0</v>
      </c>
      <c r="BO64" t="s">
        <v>3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70</v>
      </c>
      <c r="CA64">
        <v>10</v>
      </c>
      <c r="CE64">
        <v>0</v>
      </c>
      <c r="CF64">
        <v>0</v>
      </c>
      <c r="CG64">
        <v>0</v>
      </c>
      <c r="CM64">
        <v>0</v>
      </c>
      <c r="CN64" t="s">
        <v>3</v>
      </c>
      <c r="CO64">
        <v>0</v>
      </c>
      <c r="CP64">
        <f t="shared" si="81"/>
        <v>10950.52</v>
      </c>
      <c r="CQ64">
        <f t="shared" si="82"/>
        <v>53233.52</v>
      </c>
      <c r="CR64">
        <f t="shared" si="83"/>
        <v>0</v>
      </c>
      <c r="CS64">
        <f t="shared" si="84"/>
        <v>0</v>
      </c>
      <c r="CT64">
        <f t="shared" si="85"/>
        <v>51057.17</v>
      </c>
      <c r="CU64">
        <f t="shared" si="86"/>
        <v>0</v>
      </c>
      <c r="CV64">
        <f t="shared" si="87"/>
        <v>227.7</v>
      </c>
      <c r="CW64">
        <f t="shared" si="88"/>
        <v>0</v>
      </c>
      <c r="CX64">
        <f t="shared" si="89"/>
        <v>0</v>
      </c>
      <c r="CY64">
        <f t="shared" si="90"/>
        <v>3752.7</v>
      </c>
      <c r="CZ64">
        <f t="shared" si="91"/>
        <v>536.1</v>
      </c>
      <c r="DC64" t="s">
        <v>3</v>
      </c>
      <c r="DD64" t="s">
        <v>3</v>
      </c>
      <c r="DE64" t="s">
        <v>3</v>
      </c>
      <c r="DF64" t="s">
        <v>3</v>
      </c>
      <c r="DG64" t="s">
        <v>3</v>
      </c>
      <c r="DH64" t="s">
        <v>3</v>
      </c>
      <c r="DI64" t="s">
        <v>3</v>
      </c>
      <c r="DJ64" t="s">
        <v>3</v>
      </c>
      <c r="DK64" t="s">
        <v>3</v>
      </c>
      <c r="DL64" t="s">
        <v>3</v>
      </c>
      <c r="DM64" t="s">
        <v>3</v>
      </c>
      <c r="DN64">
        <v>0</v>
      </c>
      <c r="DO64">
        <v>0</v>
      </c>
      <c r="DP64">
        <v>1</v>
      </c>
      <c r="DQ64">
        <v>1</v>
      </c>
      <c r="DU64">
        <v>1009</v>
      </c>
      <c r="DV64" t="s">
        <v>42</v>
      </c>
      <c r="DW64" t="s">
        <v>42</v>
      </c>
      <c r="DX64">
        <v>1000</v>
      </c>
      <c r="EE64">
        <v>40658659</v>
      </c>
      <c r="EF64">
        <v>1</v>
      </c>
      <c r="EG64" t="s">
        <v>23</v>
      </c>
      <c r="EH64">
        <v>0</v>
      </c>
      <c r="EI64" t="s">
        <v>3</v>
      </c>
      <c r="EJ64">
        <v>4</v>
      </c>
      <c r="EK64">
        <v>0</v>
      </c>
      <c r="EL64" t="s">
        <v>24</v>
      </c>
      <c r="EM64" t="s">
        <v>25</v>
      </c>
      <c r="EO64" t="s">
        <v>3</v>
      </c>
      <c r="EQ64">
        <v>0</v>
      </c>
      <c r="ER64">
        <v>104290.69</v>
      </c>
      <c r="ES64">
        <v>53233.52</v>
      </c>
      <c r="ET64">
        <v>0</v>
      </c>
      <c r="EU64">
        <v>0</v>
      </c>
      <c r="EV64">
        <v>51057.17</v>
      </c>
      <c r="EW64">
        <v>227.7</v>
      </c>
      <c r="EX64">
        <v>0</v>
      </c>
      <c r="EY64">
        <v>0</v>
      </c>
      <c r="FQ64">
        <v>0</v>
      </c>
      <c r="FR64">
        <f t="shared" si="92"/>
        <v>0</v>
      </c>
      <c r="FS64">
        <v>0</v>
      </c>
      <c r="FX64">
        <v>70</v>
      </c>
      <c r="FY64">
        <v>10</v>
      </c>
      <c r="GA64" t="s">
        <v>3</v>
      </c>
      <c r="GD64">
        <v>0</v>
      </c>
      <c r="GF64">
        <v>-423032956</v>
      </c>
      <c r="GG64">
        <v>2</v>
      </c>
      <c r="GH64">
        <v>1</v>
      </c>
      <c r="GI64">
        <v>-2</v>
      </c>
      <c r="GJ64">
        <v>0</v>
      </c>
      <c r="GK64">
        <f>ROUND(R64*(R12)/100,2)</f>
        <v>0</v>
      </c>
      <c r="GL64">
        <f t="shared" si="93"/>
        <v>0</v>
      </c>
      <c r="GM64">
        <f t="shared" si="94"/>
        <v>15239.32</v>
      </c>
      <c r="GN64">
        <f t="shared" si="95"/>
        <v>0</v>
      </c>
      <c r="GO64">
        <f t="shared" si="96"/>
        <v>0</v>
      </c>
      <c r="GP64">
        <f t="shared" si="97"/>
        <v>15239.32</v>
      </c>
      <c r="GR64">
        <v>0</v>
      </c>
      <c r="GS64">
        <v>3</v>
      </c>
      <c r="GT64">
        <v>0</v>
      </c>
      <c r="GU64" t="s">
        <v>3</v>
      </c>
      <c r="GV64">
        <f t="shared" si="98"/>
        <v>0</v>
      </c>
      <c r="GW64">
        <v>1</v>
      </c>
      <c r="GX64">
        <f t="shared" si="99"/>
        <v>0</v>
      </c>
      <c r="HA64">
        <v>0</v>
      </c>
      <c r="HB64">
        <v>0</v>
      </c>
      <c r="HC64">
        <f t="shared" si="100"/>
        <v>0</v>
      </c>
      <c r="IK64">
        <v>0</v>
      </c>
    </row>
    <row r="65" spans="1:245" x14ac:dyDescent="0.2">
      <c r="A65">
        <v>18</v>
      </c>
      <c r="B65">
        <v>1</v>
      </c>
      <c r="C65">
        <v>66</v>
      </c>
      <c r="E65" t="s">
        <v>94</v>
      </c>
      <c r="F65" t="s">
        <v>45</v>
      </c>
      <c r="G65" t="s">
        <v>46</v>
      </c>
      <c r="H65" t="s">
        <v>47</v>
      </c>
      <c r="I65">
        <f>I64*J65</f>
        <v>1</v>
      </c>
      <c r="J65">
        <v>9.5238095238095237</v>
      </c>
      <c r="O65">
        <f t="shared" si="61"/>
        <v>210</v>
      </c>
      <c r="P65">
        <f t="shared" si="62"/>
        <v>210</v>
      </c>
      <c r="Q65">
        <f t="shared" si="63"/>
        <v>0</v>
      </c>
      <c r="R65">
        <f t="shared" si="64"/>
        <v>0</v>
      </c>
      <c r="S65">
        <f t="shared" si="65"/>
        <v>0</v>
      </c>
      <c r="T65">
        <f t="shared" si="66"/>
        <v>0</v>
      </c>
      <c r="U65">
        <f t="shared" si="67"/>
        <v>0</v>
      </c>
      <c r="V65">
        <f t="shared" si="68"/>
        <v>0</v>
      </c>
      <c r="W65">
        <f t="shared" si="69"/>
        <v>0</v>
      </c>
      <c r="X65">
        <f t="shared" si="70"/>
        <v>0</v>
      </c>
      <c r="Y65">
        <f t="shared" si="71"/>
        <v>0</v>
      </c>
      <c r="AA65">
        <v>42278323</v>
      </c>
      <c r="AB65">
        <f t="shared" si="72"/>
        <v>210</v>
      </c>
      <c r="AC65">
        <f t="shared" si="73"/>
        <v>210</v>
      </c>
      <c r="AD65">
        <f t="shared" si="74"/>
        <v>0</v>
      </c>
      <c r="AE65">
        <f t="shared" si="75"/>
        <v>0</v>
      </c>
      <c r="AF65">
        <f t="shared" si="76"/>
        <v>0</v>
      </c>
      <c r="AG65">
        <f t="shared" si="77"/>
        <v>0</v>
      </c>
      <c r="AH65">
        <f t="shared" si="78"/>
        <v>0</v>
      </c>
      <c r="AI65">
        <f t="shared" si="79"/>
        <v>0</v>
      </c>
      <c r="AJ65">
        <f t="shared" si="80"/>
        <v>0</v>
      </c>
      <c r="AK65">
        <v>210</v>
      </c>
      <c r="AL65">
        <v>210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70</v>
      </c>
      <c r="AU65">
        <v>10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4</v>
      </c>
      <c r="BJ65" t="s">
        <v>48</v>
      </c>
      <c r="BM65">
        <v>0</v>
      </c>
      <c r="BN65">
        <v>0</v>
      </c>
      <c r="BO65" t="s">
        <v>3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70</v>
      </c>
      <c r="CA65">
        <v>10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81"/>
        <v>210</v>
      </c>
      <c r="CQ65">
        <f t="shared" si="82"/>
        <v>210</v>
      </c>
      <c r="CR65">
        <f t="shared" si="83"/>
        <v>0</v>
      </c>
      <c r="CS65">
        <f t="shared" si="84"/>
        <v>0</v>
      </c>
      <c r="CT65">
        <f t="shared" si="85"/>
        <v>0</v>
      </c>
      <c r="CU65">
        <f t="shared" si="86"/>
        <v>0</v>
      </c>
      <c r="CV65">
        <f t="shared" si="87"/>
        <v>0</v>
      </c>
      <c r="CW65">
        <f t="shared" si="88"/>
        <v>0</v>
      </c>
      <c r="CX65">
        <f t="shared" si="89"/>
        <v>0</v>
      </c>
      <c r="CY65">
        <f t="shared" si="90"/>
        <v>0</v>
      </c>
      <c r="CZ65">
        <f t="shared" si="91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47</v>
      </c>
      <c r="DW65" t="s">
        <v>47</v>
      </c>
      <c r="DX65">
        <v>1</v>
      </c>
      <c r="EE65">
        <v>40658659</v>
      </c>
      <c r="EF65">
        <v>1</v>
      </c>
      <c r="EG65" t="s">
        <v>23</v>
      </c>
      <c r="EH65">
        <v>0</v>
      </c>
      <c r="EI65" t="s">
        <v>3</v>
      </c>
      <c r="EJ65">
        <v>4</v>
      </c>
      <c r="EK65">
        <v>0</v>
      </c>
      <c r="EL65" t="s">
        <v>24</v>
      </c>
      <c r="EM65" t="s">
        <v>25</v>
      </c>
      <c r="EO65" t="s">
        <v>3</v>
      </c>
      <c r="EQ65">
        <v>0</v>
      </c>
      <c r="ER65">
        <v>210</v>
      </c>
      <c r="ES65">
        <v>210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92"/>
        <v>0</v>
      </c>
      <c r="FS65">
        <v>0</v>
      </c>
      <c r="FX65">
        <v>70</v>
      </c>
      <c r="FY65">
        <v>10</v>
      </c>
      <c r="GA65" t="s">
        <v>3</v>
      </c>
      <c r="GD65">
        <v>0</v>
      </c>
      <c r="GF65">
        <v>462942439</v>
      </c>
      <c r="GG65">
        <v>2</v>
      </c>
      <c r="GH65">
        <v>1</v>
      </c>
      <c r="GI65">
        <v>-2</v>
      </c>
      <c r="GJ65">
        <v>0</v>
      </c>
      <c r="GK65">
        <f>ROUND(R65*(R12)/100,2)</f>
        <v>0</v>
      </c>
      <c r="GL65">
        <f t="shared" si="93"/>
        <v>0</v>
      </c>
      <c r="GM65">
        <f t="shared" si="94"/>
        <v>210</v>
      </c>
      <c r="GN65">
        <f t="shared" si="95"/>
        <v>0</v>
      </c>
      <c r="GO65">
        <f t="shared" si="96"/>
        <v>0</v>
      </c>
      <c r="GP65">
        <f t="shared" si="97"/>
        <v>210</v>
      </c>
      <c r="GR65">
        <v>0</v>
      </c>
      <c r="GS65">
        <v>3</v>
      </c>
      <c r="GT65">
        <v>0</v>
      </c>
      <c r="GU65" t="s">
        <v>3</v>
      </c>
      <c r="GV65">
        <f t="shared" si="98"/>
        <v>0</v>
      </c>
      <c r="GW65">
        <v>1</v>
      </c>
      <c r="GX65">
        <f t="shared" si="99"/>
        <v>0</v>
      </c>
      <c r="HA65">
        <v>0</v>
      </c>
      <c r="HB65">
        <v>0</v>
      </c>
      <c r="HC65">
        <f t="shared" si="100"/>
        <v>0</v>
      </c>
      <c r="IK65">
        <v>0</v>
      </c>
    </row>
    <row r="66" spans="1:245" x14ac:dyDescent="0.2">
      <c r="A66">
        <v>18</v>
      </c>
      <c r="B66">
        <v>1</v>
      </c>
      <c r="C66">
        <v>65</v>
      </c>
      <c r="E66" t="s">
        <v>95</v>
      </c>
      <c r="F66" t="s">
        <v>50</v>
      </c>
      <c r="G66" t="s">
        <v>51</v>
      </c>
      <c r="H66" t="s">
        <v>42</v>
      </c>
      <c r="I66">
        <f>I64*J66</f>
        <v>-0.105</v>
      </c>
      <c r="J66">
        <v>-1</v>
      </c>
      <c r="O66">
        <f t="shared" si="61"/>
        <v>-5589.52</v>
      </c>
      <c r="P66">
        <f t="shared" si="62"/>
        <v>-5589.52</v>
      </c>
      <c r="Q66">
        <f t="shared" si="63"/>
        <v>0</v>
      </c>
      <c r="R66">
        <f t="shared" si="64"/>
        <v>0</v>
      </c>
      <c r="S66">
        <f t="shared" si="65"/>
        <v>0</v>
      </c>
      <c r="T66">
        <f t="shared" si="66"/>
        <v>0</v>
      </c>
      <c r="U66">
        <f t="shared" si="67"/>
        <v>0</v>
      </c>
      <c r="V66">
        <f t="shared" si="68"/>
        <v>0</v>
      </c>
      <c r="W66">
        <f t="shared" si="69"/>
        <v>0</v>
      </c>
      <c r="X66">
        <f t="shared" si="70"/>
        <v>0</v>
      </c>
      <c r="Y66">
        <f t="shared" si="71"/>
        <v>0</v>
      </c>
      <c r="AA66">
        <v>42278323</v>
      </c>
      <c r="AB66">
        <f t="shared" si="72"/>
        <v>53233.52</v>
      </c>
      <c r="AC66">
        <f t="shared" si="73"/>
        <v>53233.52</v>
      </c>
      <c r="AD66">
        <f t="shared" si="74"/>
        <v>0</v>
      </c>
      <c r="AE66">
        <f t="shared" si="75"/>
        <v>0</v>
      </c>
      <c r="AF66">
        <f t="shared" si="76"/>
        <v>0</v>
      </c>
      <c r="AG66">
        <f t="shared" si="77"/>
        <v>0</v>
      </c>
      <c r="AH66">
        <f t="shared" si="78"/>
        <v>0</v>
      </c>
      <c r="AI66">
        <f t="shared" si="79"/>
        <v>0</v>
      </c>
      <c r="AJ66">
        <f t="shared" si="80"/>
        <v>0</v>
      </c>
      <c r="AK66">
        <v>53233.52</v>
      </c>
      <c r="AL66">
        <v>53233.52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70</v>
      </c>
      <c r="AU66">
        <v>10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D66" t="s">
        <v>3</v>
      </c>
      <c r="BE66" t="s">
        <v>3</v>
      </c>
      <c r="BF66" t="s">
        <v>3</v>
      </c>
      <c r="BG66" t="s">
        <v>3</v>
      </c>
      <c r="BH66">
        <v>3</v>
      </c>
      <c r="BI66">
        <v>4</v>
      </c>
      <c r="BJ66" t="s">
        <v>52</v>
      </c>
      <c r="BM66">
        <v>0</v>
      </c>
      <c r="BN66">
        <v>0</v>
      </c>
      <c r="BO66" t="s">
        <v>3</v>
      </c>
      <c r="BP66">
        <v>0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70</v>
      </c>
      <c r="CA66">
        <v>10</v>
      </c>
      <c r="CE66">
        <v>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81"/>
        <v>-5589.52</v>
      </c>
      <c r="CQ66">
        <f t="shared" si="82"/>
        <v>53233.52</v>
      </c>
      <c r="CR66">
        <f t="shared" si="83"/>
        <v>0</v>
      </c>
      <c r="CS66">
        <f t="shared" si="84"/>
        <v>0</v>
      </c>
      <c r="CT66">
        <f t="shared" si="85"/>
        <v>0</v>
      </c>
      <c r="CU66">
        <f t="shared" si="86"/>
        <v>0</v>
      </c>
      <c r="CV66">
        <f t="shared" si="87"/>
        <v>0</v>
      </c>
      <c r="CW66">
        <f t="shared" si="88"/>
        <v>0</v>
      </c>
      <c r="CX66">
        <f t="shared" si="89"/>
        <v>0</v>
      </c>
      <c r="CY66">
        <f t="shared" si="90"/>
        <v>0</v>
      </c>
      <c r="CZ66">
        <f t="shared" si="91"/>
        <v>0</v>
      </c>
      <c r="DC66" t="s">
        <v>3</v>
      </c>
      <c r="DD66" t="s">
        <v>3</v>
      </c>
      <c r="DE66" t="s">
        <v>3</v>
      </c>
      <c r="DF66" t="s">
        <v>3</v>
      </c>
      <c r="DG66" t="s">
        <v>3</v>
      </c>
      <c r="DH66" t="s">
        <v>3</v>
      </c>
      <c r="DI66" t="s">
        <v>3</v>
      </c>
      <c r="DJ66" t="s">
        <v>3</v>
      </c>
      <c r="DK66" t="s">
        <v>3</v>
      </c>
      <c r="DL66" t="s">
        <v>3</v>
      </c>
      <c r="DM66" t="s">
        <v>3</v>
      </c>
      <c r="DN66">
        <v>0</v>
      </c>
      <c r="DO66">
        <v>0</v>
      </c>
      <c r="DP66">
        <v>1</v>
      </c>
      <c r="DQ66">
        <v>1</v>
      </c>
      <c r="DU66">
        <v>1009</v>
      </c>
      <c r="DV66" t="s">
        <v>42</v>
      </c>
      <c r="DW66" t="s">
        <v>42</v>
      </c>
      <c r="DX66">
        <v>1000</v>
      </c>
      <c r="EE66">
        <v>40658659</v>
      </c>
      <c r="EF66">
        <v>1</v>
      </c>
      <c r="EG66" t="s">
        <v>23</v>
      </c>
      <c r="EH66">
        <v>0</v>
      </c>
      <c r="EI66" t="s">
        <v>3</v>
      </c>
      <c r="EJ66">
        <v>4</v>
      </c>
      <c r="EK66">
        <v>0</v>
      </c>
      <c r="EL66" t="s">
        <v>24</v>
      </c>
      <c r="EM66" t="s">
        <v>25</v>
      </c>
      <c r="EO66" t="s">
        <v>3</v>
      </c>
      <c r="EQ66">
        <v>32768</v>
      </c>
      <c r="ER66">
        <v>53233.52</v>
      </c>
      <c r="ES66">
        <v>53233.52</v>
      </c>
      <c r="ET66">
        <v>0</v>
      </c>
      <c r="EU66">
        <v>0</v>
      </c>
      <c r="EV66">
        <v>0</v>
      </c>
      <c r="EW66">
        <v>0</v>
      </c>
      <c r="EX66">
        <v>0</v>
      </c>
      <c r="FQ66">
        <v>0</v>
      </c>
      <c r="FR66">
        <f t="shared" si="92"/>
        <v>0</v>
      </c>
      <c r="FS66">
        <v>0</v>
      </c>
      <c r="FX66">
        <v>70</v>
      </c>
      <c r="FY66">
        <v>10</v>
      </c>
      <c r="GA66" t="s">
        <v>3</v>
      </c>
      <c r="GD66">
        <v>0</v>
      </c>
      <c r="GF66">
        <v>588667335</v>
      </c>
      <c r="GG66">
        <v>2</v>
      </c>
      <c r="GH66">
        <v>1</v>
      </c>
      <c r="GI66">
        <v>-2</v>
      </c>
      <c r="GJ66">
        <v>0</v>
      </c>
      <c r="GK66">
        <f>ROUND(R66*(R12)/100,2)</f>
        <v>0</v>
      </c>
      <c r="GL66">
        <f t="shared" si="93"/>
        <v>0</v>
      </c>
      <c r="GM66">
        <f t="shared" si="94"/>
        <v>-5589.52</v>
      </c>
      <c r="GN66">
        <f t="shared" si="95"/>
        <v>0</v>
      </c>
      <c r="GO66">
        <f t="shared" si="96"/>
        <v>0</v>
      </c>
      <c r="GP66">
        <f t="shared" si="97"/>
        <v>-5589.52</v>
      </c>
      <c r="GR66">
        <v>0</v>
      </c>
      <c r="GS66">
        <v>3</v>
      </c>
      <c r="GT66">
        <v>0</v>
      </c>
      <c r="GU66" t="s">
        <v>3</v>
      </c>
      <c r="GV66">
        <f t="shared" si="98"/>
        <v>0</v>
      </c>
      <c r="GW66">
        <v>1</v>
      </c>
      <c r="GX66">
        <f t="shared" si="99"/>
        <v>0</v>
      </c>
      <c r="HA66">
        <v>0</v>
      </c>
      <c r="HB66">
        <v>0</v>
      </c>
      <c r="HC66">
        <f t="shared" si="100"/>
        <v>0</v>
      </c>
      <c r="IK66">
        <v>0</v>
      </c>
    </row>
    <row r="67" spans="1:245" x14ac:dyDescent="0.2">
      <c r="A67">
        <v>17</v>
      </c>
      <c r="B67">
        <v>1</v>
      </c>
      <c r="E67" t="s">
        <v>96</v>
      </c>
      <c r="F67" t="s">
        <v>54</v>
      </c>
      <c r="G67" t="s">
        <v>97</v>
      </c>
      <c r="H67" t="s">
        <v>47</v>
      </c>
      <c r="I67">
        <v>1</v>
      </c>
      <c r="J67">
        <v>0</v>
      </c>
      <c r="O67">
        <f t="shared" si="61"/>
        <v>58973.55</v>
      </c>
      <c r="P67">
        <f t="shared" si="62"/>
        <v>58973.55</v>
      </c>
      <c r="Q67">
        <f t="shared" si="63"/>
        <v>0</v>
      </c>
      <c r="R67">
        <f t="shared" si="64"/>
        <v>0</v>
      </c>
      <c r="S67">
        <f t="shared" si="65"/>
        <v>0</v>
      </c>
      <c r="T67">
        <f t="shared" si="66"/>
        <v>0</v>
      </c>
      <c r="U67">
        <f t="shared" si="67"/>
        <v>0</v>
      </c>
      <c r="V67">
        <f t="shared" si="68"/>
        <v>0</v>
      </c>
      <c r="W67">
        <f t="shared" si="69"/>
        <v>0</v>
      </c>
      <c r="X67">
        <f t="shared" si="70"/>
        <v>0</v>
      </c>
      <c r="Y67">
        <f t="shared" si="71"/>
        <v>0</v>
      </c>
      <c r="AA67">
        <v>42278323</v>
      </c>
      <c r="AB67">
        <f t="shared" si="72"/>
        <v>58973.55</v>
      </c>
      <c r="AC67">
        <f t="shared" si="73"/>
        <v>58973.55</v>
      </c>
      <c r="AD67">
        <f t="shared" si="74"/>
        <v>0</v>
      </c>
      <c r="AE67">
        <f t="shared" si="75"/>
        <v>0</v>
      </c>
      <c r="AF67">
        <f t="shared" si="76"/>
        <v>0</v>
      </c>
      <c r="AG67">
        <f t="shared" si="77"/>
        <v>0</v>
      </c>
      <c r="AH67">
        <f t="shared" si="78"/>
        <v>0</v>
      </c>
      <c r="AI67">
        <f t="shared" si="79"/>
        <v>0</v>
      </c>
      <c r="AJ67">
        <f t="shared" si="80"/>
        <v>0</v>
      </c>
      <c r="AK67">
        <v>45723.880000000005</v>
      </c>
      <c r="AL67">
        <v>58973.55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6001</v>
      </c>
      <c r="BN67">
        <v>0</v>
      </c>
      <c r="BO67" t="s">
        <v>3</v>
      </c>
      <c r="BP67">
        <v>0</v>
      </c>
      <c r="BQ67">
        <v>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81"/>
        <v>58973.55</v>
      </c>
      <c r="CQ67">
        <f t="shared" si="82"/>
        <v>58973.55</v>
      </c>
      <c r="CR67">
        <f t="shared" si="83"/>
        <v>0</v>
      </c>
      <c r="CS67">
        <f t="shared" si="84"/>
        <v>0</v>
      </c>
      <c r="CT67">
        <f t="shared" si="85"/>
        <v>0</v>
      </c>
      <c r="CU67">
        <f t="shared" si="86"/>
        <v>0</v>
      </c>
      <c r="CV67">
        <f t="shared" si="87"/>
        <v>0</v>
      </c>
      <c r="CW67">
        <f t="shared" si="88"/>
        <v>0</v>
      </c>
      <c r="CX67">
        <f t="shared" si="89"/>
        <v>0</v>
      </c>
      <c r="CY67">
        <f t="shared" si="90"/>
        <v>0</v>
      </c>
      <c r="CZ67">
        <f t="shared" si="91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47</v>
      </c>
      <c r="DW67" t="s">
        <v>47</v>
      </c>
      <c r="DX67">
        <v>1</v>
      </c>
      <c r="EE67">
        <v>42086242</v>
      </c>
      <c r="EF67">
        <v>0</v>
      </c>
      <c r="EG67" t="s">
        <v>56</v>
      </c>
      <c r="EH67">
        <v>0</v>
      </c>
      <c r="EI67" t="s">
        <v>3</v>
      </c>
      <c r="EJ67">
        <v>1</v>
      </c>
      <c r="EK67">
        <v>6001</v>
      </c>
      <c r="EL67" t="s">
        <v>57</v>
      </c>
      <c r="EM67" t="s">
        <v>56</v>
      </c>
      <c r="EO67" t="s">
        <v>3</v>
      </c>
      <c r="EQ67">
        <v>0</v>
      </c>
      <c r="ER67">
        <v>58973.55</v>
      </c>
      <c r="ES67">
        <v>58973.55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44827.33</v>
      </c>
      <c r="FQ67">
        <v>0</v>
      </c>
      <c r="FR67">
        <f t="shared" si="92"/>
        <v>0</v>
      </c>
      <c r="FS67">
        <v>0</v>
      </c>
      <c r="FX67">
        <v>0</v>
      </c>
      <c r="FY67">
        <v>0</v>
      </c>
      <c r="GA67" t="s">
        <v>98</v>
      </c>
      <c r="GD67">
        <v>0</v>
      </c>
      <c r="GF67">
        <v>1380680051</v>
      </c>
      <c r="GG67">
        <v>2</v>
      </c>
      <c r="GH67">
        <v>3</v>
      </c>
      <c r="GI67">
        <v>-2</v>
      </c>
      <c r="GJ67">
        <v>0</v>
      </c>
      <c r="GK67">
        <f>ROUND(R67*(R12)/100,2)</f>
        <v>0</v>
      </c>
      <c r="GL67">
        <f t="shared" si="93"/>
        <v>0</v>
      </c>
      <c r="GM67">
        <f t="shared" si="94"/>
        <v>58973.55</v>
      </c>
      <c r="GN67">
        <f t="shared" si="95"/>
        <v>58973.55</v>
      </c>
      <c r="GO67">
        <f t="shared" si="96"/>
        <v>0</v>
      </c>
      <c r="GP67">
        <f t="shared" si="97"/>
        <v>0</v>
      </c>
      <c r="GR67">
        <v>1</v>
      </c>
      <c r="GS67">
        <v>1</v>
      </c>
      <c r="GT67">
        <v>0</v>
      </c>
      <c r="GU67" t="s">
        <v>3</v>
      </c>
      <c r="GV67">
        <f t="shared" si="98"/>
        <v>0</v>
      </c>
      <c r="GW67">
        <v>1</v>
      </c>
      <c r="GX67">
        <f t="shared" si="99"/>
        <v>0</v>
      </c>
      <c r="HA67">
        <v>0</v>
      </c>
      <c r="HB67">
        <v>0</v>
      </c>
      <c r="HC67">
        <f t="shared" si="100"/>
        <v>0</v>
      </c>
      <c r="IK67">
        <v>0</v>
      </c>
    </row>
    <row r="68" spans="1:245" x14ac:dyDescent="0.2">
      <c r="A68">
        <v>17</v>
      </c>
      <c r="B68">
        <v>1</v>
      </c>
      <c r="D68">
        <f>ROW(EtalonRes!A136)</f>
        <v>136</v>
      </c>
      <c r="E68" t="s">
        <v>99</v>
      </c>
      <c r="F68" t="s">
        <v>19</v>
      </c>
      <c r="G68" t="s">
        <v>20</v>
      </c>
      <c r="H68" t="s">
        <v>21</v>
      </c>
      <c r="I68">
        <f>ROUND(0.7*0.7*1/100,9)</f>
        <v>4.8999999999999998E-3</v>
      </c>
      <c r="J68">
        <v>0</v>
      </c>
      <c r="O68">
        <f t="shared" si="61"/>
        <v>205.56</v>
      </c>
      <c r="P68">
        <f t="shared" si="62"/>
        <v>0</v>
      </c>
      <c r="Q68">
        <f t="shared" si="63"/>
        <v>0</v>
      </c>
      <c r="R68">
        <f t="shared" si="64"/>
        <v>0</v>
      </c>
      <c r="S68">
        <f t="shared" si="65"/>
        <v>205.56</v>
      </c>
      <c r="T68">
        <f t="shared" si="66"/>
        <v>0</v>
      </c>
      <c r="U68">
        <f t="shared" si="67"/>
        <v>1.0858399999999999</v>
      </c>
      <c r="V68">
        <f t="shared" si="68"/>
        <v>0</v>
      </c>
      <c r="W68">
        <f t="shared" si="69"/>
        <v>0</v>
      </c>
      <c r="X68">
        <f t="shared" si="70"/>
        <v>143.88999999999999</v>
      </c>
      <c r="Y68">
        <f t="shared" si="71"/>
        <v>20.56</v>
      </c>
      <c r="AA68">
        <v>42278323</v>
      </c>
      <c r="AB68">
        <f t="shared" si="72"/>
        <v>41951.1</v>
      </c>
      <c r="AC68">
        <f t="shared" si="73"/>
        <v>0</v>
      </c>
      <c r="AD68">
        <f t="shared" si="74"/>
        <v>0</v>
      </c>
      <c r="AE68">
        <f t="shared" si="75"/>
        <v>0</v>
      </c>
      <c r="AF68">
        <f t="shared" si="76"/>
        <v>41951.1</v>
      </c>
      <c r="AG68">
        <f t="shared" si="77"/>
        <v>0</v>
      </c>
      <c r="AH68">
        <f t="shared" si="78"/>
        <v>221.6</v>
      </c>
      <c r="AI68">
        <f t="shared" si="79"/>
        <v>0</v>
      </c>
      <c r="AJ68">
        <f t="shared" si="80"/>
        <v>0</v>
      </c>
      <c r="AK68">
        <v>41951.1</v>
      </c>
      <c r="AL68">
        <v>0</v>
      </c>
      <c r="AM68">
        <v>0</v>
      </c>
      <c r="AN68">
        <v>0</v>
      </c>
      <c r="AO68">
        <v>41951.1</v>
      </c>
      <c r="AP68">
        <v>0</v>
      </c>
      <c r="AQ68">
        <v>221.6</v>
      </c>
      <c r="AR68">
        <v>0</v>
      </c>
      <c r="AS68">
        <v>0</v>
      </c>
      <c r="AT68">
        <v>70</v>
      </c>
      <c r="AU68">
        <v>10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D68" t="s">
        <v>3</v>
      </c>
      <c r="BE68" t="s">
        <v>3</v>
      </c>
      <c r="BF68" t="s">
        <v>3</v>
      </c>
      <c r="BG68" t="s">
        <v>3</v>
      </c>
      <c r="BH68">
        <v>0</v>
      </c>
      <c r="BI68">
        <v>4</v>
      </c>
      <c r="BJ68" t="s">
        <v>22</v>
      </c>
      <c r="BM68">
        <v>0</v>
      </c>
      <c r="BN68">
        <v>0</v>
      </c>
      <c r="BO68" t="s">
        <v>3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70</v>
      </c>
      <c r="CA68">
        <v>10</v>
      </c>
      <c r="CE68">
        <v>0</v>
      </c>
      <c r="CF68">
        <v>0</v>
      </c>
      <c r="CG68">
        <v>0</v>
      </c>
      <c r="CM68">
        <v>0</v>
      </c>
      <c r="CN68" t="s">
        <v>3</v>
      </c>
      <c r="CO68">
        <v>0</v>
      </c>
      <c r="CP68">
        <f t="shared" si="81"/>
        <v>205.56</v>
      </c>
      <c r="CQ68">
        <f t="shared" si="82"/>
        <v>0</v>
      </c>
      <c r="CR68">
        <f t="shared" si="83"/>
        <v>0</v>
      </c>
      <c r="CS68">
        <f t="shared" si="84"/>
        <v>0</v>
      </c>
      <c r="CT68">
        <f t="shared" si="85"/>
        <v>41951.1</v>
      </c>
      <c r="CU68">
        <f t="shared" si="86"/>
        <v>0</v>
      </c>
      <c r="CV68">
        <f t="shared" si="87"/>
        <v>221.6</v>
      </c>
      <c r="CW68">
        <f t="shared" si="88"/>
        <v>0</v>
      </c>
      <c r="CX68">
        <f t="shared" si="89"/>
        <v>0</v>
      </c>
      <c r="CY68">
        <f t="shared" si="90"/>
        <v>143.892</v>
      </c>
      <c r="CZ68">
        <f t="shared" si="91"/>
        <v>20.555999999999997</v>
      </c>
      <c r="DC68" t="s">
        <v>3</v>
      </c>
      <c r="DD68" t="s">
        <v>3</v>
      </c>
      <c r="DE68" t="s">
        <v>3</v>
      </c>
      <c r="DF68" t="s">
        <v>3</v>
      </c>
      <c r="DG68" t="s">
        <v>3</v>
      </c>
      <c r="DH68" t="s">
        <v>3</v>
      </c>
      <c r="DI68" t="s">
        <v>3</v>
      </c>
      <c r="DJ68" t="s">
        <v>3</v>
      </c>
      <c r="DK68" t="s">
        <v>3</v>
      </c>
      <c r="DL68" t="s">
        <v>3</v>
      </c>
      <c r="DM68" t="s">
        <v>3</v>
      </c>
      <c r="DN68">
        <v>0</v>
      </c>
      <c r="DO68">
        <v>0</v>
      </c>
      <c r="DP68">
        <v>1</v>
      </c>
      <c r="DQ68">
        <v>1</v>
      </c>
      <c r="DU68">
        <v>1007</v>
      </c>
      <c r="DV68" t="s">
        <v>21</v>
      </c>
      <c r="DW68" t="s">
        <v>21</v>
      </c>
      <c r="DX68">
        <v>100</v>
      </c>
      <c r="EE68">
        <v>40658659</v>
      </c>
      <c r="EF68">
        <v>1</v>
      </c>
      <c r="EG68" t="s">
        <v>23</v>
      </c>
      <c r="EH68">
        <v>0</v>
      </c>
      <c r="EI68" t="s">
        <v>3</v>
      </c>
      <c r="EJ68">
        <v>4</v>
      </c>
      <c r="EK68">
        <v>0</v>
      </c>
      <c r="EL68" t="s">
        <v>24</v>
      </c>
      <c r="EM68" t="s">
        <v>25</v>
      </c>
      <c r="EO68" t="s">
        <v>3</v>
      </c>
      <c r="EQ68">
        <v>0</v>
      </c>
      <c r="ER68">
        <v>41951.1</v>
      </c>
      <c r="ES68">
        <v>0</v>
      </c>
      <c r="ET68">
        <v>0</v>
      </c>
      <c r="EU68">
        <v>0</v>
      </c>
      <c r="EV68">
        <v>41951.1</v>
      </c>
      <c r="EW68">
        <v>221.6</v>
      </c>
      <c r="EX68">
        <v>0</v>
      </c>
      <c r="EY68">
        <v>0</v>
      </c>
      <c r="FQ68">
        <v>0</v>
      </c>
      <c r="FR68">
        <f t="shared" si="92"/>
        <v>0</v>
      </c>
      <c r="FS68">
        <v>0</v>
      </c>
      <c r="FX68">
        <v>70</v>
      </c>
      <c r="FY68">
        <v>10</v>
      </c>
      <c r="GA68" t="s">
        <v>3</v>
      </c>
      <c r="GD68">
        <v>0</v>
      </c>
      <c r="GF68">
        <v>1840361055</v>
      </c>
      <c r="GG68">
        <v>2</v>
      </c>
      <c r="GH68">
        <v>1</v>
      </c>
      <c r="GI68">
        <v>-2</v>
      </c>
      <c r="GJ68">
        <v>0</v>
      </c>
      <c r="GK68">
        <f>ROUND(R68*(R12)/100,2)</f>
        <v>0</v>
      </c>
      <c r="GL68">
        <f t="shared" si="93"/>
        <v>0</v>
      </c>
      <c r="GM68">
        <f t="shared" si="94"/>
        <v>370.01</v>
      </c>
      <c r="GN68">
        <f t="shared" si="95"/>
        <v>0</v>
      </c>
      <c r="GO68">
        <f t="shared" si="96"/>
        <v>0</v>
      </c>
      <c r="GP68">
        <f t="shared" si="97"/>
        <v>370.01</v>
      </c>
      <c r="GR68">
        <v>0</v>
      </c>
      <c r="GS68">
        <v>3</v>
      </c>
      <c r="GT68">
        <v>0</v>
      </c>
      <c r="GU68" t="s">
        <v>3</v>
      </c>
      <c r="GV68">
        <f t="shared" si="98"/>
        <v>0</v>
      </c>
      <c r="GW68">
        <v>1</v>
      </c>
      <c r="GX68">
        <f t="shared" si="99"/>
        <v>0</v>
      </c>
      <c r="HA68">
        <v>0</v>
      </c>
      <c r="HB68">
        <v>0</v>
      </c>
      <c r="HC68">
        <f t="shared" si="100"/>
        <v>0</v>
      </c>
      <c r="IK68">
        <v>0</v>
      </c>
    </row>
    <row r="69" spans="1:245" x14ac:dyDescent="0.2">
      <c r="A69">
        <v>17</v>
      </c>
      <c r="B69">
        <v>1</v>
      </c>
      <c r="C69">
        <f>ROW(SmtRes!A72)</f>
        <v>72</v>
      </c>
      <c r="D69">
        <f>ROW(EtalonRes!A142)</f>
        <v>142</v>
      </c>
      <c r="E69" t="s">
        <v>100</v>
      </c>
      <c r="F69" t="s">
        <v>27</v>
      </c>
      <c r="G69" t="s">
        <v>28</v>
      </c>
      <c r="H69" t="s">
        <v>29</v>
      </c>
      <c r="I69">
        <f>ROUND(0.7*0.7*0.1,9)</f>
        <v>4.9000000000000002E-2</v>
      </c>
      <c r="J69">
        <v>0</v>
      </c>
      <c r="O69">
        <f t="shared" si="61"/>
        <v>50.58</v>
      </c>
      <c r="P69">
        <f t="shared" si="62"/>
        <v>32.1</v>
      </c>
      <c r="Q69">
        <f t="shared" si="63"/>
        <v>10.32</v>
      </c>
      <c r="R69">
        <f t="shared" si="64"/>
        <v>6.08</v>
      </c>
      <c r="S69">
        <f t="shared" si="65"/>
        <v>8.16</v>
      </c>
      <c r="T69">
        <f t="shared" si="66"/>
        <v>0</v>
      </c>
      <c r="U69">
        <f t="shared" si="67"/>
        <v>4.41E-2</v>
      </c>
      <c r="V69">
        <f t="shared" si="68"/>
        <v>0</v>
      </c>
      <c r="W69">
        <f t="shared" si="69"/>
        <v>0</v>
      </c>
      <c r="X69">
        <f t="shared" si="70"/>
        <v>5.71</v>
      </c>
      <c r="Y69">
        <f t="shared" si="71"/>
        <v>0.82</v>
      </c>
      <c r="AA69">
        <v>42278323</v>
      </c>
      <c r="AB69">
        <f t="shared" si="72"/>
        <v>1032.3499999999999</v>
      </c>
      <c r="AC69">
        <f t="shared" si="73"/>
        <v>655.15</v>
      </c>
      <c r="AD69">
        <f t="shared" si="74"/>
        <v>210.68</v>
      </c>
      <c r="AE69">
        <f t="shared" si="75"/>
        <v>124.16</v>
      </c>
      <c r="AF69">
        <f t="shared" si="76"/>
        <v>166.52</v>
      </c>
      <c r="AG69">
        <f t="shared" si="77"/>
        <v>0</v>
      </c>
      <c r="AH69">
        <f t="shared" si="78"/>
        <v>0.9</v>
      </c>
      <c r="AI69">
        <f t="shared" si="79"/>
        <v>0</v>
      </c>
      <c r="AJ69">
        <f t="shared" si="80"/>
        <v>0</v>
      </c>
      <c r="AK69">
        <v>1032.3499999999999</v>
      </c>
      <c r="AL69">
        <v>655.15</v>
      </c>
      <c r="AM69">
        <v>210.68</v>
      </c>
      <c r="AN69">
        <v>124.16</v>
      </c>
      <c r="AO69">
        <v>166.52</v>
      </c>
      <c r="AP69">
        <v>0</v>
      </c>
      <c r="AQ69">
        <v>0.9</v>
      </c>
      <c r="AR69">
        <v>0</v>
      </c>
      <c r="AS69">
        <v>0</v>
      </c>
      <c r="AT69">
        <v>70</v>
      </c>
      <c r="AU69">
        <v>10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4</v>
      </c>
      <c r="BJ69" t="s">
        <v>30</v>
      </c>
      <c r="BM69">
        <v>0</v>
      </c>
      <c r="BN69">
        <v>0</v>
      </c>
      <c r="BO69" t="s">
        <v>3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70</v>
      </c>
      <c r="CA69">
        <v>10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81"/>
        <v>50.58</v>
      </c>
      <c r="CQ69">
        <f t="shared" si="82"/>
        <v>655.15</v>
      </c>
      <c r="CR69">
        <f t="shared" si="83"/>
        <v>210.68</v>
      </c>
      <c r="CS69">
        <f t="shared" si="84"/>
        <v>124.16</v>
      </c>
      <c r="CT69">
        <f t="shared" si="85"/>
        <v>166.52</v>
      </c>
      <c r="CU69">
        <f t="shared" si="86"/>
        <v>0</v>
      </c>
      <c r="CV69">
        <f t="shared" si="87"/>
        <v>0.9</v>
      </c>
      <c r="CW69">
        <f t="shared" si="88"/>
        <v>0</v>
      </c>
      <c r="CX69">
        <f t="shared" si="89"/>
        <v>0</v>
      </c>
      <c r="CY69">
        <f t="shared" si="90"/>
        <v>5.7120000000000006</v>
      </c>
      <c r="CZ69">
        <f t="shared" si="91"/>
        <v>0.81599999999999995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29</v>
      </c>
      <c r="DW69" t="s">
        <v>29</v>
      </c>
      <c r="DX69">
        <v>1</v>
      </c>
      <c r="EE69">
        <v>40658659</v>
      </c>
      <c r="EF69">
        <v>1</v>
      </c>
      <c r="EG69" t="s">
        <v>23</v>
      </c>
      <c r="EH69">
        <v>0</v>
      </c>
      <c r="EI69" t="s">
        <v>3</v>
      </c>
      <c r="EJ69">
        <v>4</v>
      </c>
      <c r="EK69">
        <v>0</v>
      </c>
      <c r="EL69" t="s">
        <v>24</v>
      </c>
      <c r="EM69" t="s">
        <v>25</v>
      </c>
      <c r="EO69" t="s">
        <v>3</v>
      </c>
      <c r="EQ69">
        <v>0</v>
      </c>
      <c r="ER69">
        <v>1032.3499999999999</v>
      </c>
      <c r="ES69">
        <v>655.15</v>
      </c>
      <c r="ET69">
        <v>210.68</v>
      </c>
      <c r="EU69">
        <v>124.16</v>
      </c>
      <c r="EV69">
        <v>166.52</v>
      </c>
      <c r="EW69">
        <v>0.9</v>
      </c>
      <c r="EX69">
        <v>0</v>
      </c>
      <c r="EY69">
        <v>0</v>
      </c>
      <c r="FQ69">
        <v>0</v>
      </c>
      <c r="FR69">
        <f t="shared" si="92"/>
        <v>0</v>
      </c>
      <c r="FS69">
        <v>0</v>
      </c>
      <c r="FX69">
        <v>70</v>
      </c>
      <c r="FY69">
        <v>10</v>
      </c>
      <c r="GA69" t="s">
        <v>3</v>
      </c>
      <c r="GD69">
        <v>0</v>
      </c>
      <c r="GF69">
        <v>-1061108837</v>
      </c>
      <c r="GG69">
        <v>2</v>
      </c>
      <c r="GH69">
        <v>1</v>
      </c>
      <c r="GI69">
        <v>-2</v>
      </c>
      <c r="GJ69">
        <v>0</v>
      </c>
      <c r="GK69">
        <f>ROUND(R69*(R12)/100,2)</f>
        <v>6.57</v>
      </c>
      <c r="GL69">
        <f t="shared" si="93"/>
        <v>0</v>
      </c>
      <c r="GM69">
        <f t="shared" si="94"/>
        <v>63.68</v>
      </c>
      <c r="GN69">
        <f t="shared" si="95"/>
        <v>0</v>
      </c>
      <c r="GO69">
        <f t="shared" si="96"/>
        <v>0</v>
      </c>
      <c r="GP69">
        <f t="shared" si="97"/>
        <v>63.68</v>
      </c>
      <c r="GR69">
        <v>0</v>
      </c>
      <c r="GS69">
        <v>3</v>
      </c>
      <c r="GT69">
        <v>0</v>
      </c>
      <c r="GU69" t="s">
        <v>3</v>
      </c>
      <c r="GV69">
        <f t="shared" si="98"/>
        <v>0</v>
      </c>
      <c r="GW69">
        <v>1</v>
      </c>
      <c r="GX69">
        <f t="shared" si="99"/>
        <v>0</v>
      </c>
      <c r="HA69">
        <v>0</v>
      </c>
      <c r="HB69">
        <v>0</v>
      </c>
      <c r="HC69">
        <f t="shared" si="100"/>
        <v>0</v>
      </c>
      <c r="IK69">
        <v>0</v>
      </c>
    </row>
    <row r="70" spans="1:245" x14ac:dyDescent="0.2">
      <c r="A70">
        <v>17</v>
      </c>
      <c r="B70">
        <v>1</v>
      </c>
      <c r="C70">
        <f>ROW(SmtRes!A78)</f>
        <v>78</v>
      </c>
      <c r="D70">
        <f>ROW(EtalonRes!A148)</f>
        <v>148</v>
      </c>
      <c r="E70" t="s">
        <v>101</v>
      </c>
      <c r="F70" t="s">
        <v>32</v>
      </c>
      <c r="G70" t="s">
        <v>33</v>
      </c>
      <c r="H70" t="s">
        <v>29</v>
      </c>
      <c r="I70">
        <f>ROUND(0.7*0.7*0.2,9)</f>
        <v>9.8000000000000004E-2</v>
      </c>
      <c r="J70">
        <v>0</v>
      </c>
      <c r="O70">
        <f t="shared" si="61"/>
        <v>202.23</v>
      </c>
      <c r="P70">
        <f t="shared" si="62"/>
        <v>162.41</v>
      </c>
      <c r="Q70">
        <f t="shared" si="63"/>
        <v>22.05</v>
      </c>
      <c r="R70">
        <f t="shared" si="64"/>
        <v>13.24</v>
      </c>
      <c r="S70">
        <f t="shared" si="65"/>
        <v>17.77</v>
      </c>
      <c r="T70">
        <f t="shared" si="66"/>
        <v>0</v>
      </c>
      <c r="U70">
        <f t="shared" si="67"/>
        <v>9.604E-2</v>
      </c>
      <c r="V70">
        <f t="shared" si="68"/>
        <v>0</v>
      </c>
      <c r="W70">
        <f t="shared" si="69"/>
        <v>0</v>
      </c>
      <c r="X70">
        <f t="shared" si="70"/>
        <v>12.44</v>
      </c>
      <c r="Y70">
        <f t="shared" si="71"/>
        <v>1.78</v>
      </c>
      <c r="AA70">
        <v>42278323</v>
      </c>
      <c r="AB70">
        <f t="shared" si="72"/>
        <v>2063.5700000000002</v>
      </c>
      <c r="AC70">
        <f t="shared" si="73"/>
        <v>1657.26</v>
      </c>
      <c r="AD70">
        <f t="shared" si="74"/>
        <v>224.99</v>
      </c>
      <c r="AE70">
        <f t="shared" si="75"/>
        <v>135.08000000000001</v>
      </c>
      <c r="AF70">
        <f t="shared" si="76"/>
        <v>181.32</v>
      </c>
      <c r="AG70">
        <f t="shared" si="77"/>
        <v>0</v>
      </c>
      <c r="AH70">
        <f t="shared" si="78"/>
        <v>0.98</v>
      </c>
      <c r="AI70">
        <f t="shared" si="79"/>
        <v>0</v>
      </c>
      <c r="AJ70">
        <f t="shared" si="80"/>
        <v>0</v>
      </c>
      <c r="AK70">
        <v>2063.5700000000002</v>
      </c>
      <c r="AL70">
        <v>1657.26</v>
      </c>
      <c r="AM70">
        <v>224.99</v>
      </c>
      <c r="AN70">
        <v>135.08000000000001</v>
      </c>
      <c r="AO70">
        <v>181.32</v>
      </c>
      <c r="AP70">
        <v>0</v>
      </c>
      <c r="AQ70">
        <v>0.98</v>
      </c>
      <c r="AR70">
        <v>0</v>
      </c>
      <c r="AS70">
        <v>0</v>
      </c>
      <c r="AT70">
        <v>70</v>
      </c>
      <c r="AU70">
        <v>10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4</v>
      </c>
      <c r="BJ70" t="s">
        <v>34</v>
      </c>
      <c r="BM70">
        <v>0</v>
      </c>
      <c r="BN70">
        <v>0</v>
      </c>
      <c r="BO70" t="s">
        <v>3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70</v>
      </c>
      <c r="CA70">
        <v>10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81"/>
        <v>202.23000000000002</v>
      </c>
      <c r="CQ70">
        <f t="shared" si="82"/>
        <v>1657.26</v>
      </c>
      <c r="CR70">
        <f t="shared" si="83"/>
        <v>224.99</v>
      </c>
      <c r="CS70">
        <f t="shared" si="84"/>
        <v>135.08000000000001</v>
      </c>
      <c r="CT70">
        <f t="shared" si="85"/>
        <v>181.32</v>
      </c>
      <c r="CU70">
        <f t="shared" si="86"/>
        <v>0</v>
      </c>
      <c r="CV70">
        <f t="shared" si="87"/>
        <v>0.98</v>
      </c>
      <c r="CW70">
        <f t="shared" si="88"/>
        <v>0</v>
      </c>
      <c r="CX70">
        <f t="shared" si="89"/>
        <v>0</v>
      </c>
      <c r="CY70">
        <f t="shared" si="90"/>
        <v>12.438999999999998</v>
      </c>
      <c r="CZ70">
        <f t="shared" si="91"/>
        <v>1.7769999999999999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1007</v>
      </c>
      <c r="DV70" t="s">
        <v>29</v>
      </c>
      <c r="DW70" t="s">
        <v>29</v>
      </c>
      <c r="DX70">
        <v>1</v>
      </c>
      <c r="EE70">
        <v>40658659</v>
      </c>
      <c r="EF70">
        <v>1</v>
      </c>
      <c r="EG70" t="s">
        <v>23</v>
      </c>
      <c r="EH70">
        <v>0</v>
      </c>
      <c r="EI70" t="s">
        <v>3</v>
      </c>
      <c r="EJ70">
        <v>4</v>
      </c>
      <c r="EK70">
        <v>0</v>
      </c>
      <c r="EL70" t="s">
        <v>24</v>
      </c>
      <c r="EM70" t="s">
        <v>25</v>
      </c>
      <c r="EO70" t="s">
        <v>3</v>
      </c>
      <c r="EQ70">
        <v>0</v>
      </c>
      <c r="ER70">
        <v>2063.5700000000002</v>
      </c>
      <c r="ES70">
        <v>1657.26</v>
      </c>
      <c r="ET70">
        <v>224.99</v>
      </c>
      <c r="EU70">
        <v>135.08000000000001</v>
      </c>
      <c r="EV70">
        <v>181.32</v>
      </c>
      <c r="EW70">
        <v>0.98</v>
      </c>
      <c r="EX70">
        <v>0</v>
      </c>
      <c r="EY70">
        <v>0</v>
      </c>
      <c r="FQ70">
        <v>0</v>
      </c>
      <c r="FR70">
        <f t="shared" si="92"/>
        <v>0</v>
      </c>
      <c r="FS70">
        <v>0</v>
      </c>
      <c r="FX70">
        <v>70</v>
      </c>
      <c r="FY70">
        <v>10</v>
      </c>
      <c r="GA70" t="s">
        <v>3</v>
      </c>
      <c r="GD70">
        <v>0</v>
      </c>
      <c r="GF70">
        <v>276142894</v>
      </c>
      <c r="GG70">
        <v>2</v>
      </c>
      <c r="GH70">
        <v>1</v>
      </c>
      <c r="GI70">
        <v>-2</v>
      </c>
      <c r="GJ70">
        <v>0</v>
      </c>
      <c r="GK70">
        <f>ROUND(R70*(R12)/100,2)</f>
        <v>14.3</v>
      </c>
      <c r="GL70">
        <f t="shared" si="93"/>
        <v>0</v>
      </c>
      <c r="GM70">
        <f t="shared" si="94"/>
        <v>230.75</v>
      </c>
      <c r="GN70">
        <f t="shared" si="95"/>
        <v>0</v>
      </c>
      <c r="GO70">
        <f t="shared" si="96"/>
        <v>0</v>
      </c>
      <c r="GP70">
        <f t="shared" si="97"/>
        <v>230.75</v>
      </c>
      <c r="GR70">
        <v>0</v>
      </c>
      <c r="GS70">
        <v>3</v>
      </c>
      <c r="GT70">
        <v>0</v>
      </c>
      <c r="GU70" t="s">
        <v>3</v>
      </c>
      <c r="GV70">
        <f t="shared" si="98"/>
        <v>0</v>
      </c>
      <c r="GW70">
        <v>1</v>
      </c>
      <c r="GX70">
        <f t="shared" si="99"/>
        <v>0</v>
      </c>
      <c r="HA70">
        <v>0</v>
      </c>
      <c r="HB70">
        <v>0</v>
      </c>
      <c r="HC70">
        <f t="shared" si="100"/>
        <v>0</v>
      </c>
      <c r="IK70">
        <v>0</v>
      </c>
    </row>
    <row r="71" spans="1:245" x14ac:dyDescent="0.2">
      <c r="A71">
        <v>17</v>
      </c>
      <c r="B71">
        <v>1</v>
      </c>
      <c r="D71">
        <f>ROW(EtalonRes!A160)</f>
        <v>160</v>
      </c>
      <c r="E71" t="s">
        <v>102</v>
      </c>
      <c r="F71" t="s">
        <v>36</v>
      </c>
      <c r="G71" t="s">
        <v>37</v>
      </c>
      <c r="H71" t="s">
        <v>21</v>
      </c>
      <c r="I71">
        <f>ROUND((0.7*0.7*0.7*1)/100,9)</f>
        <v>3.4299999999999999E-3</v>
      </c>
      <c r="J71">
        <v>0</v>
      </c>
      <c r="O71">
        <f t="shared" si="61"/>
        <v>1638.15</v>
      </c>
      <c r="P71">
        <f t="shared" si="62"/>
        <v>1245.53</v>
      </c>
      <c r="Q71">
        <f t="shared" si="63"/>
        <v>1.88</v>
      </c>
      <c r="R71">
        <f t="shared" si="64"/>
        <v>0.71</v>
      </c>
      <c r="S71">
        <f t="shared" si="65"/>
        <v>390.74</v>
      </c>
      <c r="T71">
        <f t="shared" si="66"/>
        <v>0</v>
      </c>
      <c r="U71">
        <f t="shared" si="67"/>
        <v>1.9328049999999999</v>
      </c>
      <c r="V71">
        <f t="shared" si="68"/>
        <v>0</v>
      </c>
      <c r="W71">
        <f t="shared" si="69"/>
        <v>0</v>
      </c>
      <c r="X71">
        <f t="shared" si="70"/>
        <v>273.52</v>
      </c>
      <c r="Y71">
        <f t="shared" si="71"/>
        <v>39.07</v>
      </c>
      <c r="AA71">
        <v>42278323</v>
      </c>
      <c r="AB71">
        <f t="shared" si="72"/>
        <v>477593.84</v>
      </c>
      <c r="AC71">
        <f t="shared" si="73"/>
        <v>363129.4</v>
      </c>
      <c r="AD71">
        <f t="shared" si="74"/>
        <v>547.28</v>
      </c>
      <c r="AE71">
        <f t="shared" si="75"/>
        <v>206.05</v>
      </c>
      <c r="AF71">
        <f t="shared" si="76"/>
        <v>113917.16</v>
      </c>
      <c r="AG71">
        <f t="shared" si="77"/>
        <v>0</v>
      </c>
      <c r="AH71">
        <f t="shared" si="78"/>
        <v>563.5</v>
      </c>
      <c r="AI71">
        <f t="shared" si="79"/>
        <v>0</v>
      </c>
      <c r="AJ71">
        <f t="shared" si="80"/>
        <v>0</v>
      </c>
      <c r="AK71">
        <v>477593.84</v>
      </c>
      <c r="AL71">
        <v>363129.4</v>
      </c>
      <c r="AM71">
        <v>547.28</v>
      </c>
      <c r="AN71">
        <v>206.05</v>
      </c>
      <c r="AO71">
        <v>113917.16</v>
      </c>
      <c r="AP71">
        <v>0</v>
      </c>
      <c r="AQ71">
        <v>563.5</v>
      </c>
      <c r="AR71">
        <v>0</v>
      </c>
      <c r="AS71">
        <v>0</v>
      </c>
      <c r="AT71">
        <v>70</v>
      </c>
      <c r="AU71">
        <v>10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4</v>
      </c>
      <c r="BJ71" t="s">
        <v>38</v>
      </c>
      <c r="BM71">
        <v>0</v>
      </c>
      <c r="BN71">
        <v>0</v>
      </c>
      <c r="BO71" t="s">
        <v>3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70</v>
      </c>
      <c r="CA71">
        <v>10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81"/>
        <v>1638.15</v>
      </c>
      <c r="CQ71">
        <f t="shared" si="82"/>
        <v>363129.4</v>
      </c>
      <c r="CR71">
        <f t="shared" si="83"/>
        <v>547.28</v>
      </c>
      <c r="CS71">
        <f t="shared" si="84"/>
        <v>206.05</v>
      </c>
      <c r="CT71">
        <f t="shared" si="85"/>
        <v>113917.16</v>
      </c>
      <c r="CU71">
        <f t="shared" si="86"/>
        <v>0</v>
      </c>
      <c r="CV71">
        <f t="shared" si="87"/>
        <v>563.5</v>
      </c>
      <c r="CW71">
        <f t="shared" si="88"/>
        <v>0</v>
      </c>
      <c r="CX71">
        <f t="shared" si="89"/>
        <v>0</v>
      </c>
      <c r="CY71">
        <f t="shared" si="90"/>
        <v>273.51799999999997</v>
      </c>
      <c r="CZ71">
        <f t="shared" si="91"/>
        <v>39.073999999999998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21</v>
      </c>
      <c r="DW71" t="s">
        <v>21</v>
      </c>
      <c r="DX71">
        <v>100</v>
      </c>
      <c r="EE71">
        <v>40658659</v>
      </c>
      <c r="EF71">
        <v>1</v>
      </c>
      <c r="EG71" t="s">
        <v>23</v>
      </c>
      <c r="EH71">
        <v>0</v>
      </c>
      <c r="EI71" t="s">
        <v>3</v>
      </c>
      <c r="EJ71">
        <v>4</v>
      </c>
      <c r="EK71">
        <v>0</v>
      </c>
      <c r="EL71" t="s">
        <v>24</v>
      </c>
      <c r="EM71" t="s">
        <v>25</v>
      </c>
      <c r="EO71" t="s">
        <v>3</v>
      </c>
      <c r="EQ71">
        <v>0</v>
      </c>
      <c r="ER71">
        <v>477593.84</v>
      </c>
      <c r="ES71">
        <v>363129.4</v>
      </c>
      <c r="ET71">
        <v>547.28</v>
      </c>
      <c r="EU71">
        <v>206.05</v>
      </c>
      <c r="EV71">
        <v>113917.16</v>
      </c>
      <c r="EW71">
        <v>563.5</v>
      </c>
      <c r="EX71">
        <v>0</v>
      </c>
      <c r="EY71">
        <v>0</v>
      </c>
      <c r="FQ71">
        <v>0</v>
      </c>
      <c r="FR71">
        <f t="shared" si="92"/>
        <v>0</v>
      </c>
      <c r="FS71">
        <v>0</v>
      </c>
      <c r="FX71">
        <v>70</v>
      </c>
      <c r="FY71">
        <v>10</v>
      </c>
      <c r="GA71" t="s">
        <v>3</v>
      </c>
      <c r="GD71">
        <v>0</v>
      </c>
      <c r="GF71">
        <v>2142801283</v>
      </c>
      <c r="GG71">
        <v>2</v>
      </c>
      <c r="GH71">
        <v>1</v>
      </c>
      <c r="GI71">
        <v>-2</v>
      </c>
      <c r="GJ71">
        <v>0</v>
      </c>
      <c r="GK71">
        <f>ROUND(R71*(R12)/100,2)</f>
        <v>0.77</v>
      </c>
      <c r="GL71">
        <f t="shared" si="93"/>
        <v>0</v>
      </c>
      <c r="GM71">
        <f t="shared" si="94"/>
        <v>1951.51</v>
      </c>
      <c r="GN71">
        <f t="shared" si="95"/>
        <v>0</v>
      </c>
      <c r="GO71">
        <f t="shared" si="96"/>
        <v>0</v>
      </c>
      <c r="GP71">
        <f t="shared" si="97"/>
        <v>1951.51</v>
      </c>
      <c r="GR71">
        <v>0</v>
      </c>
      <c r="GS71">
        <v>3</v>
      </c>
      <c r="GT71">
        <v>0</v>
      </c>
      <c r="GU71" t="s">
        <v>3</v>
      </c>
      <c r="GV71">
        <f t="shared" si="98"/>
        <v>0</v>
      </c>
      <c r="GW71">
        <v>1</v>
      </c>
      <c r="GX71">
        <f t="shared" si="99"/>
        <v>0</v>
      </c>
      <c r="HA71">
        <v>0</v>
      </c>
      <c r="HB71">
        <v>0</v>
      </c>
      <c r="HC71">
        <f t="shared" si="100"/>
        <v>0</v>
      </c>
      <c r="IK71">
        <v>0</v>
      </c>
    </row>
    <row r="72" spans="1:245" x14ac:dyDescent="0.2">
      <c r="A72">
        <v>17</v>
      </c>
      <c r="B72">
        <v>1</v>
      </c>
      <c r="C72">
        <f>ROW(SmtRes!A80)</f>
        <v>80</v>
      </c>
      <c r="D72">
        <f>ROW(EtalonRes!A162)</f>
        <v>162</v>
      </c>
      <c r="E72" t="s">
        <v>103</v>
      </c>
      <c r="F72" t="s">
        <v>40</v>
      </c>
      <c r="G72" t="s">
        <v>41</v>
      </c>
      <c r="H72" t="s">
        <v>42</v>
      </c>
      <c r="I72">
        <v>7.85E-2</v>
      </c>
      <c r="J72">
        <v>0</v>
      </c>
      <c r="O72">
        <f t="shared" si="61"/>
        <v>8186.82</v>
      </c>
      <c r="P72">
        <f t="shared" si="62"/>
        <v>4178.83</v>
      </c>
      <c r="Q72">
        <f t="shared" si="63"/>
        <v>0</v>
      </c>
      <c r="R72">
        <f t="shared" si="64"/>
        <v>0</v>
      </c>
      <c r="S72">
        <f t="shared" si="65"/>
        <v>4007.99</v>
      </c>
      <c r="T72">
        <f t="shared" si="66"/>
        <v>0</v>
      </c>
      <c r="U72">
        <f t="shared" si="67"/>
        <v>17.87445</v>
      </c>
      <c r="V72">
        <f t="shared" si="68"/>
        <v>0</v>
      </c>
      <c r="W72">
        <f t="shared" si="69"/>
        <v>0</v>
      </c>
      <c r="X72">
        <f t="shared" si="70"/>
        <v>2805.59</v>
      </c>
      <c r="Y72">
        <f t="shared" si="71"/>
        <v>400.8</v>
      </c>
      <c r="AA72">
        <v>42278323</v>
      </c>
      <c r="AB72">
        <f t="shared" si="72"/>
        <v>104290.69</v>
      </c>
      <c r="AC72">
        <f t="shared" si="73"/>
        <v>53233.52</v>
      </c>
      <c r="AD72">
        <f t="shared" si="74"/>
        <v>0</v>
      </c>
      <c r="AE72">
        <f t="shared" si="75"/>
        <v>0</v>
      </c>
      <c r="AF72">
        <f t="shared" si="76"/>
        <v>51057.17</v>
      </c>
      <c r="AG72">
        <f t="shared" si="77"/>
        <v>0</v>
      </c>
      <c r="AH72">
        <f t="shared" si="78"/>
        <v>227.7</v>
      </c>
      <c r="AI72">
        <f t="shared" si="79"/>
        <v>0</v>
      </c>
      <c r="AJ72">
        <f t="shared" si="80"/>
        <v>0</v>
      </c>
      <c r="AK72">
        <v>104290.69</v>
      </c>
      <c r="AL72">
        <v>53233.52</v>
      </c>
      <c r="AM72">
        <v>0</v>
      </c>
      <c r="AN72">
        <v>0</v>
      </c>
      <c r="AO72">
        <v>51057.17</v>
      </c>
      <c r="AP72">
        <v>0</v>
      </c>
      <c r="AQ72">
        <v>227.7</v>
      </c>
      <c r="AR72">
        <v>0</v>
      </c>
      <c r="AS72">
        <v>0</v>
      </c>
      <c r="AT72">
        <v>70</v>
      </c>
      <c r="AU72">
        <v>10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43</v>
      </c>
      <c r="BM72">
        <v>0</v>
      </c>
      <c r="BN72">
        <v>0</v>
      </c>
      <c r="BO72" t="s">
        <v>3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70</v>
      </c>
      <c r="CA72">
        <v>10</v>
      </c>
      <c r="CE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81"/>
        <v>8186.82</v>
      </c>
      <c r="CQ72">
        <f t="shared" si="82"/>
        <v>53233.52</v>
      </c>
      <c r="CR72">
        <f t="shared" si="83"/>
        <v>0</v>
      </c>
      <c r="CS72">
        <f t="shared" si="84"/>
        <v>0</v>
      </c>
      <c r="CT72">
        <f t="shared" si="85"/>
        <v>51057.17</v>
      </c>
      <c r="CU72">
        <f t="shared" si="86"/>
        <v>0</v>
      </c>
      <c r="CV72">
        <f t="shared" si="87"/>
        <v>227.7</v>
      </c>
      <c r="CW72">
        <f t="shared" si="88"/>
        <v>0</v>
      </c>
      <c r="CX72">
        <f t="shared" si="89"/>
        <v>0</v>
      </c>
      <c r="CY72">
        <f t="shared" si="90"/>
        <v>2805.5929999999998</v>
      </c>
      <c r="CZ72">
        <f t="shared" si="91"/>
        <v>400.79899999999992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1009</v>
      </c>
      <c r="DV72" t="s">
        <v>42</v>
      </c>
      <c r="DW72" t="s">
        <v>42</v>
      </c>
      <c r="DX72">
        <v>1000</v>
      </c>
      <c r="EE72">
        <v>40658659</v>
      </c>
      <c r="EF72">
        <v>1</v>
      </c>
      <c r="EG72" t="s">
        <v>23</v>
      </c>
      <c r="EH72">
        <v>0</v>
      </c>
      <c r="EI72" t="s">
        <v>3</v>
      </c>
      <c r="EJ72">
        <v>4</v>
      </c>
      <c r="EK72">
        <v>0</v>
      </c>
      <c r="EL72" t="s">
        <v>24</v>
      </c>
      <c r="EM72" t="s">
        <v>25</v>
      </c>
      <c r="EO72" t="s">
        <v>3</v>
      </c>
      <c r="EQ72">
        <v>0</v>
      </c>
      <c r="ER72">
        <v>104290.69</v>
      </c>
      <c r="ES72">
        <v>53233.52</v>
      </c>
      <c r="ET72">
        <v>0</v>
      </c>
      <c r="EU72">
        <v>0</v>
      </c>
      <c r="EV72">
        <v>51057.17</v>
      </c>
      <c r="EW72">
        <v>227.7</v>
      </c>
      <c r="EX72">
        <v>0</v>
      </c>
      <c r="EY72">
        <v>0</v>
      </c>
      <c r="FQ72">
        <v>0</v>
      </c>
      <c r="FR72">
        <f t="shared" si="92"/>
        <v>0</v>
      </c>
      <c r="FS72">
        <v>0</v>
      </c>
      <c r="FX72">
        <v>70</v>
      </c>
      <c r="FY72">
        <v>10</v>
      </c>
      <c r="GA72" t="s">
        <v>3</v>
      </c>
      <c r="GD72">
        <v>0</v>
      </c>
      <c r="GF72">
        <v>-423032956</v>
      </c>
      <c r="GG72">
        <v>2</v>
      </c>
      <c r="GH72">
        <v>1</v>
      </c>
      <c r="GI72">
        <v>-2</v>
      </c>
      <c r="GJ72">
        <v>0</v>
      </c>
      <c r="GK72">
        <f>ROUND(R72*(R12)/100,2)</f>
        <v>0</v>
      </c>
      <c r="GL72">
        <f t="shared" si="93"/>
        <v>0</v>
      </c>
      <c r="GM72">
        <f t="shared" si="94"/>
        <v>11393.21</v>
      </c>
      <c r="GN72">
        <f t="shared" si="95"/>
        <v>0</v>
      </c>
      <c r="GO72">
        <f t="shared" si="96"/>
        <v>0</v>
      </c>
      <c r="GP72">
        <f t="shared" si="97"/>
        <v>11393.21</v>
      </c>
      <c r="GR72">
        <v>0</v>
      </c>
      <c r="GS72">
        <v>3</v>
      </c>
      <c r="GT72">
        <v>0</v>
      </c>
      <c r="GU72" t="s">
        <v>3</v>
      </c>
      <c r="GV72">
        <f t="shared" si="98"/>
        <v>0</v>
      </c>
      <c r="GW72">
        <v>1</v>
      </c>
      <c r="GX72">
        <f t="shared" si="99"/>
        <v>0</v>
      </c>
      <c r="HA72">
        <v>0</v>
      </c>
      <c r="HB72">
        <v>0</v>
      </c>
      <c r="HC72">
        <f t="shared" si="100"/>
        <v>0</v>
      </c>
      <c r="IK72">
        <v>0</v>
      </c>
    </row>
    <row r="73" spans="1:245" x14ac:dyDescent="0.2">
      <c r="A73">
        <v>18</v>
      </c>
      <c r="B73">
        <v>1</v>
      </c>
      <c r="C73">
        <v>80</v>
      </c>
      <c r="E73" t="s">
        <v>104</v>
      </c>
      <c r="F73" t="s">
        <v>45</v>
      </c>
      <c r="G73" t="s">
        <v>46</v>
      </c>
      <c r="H73" t="s">
        <v>47</v>
      </c>
      <c r="I73">
        <f>I72*J73</f>
        <v>1</v>
      </c>
      <c r="J73">
        <v>12.738853503184714</v>
      </c>
      <c r="O73">
        <f t="shared" si="61"/>
        <v>210</v>
      </c>
      <c r="P73">
        <f t="shared" si="62"/>
        <v>210</v>
      </c>
      <c r="Q73">
        <f t="shared" si="63"/>
        <v>0</v>
      </c>
      <c r="R73">
        <f t="shared" si="64"/>
        <v>0</v>
      </c>
      <c r="S73">
        <f t="shared" si="65"/>
        <v>0</v>
      </c>
      <c r="T73">
        <f t="shared" si="66"/>
        <v>0</v>
      </c>
      <c r="U73">
        <f t="shared" si="67"/>
        <v>0</v>
      </c>
      <c r="V73">
        <f t="shared" si="68"/>
        <v>0</v>
      </c>
      <c r="W73">
        <f t="shared" si="69"/>
        <v>0</v>
      </c>
      <c r="X73">
        <f t="shared" si="70"/>
        <v>0</v>
      </c>
      <c r="Y73">
        <f t="shared" si="71"/>
        <v>0</v>
      </c>
      <c r="AA73">
        <v>42278323</v>
      </c>
      <c r="AB73">
        <f t="shared" si="72"/>
        <v>210</v>
      </c>
      <c r="AC73">
        <f t="shared" si="73"/>
        <v>210</v>
      </c>
      <c r="AD73">
        <f t="shared" si="74"/>
        <v>0</v>
      </c>
      <c r="AE73">
        <f t="shared" si="75"/>
        <v>0</v>
      </c>
      <c r="AF73">
        <f t="shared" si="76"/>
        <v>0</v>
      </c>
      <c r="AG73">
        <f t="shared" si="77"/>
        <v>0</v>
      </c>
      <c r="AH73">
        <f t="shared" si="78"/>
        <v>0</v>
      </c>
      <c r="AI73">
        <f t="shared" si="79"/>
        <v>0</v>
      </c>
      <c r="AJ73">
        <f t="shared" si="80"/>
        <v>0</v>
      </c>
      <c r="AK73">
        <v>210</v>
      </c>
      <c r="AL73">
        <v>210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70</v>
      </c>
      <c r="AU73">
        <v>10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4</v>
      </c>
      <c r="BJ73" t="s">
        <v>48</v>
      </c>
      <c r="BM73">
        <v>0</v>
      </c>
      <c r="BN73">
        <v>0</v>
      </c>
      <c r="BO73" t="s">
        <v>3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70</v>
      </c>
      <c r="CA73">
        <v>10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81"/>
        <v>210</v>
      </c>
      <c r="CQ73">
        <f t="shared" si="82"/>
        <v>210</v>
      </c>
      <c r="CR73">
        <f t="shared" si="83"/>
        <v>0</v>
      </c>
      <c r="CS73">
        <f t="shared" si="84"/>
        <v>0</v>
      </c>
      <c r="CT73">
        <f t="shared" si="85"/>
        <v>0</v>
      </c>
      <c r="CU73">
        <f t="shared" si="86"/>
        <v>0</v>
      </c>
      <c r="CV73">
        <f t="shared" si="87"/>
        <v>0</v>
      </c>
      <c r="CW73">
        <f t="shared" si="88"/>
        <v>0</v>
      </c>
      <c r="CX73">
        <f t="shared" si="89"/>
        <v>0</v>
      </c>
      <c r="CY73">
        <f t="shared" si="90"/>
        <v>0</v>
      </c>
      <c r="CZ73">
        <f t="shared" si="91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47</v>
      </c>
      <c r="DW73" t="s">
        <v>47</v>
      </c>
      <c r="DX73">
        <v>1</v>
      </c>
      <c r="EE73">
        <v>40658659</v>
      </c>
      <c r="EF73">
        <v>1</v>
      </c>
      <c r="EG73" t="s">
        <v>23</v>
      </c>
      <c r="EH73">
        <v>0</v>
      </c>
      <c r="EI73" t="s">
        <v>3</v>
      </c>
      <c r="EJ73">
        <v>4</v>
      </c>
      <c r="EK73">
        <v>0</v>
      </c>
      <c r="EL73" t="s">
        <v>24</v>
      </c>
      <c r="EM73" t="s">
        <v>25</v>
      </c>
      <c r="EO73" t="s">
        <v>3</v>
      </c>
      <c r="EQ73">
        <v>0</v>
      </c>
      <c r="ER73">
        <v>210</v>
      </c>
      <c r="ES73">
        <v>210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92"/>
        <v>0</v>
      </c>
      <c r="FS73">
        <v>0</v>
      </c>
      <c r="FX73">
        <v>70</v>
      </c>
      <c r="FY73">
        <v>10</v>
      </c>
      <c r="GA73" t="s">
        <v>3</v>
      </c>
      <c r="GD73">
        <v>0</v>
      </c>
      <c r="GF73">
        <v>462942439</v>
      </c>
      <c r="GG73">
        <v>2</v>
      </c>
      <c r="GH73">
        <v>1</v>
      </c>
      <c r="GI73">
        <v>-2</v>
      </c>
      <c r="GJ73">
        <v>0</v>
      </c>
      <c r="GK73">
        <f>ROUND(R73*(R12)/100,2)</f>
        <v>0</v>
      </c>
      <c r="GL73">
        <f t="shared" si="93"/>
        <v>0</v>
      </c>
      <c r="GM73">
        <f t="shared" si="94"/>
        <v>210</v>
      </c>
      <c r="GN73">
        <f t="shared" si="95"/>
        <v>0</v>
      </c>
      <c r="GO73">
        <f t="shared" si="96"/>
        <v>0</v>
      </c>
      <c r="GP73">
        <f t="shared" si="97"/>
        <v>210</v>
      </c>
      <c r="GR73">
        <v>0</v>
      </c>
      <c r="GS73">
        <v>3</v>
      </c>
      <c r="GT73">
        <v>0</v>
      </c>
      <c r="GU73" t="s">
        <v>3</v>
      </c>
      <c r="GV73">
        <f t="shared" si="98"/>
        <v>0</v>
      </c>
      <c r="GW73">
        <v>1</v>
      </c>
      <c r="GX73">
        <f t="shared" si="99"/>
        <v>0</v>
      </c>
      <c r="HA73">
        <v>0</v>
      </c>
      <c r="HB73">
        <v>0</v>
      </c>
      <c r="HC73">
        <f t="shared" si="100"/>
        <v>0</v>
      </c>
      <c r="IK73">
        <v>0</v>
      </c>
    </row>
    <row r="74" spans="1:245" x14ac:dyDescent="0.2">
      <c r="A74">
        <v>18</v>
      </c>
      <c r="B74">
        <v>1</v>
      </c>
      <c r="C74">
        <v>79</v>
      </c>
      <c r="E74" t="s">
        <v>105</v>
      </c>
      <c r="F74" t="s">
        <v>50</v>
      </c>
      <c r="G74" t="s">
        <v>51</v>
      </c>
      <c r="H74" t="s">
        <v>42</v>
      </c>
      <c r="I74">
        <f>I72*J74</f>
        <v>-7.85E-2</v>
      </c>
      <c r="J74">
        <v>-1</v>
      </c>
      <c r="O74">
        <f t="shared" si="61"/>
        <v>-4178.83</v>
      </c>
      <c r="P74">
        <f t="shared" si="62"/>
        <v>-4178.83</v>
      </c>
      <c r="Q74">
        <f t="shared" si="63"/>
        <v>0</v>
      </c>
      <c r="R74">
        <f t="shared" si="64"/>
        <v>0</v>
      </c>
      <c r="S74">
        <f t="shared" si="65"/>
        <v>0</v>
      </c>
      <c r="T74">
        <f t="shared" si="66"/>
        <v>0</v>
      </c>
      <c r="U74">
        <f t="shared" si="67"/>
        <v>0</v>
      </c>
      <c r="V74">
        <f t="shared" si="68"/>
        <v>0</v>
      </c>
      <c r="W74">
        <f t="shared" si="69"/>
        <v>0</v>
      </c>
      <c r="X74">
        <f t="shared" si="70"/>
        <v>0</v>
      </c>
      <c r="Y74">
        <f t="shared" si="71"/>
        <v>0</v>
      </c>
      <c r="AA74">
        <v>42278323</v>
      </c>
      <c r="AB74">
        <f t="shared" si="72"/>
        <v>53233.52</v>
      </c>
      <c r="AC74">
        <f t="shared" si="73"/>
        <v>53233.52</v>
      </c>
      <c r="AD74">
        <f t="shared" si="74"/>
        <v>0</v>
      </c>
      <c r="AE74">
        <f t="shared" si="75"/>
        <v>0</v>
      </c>
      <c r="AF74">
        <f t="shared" si="76"/>
        <v>0</v>
      </c>
      <c r="AG74">
        <f t="shared" si="77"/>
        <v>0</v>
      </c>
      <c r="AH74">
        <f t="shared" si="78"/>
        <v>0</v>
      </c>
      <c r="AI74">
        <f t="shared" si="79"/>
        <v>0</v>
      </c>
      <c r="AJ74">
        <f t="shared" si="80"/>
        <v>0</v>
      </c>
      <c r="AK74">
        <v>53233.52</v>
      </c>
      <c r="AL74">
        <v>53233.52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70</v>
      </c>
      <c r="AU74">
        <v>10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4</v>
      </c>
      <c r="BJ74" t="s">
        <v>52</v>
      </c>
      <c r="BM74">
        <v>0</v>
      </c>
      <c r="BN74">
        <v>0</v>
      </c>
      <c r="BO74" t="s">
        <v>3</v>
      </c>
      <c r="BP74">
        <v>0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70</v>
      </c>
      <c r="CA74">
        <v>10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81"/>
        <v>-4178.83</v>
      </c>
      <c r="CQ74">
        <f t="shared" si="82"/>
        <v>53233.52</v>
      </c>
      <c r="CR74">
        <f t="shared" si="83"/>
        <v>0</v>
      </c>
      <c r="CS74">
        <f t="shared" si="84"/>
        <v>0</v>
      </c>
      <c r="CT74">
        <f t="shared" si="85"/>
        <v>0</v>
      </c>
      <c r="CU74">
        <f t="shared" si="86"/>
        <v>0</v>
      </c>
      <c r="CV74">
        <f t="shared" si="87"/>
        <v>0</v>
      </c>
      <c r="CW74">
        <f t="shared" si="88"/>
        <v>0</v>
      </c>
      <c r="CX74">
        <f t="shared" si="89"/>
        <v>0</v>
      </c>
      <c r="CY74">
        <f t="shared" si="90"/>
        <v>0</v>
      </c>
      <c r="CZ74">
        <f t="shared" si="91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1009</v>
      </c>
      <c r="DV74" t="s">
        <v>42</v>
      </c>
      <c r="DW74" t="s">
        <v>42</v>
      </c>
      <c r="DX74">
        <v>1000</v>
      </c>
      <c r="EE74">
        <v>40658659</v>
      </c>
      <c r="EF74">
        <v>1</v>
      </c>
      <c r="EG74" t="s">
        <v>23</v>
      </c>
      <c r="EH74">
        <v>0</v>
      </c>
      <c r="EI74" t="s">
        <v>3</v>
      </c>
      <c r="EJ74">
        <v>4</v>
      </c>
      <c r="EK74">
        <v>0</v>
      </c>
      <c r="EL74" t="s">
        <v>24</v>
      </c>
      <c r="EM74" t="s">
        <v>25</v>
      </c>
      <c r="EO74" t="s">
        <v>3</v>
      </c>
      <c r="EQ74">
        <v>32768</v>
      </c>
      <c r="ER74">
        <v>53233.52</v>
      </c>
      <c r="ES74">
        <v>53233.52</v>
      </c>
      <c r="ET74">
        <v>0</v>
      </c>
      <c r="EU74">
        <v>0</v>
      </c>
      <c r="EV74">
        <v>0</v>
      </c>
      <c r="EW74">
        <v>0</v>
      </c>
      <c r="EX74">
        <v>0</v>
      </c>
      <c r="FQ74">
        <v>0</v>
      </c>
      <c r="FR74">
        <f t="shared" si="92"/>
        <v>0</v>
      </c>
      <c r="FS74">
        <v>0</v>
      </c>
      <c r="FX74">
        <v>70</v>
      </c>
      <c r="FY74">
        <v>10</v>
      </c>
      <c r="GA74" t="s">
        <v>3</v>
      </c>
      <c r="GD74">
        <v>0</v>
      </c>
      <c r="GF74">
        <v>588667335</v>
      </c>
      <c r="GG74">
        <v>2</v>
      </c>
      <c r="GH74">
        <v>1</v>
      </c>
      <c r="GI74">
        <v>-2</v>
      </c>
      <c r="GJ74">
        <v>0</v>
      </c>
      <c r="GK74">
        <f>ROUND(R74*(R12)/100,2)</f>
        <v>0</v>
      </c>
      <c r="GL74">
        <f t="shared" si="93"/>
        <v>0</v>
      </c>
      <c r="GM74">
        <f t="shared" si="94"/>
        <v>-4178.83</v>
      </c>
      <c r="GN74">
        <f t="shared" si="95"/>
        <v>0</v>
      </c>
      <c r="GO74">
        <f t="shared" si="96"/>
        <v>0</v>
      </c>
      <c r="GP74">
        <f t="shared" si="97"/>
        <v>-4178.83</v>
      </c>
      <c r="GR74">
        <v>0</v>
      </c>
      <c r="GS74">
        <v>3</v>
      </c>
      <c r="GT74">
        <v>0</v>
      </c>
      <c r="GU74" t="s">
        <v>3</v>
      </c>
      <c r="GV74">
        <f t="shared" si="98"/>
        <v>0</v>
      </c>
      <c r="GW74">
        <v>1</v>
      </c>
      <c r="GX74">
        <f t="shared" si="99"/>
        <v>0</v>
      </c>
      <c r="HA74">
        <v>0</v>
      </c>
      <c r="HB74">
        <v>0</v>
      </c>
      <c r="HC74">
        <f t="shared" si="100"/>
        <v>0</v>
      </c>
      <c r="IK74">
        <v>0</v>
      </c>
    </row>
    <row r="75" spans="1:245" x14ac:dyDescent="0.2">
      <c r="A75">
        <v>17</v>
      </c>
      <c r="B75">
        <v>1</v>
      </c>
      <c r="E75" t="s">
        <v>106</v>
      </c>
      <c r="F75" t="s">
        <v>54</v>
      </c>
      <c r="G75" t="s">
        <v>107</v>
      </c>
      <c r="H75" t="s">
        <v>47</v>
      </c>
      <c r="I75">
        <v>1</v>
      </c>
      <c r="J75">
        <v>0</v>
      </c>
      <c r="O75">
        <f t="shared" si="61"/>
        <v>56492.1</v>
      </c>
      <c r="P75">
        <f t="shared" si="62"/>
        <v>56492.1</v>
      </c>
      <c r="Q75">
        <f t="shared" si="63"/>
        <v>0</v>
      </c>
      <c r="R75">
        <f t="shared" si="64"/>
        <v>0</v>
      </c>
      <c r="S75">
        <f t="shared" si="65"/>
        <v>0</v>
      </c>
      <c r="T75">
        <f t="shared" si="66"/>
        <v>0</v>
      </c>
      <c r="U75">
        <f t="shared" si="67"/>
        <v>0</v>
      </c>
      <c r="V75">
        <f t="shared" si="68"/>
        <v>0</v>
      </c>
      <c r="W75">
        <f t="shared" si="69"/>
        <v>0</v>
      </c>
      <c r="X75">
        <f t="shared" si="70"/>
        <v>0</v>
      </c>
      <c r="Y75">
        <f t="shared" si="71"/>
        <v>0</v>
      </c>
      <c r="AA75">
        <v>42278323</v>
      </c>
      <c r="AB75">
        <f t="shared" si="72"/>
        <v>56492.1</v>
      </c>
      <c r="AC75">
        <f t="shared" si="73"/>
        <v>56492.1</v>
      </c>
      <c r="AD75">
        <f t="shared" si="74"/>
        <v>0</v>
      </c>
      <c r="AE75">
        <f t="shared" si="75"/>
        <v>0</v>
      </c>
      <c r="AF75">
        <f t="shared" si="76"/>
        <v>0</v>
      </c>
      <c r="AG75">
        <f t="shared" si="77"/>
        <v>0</v>
      </c>
      <c r="AH75">
        <f t="shared" si="78"/>
        <v>0</v>
      </c>
      <c r="AI75">
        <f t="shared" si="79"/>
        <v>0</v>
      </c>
      <c r="AJ75">
        <f t="shared" si="80"/>
        <v>0</v>
      </c>
      <c r="AK75">
        <v>43242.43</v>
      </c>
      <c r="AL75">
        <v>56492.1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6001</v>
      </c>
      <c r="BN75">
        <v>0</v>
      </c>
      <c r="BO75" t="s">
        <v>3</v>
      </c>
      <c r="BP75">
        <v>0</v>
      </c>
      <c r="BQ75">
        <v>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81"/>
        <v>56492.1</v>
      </c>
      <c r="CQ75">
        <f t="shared" si="82"/>
        <v>56492.1</v>
      </c>
      <c r="CR75">
        <f t="shared" si="83"/>
        <v>0</v>
      </c>
      <c r="CS75">
        <f t="shared" si="84"/>
        <v>0</v>
      </c>
      <c r="CT75">
        <f t="shared" si="85"/>
        <v>0</v>
      </c>
      <c r="CU75">
        <f t="shared" si="86"/>
        <v>0</v>
      </c>
      <c r="CV75">
        <f t="shared" si="87"/>
        <v>0</v>
      </c>
      <c r="CW75">
        <f t="shared" si="88"/>
        <v>0</v>
      </c>
      <c r="CX75">
        <f t="shared" si="89"/>
        <v>0</v>
      </c>
      <c r="CY75">
        <f t="shared" si="90"/>
        <v>0</v>
      </c>
      <c r="CZ75">
        <f t="shared" si="91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47</v>
      </c>
      <c r="DW75" t="s">
        <v>47</v>
      </c>
      <c r="DX75">
        <v>1</v>
      </c>
      <c r="EE75">
        <v>42086242</v>
      </c>
      <c r="EF75">
        <v>0</v>
      </c>
      <c r="EG75" t="s">
        <v>56</v>
      </c>
      <c r="EH75">
        <v>0</v>
      </c>
      <c r="EI75" t="s">
        <v>3</v>
      </c>
      <c r="EJ75">
        <v>1</v>
      </c>
      <c r="EK75">
        <v>6001</v>
      </c>
      <c r="EL75" t="s">
        <v>57</v>
      </c>
      <c r="EM75" t="s">
        <v>56</v>
      </c>
      <c r="EO75" t="s">
        <v>3</v>
      </c>
      <c r="EQ75">
        <v>0</v>
      </c>
      <c r="ER75">
        <v>56492.1</v>
      </c>
      <c r="ES75">
        <v>56492.1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42394.54</v>
      </c>
      <c r="FQ75">
        <v>0</v>
      </c>
      <c r="FR75">
        <f t="shared" si="92"/>
        <v>0</v>
      </c>
      <c r="FS75">
        <v>0</v>
      </c>
      <c r="FX75">
        <v>0</v>
      </c>
      <c r="FY75">
        <v>0</v>
      </c>
      <c r="GA75" t="s">
        <v>108</v>
      </c>
      <c r="GD75">
        <v>0</v>
      </c>
      <c r="GF75">
        <v>-1268267767</v>
      </c>
      <c r="GG75">
        <v>2</v>
      </c>
      <c r="GH75">
        <v>3</v>
      </c>
      <c r="GI75">
        <v>-2</v>
      </c>
      <c r="GJ75">
        <v>0</v>
      </c>
      <c r="GK75">
        <f>ROUND(R75*(R12)/100,2)</f>
        <v>0</v>
      </c>
      <c r="GL75">
        <f t="shared" si="93"/>
        <v>0</v>
      </c>
      <c r="GM75">
        <f t="shared" si="94"/>
        <v>56492.1</v>
      </c>
      <c r="GN75">
        <f t="shared" si="95"/>
        <v>56492.1</v>
      </c>
      <c r="GO75">
        <f t="shared" si="96"/>
        <v>0</v>
      </c>
      <c r="GP75">
        <f t="shared" si="97"/>
        <v>0</v>
      </c>
      <c r="GR75">
        <v>1</v>
      </c>
      <c r="GS75">
        <v>1</v>
      </c>
      <c r="GT75">
        <v>0</v>
      </c>
      <c r="GU75" t="s">
        <v>3</v>
      </c>
      <c r="GV75">
        <f t="shared" si="98"/>
        <v>0</v>
      </c>
      <c r="GW75">
        <v>1</v>
      </c>
      <c r="GX75">
        <f t="shared" si="99"/>
        <v>0</v>
      </c>
      <c r="HA75">
        <v>0</v>
      </c>
      <c r="HB75">
        <v>0</v>
      </c>
      <c r="HC75">
        <f t="shared" si="100"/>
        <v>0</v>
      </c>
      <c r="IK75">
        <v>0</v>
      </c>
    </row>
    <row r="76" spans="1:245" x14ac:dyDescent="0.2">
      <c r="A76">
        <v>17</v>
      </c>
      <c r="B76">
        <v>1</v>
      </c>
      <c r="D76">
        <f>ROW(EtalonRes!A163)</f>
        <v>163</v>
      </c>
      <c r="E76" t="s">
        <v>109</v>
      </c>
      <c r="F76" t="s">
        <v>19</v>
      </c>
      <c r="G76" t="s">
        <v>20</v>
      </c>
      <c r="H76" t="s">
        <v>21</v>
      </c>
      <c r="I76">
        <f>ROUND(0.7*0.7*1/100,9)</f>
        <v>4.8999999999999998E-3</v>
      </c>
      <c r="J76">
        <v>0</v>
      </c>
      <c r="O76">
        <f t="shared" si="61"/>
        <v>205.56</v>
      </c>
      <c r="P76">
        <f t="shared" si="62"/>
        <v>0</v>
      </c>
      <c r="Q76">
        <f t="shared" si="63"/>
        <v>0</v>
      </c>
      <c r="R76">
        <f t="shared" si="64"/>
        <v>0</v>
      </c>
      <c r="S76">
        <f t="shared" si="65"/>
        <v>205.56</v>
      </c>
      <c r="T76">
        <f t="shared" si="66"/>
        <v>0</v>
      </c>
      <c r="U76">
        <f t="shared" si="67"/>
        <v>1.0858399999999999</v>
      </c>
      <c r="V76">
        <f t="shared" si="68"/>
        <v>0</v>
      </c>
      <c r="W76">
        <f t="shared" si="69"/>
        <v>0</v>
      </c>
      <c r="X76">
        <f t="shared" si="70"/>
        <v>143.88999999999999</v>
      </c>
      <c r="Y76">
        <f t="shared" si="71"/>
        <v>20.56</v>
      </c>
      <c r="AA76">
        <v>42278323</v>
      </c>
      <c r="AB76">
        <f t="shared" si="72"/>
        <v>41951.1</v>
      </c>
      <c r="AC76">
        <f t="shared" si="73"/>
        <v>0</v>
      </c>
      <c r="AD76">
        <f t="shared" si="74"/>
        <v>0</v>
      </c>
      <c r="AE76">
        <f t="shared" si="75"/>
        <v>0</v>
      </c>
      <c r="AF76">
        <f t="shared" si="76"/>
        <v>41951.1</v>
      </c>
      <c r="AG76">
        <f t="shared" si="77"/>
        <v>0</v>
      </c>
      <c r="AH76">
        <f t="shared" si="78"/>
        <v>221.6</v>
      </c>
      <c r="AI76">
        <f t="shared" si="79"/>
        <v>0</v>
      </c>
      <c r="AJ76">
        <f t="shared" si="80"/>
        <v>0</v>
      </c>
      <c r="AK76">
        <v>41951.1</v>
      </c>
      <c r="AL76">
        <v>0</v>
      </c>
      <c r="AM76">
        <v>0</v>
      </c>
      <c r="AN76">
        <v>0</v>
      </c>
      <c r="AO76">
        <v>41951.1</v>
      </c>
      <c r="AP76">
        <v>0</v>
      </c>
      <c r="AQ76">
        <v>221.6</v>
      </c>
      <c r="AR76">
        <v>0</v>
      </c>
      <c r="AS76">
        <v>0</v>
      </c>
      <c r="AT76">
        <v>70</v>
      </c>
      <c r="AU76">
        <v>10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22</v>
      </c>
      <c r="BM76">
        <v>0</v>
      </c>
      <c r="BN76">
        <v>0</v>
      </c>
      <c r="BO76" t="s">
        <v>3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70</v>
      </c>
      <c r="CA76">
        <v>10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81"/>
        <v>205.56</v>
      </c>
      <c r="CQ76">
        <f t="shared" si="82"/>
        <v>0</v>
      </c>
      <c r="CR76">
        <f t="shared" si="83"/>
        <v>0</v>
      </c>
      <c r="CS76">
        <f t="shared" si="84"/>
        <v>0</v>
      </c>
      <c r="CT76">
        <f t="shared" si="85"/>
        <v>41951.1</v>
      </c>
      <c r="CU76">
        <f t="shared" si="86"/>
        <v>0</v>
      </c>
      <c r="CV76">
        <f t="shared" si="87"/>
        <v>221.6</v>
      </c>
      <c r="CW76">
        <f t="shared" si="88"/>
        <v>0</v>
      </c>
      <c r="CX76">
        <f t="shared" si="89"/>
        <v>0</v>
      </c>
      <c r="CY76">
        <f t="shared" si="90"/>
        <v>143.892</v>
      </c>
      <c r="CZ76">
        <f t="shared" si="91"/>
        <v>20.555999999999997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1007</v>
      </c>
      <c r="DV76" t="s">
        <v>21</v>
      </c>
      <c r="DW76" t="s">
        <v>21</v>
      </c>
      <c r="DX76">
        <v>100</v>
      </c>
      <c r="EE76">
        <v>40658659</v>
      </c>
      <c r="EF76">
        <v>1</v>
      </c>
      <c r="EG76" t="s">
        <v>23</v>
      </c>
      <c r="EH76">
        <v>0</v>
      </c>
      <c r="EI76" t="s">
        <v>3</v>
      </c>
      <c r="EJ76">
        <v>4</v>
      </c>
      <c r="EK76">
        <v>0</v>
      </c>
      <c r="EL76" t="s">
        <v>24</v>
      </c>
      <c r="EM76" t="s">
        <v>25</v>
      </c>
      <c r="EO76" t="s">
        <v>3</v>
      </c>
      <c r="EQ76">
        <v>0</v>
      </c>
      <c r="ER76">
        <v>41951.1</v>
      </c>
      <c r="ES76">
        <v>0</v>
      </c>
      <c r="ET76">
        <v>0</v>
      </c>
      <c r="EU76">
        <v>0</v>
      </c>
      <c r="EV76">
        <v>41951.1</v>
      </c>
      <c r="EW76">
        <v>221.6</v>
      </c>
      <c r="EX76">
        <v>0</v>
      </c>
      <c r="EY76">
        <v>0</v>
      </c>
      <c r="FQ76">
        <v>0</v>
      </c>
      <c r="FR76">
        <f t="shared" si="92"/>
        <v>0</v>
      </c>
      <c r="FS76">
        <v>0</v>
      </c>
      <c r="FX76">
        <v>70</v>
      </c>
      <c r="FY76">
        <v>10</v>
      </c>
      <c r="GA76" t="s">
        <v>3</v>
      </c>
      <c r="GD76">
        <v>0</v>
      </c>
      <c r="GF76">
        <v>1840361055</v>
      </c>
      <c r="GG76">
        <v>2</v>
      </c>
      <c r="GH76">
        <v>1</v>
      </c>
      <c r="GI76">
        <v>-2</v>
      </c>
      <c r="GJ76">
        <v>0</v>
      </c>
      <c r="GK76">
        <f>ROUND(R76*(R12)/100,2)</f>
        <v>0</v>
      </c>
      <c r="GL76">
        <f t="shared" si="93"/>
        <v>0</v>
      </c>
      <c r="GM76">
        <f t="shared" si="94"/>
        <v>370.01</v>
      </c>
      <c r="GN76">
        <f t="shared" si="95"/>
        <v>0</v>
      </c>
      <c r="GO76">
        <f t="shared" si="96"/>
        <v>0</v>
      </c>
      <c r="GP76">
        <f t="shared" si="97"/>
        <v>370.01</v>
      </c>
      <c r="GR76">
        <v>0</v>
      </c>
      <c r="GS76">
        <v>3</v>
      </c>
      <c r="GT76">
        <v>0</v>
      </c>
      <c r="GU76" t="s">
        <v>3</v>
      </c>
      <c r="GV76">
        <f t="shared" si="98"/>
        <v>0</v>
      </c>
      <c r="GW76">
        <v>1</v>
      </c>
      <c r="GX76">
        <f t="shared" si="99"/>
        <v>0</v>
      </c>
      <c r="HA76">
        <v>0</v>
      </c>
      <c r="HB76">
        <v>0</v>
      </c>
      <c r="HC76">
        <f t="shared" si="100"/>
        <v>0</v>
      </c>
      <c r="IK76">
        <v>0</v>
      </c>
    </row>
    <row r="77" spans="1:245" x14ac:dyDescent="0.2">
      <c r="A77">
        <v>17</v>
      </c>
      <c r="B77">
        <v>1</v>
      </c>
      <c r="C77">
        <f>ROW(SmtRes!A86)</f>
        <v>86</v>
      </c>
      <c r="D77">
        <f>ROW(EtalonRes!A169)</f>
        <v>169</v>
      </c>
      <c r="E77" t="s">
        <v>110</v>
      </c>
      <c r="F77" t="s">
        <v>27</v>
      </c>
      <c r="G77" t="s">
        <v>28</v>
      </c>
      <c r="H77" t="s">
        <v>29</v>
      </c>
      <c r="I77">
        <f>ROUND(0.7*0.7*0.1,9)</f>
        <v>4.9000000000000002E-2</v>
      </c>
      <c r="J77">
        <v>0</v>
      </c>
      <c r="O77">
        <f t="shared" si="61"/>
        <v>50.58</v>
      </c>
      <c r="P77">
        <f t="shared" si="62"/>
        <v>32.1</v>
      </c>
      <c r="Q77">
        <f t="shared" si="63"/>
        <v>10.32</v>
      </c>
      <c r="R77">
        <f t="shared" si="64"/>
        <v>6.08</v>
      </c>
      <c r="S77">
        <f t="shared" si="65"/>
        <v>8.16</v>
      </c>
      <c r="T77">
        <f t="shared" si="66"/>
        <v>0</v>
      </c>
      <c r="U77">
        <f t="shared" si="67"/>
        <v>4.41E-2</v>
      </c>
      <c r="V77">
        <f t="shared" si="68"/>
        <v>0</v>
      </c>
      <c r="W77">
        <f t="shared" si="69"/>
        <v>0</v>
      </c>
      <c r="X77">
        <f t="shared" si="70"/>
        <v>5.71</v>
      </c>
      <c r="Y77">
        <f t="shared" si="71"/>
        <v>0.82</v>
      </c>
      <c r="AA77">
        <v>42278323</v>
      </c>
      <c r="AB77">
        <f t="shared" si="72"/>
        <v>1032.3499999999999</v>
      </c>
      <c r="AC77">
        <f t="shared" si="73"/>
        <v>655.15</v>
      </c>
      <c r="AD77">
        <f t="shared" si="74"/>
        <v>210.68</v>
      </c>
      <c r="AE77">
        <f t="shared" si="75"/>
        <v>124.16</v>
      </c>
      <c r="AF77">
        <f t="shared" si="76"/>
        <v>166.52</v>
      </c>
      <c r="AG77">
        <f t="shared" si="77"/>
        <v>0</v>
      </c>
      <c r="AH77">
        <f t="shared" si="78"/>
        <v>0.9</v>
      </c>
      <c r="AI77">
        <f t="shared" si="79"/>
        <v>0</v>
      </c>
      <c r="AJ77">
        <f t="shared" si="80"/>
        <v>0</v>
      </c>
      <c r="AK77">
        <v>1032.3499999999999</v>
      </c>
      <c r="AL77">
        <v>655.15</v>
      </c>
      <c r="AM77">
        <v>210.68</v>
      </c>
      <c r="AN77">
        <v>124.16</v>
      </c>
      <c r="AO77">
        <v>166.52</v>
      </c>
      <c r="AP77">
        <v>0</v>
      </c>
      <c r="AQ77">
        <v>0.9</v>
      </c>
      <c r="AR77">
        <v>0</v>
      </c>
      <c r="AS77">
        <v>0</v>
      </c>
      <c r="AT77">
        <v>70</v>
      </c>
      <c r="AU77">
        <v>10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30</v>
      </c>
      <c r="BM77">
        <v>0</v>
      </c>
      <c r="BN77">
        <v>0</v>
      </c>
      <c r="BO77" t="s">
        <v>3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70</v>
      </c>
      <c r="CA77">
        <v>10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81"/>
        <v>50.58</v>
      </c>
      <c r="CQ77">
        <f t="shared" si="82"/>
        <v>655.15</v>
      </c>
      <c r="CR77">
        <f t="shared" si="83"/>
        <v>210.68</v>
      </c>
      <c r="CS77">
        <f t="shared" si="84"/>
        <v>124.16</v>
      </c>
      <c r="CT77">
        <f t="shared" si="85"/>
        <v>166.52</v>
      </c>
      <c r="CU77">
        <f t="shared" si="86"/>
        <v>0</v>
      </c>
      <c r="CV77">
        <f t="shared" si="87"/>
        <v>0.9</v>
      </c>
      <c r="CW77">
        <f t="shared" si="88"/>
        <v>0</v>
      </c>
      <c r="CX77">
        <f t="shared" si="89"/>
        <v>0</v>
      </c>
      <c r="CY77">
        <f t="shared" si="90"/>
        <v>5.7120000000000006</v>
      </c>
      <c r="CZ77">
        <f t="shared" si="91"/>
        <v>0.81599999999999995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29</v>
      </c>
      <c r="DW77" t="s">
        <v>29</v>
      </c>
      <c r="DX77">
        <v>1</v>
      </c>
      <c r="EE77">
        <v>40658659</v>
      </c>
      <c r="EF77">
        <v>1</v>
      </c>
      <c r="EG77" t="s">
        <v>23</v>
      </c>
      <c r="EH77">
        <v>0</v>
      </c>
      <c r="EI77" t="s">
        <v>3</v>
      </c>
      <c r="EJ77">
        <v>4</v>
      </c>
      <c r="EK77">
        <v>0</v>
      </c>
      <c r="EL77" t="s">
        <v>24</v>
      </c>
      <c r="EM77" t="s">
        <v>25</v>
      </c>
      <c r="EO77" t="s">
        <v>3</v>
      </c>
      <c r="EQ77">
        <v>0</v>
      </c>
      <c r="ER77">
        <v>1032.3499999999999</v>
      </c>
      <c r="ES77">
        <v>655.15</v>
      </c>
      <c r="ET77">
        <v>210.68</v>
      </c>
      <c r="EU77">
        <v>124.16</v>
      </c>
      <c r="EV77">
        <v>166.52</v>
      </c>
      <c r="EW77">
        <v>0.9</v>
      </c>
      <c r="EX77">
        <v>0</v>
      </c>
      <c r="EY77">
        <v>0</v>
      </c>
      <c r="FQ77">
        <v>0</v>
      </c>
      <c r="FR77">
        <f t="shared" si="92"/>
        <v>0</v>
      </c>
      <c r="FS77">
        <v>0</v>
      </c>
      <c r="FX77">
        <v>70</v>
      </c>
      <c r="FY77">
        <v>10</v>
      </c>
      <c r="GA77" t="s">
        <v>3</v>
      </c>
      <c r="GD77">
        <v>0</v>
      </c>
      <c r="GF77">
        <v>-1061108837</v>
      </c>
      <c r="GG77">
        <v>2</v>
      </c>
      <c r="GH77">
        <v>1</v>
      </c>
      <c r="GI77">
        <v>-2</v>
      </c>
      <c r="GJ77">
        <v>0</v>
      </c>
      <c r="GK77">
        <f>ROUND(R77*(R12)/100,2)</f>
        <v>6.57</v>
      </c>
      <c r="GL77">
        <f t="shared" si="93"/>
        <v>0</v>
      </c>
      <c r="GM77">
        <f t="shared" si="94"/>
        <v>63.68</v>
      </c>
      <c r="GN77">
        <f t="shared" si="95"/>
        <v>0</v>
      </c>
      <c r="GO77">
        <f t="shared" si="96"/>
        <v>0</v>
      </c>
      <c r="GP77">
        <f t="shared" si="97"/>
        <v>63.68</v>
      </c>
      <c r="GR77">
        <v>0</v>
      </c>
      <c r="GS77">
        <v>3</v>
      </c>
      <c r="GT77">
        <v>0</v>
      </c>
      <c r="GU77" t="s">
        <v>3</v>
      </c>
      <c r="GV77">
        <f t="shared" si="98"/>
        <v>0</v>
      </c>
      <c r="GW77">
        <v>1</v>
      </c>
      <c r="GX77">
        <f t="shared" si="99"/>
        <v>0</v>
      </c>
      <c r="HA77">
        <v>0</v>
      </c>
      <c r="HB77">
        <v>0</v>
      </c>
      <c r="HC77">
        <f t="shared" si="100"/>
        <v>0</v>
      </c>
      <c r="IK77">
        <v>0</v>
      </c>
    </row>
    <row r="78" spans="1:245" x14ac:dyDescent="0.2">
      <c r="A78">
        <v>17</v>
      </c>
      <c r="B78">
        <v>1</v>
      </c>
      <c r="C78">
        <f>ROW(SmtRes!A92)</f>
        <v>92</v>
      </c>
      <c r="D78">
        <f>ROW(EtalonRes!A175)</f>
        <v>175</v>
      </c>
      <c r="E78" t="s">
        <v>111</v>
      </c>
      <c r="F78" t="s">
        <v>32</v>
      </c>
      <c r="G78" t="s">
        <v>33</v>
      </c>
      <c r="H78" t="s">
        <v>29</v>
      </c>
      <c r="I78">
        <f>ROUND(0.7*0.7*0.2,9)</f>
        <v>9.8000000000000004E-2</v>
      </c>
      <c r="J78">
        <v>0</v>
      </c>
      <c r="O78">
        <f t="shared" si="61"/>
        <v>202.23</v>
      </c>
      <c r="P78">
        <f t="shared" si="62"/>
        <v>162.41</v>
      </c>
      <c r="Q78">
        <f t="shared" si="63"/>
        <v>22.05</v>
      </c>
      <c r="R78">
        <f t="shared" si="64"/>
        <v>13.24</v>
      </c>
      <c r="S78">
        <f t="shared" si="65"/>
        <v>17.77</v>
      </c>
      <c r="T78">
        <f t="shared" si="66"/>
        <v>0</v>
      </c>
      <c r="U78">
        <f t="shared" si="67"/>
        <v>9.604E-2</v>
      </c>
      <c r="V78">
        <f t="shared" si="68"/>
        <v>0</v>
      </c>
      <c r="W78">
        <f t="shared" si="69"/>
        <v>0</v>
      </c>
      <c r="X78">
        <f t="shared" si="70"/>
        <v>12.44</v>
      </c>
      <c r="Y78">
        <f t="shared" si="71"/>
        <v>1.78</v>
      </c>
      <c r="AA78">
        <v>42278323</v>
      </c>
      <c r="AB78">
        <f t="shared" si="72"/>
        <v>2063.5700000000002</v>
      </c>
      <c r="AC78">
        <f t="shared" si="73"/>
        <v>1657.26</v>
      </c>
      <c r="AD78">
        <f t="shared" si="74"/>
        <v>224.99</v>
      </c>
      <c r="AE78">
        <f t="shared" si="75"/>
        <v>135.08000000000001</v>
      </c>
      <c r="AF78">
        <f t="shared" si="76"/>
        <v>181.32</v>
      </c>
      <c r="AG78">
        <f t="shared" si="77"/>
        <v>0</v>
      </c>
      <c r="AH78">
        <f t="shared" si="78"/>
        <v>0.98</v>
      </c>
      <c r="AI78">
        <f t="shared" si="79"/>
        <v>0</v>
      </c>
      <c r="AJ78">
        <f t="shared" si="80"/>
        <v>0</v>
      </c>
      <c r="AK78">
        <v>2063.5700000000002</v>
      </c>
      <c r="AL78">
        <v>1657.26</v>
      </c>
      <c r="AM78">
        <v>224.99</v>
      </c>
      <c r="AN78">
        <v>135.08000000000001</v>
      </c>
      <c r="AO78">
        <v>181.32</v>
      </c>
      <c r="AP78">
        <v>0</v>
      </c>
      <c r="AQ78">
        <v>0.98</v>
      </c>
      <c r="AR78">
        <v>0</v>
      </c>
      <c r="AS78">
        <v>0</v>
      </c>
      <c r="AT78">
        <v>70</v>
      </c>
      <c r="AU78">
        <v>10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34</v>
      </c>
      <c r="BM78">
        <v>0</v>
      </c>
      <c r="BN78">
        <v>0</v>
      </c>
      <c r="BO78" t="s">
        <v>3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70</v>
      </c>
      <c r="CA78">
        <v>10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81"/>
        <v>202.23000000000002</v>
      </c>
      <c r="CQ78">
        <f t="shared" si="82"/>
        <v>1657.26</v>
      </c>
      <c r="CR78">
        <f t="shared" si="83"/>
        <v>224.99</v>
      </c>
      <c r="CS78">
        <f t="shared" si="84"/>
        <v>135.08000000000001</v>
      </c>
      <c r="CT78">
        <f t="shared" si="85"/>
        <v>181.32</v>
      </c>
      <c r="CU78">
        <f t="shared" si="86"/>
        <v>0</v>
      </c>
      <c r="CV78">
        <f t="shared" si="87"/>
        <v>0.98</v>
      </c>
      <c r="CW78">
        <f t="shared" si="88"/>
        <v>0</v>
      </c>
      <c r="CX78">
        <f t="shared" si="89"/>
        <v>0</v>
      </c>
      <c r="CY78">
        <f t="shared" si="90"/>
        <v>12.438999999999998</v>
      </c>
      <c r="CZ78">
        <f t="shared" si="91"/>
        <v>1.7769999999999999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1007</v>
      </c>
      <c r="DV78" t="s">
        <v>29</v>
      </c>
      <c r="DW78" t="s">
        <v>29</v>
      </c>
      <c r="DX78">
        <v>1</v>
      </c>
      <c r="EE78">
        <v>40658659</v>
      </c>
      <c r="EF78">
        <v>1</v>
      </c>
      <c r="EG78" t="s">
        <v>23</v>
      </c>
      <c r="EH78">
        <v>0</v>
      </c>
      <c r="EI78" t="s">
        <v>3</v>
      </c>
      <c r="EJ78">
        <v>4</v>
      </c>
      <c r="EK78">
        <v>0</v>
      </c>
      <c r="EL78" t="s">
        <v>24</v>
      </c>
      <c r="EM78" t="s">
        <v>25</v>
      </c>
      <c r="EO78" t="s">
        <v>3</v>
      </c>
      <c r="EQ78">
        <v>0</v>
      </c>
      <c r="ER78">
        <v>2063.5700000000002</v>
      </c>
      <c r="ES78">
        <v>1657.26</v>
      </c>
      <c r="ET78">
        <v>224.99</v>
      </c>
      <c r="EU78">
        <v>135.08000000000001</v>
      </c>
      <c r="EV78">
        <v>181.32</v>
      </c>
      <c r="EW78">
        <v>0.98</v>
      </c>
      <c r="EX78">
        <v>0</v>
      </c>
      <c r="EY78">
        <v>0</v>
      </c>
      <c r="FQ78">
        <v>0</v>
      </c>
      <c r="FR78">
        <f t="shared" si="92"/>
        <v>0</v>
      </c>
      <c r="FS78">
        <v>0</v>
      </c>
      <c r="FX78">
        <v>70</v>
      </c>
      <c r="FY78">
        <v>10</v>
      </c>
      <c r="GA78" t="s">
        <v>3</v>
      </c>
      <c r="GD78">
        <v>0</v>
      </c>
      <c r="GF78">
        <v>276142894</v>
      </c>
      <c r="GG78">
        <v>2</v>
      </c>
      <c r="GH78">
        <v>1</v>
      </c>
      <c r="GI78">
        <v>-2</v>
      </c>
      <c r="GJ78">
        <v>0</v>
      </c>
      <c r="GK78">
        <f>ROUND(R78*(R12)/100,2)</f>
        <v>14.3</v>
      </c>
      <c r="GL78">
        <f t="shared" si="93"/>
        <v>0</v>
      </c>
      <c r="GM78">
        <f t="shared" si="94"/>
        <v>230.75</v>
      </c>
      <c r="GN78">
        <f t="shared" si="95"/>
        <v>0</v>
      </c>
      <c r="GO78">
        <f t="shared" si="96"/>
        <v>0</v>
      </c>
      <c r="GP78">
        <f t="shared" si="97"/>
        <v>230.75</v>
      </c>
      <c r="GR78">
        <v>0</v>
      </c>
      <c r="GS78">
        <v>3</v>
      </c>
      <c r="GT78">
        <v>0</v>
      </c>
      <c r="GU78" t="s">
        <v>3</v>
      </c>
      <c r="GV78">
        <f t="shared" si="98"/>
        <v>0</v>
      </c>
      <c r="GW78">
        <v>1</v>
      </c>
      <c r="GX78">
        <f t="shared" si="99"/>
        <v>0</v>
      </c>
      <c r="HA78">
        <v>0</v>
      </c>
      <c r="HB78">
        <v>0</v>
      </c>
      <c r="HC78">
        <f t="shared" si="100"/>
        <v>0</v>
      </c>
      <c r="IK78">
        <v>0</v>
      </c>
    </row>
    <row r="79" spans="1:245" x14ac:dyDescent="0.2">
      <c r="A79">
        <v>17</v>
      </c>
      <c r="B79">
        <v>1</v>
      </c>
      <c r="D79">
        <f>ROW(EtalonRes!A187)</f>
        <v>187</v>
      </c>
      <c r="E79" t="s">
        <v>112</v>
      </c>
      <c r="F79" t="s">
        <v>36</v>
      </c>
      <c r="G79" t="s">
        <v>37</v>
      </c>
      <c r="H79" t="s">
        <v>21</v>
      </c>
      <c r="I79">
        <f>ROUND((0.7*0.7*0.7*1)/100,9)</f>
        <v>3.4299999999999999E-3</v>
      </c>
      <c r="J79">
        <v>0</v>
      </c>
      <c r="O79">
        <f t="shared" si="61"/>
        <v>1638.15</v>
      </c>
      <c r="P79">
        <f t="shared" si="62"/>
        <v>1245.53</v>
      </c>
      <c r="Q79">
        <f t="shared" si="63"/>
        <v>1.88</v>
      </c>
      <c r="R79">
        <f t="shared" si="64"/>
        <v>0.71</v>
      </c>
      <c r="S79">
        <f t="shared" si="65"/>
        <v>390.74</v>
      </c>
      <c r="T79">
        <f t="shared" si="66"/>
        <v>0</v>
      </c>
      <c r="U79">
        <f t="shared" si="67"/>
        <v>1.9328049999999999</v>
      </c>
      <c r="V79">
        <f t="shared" si="68"/>
        <v>0</v>
      </c>
      <c r="W79">
        <f t="shared" si="69"/>
        <v>0</v>
      </c>
      <c r="X79">
        <f t="shared" si="70"/>
        <v>273.52</v>
      </c>
      <c r="Y79">
        <f t="shared" si="71"/>
        <v>39.07</v>
      </c>
      <c r="AA79">
        <v>42278323</v>
      </c>
      <c r="AB79">
        <f t="shared" si="72"/>
        <v>477593.84</v>
      </c>
      <c r="AC79">
        <f t="shared" si="73"/>
        <v>363129.4</v>
      </c>
      <c r="AD79">
        <f t="shared" si="74"/>
        <v>547.28</v>
      </c>
      <c r="AE79">
        <f t="shared" si="75"/>
        <v>206.05</v>
      </c>
      <c r="AF79">
        <f t="shared" si="76"/>
        <v>113917.16</v>
      </c>
      <c r="AG79">
        <f t="shared" si="77"/>
        <v>0</v>
      </c>
      <c r="AH79">
        <f t="shared" si="78"/>
        <v>563.5</v>
      </c>
      <c r="AI79">
        <f t="shared" si="79"/>
        <v>0</v>
      </c>
      <c r="AJ79">
        <f t="shared" si="80"/>
        <v>0</v>
      </c>
      <c r="AK79">
        <v>477593.84</v>
      </c>
      <c r="AL79">
        <v>363129.4</v>
      </c>
      <c r="AM79">
        <v>547.28</v>
      </c>
      <c r="AN79">
        <v>206.05</v>
      </c>
      <c r="AO79">
        <v>113917.16</v>
      </c>
      <c r="AP79">
        <v>0</v>
      </c>
      <c r="AQ79">
        <v>563.5</v>
      </c>
      <c r="AR79">
        <v>0</v>
      </c>
      <c r="AS79">
        <v>0</v>
      </c>
      <c r="AT79">
        <v>70</v>
      </c>
      <c r="AU79">
        <v>10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38</v>
      </c>
      <c r="BM79">
        <v>0</v>
      </c>
      <c r="BN79">
        <v>0</v>
      </c>
      <c r="BO79" t="s">
        <v>3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70</v>
      </c>
      <c r="CA79">
        <v>10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81"/>
        <v>1638.15</v>
      </c>
      <c r="CQ79">
        <f t="shared" si="82"/>
        <v>363129.4</v>
      </c>
      <c r="CR79">
        <f t="shared" si="83"/>
        <v>547.28</v>
      </c>
      <c r="CS79">
        <f t="shared" si="84"/>
        <v>206.05</v>
      </c>
      <c r="CT79">
        <f t="shared" si="85"/>
        <v>113917.16</v>
      </c>
      <c r="CU79">
        <f t="shared" si="86"/>
        <v>0</v>
      </c>
      <c r="CV79">
        <f t="shared" si="87"/>
        <v>563.5</v>
      </c>
      <c r="CW79">
        <f t="shared" si="88"/>
        <v>0</v>
      </c>
      <c r="CX79">
        <f t="shared" si="89"/>
        <v>0</v>
      </c>
      <c r="CY79">
        <f t="shared" si="90"/>
        <v>273.51799999999997</v>
      </c>
      <c r="CZ79">
        <f t="shared" si="91"/>
        <v>39.073999999999998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1007</v>
      </c>
      <c r="DV79" t="s">
        <v>21</v>
      </c>
      <c r="DW79" t="s">
        <v>21</v>
      </c>
      <c r="DX79">
        <v>100</v>
      </c>
      <c r="EE79">
        <v>40658659</v>
      </c>
      <c r="EF79">
        <v>1</v>
      </c>
      <c r="EG79" t="s">
        <v>23</v>
      </c>
      <c r="EH79">
        <v>0</v>
      </c>
      <c r="EI79" t="s">
        <v>3</v>
      </c>
      <c r="EJ79">
        <v>4</v>
      </c>
      <c r="EK79">
        <v>0</v>
      </c>
      <c r="EL79" t="s">
        <v>24</v>
      </c>
      <c r="EM79" t="s">
        <v>25</v>
      </c>
      <c r="EO79" t="s">
        <v>3</v>
      </c>
      <c r="EQ79">
        <v>0</v>
      </c>
      <c r="ER79">
        <v>477593.84</v>
      </c>
      <c r="ES79">
        <v>363129.4</v>
      </c>
      <c r="ET79">
        <v>547.28</v>
      </c>
      <c r="EU79">
        <v>206.05</v>
      </c>
      <c r="EV79">
        <v>113917.16</v>
      </c>
      <c r="EW79">
        <v>563.5</v>
      </c>
      <c r="EX79">
        <v>0</v>
      </c>
      <c r="EY79">
        <v>0</v>
      </c>
      <c r="FQ79">
        <v>0</v>
      </c>
      <c r="FR79">
        <f t="shared" si="92"/>
        <v>0</v>
      </c>
      <c r="FS79">
        <v>0</v>
      </c>
      <c r="FX79">
        <v>70</v>
      </c>
      <c r="FY79">
        <v>10</v>
      </c>
      <c r="GA79" t="s">
        <v>3</v>
      </c>
      <c r="GD79">
        <v>0</v>
      </c>
      <c r="GF79">
        <v>2142801283</v>
      </c>
      <c r="GG79">
        <v>2</v>
      </c>
      <c r="GH79">
        <v>1</v>
      </c>
      <c r="GI79">
        <v>-2</v>
      </c>
      <c r="GJ79">
        <v>0</v>
      </c>
      <c r="GK79">
        <f>ROUND(R79*(R12)/100,2)</f>
        <v>0.77</v>
      </c>
      <c r="GL79">
        <f t="shared" si="93"/>
        <v>0</v>
      </c>
      <c r="GM79">
        <f t="shared" si="94"/>
        <v>1951.51</v>
      </c>
      <c r="GN79">
        <f t="shared" si="95"/>
        <v>0</v>
      </c>
      <c r="GO79">
        <f t="shared" si="96"/>
        <v>0</v>
      </c>
      <c r="GP79">
        <f t="shared" si="97"/>
        <v>1951.51</v>
      </c>
      <c r="GR79">
        <v>0</v>
      </c>
      <c r="GS79">
        <v>3</v>
      </c>
      <c r="GT79">
        <v>0</v>
      </c>
      <c r="GU79" t="s">
        <v>3</v>
      </c>
      <c r="GV79">
        <f t="shared" si="98"/>
        <v>0</v>
      </c>
      <c r="GW79">
        <v>1</v>
      </c>
      <c r="GX79">
        <f t="shared" si="99"/>
        <v>0</v>
      </c>
      <c r="HA79">
        <v>0</v>
      </c>
      <c r="HB79">
        <v>0</v>
      </c>
      <c r="HC79">
        <f t="shared" si="100"/>
        <v>0</v>
      </c>
      <c r="IK79">
        <v>0</v>
      </c>
    </row>
    <row r="80" spans="1:245" x14ac:dyDescent="0.2">
      <c r="A80">
        <v>17</v>
      </c>
      <c r="B80">
        <v>1</v>
      </c>
      <c r="C80">
        <f>ROW(SmtRes!A94)</f>
        <v>94</v>
      </c>
      <c r="D80">
        <f>ROW(EtalonRes!A189)</f>
        <v>189</v>
      </c>
      <c r="E80" t="s">
        <v>113</v>
      </c>
      <c r="F80" t="s">
        <v>40</v>
      </c>
      <c r="G80" t="s">
        <v>41</v>
      </c>
      <c r="H80" t="s">
        <v>42</v>
      </c>
      <c r="I80">
        <v>7.1999999999999995E-2</v>
      </c>
      <c r="J80">
        <v>0</v>
      </c>
      <c r="O80">
        <f t="shared" si="61"/>
        <v>7508.93</v>
      </c>
      <c r="P80">
        <f t="shared" si="62"/>
        <v>3832.81</v>
      </c>
      <c r="Q80">
        <f t="shared" si="63"/>
        <v>0</v>
      </c>
      <c r="R80">
        <f t="shared" si="64"/>
        <v>0</v>
      </c>
      <c r="S80">
        <f t="shared" si="65"/>
        <v>3676.12</v>
      </c>
      <c r="T80">
        <f t="shared" si="66"/>
        <v>0</v>
      </c>
      <c r="U80">
        <f t="shared" si="67"/>
        <v>16.394399999999997</v>
      </c>
      <c r="V80">
        <f t="shared" si="68"/>
        <v>0</v>
      </c>
      <c r="W80">
        <f t="shared" si="69"/>
        <v>0</v>
      </c>
      <c r="X80">
        <f t="shared" si="70"/>
        <v>2573.2800000000002</v>
      </c>
      <c r="Y80">
        <f t="shared" si="71"/>
        <v>367.61</v>
      </c>
      <c r="AA80">
        <v>42278323</v>
      </c>
      <c r="AB80">
        <f t="shared" si="72"/>
        <v>104290.69</v>
      </c>
      <c r="AC80">
        <f t="shared" si="73"/>
        <v>53233.52</v>
      </c>
      <c r="AD80">
        <f t="shared" si="74"/>
        <v>0</v>
      </c>
      <c r="AE80">
        <f t="shared" si="75"/>
        <v>0</v>
      </c>
      <c r="AF80">
        <f t="shared" si="76"/>
        <v>51057.17</v>
      </c>
      <c r="AG80">
        <f t="shared" si="77"/>
        <v>0</v>
      </c>
      <c r="AH80">
        <f t="shared" si="78"/>
        <v>227.7</v>
      </c>
      <c r="AI80">
        <f t="shared" si="79"/>
        <v>0</v>
      </c>
      <c r="AJ80">
        <f t="shared" si="80"/>
        <v>0</v>
      </c>
      <c r="AK80">
        <v>104290.69</v>
      </c>
      <c r="AL80">
        <v>53233.52</v>
      </c>
      <c r="AM80">
        <v>0</v>
      </c>
      <c r="AN80">
        <v>0</v>
      </c>
      <c r="AO80">
        <v>51057.17</v>
      </c>
      <c r="AP80">
        <v>0</v>
      </c>
      <c r="AQ80">
        <v>227.7</v>
      </c>
      <c r="AR80">
        <v>0</v>
      </c>
      <c r="AS80">
        <v>0</v>
      </c>
      <c r="AT80">
        <v>70</v>
      </c>
      <c r="AU80">
        <v>10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43</v>
      </c>
      <c r="BM80">
        <v>0</v>
      </c>
      <c r="BN80">
        <v>0</v>
      </c>
      <c r="BO80" t="s">
        <v>3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70</v>
      </c>
      <c r="CA80">
        <v>10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81"/>
        <v>7508.93</v>
      </c>
      <c r="CQ80">
        <f t="shared" si="82"/>
        <v>53233.52</v>
      </c>
      <c r="CR80">
        <f t="shared" si="83"/>
        <v>0</v>
      </c>
      <c r="CS80">
        <f t="shared" si="84"/>
        <v>0</v>
      </c>
      <c r="CT80">
        <f t="shared" si="85"/>
        <v>51057.17</v>
      </c>
      <c r="CU80">
        <f t="shared" si="86"/>
        <v>0</v>
      </c>
      <c r="CV80">
        <f t="shared" si="87"/>
        <v>227.7</v>
      </c>
      <c r="CW80">
        <f t="shared" si="88"/>
        <v>0</v>
      </c>
      <c r="CX80">
        <f t="shared" si="89"/>
        <v>0</v>
      </c>
      <c r="CY80">
        <f t="shared" si="90"/>
        <v>2573.2840000000001</v>
      </c>
      <c r="CZ80">
        <f t="shared" si="91"/>
        <v>367.61199999999997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1009</v>
      </c>
      <c r="DV80" t="s">
        <v>42</v>
      </c>
      <c r="DW80" t="s">
        <v>42</v>
      </c>
      <c r="DX80">
        <v>1000</v>
      </c>
      <c r="EE80">
        <v>40658659</v>
      </c>
      <c r="EF80">
        <v>1</v>
      </c>
      <c r="EG80" t="s">
        <v>23</v>
      </c>
      <c r="EH80">
        <v>0</v>
      </c>
      <c r="EI80" t="s">
        <v>3</v>
      </c>
      <c r="EJ80">
        <v>4</v>
      </c>
      <c r="EK80">
        <v>0</v>
      </c>
      <c r="EL80" t="s">
        <v>24</v>
      </c>
      <c r="EM80" t="s">
        <v>25</v>
      </c>
      <c r="EO80" t="s">
        <v>3</v>
      </c>
      <c r="EQ80">
        <v>0</v>
      </c>
      <c r="ER80">
        <v>104290.69</v>
      </c>
      <c r="ES80">
        <v>53233.52</v>
      </c>
      <c r="ET80">
        <v>0</v>
      </c>
      <c r="EU80">
        <v>0</v>
      </c>
      <c r="EV80">
        <v>51057.17</v>
      </c>
      <c r="EW80">
        <v>227.7</v>
      </c>
      <c r="EX80">
        <v>0</v>
      </c>
      <c r="EY80">
        <v>0</v>
      </c>
      <c r="FQ80">
        <v>0</v>
      </c>
      <c r="FR80">
        <f t="shared" si="92"/>
        <v>0</v>
      </c>
      <c r="FS80">
        <v>0</v>
      </c>
      <c r="FX80">
        <v>70</v>
      </c>
      <c r="FY80">
        <v>10</v>
      </c>
      <c r="GA80" t="s">
        <v>3</v>
      </c>
      <c r="GD80">
        <v>0</v>
      </c>
      <c r="GF80">
        <v>-423032956</v>
      </c>
      <c r="GG80">
        <v>2</v>
      </c>
      <c r="GH80">
        <v>1</v>
      </c>
      <c r="GI80">
        <v>-2</v>
      </c>
      <c r="GJ80">
        <v>0</v>
      </c>
      <c r="GK80">
        <f>ROUND(R80*(R12)/100,2)</f>
        <v>0</v>
      </c>
      <c r="GL80">
        <f t="shared" si="93"/>
        <v>0</v>
      </c>
      <c r="GM80">
        <f t="shared" si="94"/>
        <v>10449.82</v>
      </c>
      <c r="GN80">
        <f t="shared" si="95"/>
        <v>0</v>
      </c>
      <c r="GO80">
        <f t="shared" si="96"/>
        <v>0</v>
      </c>
      <c r="GP80">
        <f t="shared" si="97"/>
        <v>10449.82</v>
      </c>
      <c r="GR80">
        <v>0</v>
      </c>
      <c r="GS80">
        <v>3</v>
      </c>
      <c r="GT80">
        <v>0</v>
      </c>
      <c r="GU80" t="s">
        <v>3</v>
      </c>
      <c r="GV80">
        <f t="shared" si="98"/>
        <v>0</v>
      </c>
      <c r="GW80">
        <v>1</v>
      </c>
      <c r="GX80">
        <f t="shared" si="99"/>
        <v>0</v>
      </c>
      <c r="HA80">
        <v>0</v>
      </c>
      <c r="HB80">
        <v>0</v>
      </c>
      <c r="HC80">
        <f t="shared" si="100"/>
        <v>0</v>
      </c>
      <c r="IK80">
        <v>0</v>
      </c>
    </row>
    <row r="81" spans="1:245" x14ac:dyDescent="0.2">
      <c r="A81">
        <v>18</v>
      </c>
      <c r="B81">
        <v>1</v>
      </c>
      <c r="C81">
        <v>94</v>
      </c>
      <c r="E81" t="s">
        <v>114</v>
      </c>
      <c r="F81" t="s">
        <v>45</v>
      </c>
      <c r="G81" t="s">
        <v>46</v>
      </c>
      <c r="H81" t="s">
        <v>47</v>
      </c>
      <c r="I81">
        <f>I80*J81</f>
        <v>1</v>
      </c>
      <c r="J81">
        <v>13.888888888888889</v>
      </c>
      <c r="O81">
        <f t="shared" si="61"/>
        <v>210</v>
      </c>
      <c r="P81">
        <f t="shared" si="62"/>
        <v>210</v>
      </c>
      <c r="Q81">
        <f t="shared" si="63"/>
        <v>0</v>
      </c>
      <c r="R81">
        <f t="shared" si="64"/>
        <v>0</v>
      </c>
      <c r="S81">
        <f t="shared" si="65"/>
        <v>0</v>
      </c>
      <c r="T81">
        <f t="shared" si="66"/>
        <v>0</v>
      </c>
      <c r="U81">
        <f t="shared" si="67"/>
        <v>0</v>
      </c>
      <c r="V81">
        <f t="shared" si="68"/>
        <v>0</v>
      </c>
      <c r="W81">
        <f t="shared" si="69"/>
        <v>0</v>
      </c>
      <c r="X81">
        <f t="shared" si="70"/>
        <v>0</v>
      </c>
      <c r="Y81">
        <f t="shared" si="71"/>
        <v>0</v>
      </c>
      <c r="AA81">
        <v>42278323</v>
      </c>
      <c r="AB81">
        <f t="shared" si="72"/>
        <v>210</v>
      </c>
      <c r="AC81">
        <f t="shared" si="73"/>
        <v>210</v>
      </c>
      <c r="AD81">
        <f t="shared" si="74"/>
        <v>0</v>
      </c>
      <c r="AE81">
        <f t="shared" si="75"/>
        <v>0</v>
      </c>
      <c r="AF81">
        <f t="shared" si="76"/>
        <v>0</v>
      </c>
      <c r="AG81">
        <f t="shared" si="77"/>
        <v>0</v>
      </c>
      <c r="AH81">
        <f t="shared" si="78"/>
        <v>0</v>
      </c>
      <c r="AI81">
        <f t="shared" si="79"/>
        <v>0</v>
      </c>
      <c r="AJ81">
        <f t="shared" si="80"/>
        <v>0</v>
      </c>
      <c r="AK81">
        <v>210</v>
      </c>
      <c r="AL81">
        <v>210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70</v>
      </c>
      <c r="AU81">
        <v>10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4</v>
      </c>
      <c r="BJ81" t="s">
        <v>48</v>
      </c>
      <c r="BM81">
        <v>0</v>
      </c>
      <c r="BN81">
        <v>0</v>
      </c>
      <c r="BO81" t="s">
        <v>3</v>
      </c>
      <c r="BP81">
        <v>0</v>
      </c>
      <c r="BQ81">
        <v>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70</v>
      </c>
      <c r="CA81">
        <v>10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81"/>
        <v>210</v>
      </c>
      <c r="CQ81">
        <f t="shared" si="82"/>
        <v>210</v>
      </c>
      <c r="CR81">
        <f t="shared" si="83"/>
        <v>0</v>
      </c>
      <c r="CS81">
        <f t="shared" si="84"/>
        <v>0</v>
      </c>
      <c r="CT81">
        <f t="shared" si="85"/>
        <v>0</v>
      </c>
      <c r="CU81">
        <f t="shared" si="86"/>
        <v>0</v>
      </c>
      <c r="CV81">
        <f t="shared" si="87"/>
        <v>0</v>
      </c>
      <c r="CW81">
        <f t="shared" si="88"/>
        <v>0</v>
      </c>
      <c r="CX81">
        <f t="shared" si="89"/>
        <v>0</v>
      </c>
      <c r="CY81">
        <f t="shared" si="90"/>
        <v>0</v>
      </c>
      <c r="CZ81">
        <f t="shared" si="91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47</v>
      </c>
      <c r="DW81" t="s">
        <v>47</v>
      </c>
      <c r="DX81">
        <v>1</v>
      </c>
      <c r="EE81">
        <v>40658659</v>
      </c>
      <c r="EF81">
        <v>1</v>
      </c>
      <c r="EG81" t="s">
        <v>23</v>
      </c>
      <c r="EH81">
        <v>0</v>
      </c>
      <c r="EI81" t="s">
        <v>3</v>
      </c>
      <c r="EJ81">
        <v>4</v>
      </c>
      <c r="EK81">
        <v>0</v>
      </c>
      <c r="EL81" t="s">
        <v>24</v>
      </c>
      <c r="EM81" t="s">
        <v>25</v>
      </c>
      <c r="EO81" t="s">
        <v>3</v>
      </c>
      <c r="EQ81">
        <v>0</v>
      </c>
      <c r="ER81">
        <v>210</v>
      </c>
      <c r="ES81">
        <v>210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92"/>
        <v>0</v>
      </c>
      <c r="FS81">
        <v>0</v>
      </c>
      <c r="FX81">
        <v>70</v>
      </c>
      <c r="FY81">
        <v>10</v>
      </c>
      <c r="GA81" t="s">
        <v>3</v>
      </c>
      <c r="GD81">
        <v>0</v>
      </c>
      <c r="GF81">
        <v>462942439</v>
      </c>
      <c r="GG81">
        <v>2</v>
      </c>
      <c r="GH81">
        <v>1</v>
      </c>
      <c r="GI81">
        <v>-2</v>
      </c>
      <c r="GJ81">
        <v>0</v>
      </c>
      <c r="GK81">
        <f>ROUND(R81*(R12)/100,2)</f>
        <v>0</v>
      </c>
      <c r="GL81">
        <f t="shared" si="93"/>
        <v>0</v>
      </c>
      <c r="GM81">
        <f t="shared" si="94"/>
        <v>210</v>
      </c>
      <c r="GN81">
        <f t="shared" si="95"/>
        <v>0</v>
      </c>
      <c r="GO81">
        <f t="shared" si="96"/>
        <v>0</v>
      </c>
      <c r="GP81">
        <f t="shared" si="97"/>
        <v>210</v>
      </c>
      <c r="GR81">
        <v>0</v>
      </c>
      <c r="GS81">
        <v>3</v>
      </c>
      <c r="GT81">
        <v>0</v>
      </c>
      <c r="GU81" t="s">
        <v>3</v>
      </c>
      <c r="GV81">
        <f t="shared" si="98"/>
        <v>0</v>
      </c>
      <c r="GW81">
        <v>1</v>
      </c>
      <c r="GX81">
        <f t="shared" si="99"/>
        <v>0</v>
      </c>
      <c r="HA81">
        <v>0</v>
      </c>
      <c r="HB81">
        <v>0</v>
      </c>
      <c r="HC81">
        <f t="shared" si="100"/>
        <v>0</v>
      </c>
      <c r="IK81">
        <v>0</v>
      </c>
    </row>
    <row r="82" spans="1:245" x14ac:dyDescent="0.2">
      <c r="A82">
        <v>18</v>
      </c>
      <c r="B82">
        <v>1</v>
      </c>
      <c r="C82">
        <v>93</v>
      </c>
      <c r="E82" t="s">
        <v>115</v>
      </c>
      <c r="F82" t="s">
        <v>50</v>
      </c>
      <c r="G82" t="s">
        <v>51</v>
      </c>
      <c r="H82" t="s">
        <v>42</v>
      </c>
      <c r="I82">
        <f>I80*J82</f>
        <v>-7.1999999999999995E-2</v>
      </c>
      <c r="J82">
        <v>-1</v>
      </c>
      <c r="O82">
        <f t="shared" si="61"/>
        <v>-3832.81</v>
      </c>
      <c r="P82">
        <f t="shared" si="62"/>
        <v>-3832.81</v>
      </c>
      <c r="Q82">
        <f t="shared" si="63"/>
        <v>0</v>
      </c>
      <c r="R82">
        <f t="shared" si="64"/>
        <v>0</v>
      </c>
      <c r="S82">
        <f t="shared" si="65"/>
        <v>0</v>
      </c>
      <c r="T82">
        <f t="shared" si="66"/>
        <v>0</v>
      </c>
      <c r="U82">
        <f t="shared" si="67"/>
        <v>0</v>
      </c>
      <c r="V82">
        <f t="shared" si="68"/>
        <v>0</v>
      </c>
      <c r="W82">
        <f t="shared" si="69"/>
        <v>0</v>
      </c>
      <c r="X82">
        <f t="shared" si="70"/>
        <v>0</v>
      </c>
      <c r="Y82">
        <f t="shared" si="71"/>
        <v>0</v>
      </c>
      <c r="AA82">
        <v>42278323</v>
      </c>
      <c r="AB82">
        <f t="shared" si="72"/>
        <v>53233.52</v>
      </c>
      <c r="AC82">
        <f t="shared" si="73"/>
        <v>53233.52</v>
      </c>
      <c r="AD82">
        <f t="shared" si="74"/>
        <v>0</v>
      </c>
      <c r="AE82">
        <f t="shared" si="75"/>
        <v>0</v>
      </c>
      <c r="AF82">
        <f t="shared" si="76"/>
        <v>0</v>
      </c>
      <c r="AG82">
        <f t="shared" si="77"/>
        <v>0</v>
      </c>
      <c r="AH82">
        <f t="shared" si="78"/>
        <v>0</v>
      </c>
      <c r="AI82">
        <f t="shared" si="79"/>
        <v>0</v>
      </c>
      <c r="AJ82">
        <f t="shared" si="80"/>
        <v>0</v>
      </c>
      <c r="AK82">
        <v>53233.52</v>
      </c>
      <c r="AL82">
        <v>53233.52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70</v>
      </c>
      <c r="AU82">
        <v>10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4</v>
      </c>
      <c r="BJ82" t="s">
        <v>52</v>
      </c>
      <c r="BM82">
        <v>0</v>
      </c>
      <c r="BN82">
        <v>0</v>
      </c>
      <c r="BO82" t="s">
        <v>3</v>
      </c>
      <c r="BP82">
        <v>0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70</v>
      </c>
      <c r="CA82">
        <v>10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1"/>
        <v>-3832.81</v>
      </c>
      <c r="CQ82">
        <f t="shared" si="82"/>
        <v>53233.52</v>
      </c>
      <c r="CR82">
        <f t="shared" si="83"/>
        <v>0</v>
      </c>
      <c r="CS82">
        <f t="shared" si="84"/>
        <v>0</v>
      </c>
      <c r="CT82">
        <f t="shared" si="85"/>
        <v>0</v>
      </c>
      <c r="CU82">
        <f t="shared" si="86"/>
        <v>0</v>
      </c>
      <c r="CV82">
        <f t="shared" si="87"/>
        <v>0</v>
      </c>
      <c r="CW82">
        <f t="shared" si="88"/>
        <v>0</v>
      </c>
      <c r="CX82">
        <f t="shared" si="89"/>
        <v>0</v>
      </c>
      <c r="CY82">
        <f t="shared" si="90"/>
        <v>0</v>
      </c>
      <c r="CZ82">
        <f t="shared" si="91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1009</v>
      </c>
      <c r="DV82" t="s">
        <v>42</v>
      </c>
      <c r="DW82" t="s">
        <v>42</v>
      </c>
      <c r="DX82">
        <v>1000</v>
      </c>
      <c r="EE82">
        <v>40658659</v>
      </c>
      <c r="EF82">
        <v>1</v>
      </c>
      <c r="EG82" t="s">
        <v>23</v>
      </c>
      <c r="EH82">
        <v>0</v>
      </c>
      <c r="EI82" t="s">
        <v>3</v>
      </c>
      <c r="EJ82">
        <v>4</v>
      </c>
      <c r="EK82">
        <v>0</v>
      </c>
      <c r="EL82" t="s">
        <v>24</v>
      </c>
      <c r="EM82" t="s">
        <v>25</v>
      </c>
      <c r="EO82" t="s">
        <v>3</v>
      </c>
      <c r="EQ82">
        <v>32768</v>
      </c>
      <c r="ER82">
        <v>53233.52</v>
      </c>
      <c r="ES82">
        <v>53233.52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92"/>
        <v>0</v>
      </c>
      <c r="FS82">
        <v>0</v>
      </c>
      <c r="FX82">
        <v>70</v>
      </c>
      <c r="FY82">
        <v>10</v>
      </c>
      <c r="GA82" t="s">
        <v>3</v>
      </c>
      <c r="GD82">
        <v>0</v>
      </c>
      <c r="GF82">
        <v>588667335</v>
      </c>
      <c r="GG82">
        <v>2</v>
      </c>
      <c r="GH82">
        <v>1</v>
      </c>
      <c r="GI82">
        <v>-2</v>
      </c>
      <c r="GJ82">
        <v>0</v>
      </c>
      <c r="GK82">
        <f>ROUND(R82*(R12)/100,2)</f>
        <v>0</v>
      </c>
      <c r="GL82">
        <f t="shared" si="93"/>
        <v>0</v>
      </c>
      <c r="GM82">
        <f t="shared" si="94"/>
        <v>-3832.81</v>
      </c>
      <c r="GN82">
        <f t="shared" si="95"/>
        <v>0</v>
      </c>
      <c r="GO82">
        <f t="shared" si="96"/>
        <v>0</v>
      </c>
      <c r="GP82">
        <f t="shared" si="97"/>
        <v>-3832.81</v>
      </c>
      <c r="GR82">
        <v>0</v>
      </c>
      <c r="GS82">
        <v>3</v>
      </c>
      <c r="GT82">
        <v>0</v>
      </c>
      <c r="GU82" t="s">
        <v>3</v>
      </c>
      <c r="GV82">
        <f t="shared" si="98"/>
        <v>0</v>
      </c>
      <c r="GW82">
        <v>1</v>
      </c>
      <c r="GX82">
        <f t="shared" si="99"/>
        <v>0</v>
      </c>
      <c r="HA82">
        <v>0</v>
      </c>
      <c r="HB82">
        <v>0</v>
      </c>
      <c r="HC82">
        <f t="shared" si="100"/>
        <v>0</v>
      </c>
      <c r="IK82">
        <v>0</v>
      </c>
    </row>
    <row r="83" spans="1:245" x14ac:dyDescent="0.2">
      <c r="A83">
        <v>17</v>
      </c>
      <c r="B83">
        <v>1</v>
      </c>
      <c r="E83" t="s">
        <v>116</v>
      </c>
      <c r="F83" t="s">
        <v>54</v>
      </c>
      <c r="G83" t="s">
        <v>117</v>
      </c>
      <c r="H83" t="s">
        <v>47</v>
      </c>
      <c r="I83">
        <v>1</v>
      </c>
      <c r="J83">
        <v>0</v>
      </c>
      <c r="O83">
        <f t="shared" si="61"/>
        <v>60714.37</v>
      </c>
      <c r="P83">
        <f t="shared" si="62"/>
        <v>60714.37</v>
      </c>
      <c r="Q83">
        <f t="shared" si="63"/>
        <v>0</v>
      </c>
      <c r="R83">
        <f t="shared" si="64"/>
        <v>0</v>
      </c>
      <c r="S83">
        <f t="shared" si="65"/>
        <v>0</v>
      </c>
      <c r="T83">
        <f t="shared" si="66"/>
        <v>0</v>
      </c>
      <c r="U83">
        <f t="shared" si="67"/>
        <v>0</v>
      </c>
      <c r="V83">
        <f t="shared" si="68"/>
        <v>0</v>
      </c>
      <c r="W83">
        <f t="shared" si="69"/>
        <v>0</v>
      </c>
      <c r="X83">
        <f t="shared" si="70"/>
        <v>0</v>
      </c>
      <c r="Y83">
        <f t="shared" si="71"/>
        <v>0</v>
      </c>
      <c r="AA83">
        <v>42278323</v>
      </c>
      <c r="AB83">
        <f t="shared" si="72"/>
        <v>60714.37</v>
      </c>
      <c r="AC83">
        <f t="shared" si="73"/>
        <v>60714.37</v>
      </c>
      <c r="AD83">
        <f t="shared" si="74"/>
        <v>0</v>
      </c>
      <c r="AE83">
        <f t="shared" si="75"/>
        <v>0</v>
      </c>
      <c r="AF83">
        <f t="shared" si="76"/>
        <v>0</v>
      </c>
      <c r="AG83">
        <f t="shared" si="77"/>
        <v>0</v>
      </c>
      <c r="AH83">
        <f t="shared" si="78"/>
        <v>0</v>
      </c>
      <c r="AI83">
        <f t="shared" si="79"/>
        <v>0</v>
      </c>
      <c r="AJ83">
        <f t="shared" si="80"/>
        <v>0</v>
      </c>
      <c r="AK83">
        <v>65926.720000000001</v>
      </c>
      <c r="AL83">
        <v>60714.37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6001</v>
      </c>
      <c r="BN83">
        <v>0</v>
      </c>
      <c r="BO83" t="s">
        <v>3</v>
      </c>
      <c r="BP83">
        <v>0</v>
      </c>
      <c r="BQ83">
        <v>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1"/>
        <v>60714.37</v>
      </c>
      <c r="CQ83">
        <f t="shared" si="82"/>
        <v>60714.37</v>
      </c>
      <c r="CR83">
        <f t="shared" si="83"/>
        <v>0</v>
      </c>
      <c r="CS83">
        <f t="shared" si="84"/>
        <v>0</v>
      </c>
      <c r="CT83">
        <f t="shared" si="85"/>
        <v>0</v>
      </c>
      <c r="CU83">
        <f t="shared" si="86"/>
        <v>0</v>
      </c>
      <c r="CV83">
        <f t="shared" si="87"/>
        <v>0</v>
      </c>
      <c r="CW83">
        <f t="shared" si="88"/>
        <v>0</v>
      </c>
      <c r="CX83">
        <f t="shared" si="89"/>
        <v>0</v>
      </c>
      <c r="CY83">
        <f t="shared" si="90"/>
        <v>0</v>
      </c>
      <c r="CZ83">
        <f t="shared" si="91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47</v>
      </c>
      <c r="DW83" t="s">
        <v>47</v>
      </c>
      <c r="DX83">
        <v>1</v>
      </c>
      <c r="EE83">
        <v>42086242</v>
      </c>
      <c r="EF83">
        <v>0</v>
      </c>
      <c r="EG83" t="s">
        <v>56</v>
      </c>
      <c r="EH83">
        <v>0</v>
      </c>
      <c r="EI83" t="s">
        <v>3</v>
      </c>
      <c r="EJ83">
        <v>1</v>
      </c>
      <c r="EK83">
        <v>6001</v>
      </c>
      <c r="EL83" t="s">
        <v>57</v>
      </c>
      <c r="EM83" t="s">
        <v>56</v>
      </c>
      <c r="EO83" t="s">
        <v>3</v>
      </c>
      <c r="EQ83">
        <v>0</v>
      </c>
      <c r="ER83">
        <v>60714.37</v>
      </c>
      <c r="ES83">
        <v>60714.37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64634.04</v>
      </c>
      <c r="FQ83">
        <v>0</v>
      </c>
      <c r="FR83">
        <f t="shared" si="92"/>
        <v>0</v>
      </c>
      <c r="FS83">
        <v>0</v>
      </c>
      <c r="FX83">
        <v>0</v>
      </c>
      <c r="FY83">
        <v>0</v>
      </c>
      <c r="GA83" t="s">
        <v>118</v>
      </c>
      <c r="GD83">
        <v>0</v>
      </c>
      <c r="GF83">
        <v>-1543783840</v>
      </c>
      <c r="GG83">
        <v>2</v>
      </c>
      <c r="GH83">
        <v>3</v>
      </c>
      <c r="GI83">
        <v>-2</v>
      </c>
      <c r="GJ83">
        <v>0</v>
      </c>
      <c r="GK83">
        <f>ROUND(R83*(R12)/100,2)</f>
        <v>0</v>
      </c>
      <c r="GL83">
        <f t="shared" si="93"/>
        <v>0</v>
      </c>
      <c r="GM83">
        <f t="shared" si="94"/>
        <v>60714.37</v>
      </c>
      <c r="GN83">
        <f t="shared" si="95"/>
        <v>60714.37</v>
      </c>
      <c r="GO83">
        <f t="shared" si="96"/>
        <v>0</v>
      </c>
      <c r="GP83">
        <f t="shared" si="97"/>
        <v>0</v>
      </c>
      <c r="GR83">
        <v>1</v>
      </c>
      <c r="GS83">
        <v>1</v>
      </c>
      <c r="GT83">
        <v>0</v>
      </c>
      <c r="GU83" t="s">
        <v>3</v>
      </c>
      <c r="GV83">
        <f t="shared" si="98"/>
        <v>0</v>
      </c>
      <c r="GW83">
        <v>1</v>
      </c>
      <c r="GX83">
        <f t="shared" si="99"/>
        <v>0</v>
      </c>
      <c r="HA83">
        <v>0</v>
      </c>
      <c r="HB83">
        <v>0</v>
      </c>
      <c r="HC83">
        <f t="shared" si="100"/>
        <v>0</v>
      </c>
      <c r="IK83">
        <v>0</v>
      </c>
    </row>
    <row r="84" spans="1:245" x14ac:dyDescent="0.2">
      <c r="A84">
        <v>17</v>
      </c>
      <c r="B84">
        <v>1</v>
      </c>
      <c r="D84">
        <f>ROW(EtalonRes!A190)</f>
        <v>190</v>
      </c>
      <c r="E84" t="s">
        <v>119</v>
      </c>
      <c r="F84" t="s">
        <v>19</v>
      </c>
      <c r="G84" t="s">
        <v>20</v>
      </c>
      <c r="H84" t="s">
        <v>21</v>
      </c>
      <c r="I84">
        <f>ROUND(0.7*0.7*1/100,9)</f>
        <v>4.8999999999999998E-3</v>
      </c>
      <c r="J84">
        <v>0</v>
      </c>
      <c r="O84">
        <f t="shared" si="61"/>
        <v>205.56</v>
      </c>
      <c r="P84">
        <f t="shared" si="62"/>
        <v>0</v>
      </c>
      <c r="Q84">
        <f t="shared" si="63"/>
        <v>0</v>
      </c>
      <c r="R84">
        <f t="shared" si="64"/>
        <v>0</v>
      </c>
      <c r="S84">
        <f t="shared" si="65"/>
        <v>205.56</v>
      </c>
      <c r="T84">
        <f t="shared" si="66"/>
        <v>0</v>
      </c>
      <c r="U84">
        <f t="shared" si="67"/>
        <v>1.0858399999999999</v>
      </c>
      <c r="V84">
        <f t="shared" si="68"/>
        <v>0</v>
      </c>
      <c r="W84">
        <f t="shared" si="69"/>
        <v>0</v>
      </c>
      <c r="X84">
        <f t="shared" si="70"/>
        <v>143.88999999999999</v>
      </c>
      <c r="Y84">
        <f t="shared" si="71"/>
        <v>20.56</v>
      </c>
      <c r="AA84">
        <v>42278323</v>
      </c>
      <c r="AB84">
        <f t="shared" si="72"/>
        <v>41951.1</v>
      </c>
      <c r="AC84">
        <f t="shared" si="73"/>
        <v>0</v>
      </c>
      <c r="AD84">
        <f t="shared" si="74"/>
        <v>0</v>
      </c>
      <c r="AE84">
        <f t="shared" si="75"/>
        <v>0</v>
      </c>
      <c r="AF84">
        <f t="shared" si="76"/>
        <v>41951.1</v>
      </c>
      <c r="AG84">
        <f t="shared" si="77"/>
        <v>0</v>
      </c>
      <c r="AH84">
        <f t="shared" si="78"/>
        <v>221.6</v>
      </c>
      <c r="AI84">
        <f t="shared" si="79"/>
        <v>0</v>
      </c>
      <c r="AJ84">
        <f t="shared" si="80"/>
        <v>0</v>
      </c>
      <c r="AK84">
        <v>41951.1</v>
      </c>
      <c r="AL84">
        <v>0</v>
      </c>
      <c r="AM84">
        <v>0</v>
      </c>
      <c r="AN84">
        <v>0</v>
      </c>
      <c r="AO84">
        <v>41951.1</v>
      </c>
      <c r="AP84">
        <v>0</v>
      </c>
      <c r="AQ84">
        <v>221.6</v>
      </c>
      <c r="AR84">
        <v>0</v>
      </c>
      <c r="AS84">
        <v>0</v>
      </c>
      <c r="AT84">
        <v>70</v>
      </c>
      <c r="AU84">
        <v>10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22</v>
      </c>
      <c r="BM84">
        <v>0</v>
      </c>
      <c r="BN84">
        <v>0</v>
      </c>
      <c r="BO84" t="s">
        <v>3</v>
      </c>
      <c r="BP84">
        <v>0</v>
      </c>
      <c r="BQ84">
        <v>1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70</v>
      </c>
      <c r="CA84">
        <v>10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81"/>
        <v>205.56</v>
      </c>
      <c r="CQ84">
        <f t="shared" si="82"/>
        <v>0</v>
      </c>
      <c r="CR84">
        <f t="shared" si="83"/>
        <v>0</v>
      </c>
      <c r="CS84">
        <f t="shared" si="84"/>
        <v>0</v>
      </c>
      <c r="CT84">
        <f t="shared" si="85"/>
        <v>41951.1</v>
      </c>
      <c r="CU84">
        <f t="shared" si="86"/>
        <v>0</v>
      </c>
      <c r="CV84">
        <f t="shared" si="87"/>
        <v>221.6</v>
      </c>
      <c r="CW84">
        <f t="shared" si="88"/>
        <v>0</v>
      </c>
      <c r="CX84">
        <f t="shared" si="89"/>
        <v>0</v>
      </c>
      <c r="CY84">
        <f t="shared" si="90"/>
        <v>143.892</v>
      </c>
      <c r="CZ84">
        <f t="shared" si="91"/>
        <v>20.555999999999997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1007</v>
      </c>
      <c r="DV84" t="s">
        <v>21</v>
      </c>
      <c r="DW84" t="s">
        <v>21</v>
      </c>
      <c r="DX84">
        <v>100</v>
      </c>
      <c r="EE84">
        <v>40658659</v>
      </c>
      <c r="EF84">
        <v>1</v>
      </c>
      <c r="EG84" t="s">
        <v>23</v>
      </c>
      <c r="EH84">
        <v>0</v>
      </c>
      <c r="EI84" t="s">
        <v>3</v>
      </c>
      <c r="EJ84">
        <v>4</v>
      </c>
      <c r="EK84">
        <v>0</v>
      </c>
      <c r="EL84" t="s">
        <v>24</v>
      </c>
      <c r="EM84" t="s">
        <v>25</v>
      </c>
      <c r="EO84" t="s">
        <v>3</v>
      </c>
      <c r="EQ84">
        <v>0</v>
      </c>
      <c r="ER84">
        <v>41951.1</v>
      </c>
      <c r="ES84">
        <v>0</v>
      </c>
      <c r="ET84">
        <v>0</v>
      </c>
      <c r="EU84">
        <v>0</v>
      </c>
      <c r="EV84">
        <v>41951.1</v>
      </c>
      <c r="EW84">
        <v>221.6</v>
      </c>
      <c r="EX84">
        <v>0</v>
      </c>
      <c r="EY84">
        <v>0</v>
      </c>
      <c r="FQ84">
        <v>0</v>
      </c>
      <c r="FR84">
        <f t="shared" si="92"/>
        <v>0</v>
      </c>
      <c r="FS84">
        <v>0</v>
      </c>
      <c r="FX84">
        <v>70</v>
      </c>
      <c r="FY84">
        <v>10</v>
      </c>
      <c r="GA84" t="s">
        <v>3</v>
      </c>
      <c r="GD84">
        <v>0</v>
      </c>
      <c r="GF84">
        <v>1840361055</v>
      </c>
      <c r="GG84">
        <v>2</v>
      </c>
      <c r="GH84">
        <v>1</v>
      </c>
      <c r="GI84">
        <v>-2</v>
      </c>
      <c r="GJ84">
        <v>0</v>
      </c>
      <c r="GK84">
        <f>ROUND(R84*(R12)/100,2)</f>
        <v>0</v>
      </c>
      <c r="GL84">
        <f t="shared" si="93"/>
        <v>0</v>
      </c>
      <c r="GM84">
        <f t="shared" si="94"/>
        <v>370.01</v>
      </c>
      <c r="GN84">
        <f t="shared" si="95"/>
        <v>0</v>
      </c>
      <c r="GO84">
        <f t="shared" si="96"/>
        <v>0</v>
      </c>
      <c r="GP84">
        <f t="shared" si="97"/>
        <v>370.01</v>
      </c>
      <c r="GR84">
        <v>0</v>
      </c>
      <c r="GS84">
        <v>3</v>
      </c>
      <c r="GT84">
        <v>0</v>
      </c>
      <c r="GU84" t="s">
        <v>3</v>
      </c>
      <c r="GV84">
        <f t="shared" si="98"/>
        <v>0</v>
      </c>
      <c r="GW84">
        <v>1</v>
      </c>
      <c r="GX84">
        <f t="shared" si="99"/>
        <v>0</v>
      </c>
      <c r="HA84">
        <v>0</v>
      </c>
      <c r="HB84">
        <v>0</v>
      </c>
      <c r="HC84">
        <f t="shared" si="100"/>
        <v>0</v>
      </c>
      <c r="IK84">
        <v>0</v>
      </c>
    </row>
    <row r="85" spans="1:245" x14ac:dyDescent="0.2">
      <c r="A85">
        <v>17</v>
      </c>
      <c r="B85">
        <v>1</v>
      </c>
      <c r="C85">
        <f>ROW(SmtRes!A100)</f>
        <v>100</v>
      </c>
      <c r="D85">
        <f>ROW(EtalonRes!A196)</f>
        <v>196</v>
      </c>
      <c r="E85" t="s">
        <v>120</v>
      </c>
      <c r="F85" t="s">
        <v>27</v>
      </c>
      <c r="G85" t="s">
        <v>28</v>
      </c>
      <c r="H85" t="s">
        <v>29</v>
      </c>
      <c r="I85">
        <f>ROUND(0.7*0.7*0.1,9)</f>
        <v>4.9000000000000002E-2</v>
      </c>
      <c r="J85">
        <v>0</v>
      </c>
      <c r="O85">
        <f t="shared" si="61"/>
        <v>50.58</v>
      </c>
      <c r="P85">
        <f t="shared" si="62"/>
        <v>32.1</v>
      </c>
      <c r="Q85">
        <f t="shared" si="63"/>
        <v>10.32</v>
      </c>
      <c r="R85">
        <f t="shared" si="64"/>
        <v>6.08</v>
      </c>
      <c r="S85">
        <f t="shared" si="65"/>
        <v>8.16</v>
      </c>
      <c r="T85">
        <f t="shared" si="66"/>
        <v>0</v>
      </c>
      <c r="U85">
        <f t="shared" si="67"/>
        <v>4.41E-2</v>
      </c>
      <c r="V85">
        <f t="shared" si="68"/>
        <v>0</v>
      </c>
      <c r="W85">
        <f t="shared" si="69"/>
        <v>0</v>
      </c>
      <c r="X85">
        <f t="shared" si="70"/>
        <v>5.71</v>
      </c>
      <c r="Y85">
        <f t="shared" si="71"/>
        <v>0.82</v>
      </c>
      <c r="AA85">
        <v>42278323</v>
      </c>
      <c r="AB85">
        <f t="shared" si="72"/>
        <v>1032.3499999999999</v>
      </c>
      <c r="AC85">
        <f t="shared" si="73"/>
        <v>655.15</v>
      </c>
      <c r="AD85">
        <f t="shared" si="74"/>
        <v>210.68</v>
      </c>
      <c r="AE85">
        <f t="shared" si="75"/>
        <v>124.16</v>
      </c>
      <c r="AF85">
        <f t="shared" si="76"/>
        <v>166.52</v>
      </c>
      <c r="AG85">
        <f t="shared" si="77"/>
        <v>0</v>
      </c>
      <c r="AH85">
        <f t="shared" si="78"/>
        <v>0.9</v>
      </c>
      <c r="AI85">
        <f t="shared" si="79"/>
        <v>0</v>
      </c>
      <c r="AJ85">
        <f t="shared" si="80"/>
        <v>0</v>
      </c>
      <c r="AK85">
        <v>1032.3499999999999</v>
      </c>
      <c r="AL85">
        <v>655.15</v>
      </c>
      <c r="AM85">
        <v>210.68</v>
      </c>
      <c r="AN85">
        <v>124.16</v>
      </c>
      <c r="AO85">
        <v>166.52</v>
      </c>
      <c r="AP85">
        <v>0</v>
      </c>
      <c r="AQ85">
        <v>0.9</v>
      </c>
      <c r="AR85">
        <v>0</v>
      </c>
      <c r="AS85">
        <v>0</v>
      </c>
      <c r="AT85">
        <v>70</v>
      </c>
      <c r="AU85">
        <v>10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4</v>
      </c>
      <c r="BJ85" t="s">
        <v>30</v>
      </c>
      <c r="BM85">
        <v>0</v>
      </c>
      <c r="BN85">
        <v>0</v>
      </c>
      <c r="BO85" t="s">
        <v>3</v>
      </c>
      <c r="BP85">
        <v>0</v>
      </c>
      <c r="BQ85">
        <v>1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70</v>
      </c>
      <c r="CA85">
        <v>10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1"/>
        <v>50.58</v>
      </c>
      <c r="CQ85">
        <f t="shared" si="82"/>
        <v>655.15</v>
      </c>
      <c r="CR85">
        <f t="shared" si="83"/>
        <v>210.68</v>
      </c>
      <c r="CS85">
        <f t="shared" si="84"/>
        <v>124.16</v>
      </c>
      <c r="CT85">
        <f t="shared" si="85"/>
        <v>166.52</v>
      </c>
      <c r="CU85">
        <f t="shared" si="86"/>
        <v>0</v>
      </c>
      <c r="CV85">
        <f t="shared" si="87"/>
        <v>0.9</v>
      </c>
      <c r="CW85">
        <f t="shared" si="88"/>
        <v>0</v>
      </c>
      <c r="CX85">
        <f t="shared" si="89"/>
        <v>0</v>
      </c>
      <c r="CY85">
        <f t="shared" si="90"/>
        <v>5.7120000000000006</v>
      </c>
      <c r="CZ85">
        <f t="shared" si="91"/>
        <v>0.81599999999999995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1007</v>
      </c>
      <c r="DV85" t="s">
        <v>29</v>
      </c>
      <c r="DW85" t="s">
        <v>29</v>
      </c>
      <c r="DX85">
        <v>1</v>
      </c>
      <c r="EE85">
        <v>40658659</v>
      </c>
      <c r="EF85">
        <v>1</v>
      </c>
      <c r="EG85" t="s">
        <v>23</v>
      </c>
      <c r="EH85">
        <v>0</v>
      </c>
      <c r="EI85" t="s">
        <v>3</v>
      </c>
      <c r="EJ85">
        <v>4</v>
      </c>
      <c r="EK85">
        <v>0</v>
      </c>
      <c r="EL85" t="s">
        <v>24</v>
      </c>
      <c r="EM85" t="s">
        <v>25</v>
      </c>
      <c r="EO85" t="s">
        <v>3</v>
      </c>
      <c r="EQ85">
        <v>0</v>
      </c>
      <c r="ER85">
        <v>1032.3499999999999</v>
      </c>
      <c r="ES85">
        <v>655.15</v>
      </c>
      <c r="ET85">
        <v>210.68</v>
      </c>
      <c r="EU85">
        <v>124.16</v>
      </c>
      <c r="EV85">
        <v>166.52</v>
      </c>
      <c r="EW85">
        <v>0.9</v>
      </c>
      <c r="EX85">
        <v>0</v>
      </c>
      <c r="EY85">
        <v>0</v>
      </c>
      <c r="FQ85">
        <v>0</v>
      </c>
      <c r="FR85">
        <f t="shared" si="92"/>
        <v>0</v>
      </c>
      <c r="FS85">
        <v>0</v>
      </c>
      <c r="FX85">
        <v>70</v>
      </c>
      <c r="FY85">
        <v>10</v>
      </c>
      <c r="GA85" t="s">
        <v>3</v>
      </c>
      <c r="GD85">
        <v>0</v>
      </c>
      <c r="GF85">
        <v>-1061108837</v>
      </c>
      <c r="GG85">
        <v>2</v>
      </c>
      <c r="GH85">
        <v>1</v>
      </c>
      <c r="GI85">
        <v>-2</v>
      </c>
      <c r="GJ85">
        <v>0</v>
      </c>
      <c r="GK85">
        <f>ROUND(R85*(R12)/100,2)</f>
        <v>6.57</v>
      </c>
      <c r="GL85">
        <f t="shared" si="93"/>
        <v>0</v>
      </c>
      <c r="GM85">
        <f t="shared" si="94"/>
        <v>63.68</v>
      </c>
      <c r="GN85">
        <f t="shared" si="95"/>
        <v>0</v>
      </c>
      <c r="GO85">
        <f t="shared" si="96"/>
        <v>0</v>
      </c>
      <c r="GP85">
        <f t="shared" si="97"/>
        <v>63.68</v>
      </c>
      <c r="GR85">
        <v>0</v>
      </c>
      <c r="GS85">
        <v>3</v>
      </c>
      <c r="GT85">
        <v>0</v>
      </c>
      <c r="GU85" t="s">
        <v>3</v>
      </c>
      <c r="GV85">
        <f t="shared" si="98"/>
        <v>0</v>
      </c>
      <c r="GW85">
        <v>1</v>
      </c>
      <c r="GX85">
        <f t="shared" si="99"/>
        <v>0</v>
      </c>
      <c r="HA85">
        <v>0</v>
      </c>
      <c r="HB85">
        <v>0</v>
      </c>
      <c r="HC85">
        <f t="shared" si="100"/>
        <v>0</v>
      </c>
      <c r="IK85">
        <v>0</v>
      </c>
    </row>
    <row r="86" spans="1:245" x14ac:dyDescent="0.2">
      <c r="A86">
        <v>17</v>
      </c>
      <c r="B86">
        <v>1</v>
      </c>
      <c r="C86">
        <f>ROW(SmtRes!A106)</f>
        <v>106</v>
      </c>
      <c r="D86">
        <f>ROW(EtalonRes!A202)</f>
        <v>202</v>
      </c>
      <c r="E86" t="s">
        <v>121</v>
      </c>
      <c r="F86" t="s">
        <v>32</v>
      </c>
      <c r="G86" t="s">
        <v>33</v>
      </c>
      <c r="H86" t="s">
        <v>29</v>
      </c>
      <c r="I86">
        <f>ROUND(0.7*0.7*0.2,9)</f>
        <v>9.8000000000000004E-2</v>
      </c>
      <c r="J86">
        <v>0</v>
      </c>
      <c r="O86">
        <f t="shared" si="61"/>
        <v>202.23</v>
      </c>
      <c r="P86">
        <f t="shared" si="62"/>
        <v>162.41</v>
      </c>
      <c r="Q86">
        <f t="shared" si="63"/>
        <v>22.05</v>
      </c>
      <c r="R86">
        <f t="shared" si="64"/>
        <v>13.24</v>
      </c>
      <c r="S86">
        <f t="shared" si="65"/>
        <v>17.77</v>
      </c>
      <c r="T86">
        <f t="shared" si="66"/>
        <v>0</v>
      </c>
      <c r="U86">
        <f t="shared" si="67"/>
        <v>9.604E-2</v>
      </c>
      <c r="V86">
        <f t="shared" si="68"/>
        <v>0</v>
      </c>
      <c r="W86">
        <f t="shared" si="69"/>
        <v>0</v>
      </c>
      <c r="X86">
        <f t="shared" si="70"/>
        <v>12.44</v>
      </c>
      <c r="Y86">
        <f t="shared" si="71"/>
        <v>1.78</v>
      </c>
      <c r="AA86">
        <v>42278323</v>
      </c>
      <c r="AB86">
        <f t="shared" si="72"/>
        <v>2063.5700000000002</v>
      </c>
      <c r="AC86">
        <f t="shared" si="73"/>
        <v>1657.26</v>
      </c>
      <c r="AD86">
        <f t="shared" si="74"/>
        <v>224.99</v>
      </c>
      <c r="AE86">
        <f t="shared" si="75"/>
        <v>135.08000000000001</v>
      </c>
      <c r="AF86">
        <f t="shared" si="76"/>
        <v>181.32</v>
      </c>
      <c r="AG86">
        <f t="shared" si="77"/>
        <v>0</v>
      </c>
      <c r="AH86">
        <f t="shared" si="78"/>
        <v>0.98</v>
      </c>
      <c r="AI86">
        <f t="shared" si="79"/>
        <v>0</v>
      </c>
      <c r="AJ86">
        <f t="shared" si="80"/>
        <v>0</v>
      </c>
      <c r="AK86">
        <v>2063.5700000000002</v>
      </c>
      <c r="AL86">
        <v>1657.26</v>
      </c>
      <c r="AM86">
        <v>224.99</v>
      </c>
      <c r="AN86">
        <v>135.08000000000001</v>
      </c>
      <c r="AO86">
        <v>181.32</v>
      </c>
      <c r="AP86">
        <v>0</v>
      </c>
      <c r="AQ86">
        <v>0.98</v>
      </c>
      <c r="AR86">
        <v>0</v>
      </c>
      <c r="AS86">
        <v>0</v>
      </c>
      <c r="AT86">
        <v>70</v>
      </c>
      <c r="AU86">
        <v>10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4</v>
      </c>
      <c r="BJ86" t="s">
        <v>34</v>
      </c>
      <c r="BM86">
        <v>0</v>
      </c>
      <c r="BN86">
        <v>0</v>
      </c>
      <c r="BO86" t="s">
        <v>3</v>
      </c>
      <c r="BP86">
        <v>0</v>
      </c>
      <c r="BQ86">
        <v>1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70</v>
      </c>
      <c r="CA86">
        <v>10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81"/>
        <v>202.23000000000002</v>
      </c>
      <c r="CQ86">
        <f t="shared" si="82"/>
        <v>1657.26</v>
      </c>
      <c r="CR86">
        <f t="shared" si="83"/>
        <v>224.99</v>
      </c>
      <c r="CS86">
        <f t="shared" si="84"/>
        <v>135.08000000000001</v>
      </c>
      <c r="CT86">
        <f t="shared" si="85"/>
        <v>181.32</v>
      </c>
      <c r="CU86">
        <f t="shared" si="86"/>
        <v>0</v>
      </c>
      <c r="CV86">
        <f t="shared" si="87"/>
        <v>0.98</v>
      </c>
      <c r="CW86">
        <f t="shared" si="88"/>
        <v>0</v>
      </c>
      <c r="CX86">
        <f t="shared" si="89"/>
        <v>0</v>
      </c>
      <c r="CY86">
        <f t="shared" si="90"/>
        <v>12.438999999999998</v>
      </c>
      <c r="CZ86">
        <f t="shared" si="91"/>
        <v>1.7769999999999999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1007</v>
      </c>
      <c r="DV86" t="s">
        <v>29</v>
      </c>
      <c r="DW86" t="s">
        <v>29</v>
      </c>
      <c r="DX86">
        <v>1</v>
      </c>
      <c r="EE86">
        <v>40658659</v>
      </c>
      <c r="EF86">
        <v>1</v>
      </c>
      <c r="EG86" t="s">
        <v>23</v>
      </c>
      <c r="EH86">
        <v>0</v>
      </c>
      <c r="EI86" t="s">
        <v>3</v>
      </c>
      <c r="EJ86">
        <v>4</v>
      </c>
      <c r="EK86">
        <v>0</v>
      </c>
      <c r="EL86" t="s">
        <v>24</v>
      </c>
      <c r="EM86" t="s">
        <v>25</v>
      </c>
      <c r="EO86" t="s">
        <v>3</v>
      </c>
      <c r="EQ86">
        <v>0</v>
      </c>
      <c r="ER86">
        <v>2063.5700000000002</v>
      </c>
      <c r="ES86">
        <v>1657.26</v>
      </c>
      <c r="ET86">
        <v>224.99</v>
      </c>
      <c r="EU86">
        <v>135.08000000000001</v>
      </c>
      <c r="EV86">
        <v>181.32</v>
      </c>
      <c r="EW86">
        <v>0.98</v>
      </c>
      <c r="EX86">
        <v>0</v>
      </c>
      <c r="EY86">
        <v>0</v>
      </c>
      <c r="FQ86">
        <v>0</v>
      </c>
      <c r="FR86">
        <f t="shared" si="92"/>
        <v>0</v>
      </c>
      <c r="FS86">
        <v>0</v>
      </c>
      <c r="FX86">
        <v>70</v>
      </c>
      <c r="FY86">
        <v>10</v>
      </c>
      <c r="GA86" t="s">
        <v>3</v>
      </c>
      <c r="GD86">
        <v>0</v>
      </c>
      <c r="GF86">
        <v>276142894</v>
      </c>
      <c r="GG86">
        <v>2</v>
      </c>
      <c r="GH86">
        <v>1</v>
      </c>
      <c r="GI86">
        <v>-2</v>
      </c>
      <c r="GJ86">
        <v>0</v>
      </c>
      <c r="GK86">
        <f>ROUND(R86*(R12)/100,2)</f>
        <v>14.3</v>
      </c>
      <c r="GL86">
        <f t="shared" si="93"/>
        <v>0</v>
      </c>
      <c r="GM86">
        <f t="shared" si="94"/>
        <v>230.75</v>
      </c>
      <c r="GN86">
        <f t="shared" si="95"/>
        <v>0</v>
      </c>
      <c r="GO86">
        <f t="shared" si="96"/>
        <v>0</v>
      </c>
      <c r="GP86">
        <f t="shared" si="97"/>
        <v>230.75</v>
      </c>
      <c r="GR86">
        <v>0</v>
      </c>
      <c r="GS86">
        <v>3</v>
      </c>
      <c r="GT86">
        <v>0</v>
      </c>
      <c r="GU86" t="s">
        <v>3</v>
      </c>
      <c r="GV86">
        <f t="shared" si="98"/>
        <v>0</v>
      </c>
      <c r="GW86">
        <v>1</v>
      </c>
      <c r="GX86">
        <f t="shared" si="99"/>
        <v>0</v>
      </c>
      <c r="HA86">
        <v>0</v>
      </c>
      <c r="HB86">
        <v>0</v>
      </c>
      <c r="HC86">
        <f t="shared" si="100"/>
        <v>0</v>
      </c>
      <c r="IK86">
        <v>0</v>
      </c>
    </row>
    <row r="87" spans="1:245" x14ac:dyDescent="0.2">
      <c r="A87">
        <v>17</v>
      </c>
      <c r="B87">
        <v>1</v>
      </c>
      <c r="D87">
        <f>ROW(EtalonRes!A214)</f>
        <v>214</v>
      </c>
      <c r="E87" t="s">
        <v>122</v>
      </c>
      <c r="F87" t="s">
        <v>36</v>
      </c>
      <c r="G87" t="s">
        <v>37</v>
      </c>
      <c r="H87" t="s">
        <v>21</v>
      </c>
      <c r="I87">
        <f>ROUND((0.7*0.7*0.7*1)/100,9)</f>
        <v>3.4299999999999999E-3</v>
      </c>
      <c r="J87">
        <v>0</v>
      </c>
      <c r="O87">
        <f t="shared" si="61"/>
        <v>1638.15</v>
      </c>
      <c r="P87">
        <f t="shared" si="62"/>
        <v>1245.53</v>
      </c>
      <c r="Q87">
        <f t="shared" si="63"/>
        <v>1.88</v>
      </c>
      <c r="R87">
        <f t="shared" si="64"/>
        <v>0.71</v>
      </c>
      <c r="S87">
        <f t="shared" si="65"/>
        <v>390.74</v>
      </c>
      <c r="T87">
        <f t="shared" si="66"/>
        <v>0</v>
      </c>
      <c r="U87">
        <f t="shared" si="67"/>
        <v>1.9328049999999999</v>
      </c>
      <c r="V87">
        <f t="shared" si="68"/>
        <v>0</v>
      </c>
      <c r="W87">
        <f t="shared" si="69"/>
        <v>0</v>
      </c>
      <c r="X87">
        <f t="shared" si="70"/>
        <v>273.52</v>
      </c>
      <c r="Y87">
        <f t="shared" si="71"/>
        <v>39.07</v>
      </c>
      <c r="AA87">
        <v>42278323</v>
      </c>
      <c r="AB87">
        <f t="shared" si="72"/>
        <v>477593.84</v>
      </c>
      <c r="AC87">
        <f t="shared" si="73"/>
        <v>363129.4</v>
      </c>
      <c r="AD87">
        <f t="shared" si="74"/>
        <v>547.28</v>
      </c>
      <c r="AE87">
        <f t="shared" si="75"/>
        <v>206.05</v>
      </c>
      <c r="AF87">
        <f t="shared" si="76"/>
        <v>113917.16</v>
      </c>
      <c r="AG87">
        <f t="shared" si="77"/>
        <v>0</v>
      </c>
      <c r="AH87">
        <f t="shared" si="78"/>
        <v>563.5</v>
      </c>
      <c r="AI87">
        <f t="shared" si="79"/>
        <v>0</v>
      </c>
      <c r="AJ87">
        <f t="shared" si="80"/>
        <v>0</v>
      </c>
      <c r="AK87">
        <v>477593.84</v>
      </c>
      <c r="AL87">
        <v>363129.4</v>
      </c>
      <c r="AM87">
        <v>547.28</v>
      </c>
      <c r="AN87">
        <v>206.05</v>
      </c>
      <c r="AO87">
        <v>113917.16</v>
      </c>
      <c r="AP87">
        <v>0</v>
      </c>
      <c r="AQ87">
        <v>563.5</v>
      </c>
      <c r="AR87">
        <v>0</v>
      </c>
      <c r="AS87">
        <v>0</v>
      </c>
      <c r="AT87">
        <v>70</v>
      </c>
      <c r="AU87">
        <v>10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D87" t="s">
        <v>3</v>
      </c>
      <c r="BE87" t="s">
        <v>3</v>
      </c>
      <c r="BF87" t="s">
        <v>3</v>
      </c>
      <c r="BG87" t="s">
        <v>3</v>
      </c>
      <c r="BH87">
        <v>0</v>
      </c>
      <c r="BI87">
        <v>4</v>
      </c>
      <c r="BJ87" t="s">
        <v>38</v>
      </c>
      <c r="BM87">
        <v>0</v>
      </c>
      <c r="BN87">
        <v>0</v>
      </c>
      <c r="BO87" t="s">
        <v>3</v>
      </c>
      <c r="BP87">
        <v>0</v>
      </c>
      <c r="BQ87">
        <v>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70</v>
      </c>
      <c r="CA87">
        <v>10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81"/>
        <v>1638.15</v>
      </c>
      <c r="CQ87">
        <f t="shared" si="82"/>
        <v>363129.4</v>
      </c>
      <c r="CR87">
        <f t="shared" si="83"/>
        <v>547.28</v>
      </c>
      <c r="CS87">
        <f t="shared" si="84"/>
        <v>206.05</v>
      </c>
      <c r="CT87">
        <f t="shared" si="85"/>
        <v>113917.16</v>
      </c>
      <c r="CU87">
        <f t="shared" si="86"/>
        <v>0</v>
      </c>
      <c r="CV87">
        <f t="shared" si="87"/>
        <v>563.5</v>
      </c>
      <c r="CW87">
        <f t="shared" si="88"/>
        <v>0</v>
      </c>
      <c r="CX87">
        <f t="shared" si="89"/>
        <v>0</v>
      </c>
      <c r="CY87">
        <f t="shared" si="90"/>
        <v>273.51799999999997</v>
      </c>
      <c r="CZ87">
        <f t="shared" si="91"/>
        <v>39.073999999999998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21</v>
      </c>
      <c r="DW87" t="s">
        <v>21</v>
      </c>
      <c r="DX87">
        <v>100</v>
      </c>
      <c r="EE87">
        <v>40658659</v>
      </c>
      <c r="EF87">
        <v>1</v>
      </c>
      <c r="EG87" t="s">
        <v>23</v>
      </c>
      <c r="EH87">
        <v>0</v>
      </c>
      <c r="EI87" t="s">
        <v>3</v>
      </c>
      <c r="EJ87">
        <v>4</v>
      </c>
      <c r="EK87">
        <v>0</v>
      </c>
      <c r="EL87" t="s">
        <v>24</v>
      </c>
      <c r="EM87" t="s">
        <v>25</v>
      </c>
      <c r="EO87" t="s">
        <v>3</v>
      </c>
      <c r="EQ87">
        <v>0</v>
      </c>
      <c r="ER87">
        <v>477593.84</v>
      </c>
      <c r="ES87">
        <v>363129.4</v>
      </c>
      <c r="ET87">
        <v>547.28</v>
      </c>
      <c r="EU87">
        <v>206.05</v>
      </c>
      <c r="EV87">
        <v>113917.16</v>
      </c>
      <c r="EW87">
        <v>563.5</v>
      </c>
      <c r="EX87">
        <v>0</v>
      </c>
      <c r="EY87">
        <v>0</v>
      </c>
      <c r="FQ87">
        <v>0</v>
      </c>
      <c r="FR87">
        <f t="shared" si="92"/>
        <v>0</v>
      </c>
      <c r="FS87">
        <v>0</v>
      </c>
      <c r="FX87">
        <v>70</v>
      </c>
      <c r="FY87">
        <v>10</v>
      </c>
      <c r="GA87" t="s">
        <v>3</v>
      </c>
      <c r="GD87">
        <v>0</v>
      </c>
      <c r="GF87">
        <v>2142801283</v>
      </c>
      <c r="GG87">
        <v>2</v>
      </c>
      <c r="GH87">
        <v>1</v>
      </c>
      <c r="GI87">
        <v>-2</v>
      </c>
      <c r="GJ87">
        <v>0</v>
      </c>
      <c r="GK87">
        <f>ROUND(R87*(R12)/100,2)</f>
        <v>0.77</v>
      </c>
      <c r="GL87">
        <f t="shared" si="93"/>
        <v>0</v>
      </c>
      <c r="GM87">
        <f t="shared" si="94"/>
        <v>1951.51</v>
      </c>
      <c r="GN87">
        <f t="shared" si="95"/>
        <v>0</v>
      </c>
      <c r="GO87">
        <f t="shared" si="96"/>
        <v>0</v>
      </c>
      <c r="GP87">
        <f t="shared" si="97"/>
        <v>1951.51</v>
      </c>
      <c r="GR87">
        <v>0</v>
      </c>
      <c r="GS87">
        <v>3</v>
      </c>
      <c r="GT87">
        <v>0</v>
      </c>
      <c r="GU87" t="s">
        <v>3</v>
      </c>
      <c r="GV87">
        <f t="shared" si="98"/>
        <v>0</v>
      </c>
      <c r="GW87">
        <v>1</v>
      </c>
      <c r="GX87">
        <f t="shared" si="99"/>
        <v>0</v>
      </c>
      <c r="HA87">
        <v>0</v>
      </c>
      <c r="HB87">
        <v>0</v>
      </c>
      <c r="HC87">
        <f t="shared" si="100"/>
        <v>0</v>
      </c>
      <c r="IK87">
        <v>0</v>
      </c>
    </row>
    <row r="88" spans="1:245" x14ac:dyDescent="0.2">
      <c r="A88">
        <v>17</v>
      </c>
      <c r="B88">
        <v>1</v>
      </c>
      <c r="C88">
        <f>ROW(SmtRes!A108)</f>
        <v>108</v>
      </c>
      <c r="D88">
        <f>ROW(EtalonRes!A216)</f>
        <v>216</v>
      </c>
      <c r="E88" t="s">
        <v>123</v>
      </c>
      <c r="F88" t="s">
        <v>40</v>
      </c>
      <c r="G88" t="s">
        <v>41</v>
      </c>
      <c r="H88" t="s">
        <v>42</v>
      </c>
      <c r="I88">
        <v>0.1</v>
      </c>
      <c r="J88">
        <v>0</v>
      </c>
      <c r="O88">
        <f t="shared" si="61"/>
        <v>10429.07</v>
      </c>
      <c r="P88">
        <f t="shared" si="62"/>
        <v>5323.35</v>
      </c>
      <c r="Q88">
        <f t="shared" si="63"/>
        <v>0</v>
      </c>
      <c r="R88">
        <f t="shared" si="64"/>
        <v>0</v>
      </c>
      <c r="S88">
        <f t="shared" si="65"/>
        <v>5105.72</v>
      </c>
      <c r="T88">
        <f t="shared" si="66"/>
        <v>0</v>
      </c>
      <c r="U88">
        <f t="shared" si="67"/>
        <v>22.77</v>
      </c>
      <c r="V88">
        <f t="shared" si="68"/>
        <v>0</v>
      </c>
      <c r="W88">
        <f t="shared" si="69"/>
        <v>0</v>
      </c>
      <c r="X88">
        <f t="shared" si="70"/>
        <v>3574</v>
      </c>
      <c r="Y88">
        <f t="shared" si="71"/>
        <v>510.57</v>
      </c>
      <c r="AA88">
        <v>42278323</v>
      </c>
      <c r="AB88">
        <f t="shared" si="72"/>
        <v>104290.69</v>
      </c>
      <c r="AC88">
        <f t="shared" si="73"/>
        <v>53233.52</v>
      </c>
      <c r="AD88">
        <f t="shared" si="74"/>
        <v>0</v>
      </c>
      <c r="AE88">
        <f t="shared" si="75"/>
        <v>0</v>
      </c>
      <c r="AF88">
        <f t="shared" si="76"/>
        <v>51057.17</v>
      </c>
      <c r="AG88">
        <f t="shared" si="77"/>
        <v>0</v>
      </c>
      <c r="AH88">
        <f t="shared" si="78"/>
        <v>227.7</v>
      </c>
      <c r="AI88">
        <f t="shared" si="79"/>
        <v>0</v>
      </c>
      <c r="AJ88">
        <f t="shared" si="80"/>
        <v>0</v>
      </c>
      <c r="AK88">
        <v>104290.69</v>
      </c>
      <c r="AL88">
        <v>53233.52</v>
      </c>
      <c r="AM88">
        <v>0</v>
      </c>
      <c r="AN88">
        <v>0</v>
      </c>
      <c r="AO88">
        <v>51057.17</v>
      </c>
      <c r="AP88">
        <v>0</v>
      </c>
      <c r="AQ88">
        <v>227.7</v>
      </c>
      <c r="AR88">
        <v>0</v>
      </c>
      <c r="AS88">
        <v>0</v>
      </c>
      <c r="AT88">
        <v>70</v>
      </c>
      <c r="AU88">
        <v>10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4</v>
      </c>
      <c r="BJ88" t="s">
        <v>43</v>
      </c>
      <c r="BM88">
        <v>0</v>
      </c>
      <c r="BN88">
        <v>0</v>
      </c>
      <c r="BO88" t="s">
        <v>3</v>
      </c>
      <c r="BP88">
        <v>0</v>
      </c>
      <c r="BQ88">
        <v>1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70</v>
      </c>
      <c r="CA88">
        <v>10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81"/>
        <v>10429.07</v>
      </c>
      <c r="CQ88">
        <f t="shared" si="82"/>
        <v>53233.52</v>
      </c>
      <c r="CR88">
        <f t="shared" si="83"/>
        <v>0</v>
      </c>
      <c r="CS88">
        <f t="shared" si="84"/>
        <v>0</v>
      </c>
      <c r="CT88">
        <f t="shared" si="85"/>
        <v>51057.17</v>
      </c>
      <c r="CU88">
        <f t="shared" si="86"/>
        <v>0</v>
      </c>
      <c r="CV88">
        <f t="shared" si="87"/>
        <v>227.7</v>
      </c>
      <c r="CW88">
        <f t="shared" si="88"/>
        <v>0</v>
      </c>
      <c r="CX88">
        <f t="shared" si="89"/>
        <v>0</v>
      </c>
      <c r="CY88">
        <f t="shared" si="90"/>
        <v>3574.0040000000004</v>
      </c>
      <c r="CZ88">
        <f t="shared" si="91"/>
        <v>510.57200000000006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1009</v>
      </c>
      <c r="DV88" t="s">
        <v>42</v>
      </c>
      <c r="DW88" t="s">
        <v>42</v>
      </c>
      <c r="DX88">
        <v>1000</v>
      </c>
      <c r="EE88">
        <v>40658659</v>
      </c>
      <c r="EF88">
        <v>1</v>
      </c>
      <c r="EG88" t="s">
        <v>23</v>
      </c>
      <c r="EH88">
        <v>0</v>
      </c>
      <c r="EI88" t="s">
        <v>3</v>
      </c>
      <c r="EJ88">
        <v>4</v>
      </c>
      <c r="EK88">
        <v>0</v>
      </c>
      <c r="EL88" t="s">
        <v>24</v>
      </c>
      <c r="EM88" t="s">
        <v>25</v>
      </c>
      <c r="EO88" t="s">
        <v>3</v>
      </c>
      <c r="EQ88">
        <v>0</v>
      </c>
      <c r="ER88">
        <v>104290.69</v>
      </c>
      <c r="ES88">
        <v>53233.52</v>
      </c>
      <c r="ET88">
        <v>0</v>
      </c>
      <c r="EU88">
        <v>0</v>
      </c>
      <c r="EV88">
        <v>51057.17</v>
      </c>
      <c r="EW88">
        <v>227.7</v>
      </c>
      <c r="EX88">
        <v>0</v>
      </c>
      <c r="EY88">
        <v>0</v>
      </c>
      <c r="FQ88">
        <v>0</v>
      </c>
      <c r="FR88">
        <f t="shared" si="92"/>
        <v>0</v>
      </c>
      <c r="FS88">
        <v>0</v>
      </c>
      <c r="FX88">
        <v>70</v>
      </c>
      <c r="FY88">
        <v>10</v>
      </c>
      <c r="GA88" t="s">
        <v>3</v>
      </c>
      <c r="GD88">
        <v>0</v>
      </c>
      <c r="GF88">
        <v>-423032956</v>
      </c>
      <c r="GG88">
        <v>2</v>
      </c>
      <c r="GH88">
        <v>1</v>
      </c>
      <c r="GI88">
        <v>-2</v>
      </c>
      <c r="GJ88">
        <v>0</v>
      </c>
      <c r="GK88">
        <f>ROUND(R88*(R12)/100,2)</f>
        <v>0</v>
      </c>
      <c r="GL88">
        <f t="shared" si="93"/>
        <v>0</v>
      </c>
      <c r="GM88">
        <f t="shared" si="94"/>
        <v>14513.64</v>
      </c>
      <c r="GN88">
        <f t="shared" si="95"/>
        <v>0</v>
      </c>
      <c r="GO88">
        <f t="shared" si="96"/>
        <v>0</v>
      </c>
      <c r="GP88">
        <f t="shared" si="97"/>
        <v>14513.64</v>
      </c>
      <c r="GR88">
        <v>0</v>
      </c>
      <c r="GS88">
        <v>3</v>
      </c>
      <c r="GT88">
        <v>0</v>
      </c>
      <c r="GU88" t="s">
        <v>3</v>
      </c>
      <c r="GV88">
        <f t="shared" si="98"/>
        <v>0</v>
      </c>
      <c r="GW88">
        <v>1</v>
      </c>
      <c r="GX88">
        <f t="shared" si="99"/>
        <v>0</v>
      </c>
      <c r="HA88">
        <v>0</v>
      </c>
      <c r="HB88">
        <v>0</v>
      </c>
      <c r="HC88">
        <f t="shared" si="100"/>
        <v>0</v>
      </c>
      <c r="IK88">
        <v>0</v>
      </c>
    </row>
    <row r="89" spans="1:245" x14ac:dyDescent="0.2">
      <c r="A89">
        <v>18</v>
      </c>
      <c r="B89">
        <v>1</v>
      </c>
      <c r="C89">
        <v>108</v>
      </c>
      <c r="E89" t="s">
        <v>124</v>
      </c>
      <c r="F89" t="s">
        <v>45</v>
      </c>
      <c r="G89" t="s">
        <v>46</v>
      </c>
      <c r="H89" t="s">
        <v>47</v>
      </c>
      <c r="I89">
        <f>I88*J89</f>
        <v>1</v>
      </c>
      <c r="J89">
        <v>10</v>
      </c>
      <c r="O89">
        <f t="shared" si="61"/>
        <v>210</v>
      </c>
      <c r="P89">
        <f t="shared" si="62"/>
        <v>210</v>
      </c>
      <c r="Q89">
        <f t="shared" si="63"/>
        <v>0</v>
      </c>
      <c r="R89">
        <f t="shared" si="64"/>
        <v>0</v>
      </c>
      <c r="S89">
        <f t="shared" si="65"/>
        <v>0</v>
      </c>
      <c r="T89">
        <f t="shared" si="66"/>
        <v>0</v>
      </c>
      <c r="U89">
        <f t="shared" si="67"/>
        <v>0</v>
      </c>
      <c r="V89">
        <f t="shared" si="68"/>
        <v>0</v>
      </c>
      <c r="W89">
        <f t="shared" si="69"/>
        <v>0</v>
      </c>
      <c r="X89">
        <f t="shared" si="70"/>
        <v>0</v>
      </c>
      <c r="Y89">
        <f t="shared" si="71"/>
        <v>0</v>
      </c>
      <c r="AA89">
        <v>42278323</v>
      </c>
      <c r="AB89">
        <f t="shared" si="72"/>
        <v>210</v>
      </c>
      <c r="AC89">
        <f t="shared" si="73"/>
        <v>210</v>
      </c>
      <c r="AD89">
        <f t="shared" si="74"/>
        <v>0</v>
      </c>
      <c r="AE89">
        <f t="shared" si="75"/>
        <v>0</v>
      </c>
      <c r="AF89">
        <f t="shared" si="76"/>
        <v>0</v>
      </c>
      <c r="AG89">
        <f t="shared" si="77"/>
        <v>0</v>
      </c>
      <c r="AH89">
        <f t="shared" si="78"/>
        <v>0</v>
      </c>
      <c r="AI89">
        <f t="shared" si="79"/>
        <v>0</v>
      </c>
      <c r="AJ89">
        <f t="shared" si="80"/>
        <v>0</v>
      </c>
      <c r="AK89">
        <v>210</v>
      </c>
      <c r="AL89">
        <v>210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70</v>
      </c>
      <c r="AU89">
        <v>10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4</v>
      </c>
      <c r="BJ89" t="s">
        <v>48</v>
      </c>
      <c r="BM89">
        <v>0</v>
      </c>
      <c r="BN89">
        <v>0</v>
      </c>
      <c r="BO89" t="s">
        <v>3</v>
      </c>
      <c r="BP89">
        <v>0</v>
      </c>
      <c r="BQ89">
        <v>1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70</v>
      </c>
      <c r="CA89">
        <v>10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81"/>
        <v>210</v>
      </c>
      <c r="CQ89">
        <f t="shared" si="82"/>
        <v>210</v>
      </c>
      <c r="CR89">
        <f t="shared" si="83"/>
        <v>0</v>
      </c>
      <c r="CS89">
        <f t="shared" si="84"/>
        <v>0</v>
      </c>
      <c r="CT89">
        <f t="shared" si="85"/>
        <v>0</v>
      </c>
      <c r="CU89">
        <f t="shared" si="86"/>
        <v>0</v>
      </c>
      <c r="CV89">
        <f t="shared" si="87"/>
        <v>0</v>
      </c>
      <c r="CW89">
        <f t="shared" si="88"/>
        <v>0</v>
      </c>
      <c r="CX89">
        <f t="shared" si="89"/>
        <v>0</v>
      </c>
      <c r="CY89">
        <f t="shared" si="90"/>
        <v>0</v>
      </c>
      <c r="CZ89">
        <f t="shared" si="91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47</v>
      </c>
      <c r="DW89" t="s">
        <v>47</v>
      </c>
      <c r="DX89">
        <v>1</v>
      </c>
      <c r="EE89">
        <v>40658659</v>
      </c>
      <c r="EF89">
        <v>1</v>
      </c>
      <c r="EG89" t="s">
        <v>23</v>
      </c>
      <c r="EH89">
        <v>0</v>
      </c>
      <c r="EI89" t="s">
        <v>3</v>
      </c>
      <c r="EJ89">
        <v>4</v>
      </c>
      <c r="EK89">
        <v>0</v>
      </c>
      <c r="EL89" t="s">
        <v>24</v>
      </c>
      <c r="EM89" t="s">
        <v>25</v>
      </c>
      <c r="EO89" t="s">
        <v>3</v>
      </c>
      <c r="EQ89">
        <v>0</v>
      </c>
      <c r="ER89">
        <v>210</v>
      </c>
      <c r="ES89">
        <v>210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2"/>
        <v>0</v>
      </c>
      <c r="FS89">
        <v>0</v>
      </c>
      <c r="FX89">
        <v>70</v>
      </c>
      <c r="FY89">
        <v>10</v>
      </c>
      <c r="GA89" t="s">
        <v>3</v>
      </c>
      <c r="GD89">
        <v>0</v>
      </c>
      <c r="GF89">
        <v>462942439</v>
      </c>
      <c r="GG89">
        <v>2</v>
      </c>
      <c r="GH89">
        <v>1</v>
      </c>
      <c r="GI89">
        <v>-2</v>
      </c>
      <c r="GJ89">
        <v>0</v>
      </c>
      <c r="GK89">
        <f>ROUND(R89*(R12)/100,2)</f>
        <v>0</v>
      </c>
      <c r="GL89">
        <f t="shared" si="93"/>
        <v>0</v>
      </c>
      <c r="GM89">
        <f t="shared" si="94"/>
        <v>210</v>
      </c>
      <c r="GN89">
        <f t="shared" si="95"/>
        <v>0</v>
      </c>
      <c r="GO89">
        <f t="shared" si="96"/>
        <v>0</v>
      </c>
      <c r="GP89">
        <f t="shared" si="97"/>
        <v>210</v>
      </c>
      <c r="GR89">
        <v>0</v>
      </c>
      <c r="GS89">
        <v>3</v>
      </c>
      <c r="GT89">
        <v>0</v>
      </c>
      <c r="GU89" t="s">
        <v>3</v>
      </c>
      <c r="GV89">
        <f t="shared" si="98"/>
        <v>0</v>
      </c>
      <c r="GW89">
        <v>1</v>
      </c>
      <c r="GX89">
        <f t="shared" si="99"/>
        <v>0</v>
      </c>
      <c r="HA89">
        <v>0</v>
      </c>
      <c r="HB89">
        <v>0</v>
      </c>
      <c r="HC89">
        <f t="shared" si="100"/>
        <v>0</v>
      </c>
      <c r="IK89">
        <v>0</v>
      </c>
    </row>
    <row r="90" spans="1:245" x14ac:dyDescent="0.2">
      <c r="A90">
        <v>18</v>
      </c>
      <c r="B90">
        <v>1</v>
      </c>
      <c r="C90">
        <v>107</v>
      </c>
      <c r="E90" t="s">
        <v>125</v>
      </c>
      <c r="F90" t="s">
        <v>50</v>
      </c>
      <c r="G90" t="s">
        <v>51</v>
      </c>
      <c r="H90" t="s">
        <v>42</v>
      </c>
      <c r="I90">
        <f>I88*J90</f>
        <v>-0.1</v>
      </c>
      <c r="J90">
        <v>-1</v>
      </c>
      <c r="O90">
        <f t="shared" si="61"/>
        <v>-5323.35</v>
      </c>
      <c r="P90">
        <f t="shared" si="62"/>
        <v>-5323.35</v>
      </c>
      <c r="Q90">
        <f t="shared" si="63"/>
        <v>0</v>
      </c>
      <c r="R90">
        <f t="shared" si="64"/>
        <v>0</v>
      </c>
      <c r="S90">
        <f t="shared" si="65"/>
        <v>0</v>
      </c>
      <c r="T90">
        <f t="shared" si="66"/>
        <v>0</v>
      </c>
      <c r="U90">
        <f t="shared" si="67"/>
        <v>0</v>
      </c>
      <c r="V90">
        <f t="shared" si="68"/>
        <v>0</v>
      </c>
      <c r="W90">
        <f t="shared" si="69"/>
        <v>0</v>
      </c>
      <c r="X90">
        <f t="shared" si="70"/>
        <v>0</v>
      </c>
      <c r="Y90">
        <f t="shared" si="71"/>
        <v>0</v>
      </c>
      <c r="AA90">
        <v>42278323</v>
      </c>
      <c r="AB90">
        <f t="shared" si="72"/>
        <v>53233.52</v>
      </c>
      <c r="AC90">
        <f t="shared" si="73"/>
        <v>53233.52</v>
      </c>
      <c r="AD90">
        <f t="shared" si="74"/>
        <v>0</v>
      </c>
      <c r="AE90">
        <f t="shared" si="75"/>
        <v>0</v>
      </c>
      <c r="AF90">
        <f t="shared" si="76"/>
        <v>0</v>
      </c>
      <c r="AG90">
        <f t="shared" si="77"/>
        <v>0</v>
      </c>
      <c r="AH90">
        <f t="shared" si="78"/>
        <v>0</v>
      </c>
      <c r="AI90">
        <f t="shared" si="79"/>
        <v>0</v>
      </c>
      <c r="AJ90">
        <f t="shared" si="80"/>
        <v>0</v>
      </c>
      <c r="AK90">
        <v>53233.52</v>
      </c>
      <c r="AL90">
        <v>53233.52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70</v>
      </c>
      <c r="AU90">
        <v>10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</v>
      </c>
      <c r="BD90" t="s">
        <v>3</v>
      </c>
      <c r="BE90" t="s">
        <v>3</v>
      </c>
      <c r="BF90" t="s">
        <v>3</v>
      </c>
      <c r="BG90" t="s">
        <v>3</v>
      </c>
      <c r="BH90">
        <v>3</v>
      </c>
      <c r="BI90">
        <v>4</v>
      </c>
      <c r="BJ90" t="s">
        <v>52</v>
      </c>
      <c r="BM90">
        <v>0</v>
      </c>
      <c r="BN90">
        <v>0</v>
      </c>
      <c r="BO90" t="s">
        <v>3</v>
      </c>
      <c r="BP90">
        <v>0</v>
      </c>
      <c r="BQ90">
        <v>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70</v>
      </c>
      <c r="CA90">
        <v>10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81"/>
        <v>-5323.35</v>
      </c>
      <c r="CQ90">
        <f t="shared" si="82"/>
        <v>53233.52</v>
      </c>
      <c r="CR90">
        <f t="shared" si="83"/>
        <v>0</v>
      </c>
      <c r="CS90">
        <f t="shared" si="84"/>
        <v>0</v>
      </c>
      <c r="CT90">
        <f t="shared" si="85"/>
        <v>0</v>
      </c>
      <c r="CU90">
        <f t="shared" si="86"/>
        <v>0</v>
      </c>
      <c r="CV90">
        <f t="shared" si="87"/>
        <v>0</v>
      </c>
      <c r="CW90">
        <f t="shared" si="88"/>
        <v>0</v>
      </c>
      <c r="CX90">
        <f t="shared" si="89"/>
        <v>0</v>
      </c>
      <c r="CY90">
        <f t="shared" si="90"/>
        <v>0</v>
      </c>
      <c r="CZ90">
        <f t="shared" si="91"/>
        <v>0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1009</v>
      </c>
      <c r="DV90" t="s">
        <v>42</v>
      </c>
      <c r="DW90" t="s">
        <v>42</v>
      </c>
      <c r="DX90">
        <v>1000</v>
      </c>
      <c r="EE90">
        <v>40658659</v>
      </c>
      <c r="EF90">
        <v>1</v>
      </c>
      <c r="EG90" t="s">
        <v>23</v>
      </c>
      <c r="EH90">
        <v>0</v>
      </c>
      <c r="EI90" t="s">
        <v>3</v>
      </c>
      <c r="EJ90">
        <v>4</v>
      </c>
      <c r="EK90">
        <v>0</v>
      </c>
      <c r="EL90" t="s">
        <v>24</v>
      </c>
      <c r="EM90" t="s">
        <v>25</v>
      </c>
      <c r="EO90" t="s">
        <v>3</v>
      </c>
      <c r="EQ90">
        <v>32768</v>
      </c>
      <c r="ER90">
        <v>53233.52</v>
      </c>
      <c r="ES90">
        <v>53233.52</v>
      </c>
      <c r="ET90">
        <v>0</v>
      </c>
      <c r="EU90">
        <v>0</v>
      </c>
      <c r="EV90">
        <v>0</v>
      </c>
      <c r="EW90">
        <v>0</v>
      </c>
      <c r="EX90">
        <v>0</v>
      </c>
      <c r="FQ90">
        <v>0</v>
      </c>
      <c r="FR90">
        <f t="shared" si="92"/>
        <v>0</v>
      </c>
      <c r="FS90">
        <v>0</v>
      </c>
      <c r="FX90">
        <v>70</v>
      </c>
      <c r="FY90">
        <v>10</v>
      </c>
      <c r="GA90" t="s">
        <v>3</v>
      </c>
      <c r="GD90">
        <v>0</v>
      </c>
      <c r="GF90">
        <v>588667335</v>
      </c>
      <c r="GG90">
        <v>2</v>
      </c>
      <c r="GH90">
        <v>1</v>
      </c>
      <c r="GI90">
        <v>-2</v>
      </c>
      <c r="GJ90">
        <v>0</v>
      </c>
      <c r="GK90">
        <f>ROUND(R90*(R12)/100,2)</f>
        <v>0</v>
      </c>
      <c r="GL90">
        <f t="shared" si="93"/>
        <v>0</v>
      </c>
      <c r="GM90">
        <f t="shared" si="94"/>
        <v>-5323.35</v>
      </c>
      <c r="GN90">
        <f t="shared" si="95"/>
        <v>0</v>
      </c>
      <c r="GO90">
        <f t="shared" si="96"/>
        <v>0</v>
      </c>
      <c r="GP90">
        <f t="shared" si="97"/>
        <v>-5323.35</v>
      </c>
      <c r="GR90">
        <v>0</v>
      </c>
      <c r="GS90">
        <v>3</v>
      </c>
      <c r="GT90">
        <v>0</v>
      </c>
      <c r="GU90" t="s">
        <v>3</v>
      </c>
      <c r="GV90">
        <f t="shared" si="98"/>
        <v>0</v>
      </c>
      <c r="GW90">
        <v>1</v>
      </c>
      <c r="GX90">
        <f t="shared" si="99"/>
        <v>0</v>
      </c>
      <c r="HA90">
        <v>0</v>
      </c>
      <c r="HB90">
        <v>0</v>
      </c>
      <c r="HC90">
        <f t="shared" si="100"/>
        <v>0</v>
      </c>
      <c r="IK90">
        <v>0</v>
      </c>
    </row>
    <row r="91" spans="1:245" x14ac:dyDescent="0.2">
      <c r="A91">
        <v>17</v>
      </c>
      <c r="B91">
        <v>1</v>
      </c>
      <c r="E91" t="s">
        <v>126</v>
      </c>
      <c r="F91" t="s">
        <v>54</v>
      </c>
      <c r="G91" t="s">
        <v>127</v>
      </c>
      <c r="H91" t="s">
        <v>47</v>
      </c>
      <c r="I91">
        <v>1</v>
      </c>
      <c r="J91">
        <v>0</v>
      </c>
      <c r="O91">
        <f t="shared" si="61"/>
        <v>88114.76</v>
      </c>
      <c r="P91">
        <f t="shared" si="62"/>
        <v>88114.76</v>
      </c>
      <c r="Q91">
        <f t="shared" si="63"/>
        <v>0</v>
      </c>
      <c r="R91">
        <f t="shared" si="64"/>
        <v>0</v>
      </c>
      <c r="S91">
        <f t="shared" si="65"/>
        <v>0</v>
      </c>
      <c r="T91">
        <f t="shared" si="66"/>
        <v>0</v>
      </c>
      <c r="U91">
        <f t="shared" si="67"/>
        <v>0</v>
      </c>
      <c r="V91">
        <f t="shared" si="68"/>
        <v>0</v>
      </c>
      <c r="W91">
        <f t="shared" si="69"/>
        <v>0</v>
      </c>
      <c r="X91">
        <f t="shared" si="70"/>
        <v>0</v>
      </c>
      <c r="Y91">
        <f t="shared" si="71"/>
        <v>0</v>
      </c>
      <c r="AA91">
        <v>42278323</v>
      </c>
      <c r="AB91">
        <f t="shared" si="72"/>
        <v>88114.76</v>
      </c>
      <c r="AC91">
        <f t="shared" si="73"/>
        <v>88114.76</v>
      </c>
      <c r="AD91">
        <f t="shared" si="74"/>
        <v>0</v>
      </c>
      <c r="AE91">
        <f t="shared" si="75"/>
        <v>0</v>
      </c>
      <c r="AF91">
        <f t="shared" si="76"/>
        <v>0</v>
      </c>
      <c r="AG91">
        <f t="shared" si="77"/>
        <v>0</v>
      </c>
      <c r="AH91">
        <f t="shared" si="78"/>
        <v>0</v>
      </c>
      <c r="AI91">
        <f t="shared" si="79"/>
        <v>0</v>
      </c>
      <c r="AJ91">
        <f t="shared" si="80"/>
        <v>0</v>
      </c>
      <c r="AK91">
        <v>78332.349999999991</v>
      </c>
      <c r="AL91">
        <v>88114.76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1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6001</v>
      </c>
      <c r="BN91">
        <v>0</v>
      </c>
      <c r="BO91" t="s">
        <v>3</v>
      </c>
      <c r="BP91">
        <v>0</v>
      </c>
      <c r="BQ91">
        <v>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81"/>
        <v>88114.76</v>
      </c>
      <c r="CQ91">
        <f t="shared" si="82"/>
        <v>88114.76</v>
      </c>
      <c r="CR91">
        <f t="shared" si="83"/>
        <v>0</v>
      </c>
      <c r="CS91">
        <f t="shared" si="84"/>
        <v>0</v>
      </c>
      <c r="CT91">
        <f t="shared" si="85"/>
        <v>0</v>
      </c>
      <c r="CU91">
        <f t="shared" si="86"/>
        <v>0</v>
      </c>
      <c r="CV91">
        <f t="shared" si="87"/>
        <v>0</v>
      </c>
      <c r="CW91">
        <f t="shared" si="88"/>
        <v>0</v>
      </c>
      <c r="CX91">
        <f t="shared" si="89"/>
        <v>0</v>
      </c>
      <c r="CY91">
        <f t="shared" si="90"/>
        <v>0</v>
      </c>
      <c r="CZ91">
        <f t="shared" si="91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47</v>
      </c>
      <c r="DW91" t="s">
        <v>47</v>
      </c>
      <c r="DX91">
        <v>1</v>
      </c>
      <c r="EE91">
        <v>42086242</v>
      </c>
      <c r="EF91">
        <v>0</v>
      </c>
      <c r="EG91" t="s">
        <v>56</v>
      </c>
      <c r="EH91">
        <v>0</v>
      </c>
      <c r="EI91" t="s">
        <v>3</v>
      </c>
      <c r="EJ91">
        <v>1</v>
      </c>
      <c r="EK91">
        <v>6001</v>
      </c>
      <c r="EL91" t="s">
        <v>57</v>
      </c>
      <c r="EM91" t="s">
        <v>56</v>
      </c>
      <c r="EO91" t="s">
        <v>3</v>
      </c>
      <c r="EQ91">
        <v>0</v>
      </c>
      <c r="ER91">
        <v>88114.76</v>
      </c>
      <c r="ES91">
        <v>88114.76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76796.42</v>
      </c>
      <c r="FQ91">
        <v>0</v>
      </c>
      <c r="FR91">
        <f t="shared" si="92"/>
        <v>0</v>
      </c>
      <c r="FS91">
        <v>0</v>
      </c>
      <c r="FX91">
        <v>0</v>
      </c>
      <c r="FY91">
        <v>0</v>
      </c>
      <c r="GA91" t="s">
        <v>128</v>
      </c>
      <c r="GD91">
        <v>0</v>
      </c>
      <c r="GF91">
        <v>-313584302</v>
      </c>
      <c r="GG91">
        <v>2</v>
      </c>
      <c r="GH91">
        <v>3</v>
      </c>
      <c r="GI91">
        <v>-2</v>
      </c>
      <c r="GJ91">
        <v>0</v>
      </c>
      <c r="GK91">
        <f>ROUND(R91*(R12)/100,2)</f>
        <v>0</v>
      </c>
      <c r="GL91">
        <f t="shared" si="93"/>
        <v>0</v>
      </c>
      <c r="GM91">
        <f t="shared" si="94"/>
        <v>88114.76</v>
      </c>
      <c r="GN91">
        <f t="shared" si="95"/>
        <v>88114.76</v>
      </c>
      <c r="GO91">
        <f t="shared" si="96"/>
        <v>0</v>
      </c>
      <c r="GP91">
        <f t="shared" si="97"/>
        <v>0</v>
      </c>
      <c r="GR91">
        <v>1</v>
      </c>
      <c r="GS91">
        <v>1</v>
      </c>
      <c r="GT91">
        <v>0</v>
      </c>
      <c r="GU91" t="s">
        <v>3</v>
      </c>
      <c r="GV91">
        <f t="shared" si="98"/>
        <v>0</v>
      </c>
      <c r="GW91">
        <v>1</v>
      </c>
      <c r="GX91">
        <f t="shared" si="99"/>
        <v>0</v>
      </c>
      <c r="HA91">
        <v>0</v>
      </c>
      <c r="HB91">
        <v>0</v>
      </c>
      <c r="HC91">
        <f t="shared" si="100"/>
        <v>0</v>
      </c>
      <c r="IK91">
        <v>0</v>
      </c>
    </row>
    <row r="92" spans="1:245" x14ac:dyDescent="0.2">
      <c r="A92">
        <v>17</v>
      </c>
      <c r="B92">
        <v>1</v>
      </c>
      <c r="C92">
        <f>ROW(SmtRes!A110)</f>
        <v>110</v>
      </c>
      <c r="D92">
        <f>ROW(EtalonRes!A218)</f>
        <v>218</v>
      </c>
      <c r="E92" t="s">
        <v>129</v>
      </c>
      <c r="F92" t="s">
        <v>130</v>
      </c>
      <c r="G92" t="s">
        <v>131</v>
      </c>
      <c r="H92" t="s">
        <v>132</v>
      </c>
      <c r="I92">
        <v>0.16</v>
      </c>
      <c r="J92">
        <v>0</v>
      </c>
      <c r="O92">
        <f t="shared" si="61"/>
        <v>683.29</v>
      </c>
      <c r="P92">
        <f t="shared" si="62"/>
        <v>120.05</v>
      </c>
      <c r="Q92">
        <f t="shared" si="63"/>
        <v>0</v>
      </c>
      <c r="R92">
        <f t="shared" si="64"/>
        <v>0</v>
      </c>
      <c r="S92">
        <f t="shared" si="65"/>
        <v>563.24</v>
      </c>
      <c r="T92">
        <f t="shared" si="66"/>
        <v>0</v>
      </c>
      <c r="U92">
        <f t="shared" si="67"/>
        <v>2.1888000000000001</v>
      </c>
      <c r="V92">
        <f t="shared" si="68"/>
        <v>0</v>
      </c>
      <c r="W92">
        <f t="shared" si="69"/>
        <v>0</v>
      </c>
      <c r="X92">
        <f t="shared" si="70"/>
        <v>394.27</v>
      </c>
      <c r="Y92">
        <f t="shared" si="71"/>
        <v>56.32</v>
      </c>
      <c r="AA92">
        <v>42278323</v>
      </c>
      <c r="AB92">
        <f t="shared" ref="AB92:AB93" si="101">ROUND((AC92+AD92+AF92),6)</f>
        <v>4270.57</v>
      </c>
      <c r="AC92">
        <f t="shared" si="73"/>
        <v>750.3</v>
      </c>
      <c r="AD92">
        <f t="shared" ref="AD92:AD93" si="102">ROUND((((ET92)-(EU92))+AE92),6)</f>
        <v>0</v>
      </c>
      <c r="AE92">
        <f t="shared" si="75"/>
        <v>0</v>
      </c>
      <c r="AF92">
        <f t="shared" si="76"/>
        <v>3520.27</v>
      </c>
      <c r="AG92">
        <f t="shared" si="77"/>
        <v>0</v>
      </c>
      <c r="AH92">
        <f t="shared" si="78"/>
        <v>13.68</v>
      </c>
      <c r="AI92">
        <f t="shared" si="79"/>
        <v>0</v>
      </c>
      <c r="AJ92">
        <f t="shared" si="80"/>
        <v>0</v>
      </c>
      <c r="AK92">
        <v>4270.57</v>
      </c>
      <c r="AL92">
        <v>750.3</v>
      </c>
      <c r="AM92">
        <v>0</v>
      </c>
      <c r="AN92">
        <v>0</v>
      </c>
      <c r="AO92">
        <v>3520.27</v>
      </c>
      <c r="AP92">
        <v>0</v>
      </c>
      <c r="AQ92">
        <v>13.68</v>
      </c>
      <c r="AR92">
        <v>0</v>
      </c>
      <c r="AS92">
        <v>0</v>
      </c>
      <c r="AT92">
        <v>70</v>
      </c>
      <c r="AU92">
        <v>10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4</v>
      </c>
      <c r="BJ92" t="s">
        <v>133</v>
      </c>
      <c r="BM92">
        <v>0</v>
      </c>
      <c r="BN92">
        <v>0</v>
      </c>
      <c r="BO92" t="s">
        <v>3</v>
      </c>
      <c r="BP92">
        <v>0</v>
      </c>
      <c r="BQ92">
        <v>1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70</v>
      </c>
      <c r="CA92">
        <v>10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81"/>
        <v>683.29</v>
      </c>
      <c r="CQ92">
        <f t="shared" si="82"/>
        <v>750.3</v>
      </c>
      <c r="CR92">
        <f t="shared" si="83"/>
        <v>0</v>
      </c>
      <c r="CS92">
        <f t="shared" si="84"/>
        <v>0</v>
      </c>
      <c r="CT92">
        <f t="shared" si="85"/>
        <v>3520.27</v>
      </c>
      <c r="CU92">
        <f t="shared" si="86"/>
        <v>0</v>
      </c>
      <c r="CV92">
        <f t="shared" si="87"/>
        <v>13.68</v>
      </c>
      <c r="CW92">
        <f t="shared" si="88"/>
        <v>0</v>
      </c>
      <c r="CX92">
        <f t="shared" si="89"/>
        <v>0</v>
      </c>
      <c r="CY92">
        <f t="shared" si="90"/>
        <v>394.26800000000003</v>
      </c>
      <c r="CZ92">
        <f t="shared" si="91"/>
        <v>56.323999999999998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1010</v>
      </c>
      <c r="DV92" t="s">
        <v>132</v>
      </c>
      <c r="DW92" t="s">
        <v>132</v>
      </c>
      <c r="DX92">
        <v>100</v>
      </c>
      <c r="EE92">
        <v>40658659</v>
      </c>
      <c r="EF92">
        <v>1</v>
      </c>
      <c r="EG92" t="s">
        <v>23</v>
      </c>
      <c r="EH92">
        <v>0</v>
      </c>
      <c r="EI92" t="s">
        <v>3</v>
      </c>
      <c r="EJ92">
        <v>4</v>
      </c>
      <c r="EK92">
        <v>0</v>
      </c>
      <c r="EL92" t="s">
        <v>24</v>
      </c>
      <c r="EM92" t="s">
        <v>25</v>
      </c>
      <c r="EO92" t="s">
        <v>3</v>
      </c>
      <c r="EQ92">
        <v>0</v>
      </c>
      <c r="ER92">
        <v>4270.57</v>
      </c>
      <c r="ES92">
        <v>750.3</v>
      </c>
      <c r="ET92">
        <v>0</v>
      </c>
      <c r="EU92">
        <v>0</v>
      </c>
      <c r="EV92">
        <v>3520.27</v>
      </c>
      <c r="EW92">
        <v>13.68</v>
      </c>
      <c r="EX92">
        <v>0</v>
      </c>
      <c r="EY92">
        <v>0</v>
      </c>
      <c r="FQ92">
        <v>0</v>
      </c>
      <c r="FR92">
        <f t="shared" si="92"/>
        <v>0</v>
      </c>
      <c r="FS92">
        <v>0</v>
      </c>
      <c r="FX92">
        <v>70</v>
      </c>
      <c r="FY92">
        <v>10</v>
      </c>
      <c r="GA92" t="s">
        <v>3</v>
      </c>
      <c r="GD92">
        <v>0</v>
      </c>
      <c r="GF92">
        <v>-1190372060</v>
      </c>
      <c r="GG92">
        <v>2</v>
      </c>
      <c r="GH92">
        <v>1</v>
      </c>
      <c r="GI92">
        <v>-2</v>
      </c>
      <c r="GJ92">
        <v>0</v>
      </c>
      <c r="GK92">
        <f>ROUND(R92*(R12)/100,2)</f>
        <v>0</v>
      </c>
      <c r="GL92">
        <f t="shared" si="93"/>
        <v>0</v>
      </c>
      <c r="GM92">
        <f t="shared" si="94"/>
        <v>1133.8800000000001</v>
      </c>
      <c r="GN92">
        <f t="shared" si="95"/>
        <v>0</v>
      </c>
      <c r="GO92">
        <f t="shared" si="96"/>
        <v>0</v>
      </c>
      <c r="GP92">
        <f t="shared" si="97"/>
        <v>1133.8800000000001</v>
      </c>
      <c r="GR92">
        <v>0</v>
      </c>
      <c r="GS92">
        <v>3</v>
      </c>
      <c r="GT92">
        <v>0</v>
      </c>
      <c r="GU92" t="s">
        <v>3</v>
      </c>
      <c r="GV92">
        <f t="shared" si="98"/>
        <v>0</v>
      </c>
      <c r="GW92">
        <v>1</v>
      </c>
      <c r="GX92">
        <f t="shared" si="99"/>
        <v>0</v>
      </c>
      <c r="HA92">
        <v>0</v>
      </c>
      <c r="HB92">
        <v>0</v>
      </c>
      <c r="HC92">
        <f t="shared" si="100"/>
        <v>0</v>
      </c>
      <c r="IK92">
        <v>0</v>
      </c>
    </row>
    <row r="93" spans="1:245" x14ac:dyDescent="0.2">
      <c r="A93">
        <v>17</v>
      </c>
      <c r="B93">
        <v>1</v>
      </c>
      <c r="E93" t="s">
        <v>134</v>
      </c>
      <c r="F93" t="s">
        <v>54</v>
      </c>
      <c r="G93" t="s">
        <v>135</v>
      </c>
      <c r="H93" t="s">
        <v>47</v>
      </c>
      <c r="I93">
        <v>8</v>
      </c>
      <c r="J93">
        <v>0</v>
      </c>
      <c r="O93">
        <f t="shared" si="61"/>
        <v>1840</v>
      </c>
      <c r="P93">
        <f t="shared" si="62"/>
        <v>1840</v>
      </c>
      <c r="Q93">
        <f t="shared" si="63"/>
        <v>0</v>
      </c>
      <c r="R93">
        <f t="shared" si="64"/>
        <v>0</v>
      </c>
      <c r="S93">
        <f t="shared" si="65"/>
        <v>0</v>
      </c>
      <c r="T93">
        <f t="shared" si="66"/>
        <v>0</v>
      </c>
      <c r="U93">
        <f t="shared" si="67"/>
        <v>0</v>
      </c>
      <c r="V93">
        <f t="shared" si="68"/>
        <v>0</v>
      </c>
      <c r="W93">
        <f t="shared" si="69"/>
        <v>0</v>
      </c>
      <c r="X93">
        <f t="shared" si="70"/>
        <v>0</v>
      </c>
      <c r="Y93">
        <f t="shared" si="71"/>
        <v>0</v>
      </c>
      <c r="AA93">
        <v>42278323</v>
      </c>
      <c r="AB93">
        <f t="shared" si="101"/>
        <v>230</v>
      </c>
      <c r="AC93">
        <f t="shared" si="73"/>
        <v>230</v>
      </c>
      <c r="AD93">
        <f t="shared" si="102"/>
        <v>0</v>
      </c>
      <c r="AE93">
        <f t="shared" si="75"/>
        <v>0</v>
      </c>
      <c r="AF93">
        <f t="shared" si="76"/>
        <v>0</v>
      </c>
      <c r="AG93">
        <f t="shared" si="77"/>
        <v>0</v>
      </c>
      <c r="AH93">
        <f t="shared" si="78"/>
        <v>0</v>
      </c>
      <c r="AI93">
        <f t="shared" si="79"/>
        <v>0</v>
      </c>
      <c r="AJ93">
        <f t="shared" si="80"/>
        <v>0</v>
      </c>
      <c r="AK93">
        <v>230</v>
      </c>
      <c r="AL93">
        <v>230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1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6001</v>
      </c>
      <c r="BN93">
        <v>0</v>
      </c>
      <c r="BO93" t="s">
        <v>3</v>
      </c>
      <c r="BP93">
        <v>0</v>
      </c>
      <c r="BQ93">
        <v>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81"/>
        <v>1840</v>
      </c>
      <c r="CQ93">
        <f t="shared" si="82"/>
        <v>230</v>
      </c>
      <c r="CR93">
        <f t="shared" si="83"/>
        <v>0</v>
      </c>
      <c r="CS93">
        <f t="shared" si="84"/>
        <v>0</v>
      </c>
      <c r="CT93">
        <f t="shared" si="85"/>
        <v>0</v>
      </c>
      <c r="CU93">
        <f t="shared" si="86"/>
        <v>0</v>
      </c>
      <c r="CV93">
        <f t="shared" si="87"/>
        <v>0</v>
      </c>
      <c r="CW93">
        <f t="shared" si="88"/>
        <v>0</v>
      </c>
      <c r="CX93">
        <f t="shared" si="89"/>
        <v>0</v>
      </c>
      <c r="CY93">
        <f t="shared" si="90"/>
        <v>0</v>
      </c>
      <c r="CZ93">
        <f t="shared" si="91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47</v>
      </c>
      <c r="DW93" t="s">
        <v>47</v>
      </c>
      <c r="DX93">
        <v>1</v>
      </c>
      <c r="EE93">
        <v>42086242</v>
      </c>
      <c r="EF93">
        <v>0</v>
      </c>
      <c r="EG93" t="s">
        <v>56</v>
      </c>
      <c r="EH93">
        <v>0</v>
      </c>
      <c r="EI93" t="s">
        <v>3</v>
      </c>
      <c r="EJ93">
        <v>1</v>
      </c>
      <c r="EK93">
        <v>6001</v>
      </c>
      <c r="EL93" t="s">
        <v>57</v>
      </c>
      <c r="EM93" t="s">
        <v>56</v>
      </c>
      <c r="EO93" t="s">
        <v>3</v>
      </c>
      <c r="EQ93">
        <v>0</v>
      </c>
      <c r="ER93">
        <v>230</v>
      </c>
      <c r="ES93">
        <v>230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230</v>
      </c>
      <c r="FQ93">
        <v>0</v>
      </c>
      <c r="FR93">
        <f t="shared" si="92"/>
        <v>0</v>
      </c>
      <c r="FS93">
        <v>0</v>
      </c>
      <c r="FX93">
        <v>0</v>
      </c>
      <c r="FY93">
        <v>0</v>
      </c>
      <c r="GA93" t="s">
        <v>136</v>
      </c>
      <c r="GD93">
        <v>0</v>
      </c>
      <c r="GF93">
        <v>2118936820</v>
      </c>
      <c r="GG93">
        <v>2</v>
      </c>
      <c r="GH93">
        <v>3</v>
      </c>
      <c r="GI93">
        <v>-2</v>
      </c>
      <c r="GJ93">
        <v>0</v>
      </c>
      <c r="GK93">
        <f>ROUND(R93*(R12)/100,2)</f>
        <v>0</v>
      </c>
      <c r="GL93">
        <f t="shared" si="93"/>
        <v>0</v>
      </c>
      <c r="GM93">
        <f t="shared" si="94"/>
        <v>1840</v>
      </c>
      <c r="GN93">
        <f t="shared" si="95"/>
        <v>1840</v>
      </c>
      <c r="GO93">
        <f t="shared" si="96"/>
        <v>0</v>
      </c>
      <c r="GP93">
        <f t="shared" si="97"/>
        <v>0</v>
      </c>
      <c r="GR93">
        <v>1</v>
      </c>
      <c r="GS93">
        <v>1</v>
      </c>
      <c r="GT93">
        <v>0</v>
      </c>
      <c r="GU93" t="s">
        <v>3</v>
      </c>
      <c r="GV93">
        <f t="shared" si="98"/>
        <v>0</v>
      </c>
      <c r="GW93">
        <v>1</v>
      </c>
      <c r="GX93">
        <f t="shared" si="99"/>
        <v>0</v>
      </c>
      <c r="HA93">
        <v>0</v>
      </c>
      <c r="HB93">
        <v>0</v>
      </c>
      <c r="HC93">
        <f t="shared" si="100"/>
        <v>0</v>
      </c>
      <c r="IK93">
        <v>0</v>
      </c>
    </row>
    <row r="95" spans="1:245" x14ac:dyDescent="0.2">
      <c r="A95" s="2">
        <v>51</v>
      </c>
      <c r="B95" s="2">
        <f>B24</f>
        <v>1</v>
      </c>
      <c r="C95" s="2">
        <f>A24</f>
        <v>4</v>
      </c>
      <c r="D95" s="2">
        <f>ROW(A24)</f>
        <v>24</v>
      </c>
      <c r="E95" s="2"/>
      <c r="F95" s="2" t="str">
        <f>IF(F24&lt;&gt;"",F24,"")</f>
        <v>Новый раздел</v>
      </c>
      <c r="G95" s="2" t="str">
        <f>IF(G24&lt;&gt;"",G24,"")</f>
        <v>Установка спортивных тренажеров</v>
      </c>
      <c r="H95" s="2">
        <v>0</v>
      </c>
      <c r="I95" s="2"/>
      <c r="J95" s="2"/>
      <c r="K95" s="2"/>
      <c r="L95" s="2"/>
      <c r="M95" s="2"/>
      <c r="N95" s="2"/>
      <c r="O95" s="2">
        <f t="shared" ref="O95:T95" si="103">ROUND(AB95,2)</f>
        <v>611636.62</v>
      </c>
      <c r="P95" s="2">
        <f t="shared" si="103"/>
        <v>569545.4</v>
      </c>
      <c r="Q95" s="2">
        <f t="shared" si="103"/>
        <v>274</v>
      </c>
      <c r="R95" s="2">
        <f t="shared" si="103"/>
        <v>160.24</v>
      </c>
      <c r="S95" s="2">
        <f t="shared" si="103"/>
        <v>41817.22</v>
      </c>
      <c r="T95" s="2">
        <f t="shared" si="103"/>
        <v>0</v>
      </c>
      <c r="U95" s="2">
        <f>AH95</f>
        <v>189.23992999999996</v>
      </c>
      <c r="V95" s="2">
        <f>AI95</f>
        <v>0</v>
      </c>
      <c r="W95" s="2">
        <f>ROUND(AJ95,2)</f>
        <v>0</v>
      </c>
      <c r="X95" s="2">
        <f>ROUND(AK95,2)</f>
        <v>29272.05</v>
      </c>
      <c r="Y95" s="2">
        <f>ROUND(AL95,2)</f>
        <v>4181.79</v>
      </c>
      <c r="Z95" s="2"/>
      <c r="AA95" s="2"/>
      <c r="AB95" s="2">
        <f>ROUND(SUMIF(AA28:AA93,"=42278323",O28:O93),2)</f>
        <v>611636.62</v>
      </c>
      <c r="AC95" s="2">
        <f>ROUND(SUMIF(AA28:AA93,"=42278323",P28:P93),2)</f>
        <v>569545.4</v>
      </c>
      <c r="AD95" s="2">
        <f>ROUND(SUMIF(AA28:AA93,"=42278323",Q28:Q93),2)</f>
        <v>274</v>
      </c>
      <c r="AE95" s="2">
        <f>ROUND(SUMIF(AA28:AA93,"=42278323",R28:R93),2)</f>
        <v>160.24</v>
      </c>
      <c r="AF95" s="2">
        <f>ROUND(SUMIF(AA28:AA93,"=42278323",S28:S93),2)</f>
        <v>41817.22</v>
      </c>
      <c r="AG95" s="2">
        <f>ROUND(SUMIF(AA28:AA93,"=42278323",T28:T93),2)</f>
        <v>0</v>
      </c>
      <c r="AH95" s="2">
        <f>SUMIF(AA28:AA93,"=42278323",U28:U93)</f>
        <v>189.23992999999996</v>
      </c>
      <c r="AI95" s="2">
        <f>SUMIF(AA28:AA93,"=42278323",V28:V93)</f>
        <v>0</v>
      </c>
      <c r="AJ95" s="2">
        <f>ROUND(SUMIF(AA28:AA93,"=42278323",W28:W93),2)</f>
        <v>0</v>
      </c>
      <c r="AK95" s="2">
        <f>ROUND(SUMIF(AA28:AA93,"=42278323",X28:X93),2)</f>
        <v>29272.05</v>
      </c>
      <c r="AL95" s="2">
        <f>ROUND(SUMIF(AA28:AA93,"=42278323",Y28:Y93),2)</f>
        <v>4181.79</v>
      </c>
      <c r="AM95" s="2"/>
      <c r="AN95" s="2"/>
      <c r="AO95" s="2">
        <f t="shared" ref="AO95:BC95" si="104">ROUND(BX95,2)</f>
        <v>0</v>
      </c>
      <c r="AP95" s="2">
        <f t="shared" si="104"/>
        <v>0</v>
      </c>
      <c r="AQ95" s="2">
        <f t="shared" si="104"/>
        <v>0</v>
      </c>
      <c r="AR95" s="2">
        <f t="shared" si="104"/>
        <v>645263.57999999996</v>
      </c>
      <c r="AS95" s="2">
        <f t="shared" si="104"/>
        <v>556225.03</v>
      </c>
      <c r="AT95" s="2">
        <f t="shared" si="104"/>
        <v>0</v>
      </c>
      <c r="AU95" s="2">
        <f t="shared" si="104"/>
        <v>89038.55</v>
      </c>
      <c r="AV95" s="2">
        <f t="shared" si="104"/>
        <v>569545.4</v>
      </c>
      <c r="AW95" s="2">
        <f t="shared" si="104"/>
        <v>569545.4</v>
      </c>
      <c r="AX95" s="2">
        <f t="shared" si="104"/>
        <v>0</v>
      </c>
      <c r="AY95" s="2">
        <f t="shared" si="104"/>
        <v>569545.4</v>
      </c>
      <c r="AZ95" s="2">
        <f t="shared" si="104"/>
        <v>0</v>
      </c>
      <c r="BA95" s="2">
        <f t="shared" si="104"/>
        <v>0</v>
      </c>
      <c r="BB95" s="2">
        <f t="shared" si="104"/>
        <v>0</v>
      </c>
      <c r="BC95" s="2">
        <f t="shared" si="104"/>
        <v>0</v>
      </c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>
        <f>ROUND(SUMIF(AA28:AA93,"=42278323",FQ28:FQ93),2)</f>
        <v>0</v>
      </c>
      <c r="BY95" s="2">
        <f>ROUND(SUMIF(AA28:AA93,"=42278323",FR28:FR93),2)</f>
        <v>0</v>
      </c>
      <c r="BZ95" s="2">
        <f>ROUND(SUMIF(AA28:AA93,"=42278323",GL28:GL93),2)</f>
        <v>0</v>
      </c>
      <c r="CA95" s="2">
        <f>ROUND(SUMIF(AA28:AA93,"=42278323",GM28:GM93),2)</f>
        <v>645263.57999999996</v>
      </c>
      <c r="CB95" s="2">
        <f>ROUND(SUMIF(AA28:AA93,"=42278323",GN28:GN93),2)</f>
        <v>556225.03</v>
      </c>
      <c r="CC95" s="2">
        <f>ROUND(SUMIF(AA28:AA93,"=42278323",GO28:GO93),2)</f>
        <v>0</v>
      </c>
      <c r="CD95" s="2">
        <f>ROUND(SUMIF(AA28:AA93,"=42278323",GP28:GP93),2)</f>
        <v>89038.55</v>
      </c>
      <c r="CE95" s="2">
        <f>AC95-BX95</f>
        <v>569545.4</v>
      </c>
      <c r="CF95" s="2">
        <f>AC95-BY95</f>
        <v>569545.4</v>
      </c>
      <c r="CG95" s="2">
        <f>BX95-BZ95</f>
        <v>0</v>
      </c>
      <c r="CH95" s="2">
        <f>AC95-BX95-BY95+BZ95</f>
        <v>569545.4</v>
      </c>
      <c r="CI95" s="2">
        <f>BY95-BZ95</f>
        <v>0</v>
      </c>
      <c r="CJ95" s="2">
        <f>ROUND(SUMIF(AA28:AA93,"=42278323",GX28:GX93),2)</f>
        <v>0</v>
      </c>
      <c r="CK95" s="2">
        <f>ROUND(SUMIF(AA28:AA93,"=42278323",GY28:GY93),2)</f>
        <v>0</v>
      </c>
      <c r="CL95" s="2">
        <f>ROUND(SUMIF(AA28:AA93,"=42278323",GZ28:GZ93),2)</f>
        <v>0</v>
      </c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>
        <v>0</v>
      </c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201</v>
      </c>
      <c r="F97" s="4">
        <f>ROUND(Source!O95,O97)</f>
        <v>611636.62</v>
      </c>
      <c r="G97" s="4" t="s">
        <v>137</v>
      </c>
      <c r="H97" s="4" t="s">
        <v>138</v>
      </c>
      <c r="I97" s="4"/>
      <c r="J97" s="4"/>
      <c r="K97" s="4">
        <v>201</v>
      </c>
      <c r="L97" s="4">
        <v>1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202</v>
      </c>
      <c r="F98" s="4">
        <f>ROUND(Source!P95,O98)</f>
        <v>569545.4</v>
      </c>
      <c r="G98" s="4" t="s">
        <v>139</v>
      </c>
      <c r="H98" s="4" t="s">
        <v>140</v>
      </c>
      <c r="I98" s="4"/>
      <c r="J98" s="4"/>
      <c r="K98" s="4">
        <v>202</v>
      </c>
      <c r="L98" s="4">
        <v>2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222</v>
      </c>
      <c r="F99" s="4">
        <f>ROUND(Source!AO95,O99)</f>
        <v>0</v>
      </c>
      <c r="G99" s="4" t="s">
        <v>141</v>
      </c>
      <c r="H99" s="4" t="s">
        <v>142</v>
      </c>
      <c r="I99" s="4"/>
      <c r="J99" s="4"/>
      <c r="K99" s="4">
        <v>222</v>
      </c>
      <c r="L99" s="4">
        <v>3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225</v>
      </c>
      <c r="F100" s="4">
        <f>ROUND(Source!AV95,O100)</f>
        <v>569545.4</v>
      </c>
      <c r="G100" s="4" t="s">
        <v>143</v>
      </c>
      <c r="H100" s="4" t="s">
        <v>144</v>
      </c>
      <c r="I100" s="4"/>
      <c r="J100" s="4"/>
      <c r="K100" s="4">
        <v>225</v>
      </c>
      <c r="L100" s="4">
        <v>4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226</v>
      </c>
      <c r="F101" s="4">
        <f>ROUND(Source!AW95,O101)</f>
        <v>569545.4</v>
      </c>
      <c r="G101" s="4" t="s">
        <v>145</v>
      </c>
      <c r="H101" s="4" t="s">
        <v>146</v>
      </c>
      <c r="I101" s="4"/>
      <c r="J101" s="4"/>
      <c r="K101" s="4">
        <v>226</v>
      </c>
      <c r="L101" s="4">
        <v>5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227</v>
      </c>
      <c r="F102" s="4">
        <f>ROUND(Source!AX95,O102)</f>
        <v>0</v>
      </c>
      <c r="G102" s="4" t="s">
        <v>147</v>
      </c>
      <c r="H102" s="4" t="s">
        <v>148</v>
      </c>
      <c r="I102" s="4"/>
      <c r="J102" s="4"/>
      <c r="K102" s="4">
        <v>227</v>
      </c>
      <c r="L102" s="4">
        <v>6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228</v>
      </c>
      <c r="F103" s="4">
        <f>ROUND(Source!AY95,O103)</f>
        <v>569545.4</v>
      </c>
      <c r="G103" s="4" t="s">
        <v>149</v>
      </c>
      <c r="H103" s="4" t="s">
        <v>150</v>
      </c>
      <c r="I103" s="4"/>
      <c r="J103" s="4"/>
      <c r="K103" s="4">
        <v>228</v>
      </c>
      <c r="L103" s="4">
        <v>7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216</v>
      </c>
      <c r="F104" s="4">
        <f>ROUND(Source!AP95,O104)</f>
        <v>0</v>
      </c>
      <c r="G104" s="4" t="s">
        <v>151</v>
      </c>
      <c r="H104" s="4" t="s">
        <v>152</v>
      </c>
      <c r="I104" s="4"/>
      <c r="J104" s="4"/>
      <c r="K104" s="4">
        <v>216</v>
      </c>
      <c r="L104" s="4">
        <v>8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223</v>
      </c>
      <c r="F105" s="4">
        <f>ROUND(Source!AQ95,O105)</f>
        <v>0</v>
      </c>
      <c r="G105" s="4" t="s">
        <v>153</v>
      </c>
      <c r="H105" s="4" t="s">
        <v>154</v>
      </c>
      <c r="I105" s="4"/>
      <c r="J105" s="4"/>
      <c r="K105" s="4">
        <v>223</v>
      </c>
      <c r="L105" s="4">
        <v>9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229</v>
      </c>
      <c r="F106" s="4">
        <f>ROUND(Source!AZ95,O106)</f>
        <v>0</v>
      </c>
      <c r="G106" s="4" t="s">
        <v>155</v>
      </c>
      <c r="H106" s="4" t="s">
        <v>156</v>
      </c>
      <c r="I106" s="4"/>
      <c r="J106" s="4"/>
      <c r="K106" s="4">
        <v>229</v>
      </c>
      <c r="L106" s="4">
        <v>10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203</v>
      </c>
      <c r="F107" s="4">
        <f>ROUND(Source!Q95,O107)</f>
        <v>274</v>
      </c>
      <c r="G107" s="4" t="s">
        <v>157</v>
      </c>
      <c r="H107" s="4" t="s">
        <v>158</v>
      </c>
      <c r="I107" s="4"/>
      <c r="J107" s="4"/>
      <c r="K107" s="4">
        <v>203</v>
      </c>
      <c r="L107" s="4">
        <v>11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231</v>
      </c>
      <c r="F108" s="4">
        <f>ROUND(Source!BB95,O108)</f>
        <v>0</v>
      </c>
      <c r="G108" s="4" t="s">
        <v>159</v>
      </c>
      <c r="H108" s="4" t="s">
        <v>160</v>
      </c>
      <c r="I108" s="4"/>
      <c r="J108" s="4"/>
      <c r="K108" s="4">
        <v>231</v>
      </c>
      <c r="L108" s="4">
        <v>12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204</v>
      </c>
      <c r="F109" s="4">
        <f>ROUND(Source!R95,O109)</f>
        <v>160.24</v>
      </c>
      <c r="G109" s="4" t="s">
        <v>161</v>
      </c>
      <c r="H109" s="4" t="s">
        <v>162</v>
      </c>
      <c r="I109" s="4"/>
      <c r="J109" s="4"/>
      <c r="K109" s="4">
        <v>204</v>
      </c>
      <c r="L109" s="4">
        <v>13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205</v>
      </c>
      <c r="F110" s="4">
        <f>ROUND(Source!S95,O110)</f>
        <v>41817.22</v>
      </c>
      <c r="G110" s="4" t="s">
        <v>163</v>
      </c>
      <c r="H110" s="4" t="s">
        <v>164</v>
      </c>
      <c r="I110" s="4"/>
      <c r="J110" s="4"/>
      <c r="K110" s="4">
        <v>205</v>
      </c>
      <c r="L110" s="4">
        <v>14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232</v>
      </c>
      <c r="F111" s="4">
        <f>ROUND(Source!BC95,O111)</f>
        <v>0</v>
      </c>
      <c r="G111" s="4" t="s">
        <v>165</v>
      </c>
      <c r="H111" s="4" t="s">
        <v>166</v>
      </c>
      <c r="I111" s="4"/>
      <c r="J111" s="4"/>
      <c r="K111" s="4">
        <v>232</v>
      </c>
      <c r="L111" s="4">
        <v>15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214</v>
      </c>
      <c r="F112" s="4">
        <f>ROUND(Source!AS95,O112)</f>
        <v>556225.03</v>
      </c>
      <c r="G112" s="4" t="s">
        <v>167</v>
      </c>
      <c r="H112" s="4" t="s">
        <v>168</v>
      </c>
      <c r="I112" s="4"/>
      <c r="J112" s="4"/>
      <c r="K112" s="4">
        <v>214</v>
      </c>
      <c r="L112" s="4">
        <v>16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06" x14ac:dyDescent="0.2">
      <c r="A113" s="4">
        <v>50</v>
      </c>
      <c r="B113" s="4">
        <v>0</v>
      </c>
      <c r="C113" s="4">
        <v>0</v>
      </c>
      <c r="D113" s="4">
        <v>1</v>
      </c>
      <c r="E113" s="4">
        <v>215</v>
      </c>
      <c r="F113" s="4">
        <f>ROUND(Source!AT95,O113)</f>
        <v>0</v>
      </c>
      <c r="G113" s="4" t="s">
        <v>169</v>
      </c>
      <c r="H113" s="4" t="s">
        <v>170</v>
      </c>
      <c r="I113" s="4"/>
      <c r="J113" s="4"/>
      <c r="K113" s="4">
        <v>215</v>
      </c>
      <c r="L113" s="4">
        <v>17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06" x14ac:dyDescent="0.2">
      <c r="A114" s="4">
        <v>50</v>
      </c>
      <c r="B114" s="4">
        <v>0</v>
      </c>
      <c r="C114" s="4">
        <v>0</v>
      </c>
      <c r="D114" s="4">
        <v>1</v>
      </c>
      <c r="E114" s="4">
        <v>217</v>
      </c>
      <c r="F114" s="4">
        <f>ROUND(Source!AU95,O114)</f>
        <v>89038.55</v>
      </c>
      <c r="G114" s="4" t="s">
        <v>171</v>
      </c>
      <c r="H114" s="4" t="s">
        <v>172</v>
      </c>
      <c r="I114" s="4"/>
      <c r="J114" s="4"/>
      <c r="K114" s="4">
        <v>217</v>
      </c>
      <c r="L114" s="4">
        <v>18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06" x14ac:dyDescent="0.2">
      <c r="A115" s="4">
        <v>50</v>
      </c>
      <c r="B115" s="4">
        <v>0</v>
      </c>
      <c r="C115" s="4">
        <v>0</v>
      </c>
      <c r="D115" s="4">
        <v>1</v>
      </c>
      <c r="E115" s="4">
        <v>230</v>
      </c>
      <c r="F115" s="4">
        <f>ROUND(Source!BA95,O115)</f>
        <v>0</v>
      </c>
      <c r="G115" s="4" t="s">
        <v>173</v>
      </c>
      <c r="H115" s="4" t="s">
        <v>174</v>
      </c>
      <c r="I115" s="4"/>
      <c r="J115" s="4"/>
      <c r="K115" s="4">
        <v>230</v>
      </c>
      <c r="L115" s="4">
        <v>19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206</v>
      </c>
      <c r="F116" s="4">
        <f>ROUND(Source!T95,O116)</f>
        <v>0</v>
      </c>
      <c r="G116" s="4" t="s">
        <v>175</v>
      </c>
      <c r="H116" s="4" t="s">
        <v>176</v>
      </c>
      <c r="I116" s="4"/>
      <c r="J116" s="4"/>
      <c r="K116" s="4">
        <v>206</v>
      </c>
      <c r="L116" s="4">
        <v>20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207</v>
      </c>
      <c r="F117" s="4">
        <f>Source!U95</f>
        <v>189.23992999999996</v>
      </c>
      <c r="G117" s="4" t="s">
        <v>177</v>
      </c>
      <c r="H117" s="4" t="s">
        <v>178</v>
      </c>
      <c r="I117" s="4"/>
      <c r="J117" s="4"/>
      <c r="K117" s="4">
        <v>207</v>
      </c>
      <c r="L117" s="4">
        <v>21</v>
      </c>
      <c r="M117" s="4">
        <v>3</v>
      </c>
      <c r="N117" s="4" t="s">
        <v>3</v>
      </c>
      <c r="O117" s="4">
        <v>-1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208</v>
      </c>
      <c r="F118" s="4">
        <f>Source!V95</f>
        <v>0</v>
      </c>
      <c r="G118" s="4" t="s">
        <v>179</v>
      </c>
      <c r="H118" s="4" t="s">
        <v>180</v>
      </c>
      <c r="I118" s="4"/>
      <c r="J118" s="4"/>
      <c r="K118" s="4">
        <v>208</v>
      </c>
      <c r="L118" s="4">
        <v>22</v>
      </c>
      <c r="M118" s="4">
        <v>3</v>
      </c>
      <c r="N118" s="4" t="s">
        <v>3</v>
      </c>
      <c r="O118" s="4">
        <v>-1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209</v>
      </c>
      <c r="F119" s="4">
        <f>ROUND(Source!W95,O119)</f>
        <v>0</v>
      </c>
      <c r="G119" s="4" t="s">
        <v>181</v>
      </c>
      <c r="H119" s="4" t="s">
        <v>182</v>
      </c>
      <c r="I119" s="4"/>
      <c r="J119" s="4"/>
      <c r="K119" s="4">
        <v>209</v>
      </c>
      <c r="L119" s="4">
        <v>23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210</v>
      </c>
      <c r="F120" s="4">
        <f>ROUND(Source!X95,O120)</f>
        <v>29272.05</v>
      </c>
      <c r="G120" s="4" t="s">
        <v>183</v>
      </c>
      <c r="H120" s="4" t="s">
        <v>184</v>
      </c>
      <c r="I120" s="4"/>
      <c r="J120" s="4"/>
      <c r="K120" s="4">
        <v>210</v>
      </c>
      <c r="L120" s="4">
        <v>24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211</v>
      </c>
      <c r="F121" s="4">
        <f>ROUND(Source!Y95,O121)</f>
        <v>4181.79</v>
      </c>
      <c r="G121" s="4" t="s">
        <v>185</v>
      </c>
      <c r="H121" s="4" t="s">
        <v>186</v>
      </c>
      <c r="I121" s="4"/>
      <c r="J121" s="4"/>
      <c r="K121" s="4">
        <v>211</v>
      </c>
      <c r="L121" s="4">
        <v>25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224</v>
      </c>
      <c r="F122" s="4">
        <f>ROUND(Source!AR95,O122)</f>
        <v>645263.57999999996</v>
      </c>
      <c r="G122" s="4" t="s">
        <v>187</v>
      </c>
      <c r="H122" s="4" t="s">
        <v>188</v>
      </c>
      <c r="I122" s="4"/>
      <c r="J122" s="4"/>
      <c r="K122" s="4">
        <v>224</v>
      </c>
      <c r="L122" s="4">
        <v>26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4" spans="1:206" x14ac:dyDescent="0.2">
      <c r="A124" s="2">
        <v>51</v>
      </c>
      <c r="B124" s="2">
        <f>B20</f>
        <v>1</v>
      </c>
      <c r="C124" s="2">
        <f>A20</f>
        <v>3</v>
      </c>
      <c r="D124" s="2">
        <f>ROW(A20)</f>
        <v>20</v>
      </c>
      <c r="E124" s="2"/>
      <c r="F124" s="2" t="str">
        <f>IF(F20&lt;&gt;"",F20,"")</f>
        <v>Новая локальная смета</v>
      </c>
      <c r="G124" s="2" t="str">
        <f>IF(G20&lt;&gt;"",G20,"")</f>
        <v>Новая локальная смета</v>
      </c>
      <c r="H124" s="2">
        <v>0</v>
      </c>
      <c r="I124" s="2"/>
      <c r="J124" s="2"/>
      <c r="K124" s="2"/>
      <c r="L124" s="2"/>
      <c r="M124" s="2"/>
      <c r="N124" s="2"/>
      <c r="O124" s="2">
        <f t="shared" ref="O124:T124" si="105">ROUND(O95+AB124,2)</f>
        <v>611636.62</v>
      </c>
      <c r="P124" s="2">
        <f t="shared" si="105"/>
        <v>569545.4</v>
      </c>
      <c r="Q124" s="2">
        <f t="shared" si="105"/>
        <v>274</v>
      </c>
      <c r="R124" s="2">
        <f t="shared" si="105"/>
        <v>160.24</v>
      </c>
      <c r="S124" s="2">
        <f t="shared" si="105"/>
        <v>41817.22</v>
      </c>
      <c r="T124" s="2">
        <f t="shared" si="105"/>
        <v>0</v>
      </c>
      <c r="U124" s="2">
        <f>U95+AH124</f>
        <v>189.23992999999996</v>
      </c>
      <c r="V124" s="2">
        <f>V95+AI124</f>
        <v>0</v>
      </c>
      <c r="W124" s="2">
        <f>ROUND(W95+AJ124,2)</f>
        <v>0</v>
      </c>
      <c r="X124" s="2">
        <f>ROUND(X95+AK124,2)</f>
        <v>29272.05</v>
      </c>
      <c r="Y124" s="2">
        <f>ROUND(Y95+AL124,2)</f>
        <v>4181.79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>
        <f t="shared" ref="AO124:BC124" si="106">ROUND(AO95+BX124,2)</f>
        <v>0</v>
      </c>
      <c r="AP124" s="2">
        <f t="shared" si="106"/>
        <v>0</v>
      </c>
      <c r="AQ124" s="2">
        <f t="shared" si="106"/>
        <v>0</v>
      </c>
      <c r="AR124" s="2">
        <f t="shared" si="106"/>
        <v>645263.57999999996</v>
      </c>
      <c r="AS124" s="2">
        <f t="shared" si="106"/>
        <v>556225.03</v>
      </c>
      <c r="AT124" s="2">
        <f t="shared" si="106"/>
        <v>0</v>
      </c>
      <c r="AU124" s="2">
        <f t="shared" si="106"/>
        <v>89038.55</v>
      </c>
      <c r="AV124" s="2">
        <f t="shared" si="106"/>
        <v>569545.4</v>
      </c>
      <c r="AW124" s="2">
        <f t="shared" si="106"/>
        <v>569545.4</v>
      </c>
      <c r="AX124" s="2">
        <f t="shared" si="106"/>
        <v>0</v>
      </c>
      <c r="AY124" s="2">
        <f t="shared" si="106"/>
        <v>569545.4</v>
      </c>
      <c r="AZ124" s="2">
        <f t="shared" si="106"/>
        <v>0</v>
      </c>
      <c r="BA124" s="2">
        <f t="shared" si="106"/>
        <v>0</v>
      </c>
      <c r="BB124" s="2">
        <f t="shared" si="106"/>
        <v>0</v>
      </c>
      <c r="BC124" s="2">
        <f t="shared" si="106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>
        <v>0</v>
      </c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611636.62</v>
      </c>
      <c r="G126" s="4" t="s">
        <v>137</v>
      </c>
      <c r="H126" s="4" t="s">
        <v>138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569545.4</v>
      </c>
      <c r="G127" s="4" t="s">
        <v>139</v>
      </c>
      <c r="H127" s="4" t="s">
        <v>140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141</v>
      </c>
      <c r="H128" s="4" t="s">
        <v>142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569545.4</v>
      </c>
      <c r="G129" s="4" t="s">
        <v>143</v>
      </c>
      <c r="H129" s="4" t="s">
        <v>144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569545.4</v>
      </c>
      <c r="G130" s="4" t="s">
        <v>145</v>
      </c>
      <c r="H130" s="4" t="s">
        <v>146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147</v>
      </c>
      <c r="H131" s="4" t="s">
        <v>148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569545.4</v>
      </c>
      <c r="G132" s="4" t="s">
        <v>149</v>
      </c>
      <c r="H132" s="4" t="s">
        <v>150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151</v>
      </c>
      <c r="H133" s="4" t="s">
        <v>152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153</v>
      </c>
      <c r="H134" s="4" t="s">
        <v>154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155</v>
      </c>
      <c r="H135" s="4" t="s">
        <v>156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274</v>
      </c>
      <c r="G136" s="4" t="s">
        <v>157</v>
      </c>
      <c r="H136" s="4" t="s">
        <v>158</v>
      </c>
      <c r="I136" s="4"/>
      <c r="J136" s="4"/>
      <c r="K136" s="4">
        <v>203</v>
      </c>
      <c r="L136" s="4">
        <v>11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231</v>
      </c>
      <c r="F137" s="4">
        <f>ROUND(Source!BB124,O137)</f>
        <v>0</v>
      </c>
      <c r="G137" s="4" t="s">
        <v>159</v>
      </c>
      <c r="H137" s="4" t="s">
        <v>160</v>
      </c>
      <c r="I137" s="4"/>
      <c r="J137" s="4"/>
      <c r="K137" s="4">
        <v>231</v>
      </c>
      <c r="L137" s="4">
        <v>12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204</v>
      </c>
      <c r="F138" s="4">
        <f>ROUND(Source!R124,O138)</f>
        <v>160.24</v>
      </c>
      <c r="G138" s="4" t="s">
        <v>161</v>
      </c>
      <c r="H138" s="4" t="s">
        <v>162</v>
      </c>
      <c r="I138" s="4"/>
      <c r="J138" s="4"/>
      <c r="K138" s="4">
        <v>204</v>
      </c>
      <c r="L138" s="4">
        <v>13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205</v>
      </c>
      <c r="F139" s="4">
        <f>ROUND(Source!S124,O139)</f>
        <v>41817.22</v>
      </c>
      <c r="G139" s="4" t="s">
        <v>163</v>
      </c>
      <c r="H139" s="4" t="s">
        <v>164</v>
      </c>
      <c r="I139" s="4"/>
      <c r="J139" s="4"/>
      <c r="K139" s="4">
        <v>205</v>
      </c>
      <c r="L139" s="4">
        <v>14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232</v>
      </c>
      <c r="F140" s="4">
        <f>ROUND(Source!BC124,O140)</f>
        <v>0</v>
      </c>
      <c r="G140" s="4" t="s">
        <v>165</v>
      </c>
      <c r="H140" s="4" t="s">
        <v>166</v>
      </c>
      <c r="I140" s="4"/>
      <c r="J140" s="4"/>
      <c r="K140" s="4">
        <v>232</v>
      </c>
      <c r="L140" s="4">
        <v>15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214</v>
      </c>
      <c r="F141" s="4">
        <f>ROUND(Source!AS124,O141)</f>
        <v>556225.03</v>
      </c>
      <c r="G141" s="4" t="s">
        <v>167</v>
      </c>
      <c r="H141" s="4" t="s">
        <v>168</v>
      </c>
      <c r="I141" s="4"/>
      <c r="J141" s="4"/>
      <c r="K141" s="4">
        <v>214</v>
      </c>
      <c r="L141" s="4">
        <v>16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215</v>
      </c>
      <c r="F142" s="4">
        <f>ROUND(Source!AT124,O142)</f>
        <v>0</v>
      </c>
      <c r="G142" s="4" t="s">
        <v>169</v>
      </c>
      <c r="H142" s="4" t="s">
        <v>170</v>
      </c>
      <c r="I142" s="4"/>
      <c r="J142" s="4"/>
      <c r="K142" s="4">
        <v>215</v>
      </c>
      <c r="L142" s="4">
        <v>17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217</v>
      </c>
      <c r="F143" s="4">
        <f>ROUND(Source!AU124,O143)</f>
        <v>89038.55</v>
      </c>
      <c r="G143" s="4" t="s">
        <v>171</v>
      </c>
      <c r="H143" s="4" t="s">
        <v>172</v>
      </c>
      <c r="I143" s="4"/>
      <c r="J143" s="4"/>
      <c r="K143" s="4">
        <v>217</v>
      </c>
      <c r="L143" s="4">
        <v>18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230</v>
      </c>
      <c r="F144" s="4">
        <f>ROUND(Source!BA124,O144)</f>
        <v>0</v>
      </c>
      <c r="G144" s="4" t="s">
        <v>173</v>
      </c>
      <c r="H144" s="4" t="s">
        <v>174</v>
      </c>
      <c r="I144" s="4"/>
      <c r="J144" s="4"/>
      <c r="K144" s="4">
        <v>230</v>
      </c>
      <c r="L144" s="4">
        <v>19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206</v>
      </c>
      <c r="F145" s="4">
        <f>ROUND(Source!T124,O145)</f>
        <v>0</v>
      </c>
      <c r="G145" s="4" t="s">
        <v>175</v>
      </c>
      <c r="H145" s="4" t="s">
        <v>176</v>
      </c>
      <c r="I145" s="4"/>
      <c r="J145" s="4"/>
      <c r="K145" s="4">
        <v>206</v>
      </c>
      <c r="L145" s="4">
        <v>20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207</v>
      </c>
      <c r="F146" s="4">
        <f>Source!U124</f>
        <v>189.23992999999996</v>
      </c>
      <c r="G146" s="4" t="s">
        <v>177</v>
      </c>
      <c r="H146" s="4" t="s">
        <v>178</v>
      </c>
      <c r="I146" s="4"/>
      <c r="J146" s="4"/>
      <c r="K146" s="4">
        <v>207</v>
      </c>
      <c r="L146" s="4">
        <v>21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208</v>
      </c>
      <c r="F147" s="4">
        <f>Source!V124</f>
        <v>0</v>
      </c>
      <c r="G147" s="4" t="s">
        <v>179</v>
      </c>
      <c r="H147" s="4" t="s">
        <v>180</v>
      </c>
      <c r="I147" s="4"/>
      <c r="J147" s="4"/>
      <c r="K147" s="4">
        <v>208</v>
      </c>
      <c r="L147" s="4">
        <v>22</v>
      </c>
      <c r="M147" s="4">
        <v>3</v>
      </c>
      <c r="N147" s="4" t="s">
        <v>3</v>
      </c>
      <c r="O147" s="4">
        <v>-1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209</v>
      </c>
      <c r="F148" s="4">
        <f>ROUND(Source!W124,O148)</f>
        <v>0</v>
      </c>
      <c r="G148" s="4" t="s">
        <v>181</v>
      </c>
      <c r="H148" s="4" t="s">
        <v>182</v>
      </c>
      <c r="I148" s="4"/>
      <c r="J148" s="4"/>
      <c r="K148" s="4">
        <v>209</v>
      </c>
      <c r="L148" s="4">
        <v>23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210</v>
      </c>
      <c r="F149" s="4">
        <f>ROUND(Source!X124,O149)</f>
        <v>29272.05</v>
      </c>
      <c r="G149" s="4" t="s">
        <v>183</v>
      </c>
      <c r="H149" s="4" t="s">
        <v>184</v>
      </c>
      <c r="I149" s="4"/>
      <c r="J149" s="4"/>
      <c r="K149" s="4">
        <v>210</v>
      </c>
      <c r="L149" s="4">
        <v>24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211</v>
      </c>
      <c r="F150" s="4">
        <f>ROUND(Source!Y124,O150)</f>
        <v>4181.79</v>
      </c>
      <c r="G150" s="4" t="s">
        <v>185</v>
      </c>
      <c r="H150" s="4" t="s">
        <v>186</v>
      </c>
      <c r="I150" s="4"/>
      <c r="J150" s="4"/>
      <c r="K150" s="4">
        <v>211</v>
      </c>
      <c r="L150" s="4">
        <v>25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224</v>
      </c>
      <c r="F151" s="4">
        <f>ROUND(Source!AR124,O151)</f>
        <v>645263.57999999996</v>
      </c>
      <c r="G151" s="4" t="s">
        <v>187</v>
      </c>
      <c r="H151" s="4" t="s">
        <v>188</v>
      </c>
      <c r="I151" s="4"/>
      <c r="J151" s="4"/>
      <c r="K151" s="4">
        <v>224</v>
      </c>
      <c r="L151" s="4">
        <v>26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3" spans="1:206" x14ac:dyDescent="0.2">
      <c r="A153" s="2">
        <v>51</v>
      </c>
      <c r="B153" s="2">
        <f>B12</f>
        <v>188</v>
      </c>
      <c r="C153" s="2">
        <f>A12</f>
        <v>1</v>
      </c>
      <c r="D153" s="2">
        <f>ROW(A12)</f>
        <v>12</v>
      </c>
      <c r="E153" s="2"/>
      <c r="F153" s="2" t="str">
        <f>IF(F12&lt;&gt;"",F12,"")</f>
        <v>Новый объект</v>
      </c>
      <c r="G153" s="2" t="str">
        <f>IF(G12&lt;&gt;"",G12,"")</f>
        <v>установка спортивных тренажеров по адресу: ул. Нижегородская, д. 3</v>
      </c>
      <c r="H153" s="2">
        <v>0</v>
      </c>
      <c r="I153" s="2"/>
      <c r="J153" s="2"/>
      <c r="K153" s="2"/>
      <c r="L153" s="2"/>
      <c r="M153" s="2"/>
      <c r="N153" s="2"/>
      <c r="O153" s="2">
        <f t="shared" ref="O153:T153" si="107">ROUND(O124,2)</f>
        <v>611636.62</v>
      </c>
      <c r="P153" s="2">
        <f t="shared" si="107"/>
        <v>569545.4</v>
      </c>
      <c r="Q153" s="2">
        <f t="shared" si="107"/>
        <v>274</v>
      </c>
      <c r="R153" s="2">
        <f t="shared" si="107"/>
        <v>160.24</v>
      </c>
      <c r="S153" s="2">
        <f t="shared" si="107"/>
        <v>41817.22</v>
      </c>
      <c r="T153" s="2">
        <f t="shared" si="107"/>
        <v>0</v>
      </c>
      <c r="U153" s="2">
        <f>U124</f>
        <v>189.23992999999996</v>
      </c>
      <c r="V153" s="2">
        <f>V124</f>
        <v>0</v>
      </c>
      <c r="W153" s="2">
        <f>ROUND(W124,2)</f>
        <v>0</v>
      </c>
      <c r="X153" s="2">
        <f>ROUND(X124,2)</f>
        <v>29272.05</v>
      </c>
      <c r="Y153" s="2">
        <f>ROUND(Y124,2)</f>
        <v>4181.79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>
        <f t="shared" ref="AO153:BC153" si="108">ROUND(AO124,2)</f>
        <v>0</v>
      </c>
      <c r="AP153" s="2">
        <f t="shared" si="108"/>
        <v>0</v>
      </c>
      <c r="AQ153" s="2">
        <f t="shared" si="108"/>
        <v>0</v>
      </c>
      <c r="AR153" s="2">
        <f t="shared" si="108"/>
        <v>645263.57999999996</v>
      </c>
      <c r="AS153" s="2">
        <f t="shared" si="108"/>
        <v>556225.03</v>
      </c>
      <c r="AT153" s="2">
        <f t="shared" si="108"/>
        <v>0</v>
      </c>
      <c r="AU153" s="2">
        <f t="shared" si="108"/>
        <v>89038.55</v>
      </c>
      <c r="AV153" s="2">
        <f t="shared" si="108"/>
        <v>569545.4</v>
      </c>
      <c r="AW153" s="2">
        <f t="shared" si="108"/>
        <v>569545.4</v>
      </c>
      <c r="AX153" s="2">
        <f t="shared" si="108"/>
        <v>0</v>
      </c>
      <c r="AY153" s="2">
        <f t="shared" si="108"/>
        <v>569545.4</v>
      </c>
      <c r="AZ153" s="2">
        <f t="shared" si="108"/>
        <v>0</v>
      </c>
      <c r="BA153" s="2">
        <f t="shared" si="108"/>
        <v>0</v>
      </c>
      <c r="BB153" s="2">
        <f t="shared" si="108"/>
        <v>0</v>
      </c>
      <c r="BC153" s="2">
        <f t="shared" si="108"/>
        <v>0</v>
      </c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>
        <v>0</v>
      </c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201</v>
      </c>
      <c r="F155" s="4">
        <f>ROUND(Source!O153,O155)</f>
        <v>611636.62</v>
      </c>
      <c r="G155" s="4" t="s">
        <v>137</v>
      </c>
      <c r="H155" s="4" t="s">
        <v>138</v>
      </c>
      <c r="I155" s="4"/>
      <c r="J155" s="4"/>
      <c r="K155" s="4">
        <v>201</v>
      </c>
      <c r="L155" s="4">
        <v>1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202</v>
      </c>
      <c r="F156" s="4">
        <f>ROUND(Source!P153,O156)</f>
        <v>569545.4</v>
      </c>
      <c r="G156" s="4" t="s">
        <v>139</v>
      </c>
      <c r="H156" s="4" t="s">
        <v>140</v>
      </c>
      <c r="I156" s="4"/>
      <c r="J156" s="4"/>
      <c r="K156" s="4">
        <v>202</v>
      </c>
      <c r="L156" s="4">
        <v>2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 x14ac:dyDescent="0.2">
      <c r="A157" s="4">
        <v>50</v>
      </c>
      <c r="B157" s="4">
        <v>0</v>
      </c>
      <c r="C157" s="4">
        <v>0</v>
      </c>
      <c r="D157" s="4">
        <v>1</v>
      </c>
      <c r="E157" s="4">
        <v>222</v>
      </c>
      <c r="F157" s="4">
        <f>ROUND(Source!AO153,O157)</f>
        <v>0</v>
      </c>
      <c r="G157" s="4" t="s">
        <v>141</v>
      </c>
      <c r="H157" s="4" t="s">
        <v>142</v>
      </c>
      <c r="I157" s="4"/>
      <c r="J157" s="4"/>
      <c r="K157" s="4">
        <v>222</v>
      </c>
      <c r="L157" s="4">
        <v>3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06" x14ac:dyDescent="0.2">
      <c r="A158" s="4">
        <v>50</v>
      </c>
      <c r="B158" s="4">
        <v>0</v>
      </c>
      <c r="C158" s="4">
        <v>0</v>
      </c>
      <c r="D158" s="4">
        <v>1</v>
      </c>
      <c r="E158" s="4">
        <v>225</v>
      </c>
      <c r="F158" s="4">
        <f>ROUND(Source!AV153,O158)</f>
        <v>569545.4</v>
      </c>
      <c r="G158" s="4" t="s">
        <v>143</v>
      </c>
      <c r="H158" s="4" t="s">
        <v>144</v>
      </c>
      <c r="I158" s="4"/>
      <c r="J158" s="4"/>
      <c r="K158" s="4">
        <v>225</v>
      </c>
      <c r="L158" s="4">
        <v>4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06" x14ac:dyDescent="0.2">
      <c r="A159" s="4">
        <v>50</v>
      </c>
      <c r="B159" s="4">
        <v>0</v>
      </c>
      <c r="C159" s="4">
        <v>0</v>
      </c>
      <c r="D159" s="4">
        <v>1</v>
      </c>
      <c r="E159" s="4">
        <v>226</v>
      </c>
      <c r="F159" s="4">
        <f>ROUND(Source!AW153,O159)</f>
        <v>569545.4</v>
      </c>
      <c r="G159" s="4" t="s">
        <v>145</v>
      </c>
      <c r="H159" s="4" t="s">
        <v>146</v>
      </c>
      <c r="I159" s="4"/>
      <c r="J159" s="4"/>
      <c r="K159" s="4">
        <v>226</v>
      </c>
      <c r="L159" s="4">
        <v>5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06" x14ac:dyDescent="0.2">
      <c r="A160" s="4">
        <v>50</v>
      </c>
      <c r="B160" s="4">
        <v>0</v>
      </c>
      <c r="C160" s="4">
        <v>0</v>
      </c>
      <c r="D160" s="4">
        <v>1</v>
      </c>
      <c r="E160" s="4">
        <v>227</v>
      </c>
      <c r="F160" s="4">
        <f>ROUND(Source!AX153,O160)</f>
        <v>0</v>
      </c>
      <c r="G160" s="4" t="s">
        <v>147</v>
      </c>
      <c r="H160" s="4" t="s">
        <v>148</v>
      </c>
      <c r="I160" s="4"/>
      <c r="J160" s="4"/>
      <c r="K160" s="4">
        <v>227</v>
      </c>
      <c r="L160" s="4">
        <v>6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228</v>
      </c>
      <c r="F161" s="4">
        <f>ROUND(Source!AY153,O161)</f>
        <v>569545.4</v>
      </c>
      <c r="G161" s="4" t="s">
        <v>149</v>
      </c>
      <c r="H161" s="4" t="s">
        <v>150</v>
      </c>
      <c r="I161" s="4"/>
      <c r="J161" s="4"/>
      <c r="K161" s="4">
        <v>228</v>
      </c>
      <c r="L161" s="4">
        <v>7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216</v>
      </c>
      <c r="F162" s="4">
        <f>ROUND(Source!AP153,O162)</f>
        <v>0</v>
      </c>
      <c r="G162" s="4" t="s">
        <v>151</v>
      </c>
      <c r="H162" s="4" t="s">
        <v>152</v>
      </c>
      <c r="I162" s="4"/>
      <c r="J162" s="4"/>
      <c r="K162" s="4">
        <v>216</v>
      </c>
      <c r="L162" s="4">
        <v>8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223</v>
      </c>
      <c r="F163" s="4">
        <f>ROUND(Source!AQ153,O163)</f>
        <v>0</v>
      </c>
      <c r="G163" s="4" t="s">
        <v>153</v>
      </c>
      <c r="H163" s="4" t="s">
        <v>154</v>
      </c>
      <c r="I163" s="4"/>
      <c r="J163" s="4"/>
      <c r="K163" s="4">
        <v>223</v>
      </c>
      <c r="L163" s="4">
        <v>9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229</v>
      </c>
      <c r="F164" s="4">
        <f>ROUND(Source!AZ153,O164)</f>
        <v>0</v>
      </c>
      <c r="G164" s="4" t="s">
        <v>155</v>
      </c>
      <c r="H164" s="4" t="s">
        <v>156</v>
      </c>
      <c r="I164" s="4"/>
      <c r="J164" s="4"/>
      <c r="K164" s="4">
        <v>229</v>
      </c>
      <c r="L164" s="4">
        <v>10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203</v>
      </c>
      <c r="F165" s="4">
        <f>ROUND(Source!Q153,O165)</f>
        <v>274</v>
      </c>
      <c r="G165" s="4" t="s">
        <v>157</v>
      </c>
      <c r="H165" s="4" t="s">
        <v>158</v>
      </c>
      <c r="I165" s="4"/>
      <c r="J165" s="4"/>
      <c r="K165" s="4">
        <v>203</v>
      </c>
      <c r="L165" s="4">
        <v>11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231</v>
      </c>
      <c r="F166" s="4">
        <f>ROUND(Source!BB153,O166)</f>
        <v>0</v>
      </c>
      <c r="G166" s="4" t="s">
        <v>159</v>
      </c>
      <c r="H166" s="4" t="s">
        <v>160</v>
      </c>
      <c r="I166" s="4"/>
      <c r="J166" s="4"/>
      <c r="K166" s="4">
        <v>231</v>
      </c>
      <c r="L166" s="4">
        <v>12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204</v>
      </c>
      <c r="F167" s="4">
        <f>ROUND(Source!R153,O167)</f>
        <v>160.24</v>
      </c>
      <c r="G167" s="4" t="s">
        <v>161</v>
      </c>
      <c r="H167" s="4" t="s">
        <v>162</v>
      </c>
      <c r="I167" s="4"/>
      <c r="J167" s="4"/>
      <c r="K167" s="4">
        <v>204</v>
      </c>
      <c r="L167" s="4">
        <v>13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205</v>
      </c>
      <c r="F168" s="4">
        <f>ROUND(Source!S153,O168)</f>
        <v>41817.22</v>
      </c>
      <c r="G168" s="4" t="s">
        <v>163</v>
      </c>
      <c r="H168" s="4" t="s">
        <v>164</v>
      </c>
      <c r="I168" s="4"/>
      <c r="J168" s="4"/>
      <c r="K168" s="4">
        <v>205</v>
      </c>
      <c r="L168" s="4">
        <v>14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232</v>
      </c>
      <c r="F169" s="4">
        <f>ROUND(Source!BC153,O169)</f>
        <v>0</v>
      </c>
      <c r="G169" s="4" t="s">
        <v>165</v>
      </c>
      <c r="H169" s="4" t="s">
        <v>166</v>
      </c>
      <c r="I169" s="4"/>
      <c r="J169" s="4"/>
      <c r="K169" s="4">
        <v>232</v>
      </c>
      <c r="L169" s="4">
        <v>15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214</v>
      </c>
      <c r="F170" s="4">
        <f>ROUND(Source!AS153,O170)</f>
        <v>556225.03</v>
      </c>
      <c r="G170" s="4" t="s">
        <v>167</v>
      </c>
      <c r="H170" s="4" t="s">
        <v>168</v>
      </c>
      <c r="I170" s="4"/>
      <c r="J170" s="4"/>
      <c r="K170" s="4">
        <v>214</v>
      </c>
      <c r="L170" s="4">
        <v>16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215</v>
      </c>
      <c r="F171" s="4">
        <f>ROUND(Source!AT153,O171)</f>
        <v>0</v>
      </c>
      <c r="G171" s="4" t="s">
        <v>169</v>
      </c>
      <c r="H171" s="4" t="s">
        <v>170</v>
      </c>
      <c r="I171" s="4"/>
      <c r="J171" s="4"/>
      <c r="K171" s="4">
        <v>215</v>
      </c>
      <c r="L171" s="4">
        <v>17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217</v>
      </c>
      <c r="F172" s="4">
        <f>ROUND(Source!AU153,O172)</f>
        <v>89038.55</v>
      </c>
      <c r="G172" s="4" t="s">
        <v>171</v>
      </c>
      <c r="H172" s="4" t="s">
        <v>172</v>
      </c>
      <c r="I172" s="4"/>
      <c r="J172" s="4"/>
      <c r="K172" s="4">
        <v>217</v>
      </c>
      <c r="L172" s="4">
        <v>18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230</v>
      </c>
      <c r="F173" s="4">
        <f>ROUND(Source!BA153,O173)</f>
        <v>0</v>
      </c>
      <c r="G173" s="4" t="s">
        <v>173</v>
      </c>
      <c r="H173" s="4" t="s">
        <v>174</v>
      </c>
      <c r="I173" s="4"/>
      <c r="J173" s="4"/>
      <c r="K173" s="4">
        <v>230</v>
      </c>
      <c r="L173" s="4">
        <v>19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206</v>
      </c>
      <c r="F174" s="4">
        <f>ROUND(Source!T153,O174)</f>
        <v>0</v>
      </c>
      <c r="G174" s="4" t="s">
        <v>175</v>
      </c>
      <c r="H174" s="4" t="s">
        <v>176</v>
      </c>
      <c r="I174" s="4"/>
      <c r="J174" s="4"/>
      <c r="K174" s="4">
        <v>206</v>
      </c>
      <c r="L174" s="4">
        <v>20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207</v>
      </c>
      <c r="F175" s="4">
        <f>Source!U153</f>
        <v>189.23992999999996</v>
      </c>
      <c r="G175" s="4" t="s">
        <v>177</v>
      </c>
      <c r="H175" s="4" t="s">
        <v>178</v>
      </c>
      <c r="I175" s="4"/>
      <c r="J175" s="4"/>
      <c r="K175" s="4">
        <v>207</v>
      </c>
      <c r="L175" s="4">
        <v>21</v>
      </c>
      <c r="M175" s="4">
        <v>3</v>
      </c>
      <c r="N175" s="4" t="s">
        <v>3</v>
      </c>
      <c r="O175" s="4">
        <v>-1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208</v>
      </c>
      <c r="F176" s="4">
        <f>Source!V153</f>
        <v>0</v>
      </c>
      <c r="G176" s="4" t="s">
        <v>179</v>
      </c>
      <c r="H176" s="4" t="s">
        <v>180</v>
      </c>
      <c r="I176" s="4"/>
      <c r="J176" s="4"/>
      <c r="K176" s="4">
        <v>208</v>
      </c>
      <c r="L176" s="4">
        <v>22</v>
      </c>
      <c r="M176" s="4">
        <v>3</v>
      </c>
      <c r="N176" s="4" t="s">
        <v>3</v>
      </c>
      <c r="O176" s="4">
        <v>-1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0</v>
      </c>
      <c r="C177" s="4">
        <v>0</v>
      </c>
      <c r="D177" s="4">
        <v>1</v>
      </c>
      <c r="E177" s="4">
        <v>209</v>
      </c>
      <c r="F177" s="4">
        <f>ROUND(Source!W153,O177)</f>
        <v>0</v>
      </c>
      <c r="G177" s="4" t="s">
        <v>181</v>
      </c>
      <c r="H177" s="4" t="s">
        <v>182</v>
      </c>
      <c r="I177" s="4"/>
      <c r="J177" s="4"/>
      <c r="K177" s="4">
        <v>209</v>
      </c>
      <c r="L177" s="4">
        <v>23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0</v>
      </c>
      <c r="C178" s="4">
        <v>0</v>
      </c>
      <c r="D178" s="4">
        <v>1</v>
      </c>
      <c r="E178" s="4">
        <v>210</v>
      </c>
      <c r="F178" s="4">
        <f>ROUND(Source!X153,O178)</f>
        <v>29272.05</v>
      </c>
      <c r="G178" s="4" t="s">
        <v>183</v>
      </c>
      <c r="H178" s="4" t="s">
        <v>184</v>
      </c>
      <c r="I178" s="4"/>
      <c r="J178" s="4"/>
      <c r="K178" s="4">
        <v>210</v>
      </c>
      <c r="L178" s="4">
        <v>24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211</v>
      </c>
      <c r="F179" s="4">
        <f>ROUND(Source!Y153,O179)</f>
        <v>4181.79</v>
      </c>
      <c r="G179" s="4" t="s">
        <v>185</v>
      </c>
      <c r="H179" s="4" t="s">
        <v>186</v>
      </c>
      <c r="I179" s="4"/>
      <c r="J179" s="4"/>
      <c r="K179" s="4">
        <v>211</v>
      </c>
      <c r="L179" s="4">
        <v>25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0</v>
      </c>
      <c r="C180" s="4">
        <v>0</v>
      </c>
      <c r="D180" s="4">
        <v>1</v>
      </c>
      <c r="E180" s="4">
        <v>224</v>
      </c>
      <c r="F180" s="4">
        <f>ROUND(Source!AR153,O180)</f>
        <v>645263.57999999996</v>
      </c>
      <c r="G180" s="4" t="s">
        <v>187</v>
      </c>
      <c r="H180" s="4" t="s">
        <v>188</v>
      </c>
      <c r="I180" s="4"/>
      <c r="J180" s="4"/>
      <c r="K180" s="4">
        <v>224</v>
      </c>
      <c r="L180" s="4">
        <v>26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1</v>
      </c>
      <c r="C181" s="4">
        <v>0</v>
      </c>
      <c r="D181" s="4">
        <v>2</v>
      </c>
      <c r="E181" s="4">
        <v>0</v>
      </c>
      <c r="F181" s="4">
        <f>ROUND(F180,O181)</f>
        <v>645263.57999999996</v>
      </c>
      <c r="G181" s="4" t="s">
        <v>18</v>
      </c>
      <c r="H181" s="4" t="s">
        <v>189</v>
      </c>
      <c r="I181" s="4"/>
      <c r="J181" s="4"/>
      <c r="K181" s="4">
        <v>212</v>
      </c>
      <c r="L181" s="4">
        <v>27</v>
      </c>
      <c r="M181" s="4">
        <v>0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1</v>
      </c>
      <c r="C182" s="4">
        <v>0</v>
      </c>
      <c r="D182" s="4">
        <v>2</v>
      </c>
      <c r="E182" s="4">
        <v>0</v>
      </c>
      <c r="F182" s="4">
        <f>ROUND(F181*0.2,O182)</f>
        <v>129052.72</v>
      </c>
      <c r="G182" s="4" t="s">
        <v>26</v>
      </c>
      <c r="H182" s="4" t="s">
        <v>190</v>
      </c>
      <c r="I182" s="4"/>
      <c r="J182" s="4"/>
      <c r="K182" s="4">
        <v>212</v>
      </c>
      <c r="L182" s="4">
        <v>28</v>
      </c>
      <c r="M182" s="4">
        <v>0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1</v>
      </c>
      <c r="C183" s="4">
        <v>0</v>
      </c>
      <c r="D183" s="4">
        <v>2</v>
      </c>
      <c r="E183" s="4">
        <v>0</v>
      </c>
      <c r="F183" s="4">
        <f>ROUND(F181+F182,O183)</f>
        <v>774316.3</v>
      </c>
      <c r="G183" s="4" t="s">
        <v>31</v>
      </c>
      <c r="H183" s="4" t="s">
        <v>187</v>
      </c>
      <c r="I183" s="4"/>
      <c r="J183" s="4"/>
      <c r="K183" s="4">
        <v>212</v>
      </c>
      <c r="L183" s="4">
        <v>29</v>
      </c>
      <c r="M183" s="4">
        <v>0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6" spans="1:23" x14ac:dyDescent="0.2">
      <c r="A186">
        <v>-1</v>
      </c>
    </row>
    <row r="188" spans="1:23" x14ac:dyDescent="0.2">
      <c r="A188" s="3">
        <v>75</v>
      </c>
      <c r="B188" s="3" t="s">
        <v>191</v>
      </c>
      <c r="C188" s="3">
        <v>2020</v>
      </c>
      <c r="D188" s="3">
        <v>0</v>
      </c>
      <c r="E188" s="3">
        <v>10</v>
      </c>
      <c r="F188" s="3">
        <v>0</v>
      </c>
      <c r="G188" s="3">
        <v>0</v>
      </c>
      <c r="H188" s="3">
        <v>1</v>
      </c>
      <c r="I188" s="3">
        <v>0</v>
      </c>
      <c r="J188" s="3">
        <v>1</v>
      </c>
      <c r="K188" s="3">
        <v>78</v>
      </c>
      <c r="L188" s="3">
        <v>30</v>
      </c>
      <c r="M188" s="3">
        <v>0</v>
      </c>
      <c r="N188" s="3">
        <v>42278323</v>
      </c>
      <c r="O188" s="3">
        <v>1</v>
      </c>
    </row>
    <row r="192" spans="1:23" x14ac:dyDescent="0.2">
      <c r="A192">
        <v>65</v>
      </c>
      <c r="C192">
        <v>1</v>
      </c>
      <c r="D192">
        <v>0</v>
      </c>
      <c r="E192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33353</v>
      </c>
      <c r="M1">
        <v>10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1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10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42278323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5">
        <v>3</v>
      </c>
      <c r="B16" s="5">
        <v>1</v>
      </c>
      <c r="C16" s="5" t="s">
        <v>15</v>
      </c>
      <c r="D16" s="5" t="s">
        <v>15</v>
      </c>
      <c r="E16" s="6">
        <f>(Source!F141)/1000</f>
        <v>556.22503000000006</v>
      </c>
      <c r="F16" s="6">
        <f>(Source!F142)/1000</f>
        <v>0</v>
      </c>
      <c r="G16" s="6">
        <f>(Source!F133)/1000</f>
        <v>0</v>
      </c>
      <c r="H16" s="6">
        <f>(Source!F143)/1000+(Source!F144)/1000</f>
        <v>89.038550000000001</v>
      </c>
      <c r="I16" s="6">
        <f>E16+F16+G16+H16</f>
        <v>645.26358000000005</v>
      </c>
      <c r="J16" s="6">
        <f>(Source!F139)/1000</f>
        <v>41.817219999999999</v>
      </c>
      <c r="AI16" s="5">
        <v>0</v>
      </c>
      <c r="AJ16" s="5">
        <v>0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532458.86</v>
      </c>
      <c r="AU16" s="6">
        <v>490297.23</v>
      </c>
      <c r="AV16" s="6">
        <v>0</v>
      </c>
      <c r="AW16" s="6">
        <v>0</v>
      </c>
      <c r="AX16" s="6">
        <v>0</v>
      </c>
      <c r="AY16" s="6">
        <v>274</v>
      </c>
      <c r="AZ16" s="6">
        <v>160.24</v>
      </c>
      <c r="BA16" s="6">
        <v>41887.629999999997</v>
      </c>
      <c r="BB16" s="6">
        <v>476961.86</v>
      </c>
      <c r="BC16" s="6">
        <v>0</v>
      </c>
      <c r="BD16" s="6">
        <v>89180.3</v>
      </c>
      <c r="BE16" s="6">
        <v>0</v>
      </c>
      <c r="BF16" s="6">
        <v>189.51352999999997</v>
      </c>
      <c r="BG16" s="6">
        <v>0</v>
      </c>
      <c r="BH16" s="6">
        <v>0</v>
      </c>
      <c r="BI16" s="6">
        <v>29321.34</v>
      </c>
      <c r="BJ16" s="6">
        <v>4188.84</v>
      </c>
      <c r="BK16" s="6">
        <v>566142.16</v>
      </c>
    </row>
    <row r="18" spans="1:19" x14ac:dyDescent="0.2">
      <c r="A18">
        <v>51</v>
      </c>
      <c r="E18" s="7">
        <f>SUMIF(A16:A17,3,E16:E17)</f>
        <v>556.22503000000006</v>
      </c>
      <c r="F18" s="7">
        <f>SUMIF(A16:A17,3,F16:F17)</f>
        <v>0</v>
      </c>
      <c r="G18" s="7">
        <f>SUMIF(A16:A17,3,G16:G17)</f>
        <v>0</v>
      </c>
      <c r="H18" s="7">
        <f>SUMIF(A16:A17,3,H16:H17)</f>
        <v>89.038550000000001</v>
      </c>
      <c r="I18" s="7">
        <f>SUMIF(A16:A17,3,I16:I17)</f>
        <v>645.26358000000005</v>
      </c>
      <c r="J18" s="7">
        <f>SUMIF(A16:A17,3,J16:J17)</f>
        <v>41.817219999999999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532458.86</v>
      </c>
      <c r="G20" s="4" t="s">
        <v>137</v>
      </c>
      <c r="H20" s="4" t="s">
        <v>138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490297.23</v>
      </c>
      <c r="G21" s="4" t="s">
        <v>139</v>
      </c>
      <c r="H21" s="4" t="s">
        <v>140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141</v>
      </c>
      <c r="H22" s="4" t="s">
        <v>142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490297.23</v>
      </c>
      <c r="G23" s="4" t="s">
        <v>143</v>
      </c>
      <c r="H23" s="4" t="s">
        <v>144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490297.23</v>
      </c>
      <c r="G24" s="4" t="s">
        <v>145</v>
      </c>
      <c r="H24" s="4" t="s">
        <v>146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147</v>
      </c>
      <c r="H25" s="4" t="s">
        <v>148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490297.23</v>
      </c>
      <c r="G26" s="4" t="s">
        <v>149</v>
      </c>
      <c r="H26" s="4" t="s">
        <v>150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151</v>
      </c>
      <c r="H27" s="4" t="s">
        <v>152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153</v>
      </c>
      <c r="H28" s="4" t="s">
        <v>154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155</v>
      </c>
      <c r="H29" s="4" t="s">
        <v>156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274</v>
      </c>
      <c r="G30" s="4" t="s">
        <v>157</v>
      </c>
      <c r="H30" s="4" t="s">
        <v>158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159</v>
      </c>
      <c r="H31" s="4" t="s">
        <v>160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160.24</v>
      </c>
      <c r="G32" s="4" t="s">
        <v>161</v>
      </c>
      <c r="H32" s="4" t="s">
        <v>162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41887.629999999997</v>
      </c>
      <c r="G33" s="4" t="s">
        <v>163</v>
      </c>
      <c r="H33" s="4" t="s">
        <v>164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165</v>
      </c>
      <c r="H34" s="4" t="s">
        <v>166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476961.86</v>
      </c>
      <c r="G35" s="4" t="s">
        <v>167</v>
      </c>
      <c r="H35" s="4" t="s">
        <v>168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169</v>
      </c>
      <c r="H36" s="4" t="s">
        <v>170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89180.3</v>
      </c>
      <c r="G37" s="4" t="s">
        <v>171</v>
      </c>
      <c r="H37" s="4" t="s">
        <v>172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173</v>
      </c>
      <c r="H38" s="4" t="s">
        <v>174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175</v>
      </c>
      <c r="H39" s="4" t="s">
        <v>176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189.51352999999997</v>
      </c>
      <c r="G40" s="4" t="s">
        <v>177</v>
      </c>
      <c r="H40" s="4" t="s">
        <v>178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179</v>
      </c>
      <c r="H41" s="4" t="s">
        <v>180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181</v>
      </c>
      <c r="H42" s="4" t="s">
        <v>182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29321.34</v>
      </c>
      <c r="G43" s="4" t="s">
        <v>183</v>
      </c>
      <c r="H43" s="4" t="s">
        <v>184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4188.84</v>
      </c>
      <c r="G44" s="4" t="s">
        <v>185</v>
      </c>
      <c r="H44" s="4" t="s">
        <v>186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566142.16</v>
      </c>
      <c r="G45" s="4" t="s">
        <v>187</v>
      </c>
      <c r="H45" s="4" t="s">
        <v>188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566142.16</v>
      </c>
      <c r="G46" s="4" t="s">
        <v>18</v>
      </c>
      <c r="H46" s="4" t="s">
        <v>189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113228.43</v>
      </c>
      <c r="G47" s="4" t="s">
        <v>26</v>
      </c>
      <c r="H47" s="4" t="s">
        <v>190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679370.59</v>
      </c>
      <c r="G48" s="4" t="s">
        <v>31</v>
      </c>
      <c r="H48" s="4" t="s">
        <v>187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15" x14ac:dyDescent="0.2">
      <c r="A50">
        <v>-1</v>
      </c>
    </row>
    <row r="53" spans="1:15" x14ac:dyDescent="0.2">
      <c r="A53" s="3">
        <v>75</v>
      </c>
      <c r="B53" s="3" t="s">
        <v>191</v>
      </c>
      <c r="C53" s="3">
        <v>2020</v>
      </c>
      <c r="D53" s="3">
        <v>0</v>
      </c>
      <c r="E53" s="3">
        <v>10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  <c r="K53" s="3">
        <v>78</v>
      </c>
      <c r="L53" s="3">
        <v>30</v>
      </c>
      <c r="M53" s="3">
        <v>0</v>
      </c>
      <c r="N53" s="3">
        <v>42278323</v>
      </c>
      <c r="O53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ROW(Source!A29)</f>
        <v>29</v>
      </c>
      <c r="B1">
        <v>42278323</v>
      </c>
      <c r="C1">
        <v>42367196</v>
      </c>
      <c r="D1">
        <v>40662784</v>
      </c>
      <c r="E1">
        <v>27</v>
      </c>
      <c r="F1">
        <v>1</v>
      </c>
      <c r="G1">
        <v>27</v>
      </c>
      <c r="H1">
        <v>1</v>
      </c>
      <c r="I1" t="s">
        <v>193</v>
      </c>
      <c r="J1" t="s">
        <v>3</v>
      </c>
      <c r="K1" t="s">
        <v>194</v>
      </c>
      <c r="L1">
        <v>1191</v>
      </c>
      <c r="N1">
        <v>1013</v>
      </c>
      <c r="O1" t="s">
        <v>195</v>
      </c>
      <c r="P1" t="s">
        <v>195</v>
      </c>
      <c r="Q1">
        <v>1</v>
      </c>
      <c r="W1">
        <v>0</v>
      </c>
      <c r="X1">
        <v>476480486</v>
      </c>
      <c r="Y1">
        <v>0.9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0.9</v>
      </c>
      <c r="AU1" t="s">
        <v>3</v>
      </c>
      <c r="AV1">
        <v>1</v>
      </c>
      <c r="AW1">
        <v>2</v>
      </c>
      <c r="AX1">
        <v>42367197</v>
      </c>
      <c r="AY1">
        <v>1</v>
      </c>
      <c r="AZ1">
        <v>0</v>
      </c>
      <c r="BA1">
        <v>2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Y1*Source!I29</f>
        <v>4.41E-2</v>
      </c>
      <c r="CY1">
        <f>AD1</f>
        <v>0</v>
      </c>
      <c r="CZ1">
        <f>AH1</f>
        <v>0</v>
      </c>
      <c r="DA1">
        <f>AL1</f>
        <v>1</v>
      </c>
      <c r="DB1">
        <f t="shared" ref="DB1:DB32" si="0">ROUND(ROUND(AT1*CZ1,2),6)</f>
        <v>0</v>
      </c>
      <c r="DC1">
        <f t="shared" ref="DC1:DC32" si="1">ROUND(ROUND(AT1*AG1,2),6)</f>
        <v>0</v>
      </c>
    </row>
    <row r="2" spans="1:107" x14ac:dyDescent="0.2">
      <c r="A2">
        <f>ROW(Source!A29)</f>
        <v>29</v>
      </c>
      <c r="B2">
        <v>42278323</v>
      </c>
      <c r="C2">
        <v>42367196</v>
      </c>
      <c r="D2">
        <v>40679631</v>
      </c>
      <c r="E2">
        <v>1</v>
      </c>
      <c r="F2">
        <v>1</v>
      </c>
      <c r="G2">
        <v>27</v>
      </c>
      <c r="H2">
        <v>2</v>
      </c>
      <c r="I2" t="s">
        <v>196</v>
      </c>
      <c r="J2" t="s">
        <v>197</v>
      </c>
      <c r="K2" t="s">
        <v>198</v>
      </c>
      <c r="L2">
        <v>1368</v>
      </c>
      <c r="N2">
        <v>1011</v>
      </c>
      <c r="O2" t="s">
        <v>199</v>
      </c>
      <c r="P2" t="s">
        <v>199</v>
      </c>
      <c r="Q2">
        <v>1</v>
      </c>
      <c r="W2">
        <v>0</v>
      </c>
      <c r="X2">
        <v>-1226344697</v>
      </c>
      <c r="Y2">
        <v>0.22</v>
      </c>
      <c r="AA2">
        <v>0</v>
      </c>
      <c r="AB2">
        <v>470.71</v>
      </c>
      <c r="AC2">
        <v>359.8</v>
      </c>
      <c r="AD2">
        <v>0</v>
      </c>
      <c r="AE2">
        <v>0</v>
      </c>
      <c r="AF2">
        <v>470.71</v>
      </c>
      <c r="AG2">
        <v>359.8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0.22</v>
      </c>
      <c r="AU2" t="s">
        <v>3</v>
      </c>
      <c r="AV2">
        <v>0</v>
      </c>
      <c r="AW2">
        <v>2</v>
      </c>
      <c r="AX2">
        <v>42367198</v>
      </c>
      <c r="AY2">
        <v>1</v>
      </c>
      <c r="AZ2">
        <v>0</v>
      </c>
      <c r="BA2">
        <v>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1.078E-2</v>
      </c>
      <c r="CY2">
        <f>AB2</f>
        <v>470.71</v>
      </c>
      <c r="CZ2">
        <f>AF2</f>
        <v>470.71</v>
      </c>
      <c r="DA2">
        <f>AJ2</f>
        <v>1</v>
      </c>
      <c r="DB2">
        <f t="shared" si="0"/>
        <v>103.56</v>
      </c>
      <c r="DC2">
        <f t="shared" si="1"/>
        <v>79.16</v>
      </c>
    </row>
    <row r="3" spans="1:107" x14ac:dyDescent="0.2">
      <c r="A3">
        <f>ROW(Source!A29)</f>
        <v>29</v>
      </c>
      <c r="B3">
        <v>42278323</v>
      </c>
      <c r="C3">
        <v>42367196</v>
      </c>
      <c r="D3">
        <v>40680099</v>
      </c>
      <c r="E3">
        <v>1</v>
      </c>
      <c r="F3">
        <v>1</v>
      </c>
      <c r="G3">
        <v>27</v>
      </c>
      <c r="H3">
        <v>2</v>
      </c>
      <c r="I3" t="s">
        <v>200</v>
      </c>
      <c r="J3" t="s">
        <v>201</v>
      </c>
      <c r="K3" t="s">
        <v>202</v>
      </c>
      <c r="L3">
        <v>1368</v>
      </c>
      <c r="N3">
        <v>1011</v>
      </c>
      <c r="O3" t="s">
        <v>199</v>
      </c>
      <c r="P3" t="s">
        <v>199</v>
      </c>
      <c r="Q3">
        <v>1</v>
      </c>
      <c r="W3">
        <v>0</v>
      </c>
      <c r="X3">
        <v>-1383996176</v>
      </c>
      <c r="Y3">
        <v>0.45</v>
      </c>
      <c r="AA3">
        <v>0</v>
      </c>
      <c r="AB3">
        <v>3.75</v>
      </c>
      <c r="AC3">
        <v>2.56</v>
      </c>
      <c r="AD3">
        <v>0</v>
      </c>
      <c r="AE3">
        <v>0</v>
      </c>
      <c r="AF3">
        <v>3.75</v>
      </c>
      <c r="AG3">
        <v>2.56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0.45</v>
      </c>
      <c r="AU3" t="s">
        <v>3</v>
      </c>
      <c r="AV3">
        <v>0</v>
      </c>
      <c r="AW3">
        <v>2</v>
      </c>
      <c r="AX3">
        <v>42367199</v>
      </c>
      <c r="AY3">
        <v>1</v>
      </c>
      <c r="AZ3">
        <v>0</v>
      </c>
      <c r="BA3">
        <v>4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2.205E-2</v>
      </c>
      <c r="CY3">
        <f>AB3</f>
        <v>3.75</v>
      </c>
      <c r="CZ3">
        <f>AF3</f>
        <v>3.75</v>
      </c>
      <c r="DA3">
        <f>AJ3</f>
        <v>1</v>
      </c>
      <c r="DB3">
        <f t="shared" si="0"/>
        <v>1.69</v>
      </c>
      <c r="DC3">
        <f t="shared" si="1"/>
        <v>1.1499999999999999</v>
      </c>
    </row>
    <row r="4" spans="1:107" x14ac:dyDescent="0.2">
      <c r="A4">
        <f>ROW(Source!A29)</f>
        <v>29</v>
      </c>
      <c r="B4">
        <v>42278323</v>
      </c>
      <c r="C4">
        <v>42367196</v>
      </c>
      <c r="D4">
        <v>40679388</v>
      </c>
      <c r="E4">
        <v>1</v>
      </c>
      <c r="F4">
        <v>1</v>
      </c>
      <c r="G4">
        <v>27</v>
      </c>
      <c r="H4">
        <v>2</v>
      </c>
      <c r="I4" t="s">
        <v>203</v>
      </c>
      <c r="J4" t="s">
        <v>204</v>
      </c>
      <c r="K4" t="s">
        <v>205</v>
      </c>
      <c r="L4">
        <v>1368</v>
      </c>
      <c r="N4">
        <v>1011</v>
      </c>
      <c r="O4" t="s">
        <v>199</v>
      </c>
      <c r="P4" t="s">
        <v>199</v>
      </c>
      <c r="Q4">
        <v>1</v>
      </c>
      <c r="W4">
        <v>0</v>
      </c>
      <c r="X4">
        <v>-61066883</v>
      </c>
      <c r="Y4">
        <v>0.09</v>
      </c>
      <c r="AA4">
        <v>0</v>
      </c>
      <c r="AB4">
        <v>1171.51</v>
      </c>
      <c r="AC4">
        <v>487.24</v>
      </c>
      <c r="AD4">
        <v>0</v>
      </c>
      <c r="AE4">
        <v>0</v>
      </c>
      <c r="AF4">
        <v>1171.51</v>
      </c>
      <c r="AG4">
        <v>487.24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0.09</v>
      </c>
      <c r="AU4" t="s">
        <v>3</v>
      </c>
      <c r="AV4">
        <v>0</v>
      </c>
      <c r="AW4">
        <v>2</v>
      </c>
      <c r="AX4">
        <v>42367200</v>
      </c>
      <c r="AY4">
        <v>1</v>
      </c>
      <c r="AZ4">
        <v>0</v>
      </c>
      <c r="BA4">
        <v>5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4.4099999999999999E-3</v>
      </c>
      <c r="CY4">
        <f>AB4</f>
        <v>1171.51</v>
      </c>
      <c r="CZ4">
        <f>AF4</f>
        <v>1171.51</v>
      </c>
      <c r="DA4">
        <f>AJ4</f>
        <v>1</v>
      </c>
      <c r="DB4">
        <f t="shared" si="0"/>
        <v>105.44</v>
      </c>
      <c r="DC4">
        <f t="shared" si="1"/>
        <v>43.85</v>
      </c>
    </row>
    <row r="5" spans="1:107" x14ac:dyDescent="0.2">
      <c r="A5">
        <f>ROW(Source!A29)</f>
        <v>29</v>
      </c>
      <c r="B5">
        <v>42278323</v>
      </c>
      <c r="C5">
        <v>42367196</v>
      </c>
      <c r="D5">
        <v>40681432</v>
      </c>
      <c r="E5">
        <v>1</v>
      </c>
      <c r="F5">
        <v>1</v>
      </c>
      <c r="G5">
        <v>27</v>
      </c>
      <c r="H5">
        <v>3</v>
      </c>
      <c r="I5" t="s">
        <v>206</v>
      </c>
      <c r="J5" t="s">
        <v>207</v>
      </c>
      <c r="K5" t="s">
        <v>208</v>
      </c>
      <c r="L5">
        <v>1339</v>
      </c>
      <c r="N5">
        <v>1007</v>
      </c>
      <c r="O5" t="s">
        <v>29</v>
      </c>
      <c r="P5" t="s">
        <v>29</v>
      </c>
      <c r="Q5">
        <v>1</v>
      </c>
      <c r="W5">
        <v>0</v>
      </c>
      <c r="X5">
        <v>-1662970571</v>
      </c>
      <c r="Y5">
        <v>1.1000000000000001</v>
      </c>
      <c r="AA5">
        <v>590.78</v>
      </c>
      <c r="AB5">
        <v>0</v>
      </c>
      <c r="AC5">
        <v>0</v>
      </c>
      <c r="AD5">
        <v>0</v>
      </c>
      <c r="AE5">
        <v>590.78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1.1000000000000001</v>
      </c>
      <c r="AU5" t="s">
        <v>3</v>
      </c>
      <c r="AV5">
        <v>0</v>
      </c>
      <c r="AW5">
        <v>2</v>
      </c>
      <c r="AX5">
        <v>42367201</v>
      </c>
      <c r="AY5">
        <v>1</v>
      </c>
      <c r="AZ5">
        <v>0</v>
      </c>
      <c r="BA5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Y5*Source!I29</f>
        <v>5.3900000000000003E-2</v>
      </c>
      <c r="CY5">
        <f>AA5</f>
        <v>590.78</v>
      </c>
      <c r="CZ5">
        <f>AE5</f>
        <v>590.78</v>
      </c>
      <c r="DA5">
        <f>AI5</f>
        <v>1</v>
      </c>
      <c r="DB5">
        <f t="shared" si="0"/>
        <v>649.86</v>
      </c>
      <c r="DC5">
        <f t="shared" si="1"/>
        <v>0</v>
      </c>
    </row>
    <row r="6" spans="1:107" x14ac:dyDescent="0.2">
      <c r="A6">
        <f>ROW(Source!A29)</f>
        <v>29</v>
      </c>
      <c r="B6">
        <v>42278323</v>
      </c>
      <c r="C6">
        <v>42367196</v>
      </c>
      <c r="D6">
        <v>40682177</v>
      </c>
      <c r="E6">
        <v>1</v>
      </c>
      <c r="F6">
        <v>1</v>
      </c>
      <c r="G6">
        <v>27</v>
      </c>
      <c r="H6">
        <v>3</v>
      </c>
      <c r="I6" t="s">
        <v>209</v>
      </c>
      <c r="J6" t="s">
        <v>210</v>
      </c>
      <c r="K6" t="s">
        <v>211</v>
      </c>
      <c r="L6">
        <v>1339</v>
      </c>
      <c r="N6">
        <v>1007</v>
      </c>
      <c r="O6" t="s">
        <v>29</v>
      </c>
      <c r="P6" t="s">
        <v>29</v>
      </c>
      <c r="Q6">
        <v>1</v>
      </c>
      <c r="W6">
        <v>0</v>
      </c>
      <c r="X6">
        <v>2028445372</v>
      </c>
      <c r="Y6">
        <v>0.15</v>
      </c>
      <c r="AA6">
        <v>35.25</v>
      </c>
      <c r="AB6">
        <v>0</v>
      </c>
      <c r="AC6">
        <v>0</v>
      </c>
      <c r="AD6">
        <v>0</v>
      </c>
      <c r="AE6">
        <v>35.25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0.15</v>
      </c>
      <c r="AU6" t="s">
        <v>3</v>
      </c>
      <c r="AV6">
        <v>0</v>
      </c>
      <c r="AW6">
        <v>2</v>
      </c>
      <c r="AX6">
        <v>42367202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Y6*Source!I29</f>
        <v>7.3499999999999998E-3</v>
      </c>
      <c r="CY6">
        <f>AA6</f>
        <v>35.25</v>
      </c>
      <c r="CZ6">
        <f>AE6</f>
        <v>35.25</v>
      </c>
      <c r="DA6">
        <f>AI6</f>
        <v>1</v>
      </c>
      <c r="DB6">
        <f t="shared" si="0"/>
        <v>5.29</v>
      </c>
      <c r="DC6">
        <f t="shared" si="1"/>
        <v>0</v>
      </c>
    </row>
    <row r="7" spans="1:107" x14ac:dyDescent="0.2">
      <c r="A7">
        <f>ROW(Source!A30)</f>
        <v>30</v>
      </c>
      <c r="B7">
        <v>42278323</v>
      </c>
      <c r="C7">
        <v>42367203</v>
      </c>
      <c r="D7">
        <v>40662784</v>
      </c>
      <c r="E7">
        <v>27</v>
      </c>
      <c r="F7">
        <v>1</v>
      </c>
      <c r="G7">
        <v>27</v>
      </c>
      <c r="H7">
        <v>1</v>
      </c>
      <c r="I7" t="s">
        <v>193</v>
      </c>
      <c r="J7" t="s">
        <v>3</v>
      </c>
      <c r="K7" t="s">
        <v>194</v>
      </c>
      <c r="L7">
        <v>1191</v>
      </c>
      <c r="N7">
        <v>1013</v>
      </c>
      <c r="O7" t="s">
        <v>195</v>
      </c>
      <c r="P7" t="s">
        <v>195</v>
      </c>
      <c r="Q7">
        <v>1</v>
      </c>
      <c r="W7">
        <v>0</v>
      </c>
      <c r="X7">
        <v>476480486</v>
      </c>
      <c r="Y7">
        <v>0.98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0.98</v>
      </c>
      <c r="AU7" t="s">
        <v>3</v>
      </c>
      <c r="AV7">
        <v>1</v>
      </c>
      <c r="AW7">
        <v>2</v>
      </c>
      <c r="AX7">
        <v>42367204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9.604E-2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</row>
    <row r="8" spans="1:107" x14ac:dyDescent="0.2">
      <c r="A8">
        <f>ROW(Source!A30)</f>
        <v>30</v>
      </c>
      <c r="B8">
        <v>42278323</v>
      </c>
      <c r="C8">
        <v>42367203</v>
      </c>
      <c r="D8">
        <v>40679631</v>
      </c>
      <c r="E8">
        <v>1</v>
      </c>
      <c r="F8">
        <v>1</v>
      </c>
      <c r="G8">
        <v>27</v>
      </c>
      <c r="H8">
        <v>2</v>
      </c>
      <c r="I8" t="s">
        <v>196</v>
      </c>
      <c r="J8" t="s">
        <v>197</v>
      </c>
      <c r="K8" t="s">
        <v>198</v>
      </c>
      <c r="L8">
        <v>1368</v>
      </c>
      <c r="N8">
        <v>1011</v>
      </c>
      <c r="O8" t="s">
        <v>199</v>
      </c>
      <c r="P8" t="s">
        <v>199</v>
      </c>
      <c r="Q8">
        <v>1</v>
      </c>
      <c r="W8">
        <v>0</v>
      </c>
      <c r="X8">
        <v>-1226344697</v>
      </c>
      <c r="Y8">
        <v>0.25</v>
      </c>
      <c r="AA8">
        <v>0</v>
      </c>
      <c r="AB8">
        <v>470.71</v>
      </c>
      <c r="AC8">
        <v>359.8</v>
      </c>
      <c r="AD8">
        <v>0</v>
      </c>
      <c r="AE8">
        <v>0</v>
      </c>
      <c r="AF8">
        <v>470.71</v>
      </c>
      <c r="AG8">
        <v>359.8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0.25</v>
      </c>
      <c r="AU8" t="s">
        <v>3</v>
      </c>
      <c r="AV8">
        <v>0</v>
      </c>
      <c r="AW8">
        <v>2</v>
      </c>
      <c r="AX8">
        <v>42367205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2.4500000000000001E-2</v>
      </c>
      <c r="CY8">
        <f>AB8</f>
        <v>470.71</v>
      </c>
      <c r="CZ8">
        <f>AF8</f>
        <v>470.71</v>
      </c>
      <c r="DA8">
        <f>AJ8</f>
        <v>1</v>
      </c>
      <c r="DB8">
        <f t="shared" si="0"/>
        <v>117.68</v>
      </c>
      <c r="DC8">
        <f t="shared" si="1"/>
        <v>89.95</v>
      </c>
    </row>
    <row r="9" spans="1:107" x14ac:dyDescent="0.2">
      <c r="A9">
        <f>ROW(Source!A30)</f>
        <v>30</v>
      </c>
      <c r="B9">
        <v>42278323</v>
      </c>
      <c r="C9">
        <v>42367203</v>
      </c>
      <c r="D9">
        <v>40680099</v>
      </c>
      <c r="E9">
        <v>1</v>
      </c>
      <c r="F9">
        <v>1</v>
      </c>
      <c r="G9">
        <v>27</v>
      </c>
      <c r="H9">
        <v>2</v>
      </c>
      <c r="I9" t="s">
        <v>200</v>
      </c>
      <c r="J9" t="s">
        <v>201</v>
      </c>
      <c r="K9" t="s">
        <v>202</v>
      </c>
      <c r="L9">
        <v>1368</v>
      </c>
      <c r="N9">
        <v>1011</v>
      </c>
      <c r="O9" t="s">
        <v>199</v>
      </c>
      <c r="P9" t="s">
        <v>199</v>
      </c>
      <c r="Q9">
        <v>1</v>
      </c>
      <c r="W9">
        <v>0</v>
      </c>
      <c r="X9">
        <v>-1383996176</v>
      </c>
      <c r="Y9">
        <v>0.5</v>
      </c>
      <c r="AA9">
        <v>0</v>
      </c>
      <c r="AB9">
        <v>3.75</v>
      </c>
      <c r="AC9">
        <v>2.56</v>
      </c>
      <c r="AD9">
        <v>0</v>
      </c>
      <c r="AE9">
        <v>0</v>
      </c>
      <c r="AF9">
        <v>3.75</v>
      </c>
      <c r="AG9">
        <v>2.56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0.5</v>
      </c>
      <c r="AU9" t="s">
        <v>3</v>
      </c>
      <c r="AV9">
        <v>0</v>
      </c>
      <c r="AW9">
        <v>2</v>
      </c>
      <c r="AX9">
        <v>42367206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4.9000000000000002E-2</v>
      </c>
      <c r="CY9">
        <f>AB9</f>
        <v>3.75</v>
      </c>
      <c r="CZ9">
        <f>AF9</f>
        <v>3.75</v>
      </c>
      <c r="DA9">
        <f>AJ9</f>
        <v>1</v>
      </c>
      <c r="DB9">
        <f t="shared" si="0"/>
        <v>1.88</v>
      </c>
      <c r="DC9">
        <f t="shared" si="1"/>
        <v>1.28</v>
      </c>
    </row>
    <row r="10" spans="1:107" x14ac:dyDescent="0.2">
      <c r="A10">
        <f>ROW(Source!A30)</f>
        <v>30</v>
      </c>
      <c r="B10">
        <v>42278323</v>
      </c>
      <c r="C10">
        <v>42367203</v>
      </c>
      <c r="D10">
        <v>40679388</v>
      </c>
      <c r="E10">
        <v>1</v>
      </c>
      <c r="F10">
        <v>1</v>
      </c>
      <c r="G10">
        <v>27</v>
      </c>
      <c r="H10">
        <v>2</v>
      </c>
      <c r="I10" t="s">
        <v>203</v>
      </c>
      <c r="J10" t="s">
        <v>204</v>
      </c>
      <c r="K10" t="s">
        <v>205</v>
      </c>
      <c r="L10">
        <v>1368</v>
      </c>
      <c r="N10">
        <v>1011</v>
      </c>
      <c r="O10" t="s">
        <v>199</v>
      </c>
      <c r="P10" t="s">
        <v>199</v>
      </c>
      <c r="Q10">
        <v>1</v>
      </c>
      <c r="W10">
        <v>0</v>
      </c>
      <c r="X10">
        <v>-61066883</v>
      </c>
      <c r="Y10">
        <v>0.09</v>
      </c>
      <c r="AA10">
        <v>0</v>
      </c>
      <c r="AB10">
        <v>1171.51</v>
      </c>
      <c r="AC10">
        <v>487.24</v>
      </c>
      <c r="AD10">
        <v>0</v>
      </c>
      <c r="AE10">
        <v>0</v>
      </c>
      <c r="AF10">
        <v>1171.51</v>
      </c>
      <c r="AG10">
        <v>487.24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0.09</v>
      </c>
      <c r="AU10" t="s">
        <v>3</v>
      </c>
      <c r="AV10">
        <v>0</v>
      </c>
      <c r="AW10">
        <v>2</v>
      </c>
      <c r="AX10">
        <v>42367207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8.8199999999999997E-3</v>
      </c>
      <c r="CY10">
        <f>AB10</f>
        <v>1171.51</v>
      </c>
      <c r="CZ10">
        <f>AF10</f>
        <v>1171.51</v>
      </c>
      <c r="DA10">
        <f>AJ10</f>
        <v>1</v>
      </c>
      <c r="DB10">
        <f t="shared" si="0"/>
        <v>105.44</v>
      </c>
      <c r="DC10">
        <f t="shared" si="1"/>
        <v>43.85</v>
      </c>
    </row>
    <row r="11" spans="1:107" x14ac:dyDescent="0.2">
      <c r="A11">
        <f>ROW(Source!A30)</f>
        <v>30</v>
      </c>
      <c r="B11">
        <v>42278323</v>
      </c>
      <c r="C11">
        <v>42367203</v>
      </c>
      <c r="D11">
        <v>40681466</v>
      </c>
      <c r="E11">
        <v>1</v>
      </c>
      <c r="F11">
        <v>1</v>
      </c>
      <c r="G11">
        <v>27</v>
      </c>
      <c r="H11">
        <v>3</v>
      </c>
      <c r="I11" t="s">
        <v>212</v>
      </c>
      <c r="J11" t="s">
        <v>213</v>
      </c>
      <c r="K11" t="s">
        <v>214</v>
      </c>
      <c r="L11">
        <v>1339</v>
      </c>
      <c r="N11">
        <v>1007</v>
      </c>
      <c r="O11" t="s">
        <v>29</v>
      </c>
      <c r="P11" t="s">
        <v>29</v>
      </c>
      <c r="Q11">
        <v>1</v>
      </c>
      <c r="W11">
        <v>0</v>
      </c>
      <c r="X11">
        <v>353177933</v>
      </c>
      <c r="Y11">
        <v>1.1499999999999999</v>
      </c>
      <c r="AA11">
        <v>1436.5</v>
      </c>
      <c r="AB11">
        <v>0</v>
      </c>
      <c r="AC11">
        <v>0</v>
      </c>
      <c r="AD11">
        <v>0</v>
      </c>
      <c r="AE11">
        <v>1436.5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1.1499999999999999</v>
      </c>
      <c r="AU11" t="s">
        <v>3</v>
      </c>
      <c r="AV11">
        <v>0</v>
      </c>
      <c r="AW11">
        <v>2</v>
      </c>
      <c r="AX11">
        <v>42367208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0.11269999999999999</v>
      </c>
      <c r="CY11">
        <f>AA11</f>
        <v>1436.5</v>
      </c>
      <c r="CZ11">
        <f>AE11</f>
        <v>1436.5</v>
      </c>
      <c r="DA11">
        <f>AI11</f>
        <v>1</v>
      </c>
      <c r="DB11">
        <f t="shared" si="0"/>
        <v>1651.98</v>
      </c>
      <c r="DC11">
        <f t="shared" si="1"/>
        <v>0</v>
      </c>
    </row>
    <row r="12" spans="1:107" x14ac:dyDescent="0.2">
      <c r="A12">
        <f>ROW(Source!A30)</f>
        <v>30</v>
      </c>
      <c r="B12">
        <v>42278323</v>
      </c>
      <c r="C12">
        <v>42367203</v>
      </c>
      <c r="D12">
        <v>40682177</v>
      </c>
      <c r="E12">
        <v>1</v>
      </c>
      <c r="F12">
        <v>1</v>
      </c>
      <c r="G12">
        <v>27</v>
      </c>
      <c r="H12">
        <v>3</v>
      </c>
      <c r="I12" t="s">
        <v>209</v>
      </c>
      <c r="J12" t="s">
        <v>210</v>
      </c>
      <c r="K12" t="s">
        <v>211</v>
      </c>
      <c r="L12">
        <v>1339</v>
      </c>
      <c r="N12">
        <v>1007</v>
      </c>
      <c r="O12" t="s">
        <v>29</v>
      </c>
      <c r="P12" t="s">
        <v>29</v>
      </c>
      <c r="Q12">
        <v>1</v>
      </c>
      <c r="W12">
        <v>0</v>
      </c>
      <c r="X12">
        <v>2028445372</v>
      </c>
      <c r="Y12">
        <v>0.15</v>
      </c>
      <c r="AA12">
        <v>35.25</v>
      </c>
      <c r="AB12">
        <v>0</v>
      </c>
      <c r="AC12">
        <v>0</v>
      </c>
      <c r="AD12">
        <v>0</v>
      </c>
      <c r="AE12">
        <v>35.25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0.15</v>
      </c>
      <c r="AU12" t="s">
        <v>3</v>
      </c>
      <c r="AV12">
        <v>0</v>
      </c>
      <c r="AW12">
        <v>2</v>
      </c>
      <c r="AX12">
        <v>42367209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1.47E-2</v>
      </c>
      <c r="CY12">
        <f>AA12</f>
        <v>35.25</v>
      </c>
      <c r="CZ12">
        <f>AE12</f>
        <v>35.25</v>
      </c>
      <c r="DA12">
        <f>AI12</f>
        <v>1</v>
      </c>
      <c r="DB12">
        <f t="shared" si="0"/>
        <v>5.29</v>
      </c>
      <c r="DC12">
        <f t="shared" si="1"/>
        <v>0</v>
      </c>
    </row>
    <row r="13" spans="1:107" x14ac:dyDescent="0.2">
      <c r="A13">
        <f>ROW(Source!A37)</f>
        <v>37</v>
      </c>
      <c r="B13">
        <v>42278323</v>
      </c>
      <c r="C13">
        <v>42367232</v>
      </c>
      <c r="D13">
        <v>40662784</v>
      </c>
      <c r="E13">
        <v>27</v>
      </c>
      <c r="F13">
        <v>1</v>
      </c>
      <c r="G13">
        <v>27</v>
      </c>
      <c r="H13">
        <v>1</v>
      </c>
      <c r="I13" t="s">
        <v>193</v>
      </c>
      <c r="J13" t="s">
        <v>3</v>
      </c>
      <c r="K13" t="s">
        <v>194</v>
      </c>
      <c r="L13">
        <v>1191</v>
      </c>
      <c r="N13">
        <v>1013</v>
      </c>
      <c r="O13" t="s">
        <v>195</v>
      </c>
      <c r="P13" t="s">
        <v>195</v>
      </c>
      <c r="Q13">
        <v>1</v>
      </c>
      <c r="W13">
        <v>0</v>
      </c>
      <c r="X13">
        <v>476480486</v>
      </c>
      <c r="Y13">
        <v>0.9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0.9</v>
      </c>
      <c r="AU13" t="s">
        <v>3</v>
      </c>
      <c r="AV13">
        <v>1</v>
      </c>
      <c r="AW13">
        <v>2</v>
      </c>
      <c r="AX13">
        <v>42367239</v>
      </c>
      <c r="AY13">
        <v>1</v>
      </c>
      <c r="AZ13">
        <v>0</v>
      </c>
      <c r="BA13">
        <v>29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Y13*Source!I37</f>
        <v>4.41E-2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</row>
    <row r="14" spans="1:107" x14ac:dyDescent="0.2">
      <c r="A14">
        <f>ROW(Source!A37)</f>
        <v>37</v>
      </c>
      <c r="B14">
        <v>42278323</v>
      </c>
      <c r="C14">
        <v>42367232</v>
      </c>
      <c r="D14">
        <v>40679631</v>
      </c>
      <c r="E14">
        <v>1</v>
      </c>
      <c r="F14">
        <v>1</v>
      </c>
      <c r="G14">
        <v>27</v>
      </c>
      <c r="H14">
        <v>2</v>
      </c>
      <c r="I14" t="s">
        <v>196</v>
      </c>
      <c r="J14" t="s">
        <v>197</v>
      </c>
      <c r="K14" t="s">
        <v>198</v>
      </c>
      <c r="L14">
        <v>1368</v>
      </c>
      <c r="N14">
        <v>1011</v>
      </c>
      <c r="O14" t="s">
        <v>199</v>
      </c>
      <c r="P14" t="s">
        <v>199</v>
      </c>
      <c r="Q14">
        <v>1</v>
      </c>
      <c r="W14">
        <v>0</v>
      </c>
      <c r="X14">
        <v>-1226344697</v>
      </c>
      <c r="Y14">
        <v>0.22</v>
      </c>
      <c r="AA14">
        <v>0</v>
      </c>
      <c r="AB14">
        <v>470.71</v>
      </c>
      <c r="AC14">
        <v>359.8</v>
      </c>
      <c r="AD14">
        <v>0</v>
      </c>
      <c r="AE14">
        <v>0</v>
      </c>
      <c r="AF14">
        <v>470.71</v>
      </c>
      <c r="AG14">
        <v>359.8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0.22</v>
      </c>
      <c r="AU14" t="s">
        <v>3</v>
      </c>
      <c r="AV14">
        <v>0</v>
      </c>
      <c r="AW14">
        <v>2</v>
      </c>
      <c r="AX14">
        <v>42367240</v>
      </c>
      <c r="AY14">
        <v>1</v>
      </c>
      <c r="AZ14">
        <v>0</v>
      </c>
      <c r="BA14">
        <v>30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Y14*Source!I37</f>
        <v>1.078E-2</v>
      </c>
      <c r="CY14">
        <f>AB14</f>
        <v>470.71</v>
      </c>
      <c r="CZ14">
        <f>AF14</f>
        <v>470.71</v>
      </c>
      <c r="DA14">
        <f>AJ14</f>
        <v>1</v>
      </c>
      <c r="DB14">
        <f t="shared" si="0"/>
        <v>103.56</v>
      </c>
      <c r="DC14">
        <f t="shared" si="1"/>
        <v>79.16</v>
      </c>
    </row>
    <row r="15" spans="1:107" x14ac:dyDescent="0.2">
      <c r="A15">
        <f>ROW(Source!A37)</f>
        <v>37</v>
      </c>
      <c r="B15">
        <v>42278323</v>
      </c>
      <c r="C15">
        <v>42367232</v>
      </c>
      <c r="D15">
        <v>40680099</v>
      </c>
      <c r="E15">
        <v>1</v>
      </c>
      <c r="F15">
        <v>1</v>
      </c>
      <c r="G15">
        <v>27</v>
      </c>
      <c r="H15">
        <v>2</v>
      </c>
      <c r="I15" t="s">
        <v>200</v>
      </c>
      <c r="J15" t="s">
        <v>201</v>
      </c>
      <c r="K15" t="s">
        <v>202</v>
      </c>
      <c r="L15">
        <v>1368</v>
      </c>
      <c r="N15">
        <v>1011</v>
      </c>
      <c r="O15" t="s">
        <v>199</v>
      </c>
      <c r="P15" t="s">
        <v>199</v>
      </c>
      <c r="Q15">
        <v>1</v>
      </c>
      <c r="W15">
        <v>0</v>
      </c>
      <c r="X15">
        <v>-1383996176</v>
      </c>
      <c r="Y15">
        <v>0.45</v>
      </c>
      <c r="AA15">
        <v>0</v>
      </c>
      <c r="AB15">
        <v>3.75</v>
      </c>
      <c r="AC15">
        <v>2.56</v>
      </c>
      <c r="AD15">
        <v>0</v>
      </c>
      <c r="AE15">
        <v>0</v>
      </c>
      <c r="AF15">
        <v>3.75</v>
      </c>
      <c r="AG15">
        <v>2.56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0.45</v>
      </c>
      <c r="AU15" t="s">
        <v>3</v>
      </c>
      <c r="AV15">
        <v>0</v>
      </c>
      <c r="AW15">
        <v>2</v>
      </c>
      <c r="AX15">
        <v>42367241</v>
      </c>
      <c r="AY15">
        <v>1</v>
      </c>
      <c r="AZ15">
        <v>0</v>
      </c>
      <c r="BA15">
        <v>31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Y15*Source!I37</f>
        <v>2.205E-2</v>
      </c>
      <c r="CY15">
        <f>AB15</f>
        <v>3.75</v>
      </c>
      <c r="CZ15">
        <f>AF15</f>
        <v>3.75</v>
      </c>
      <c r="DA15">
        <f>AJ15</f>
        <v>1</v>
      </c>
      <c r="DB15">
        <f t="shared" si="0"/>
        <v>1.69</v>
      </c>
      <c r="DC15">
        <f t="shared" si="1"/>
        <v>1.1499999999999999</v>
      </c>
    </row>
    <row r="16" spans="1:107" x14ac:dyDescent="0.2">
      <c r="A16">
        <f>ROW(Source!A37)</f>
        <v>37</v>
      </c>
      <c r="B16">
        <v>42278323</v>
      </c>
      <c r="C16">
        <v>42367232</v>
      </c>
      <c r="D16">
        <v>40679388</v>
      </c>
      <c r="E16">
        <v>1</v>
      </c>
      <c r="F16">
        <v>1</v>
      </c>
      <c r="G16">
        <v>27</v>
      </c>
      <c r="H16">
        <v>2</v>
      </c>
      <c r="I16" t="s">
        <v>203</v>
      </c>
      <c r="J16" t="s">
        <v>204</v>
      </c>
      <c r="K16" t="s">
        <v>205</v>
      </c>
      <c r="L16">
        <v>1368</v>
      </c>
      <c r="N16">
        <v>1011</v>
      </c>
      <c r="O16" t="s">
        <v>199</v>
      </c>
      <c r="P16" t="s">
        <v>199</v>
      </c>
      <c r="Q16">
        <v>1</v>
      </c>
      <c r="W16">
        <v>0</v>
      </c>
      <c r="X16">
        <v>-61066883</v>
      </c>
      <c r="Y16">
        <v>0.09</v>
      </c>
      <c r="AA16">
        <v>0</v>
      </c>
      <c r="AB16">
        <v>1171.51</v>
      </c>
      <c r="AC16">
        <v>487.24</v>
      </c>
      <c r="AD16">
        <v>0</v>
      </c>
      <c r="AE16">
        <v>0</v>
      </c>
      <c r="AF16">
        <v>1171.51</v>
      </c>
      <c r="AG16">
        <v>487.24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0.09</v>
      </c>
      <c r="AU16" t="s">
        <v>3</v>
      </c>
      <c r="AV16">
        <v>0</v>
      </c>
      <c r="AW16">
        <v>2</v>
      </c>
      <c r="AX16">
        <v>42367242</v>
      </c>
      <c r="AY16">
        <v>1</v>
      </c>
      <c r="AZ16">
        <v>0</v>
      </c>
      <c r="BA16">
        <v>32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Y16*Source!I37</f>
        <v>4.4099999999999999E-3</v>
      </c>
      <c r="CY16">
        <f>AB16</f>
        <v>1171.51</v>
      </c>
      <c r="CZ16">
        <f>AF16</f>
        <v>1171.51</v>
      </c>
      <c r="DA16">
        <f>AJ16</f>
        <v>1</v>
      </c>
      <c r="DB16">
        <f t="shared" si="0"/>
        <v>105.44</v>
      </c>
      <c r="DC16">
        <f t="shared" si="1"/>
        <v>43.85</v>
      </c>
    </row>
    <row r="17" spans="1:107" x14ac:dyDescent="0.2">
      <c r="A17">
        <f>ROW(Source!A37)</f>
        <v>37</v>
      </c>
      <c r="B17">
        <v>42278323</v>
      </c>
      <c r="C17">
        <v>42367232</v>
      </c>
      <c r="D17">
        <v>40681432</v>
      </c>
      <c r="E17">
        <v>1</v>
      </c>
      <c r="F17">
        <v>1</v>
      </c>
      <c r="G17">
        <v>27</v>
      </c>
      <c r="H17">
        <v>3</v>
      </c>
      <c r="I17" t="s">
        <v>206</v>
      </c>
      <c r="J17" t="s">
        <v>207</v>
      </c>
      <c r="K17" t="s">
        <v>208</v>
      </c>
      <c r="L17">
        <v>1339</v>
      </c>
      <c r="N17">
        <v>1007</v>
      </c>
      <c r="O17" t="s">
        <v>29</v>
      </c>
      <c r="P17" t="s">
        <v>29</v>
      </c>
      <c r="Q17">
        <v>1</v>
      </c>
      <c r="W17">
        <v>0</v>
      </c>
      <c r="X17">
        <v>-1662970571</v>
      </c>
      <c r="Y17">
        <v>1.1000000000000001</v>
      </c>
      <c r="AA17">
        <v>590.78</v>
      </c>
      <c r="AB17">
        <v>0</v>
      </c>
      <c r="AC17">
        <v>0</v>
      </c>
      <c r="AD17">
        <v>0</v>
      </c>
      <c r="AE17">
        <v>590.78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1.1000000000000001</v>
      </c>
      <c r="AU17" t="s">
        <v>3</v>
      </c>
      <c r="AV17">
        <v>0</v>
      </c>
      <c r="AW17">
        <v>2</v>
      </c>
      <c r="AX17">
        <v>42367243</v>
      </c>
      <c r="AY17">
        <v>1</v>
      </c>
      <c r="AZ17">
        <v>0</v>
      </c>
      <c r="BA17">
        <v>33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Y17*Source!I37</f>
        <v>5.3900000000000003E-2</v>
      </c>
      <c r="CY17">
        <f>AA17</f>
        <v>590.78</v>
      </c>
      <c r="CZ17">
        <f>AE17</f>
        <v>590.78</v>
      </c>
      <c r="DA17">
        <f>AI17</f>
        <v>1</v>
      </c>
      <c r="DB17">
        <f t="shared" si="0"/>
        <v>649.86</v>
      </c>
      <c r="DC17">
        <f t="shared" si="1"/>
        <v>0</v>
      </c>
    </row>
    <row r="18" spans="1:107" x14ac:dyDescent="0.2">
      <c r="A18">
        <f>ROW(Source!A37)</f>
        <v>37</v>
      </c>
      <c r="B18">
        <v>42278323</v>
      </c>
      <c r="C18">
        <v>42367232</v>
      </c>
      <c r="D18">
        <v>40682177</v>
      </c>
      <c r="E18">
        <v>1</v>
      </c>
      <c r="F18">
        <v>1</v>
      </c>
      <c r="G18">
        <v>27</v>
      </c>
      <c r="H18">
        <v>3</v>
      </c>
      <c r="I18" t="s">
        <v>209</v>
      </c>
      <c r="J18" t="s">
        <v>210</v>
      </c>
      <c r="K18" t="s">
        <v>211</v>
      </c>
      <c r="L18">
        <v>1339</v>
      </c>
      <c r="N18">
        <v>1007</v>
      </c>
      <c r="O18" t="s">
        <v>29</v>
      </c>
      <c r="P18" t="s">
        <v>29</v>
      </c>
      <c r="Q18">
        <v>1</v>
      </c>
      <c r="W18">
        <v>0</v>
      </c>
      <c r="X18">
        <v>2028445372</v>
      </c>
      <c r="Y18">
        <v>0.15</v>
      </c>
      <c r="AA18">
        <v>35.25</v>
      </c>
      <c r="AB18">
        <v>0</v>
      </c>
      <c r="AC18">
        <v>0</v>
      </c>
      <c r="AD18">
        <v>0</v>
      </c>
      <c r="AE18">
        <v>35.25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0.15</v>
      </c>
      <c r="AU18" t="s">
        <v>3</v>
      </c>
      <c r="AV18">
        <v>0</v>
      </c>
      <c r="AW18">
        <v>2</v>
      </c>
      <c r="AX18">
        <v>42367244</v>
      </c>
      <c r="AY18">
        <v>1</v>
      </c>
      <c r="AZ18">
        <v>0</v>
      </c>
      <c r="BA18">
        <v>34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Y18*Source!I37</f>
        <v>7.3499999999999998E-3</v>
      </c>
      <c r="CY18">
        <f>AA18</f>
        <v>35.25</v>
      </c>
      <c r="CZ18">
        <f>AE18</f>
        <v>35.25</v>
      </c>
      <c r="DA18">
        <f>AI18</f>
        <v>1</v>
      </c>
      <c r="DB18">
        <f t="shared" si="0"/>
        <v>5.29</v>
      </c>
      <c r="DC18">
        <f t="shared" si="1"/>
        <v>0</v>
      </c>
    </row>
    <row r="19" spans="1:107" x14ac:dyDescent="0.2">
      <c r="A19">
        <f>ROW(Source!A38)</f>
        <v>38</v>
      </c>
      <c r="B19">
        <v>42278323</v>
      </c>
      <c r="C19">
        <v>42367245</v>
      </c>
      <c r="D19">
        <v>40662784</v>
      </c>
      <c r="E19">
        <v>27</v>
      </c>
      <c r="F19">
        <v>1</v>
      </c>
      <c r="G19">
        <v>27</v>
      </c>
      <c r="H19">
        <v>1</v>
      </c>
      <c r="I19" t="s">
        <v>193</v>
      </c>
      <c r="J19" t="s">
        <v>3</v>
      </c>
      <c r="K19" t="s">
        <v>194</v>
      </c>
      <c r="L19">
        <v>1191</v>
      </c>
      <c r="N19">
        <v>1013</v>
      </c>
      <c r="O19" t="s">
        <v>195</v>
      </c>
      <c r="P19" t="s">
        <v>195</v>
      </c>
      <c r="Q19">
        <v>1</v>
      </c>
      <c r="W19">
        <v>0</v>
      </c>
      <c r="X19">
        <v>476480486</v>
      </c>
      <c r="Y19">
        <v>0.98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0.98</v>
      </c>
      <c r="AU19" t="s">
        <v>3</v>
      </c>
      <c r="AV19">
        <v>1</v>
      </c>
      <c r="AW19">
        <v>2</v>
      </c>
      <c r="AX19">
        <v>42367252</v>
      </c>
      <c r="AY19">
        <v>1</v>
      </c>
      <c r="AZ19">
        <v>0</v>
      </c>
      <c r="BA19">
        <v>35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Y19*Source!I38</f>
        <v>9.604E-2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</row>
    <row r="20" spans="1:107" x14ac:dyDescent="0.2">
      <c r="A20">
        <f>ROW(Source!A38)</f>
        <v>38</v>
      </c>
      <c r="B20">
        <v>42278323</v>
      </c>
      <c r="C20">
        <v>42367245</v>
      </c>
      <c r="D20">
        <v>40679631</v>
      </c>
      <c r="E20">
        <v>1</v>
      </c>
      <c r="F20">
        <v>1</v>
      </c>
      <c r="G20">
        <v>27</v>
      </c>
      <c r="H20">
        <v>2</v>
      </c>
      <c r="I20" t="s">
        <v>196</v>
      </c>
      <c r="J20" t="s">
        <v>197</v>
      </c>
      <c r="K20" t="s">
        <v>198</v>
      </c>
      <c r="L20">
        <v>1368</v>
      </c>
      <c r="N20">
        <v>1011</v>
      </c>
      <c r="O20" t="s">
        <v>199</v>
      </c>
      <c r="P20" t="s">
        <v>199</v>
      </c>
      <c r="Q20">
        <v>1</v>
      </c>
      <c r="W20">
        <v>0</v>
      </c>
      <c r="X20">
        <v>-1226344697</v>
      </c>
      <c r="Y20">
        <v>0.25</v>
      </c>
      <c r="AA20">
        <v>0</v>
      </c>
      <c r="AB20">
        <v>470.71</v>
      </c>
      <c r="AC20">
        <v>359.8</v>
      </c>
      <c r="AD20">
        <v>0</v>
      </c>
      <c r="AE20">
        <v>0</v>
      </c>
      <c r="AF20">
        <v>470.71</v>
      </c>
      <c r="AG20">
        <v>359.8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0.25</v>
      </c>
      <c r="AU20" t="s">
        <v>3</v>
      </c>
      <c r="AV20">
        <v>0</v>
      </c>
      <c r="AW20">
        <v>2</v>
      </c>
      <c r="AX20">
        <v>42367253</v>
      </c>
      <c r="AY20">
        <v>1</v>
      </c>
      <c r="AZ20">
        <v>0</v>
      </c>
      <c r="BA20">
        <v>36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Y20*Source!I38</f>
        <v>2.4500000000000001E-2</v>
      </c>
      <c r="CY20">
        <f>AB20</f>
        <v>470.71</v>
      </c>
      <c r="CZ20">
        <f>AF20</f>
        <v>470.71</v>
      </c>
      <c r="DA20">
        <f>AJ20</f>
        <v>1</v>
      </c>
      <c r="DB20">
        <f t="shared" si="0"/>
        <v>117.68</v>
      </c>
      <c r="DC20">
        <f t="shared" si="1"/>
        <v>89.95</v>
      </c>
    </row>
    <row r="21" spans="1:107" x14ac:dyDescent="0.2">
      <c r="A21">
        <f>ROW(Source!A38)</f>
        <v>38</v>
      </c>
      <c r="B21">
        <v>42278323</v>
      </c>
      <c r="C21">
        <v>42367245</v>
      </c>
      <c r="D21">
        <v>40680099</v>
      </c>
      <c r="E21">
        <v>1</v>
      </c>
      <c r="F21">
        <v>1</v>
      </c>
      <c r="G21">
        <v>27</v>
      </c>
      <c r="H21">
        <v>2</v>
      </c>
      <c r="I21" t="s">
        <v>200</v>
      </c>
      <c r="J21" t="s">
        <v>201</v>
      </c>
      <c r="K21" t="s">
        <v>202</v>
      </c>
      <c r="L21">
        <v>1368</v>
      </c>
      <c r="N21">
        <v>1011</v>
      </c>
      <c r="O21" t="s">
        <v>199</v>
      </c>
      <c r="P21" t="s">
        <v>199</v>
      </c>
      <c r="Q21">
        <v>1</v>
      </c>
      <c r="W21">
        <v>0</v>
      </c>
      <c r="X21">
        <v>-1383996176</v>
      </c>
      <c r="Y21">
        <v>0.5</v>
      </c>
      <c r="AA21">
        <v>0</v>
      </c>
      <c r="AB21">
        <v>3.75</v>
      </c>
      <c r="AC21">
        <v>2.56</v>
      </c>
      <c r="AD21">
        <v>0</v>
      </c>
      <c r="AE21">
        <v>0</v>
      </c>
      <c r="AF21">
        <v>3.75</v>
      </c>
      <c r="AG21">
        <v>2.56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0.5</v>
      </c>
      <c r="AU21" t="s">
        <v>3</v>
      </c>
      <c r="AV21">
        <v>0</v>
      </c>
      <c r="AW21">
        <v>2</v>
      </c>
      <c r="AX21">
        <v>42367254</v>
      </c>
      <c r="AY21">
        <v>1</v>
      </c>
      <c r="AZ21">
        <v>0</v>
      </c>
      <c r="BA21">
        <v>37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Y21*Source!I38</f>
        <v>4.9000000000000002E-2</v>
      </c>
      <c r="CY21">
        <f>AB21</f>
        <v>3.75</v>
      </c>
      <c r="CZ21">
        <f>AF21</f>
        <v>3.75</v>
      </c>
      <c r="DA21">
        <f>AJ21</f>
        <v>1</v>
      </c>
      <c r="DB21">
        <f t="shared" si="0"/>
        <v>1.88</v>
      </c>
      <c r="DC21">
        <f t="shared" si="1"/>
        <v>1.28</v>
      </c>
    </row>
    <row r="22" spans="1:107" x14ac:dyDescent="0.2">
      <c r="A22">
        <f>ROW(Source!A38)</f>
        <v>38</v>
      </c>
      <c r="B22">
        <v>42278323</v>
      </c>
      <c r="C22">
        <v>42367245</v>
      </c>
      <c r="D22">
        <v>40679388</v>
      </c>
      <c r="E22">
        <v>1</v>
      </c>
      <c r="F22">
        <v>1</v>
      </c>
      <c r="G22">
        <v>27</v>
      </c>
      <c r="H22">
        <v>2</v>
      </c>
      <c r="I22" t="s">
        <v>203</v>
      </c>
      <c r="J22" t="s">
        <v>204</v>
      </c>
      <c r="K22" t="s">
        <v>205</v>
      </c>
      <c r="L22">
        <v>1368</v>
      </c>
      <c r="N22">
        <v>1011</v>
      </c>
      <c r="O22" t="s">
        <v>199</v>
      </c>
      <c r="P22" t="s">
        <v>199</v>
      </c>
      <c r="Q22">
        <v>1</v>
      </c>
      <c r="W22">
        <v>0</v>
      </c>
      <c r="X22">
        <v>-61066883</v>
      </c>
      <c r="Y22">
        <v>0.09</v>
      </c>
      <c r="AA22">
        <v>0</v>
      </c>
      <c r="AB22">
        <v>1171.51</v>
      </c>
      <c r="AC22">
        <v>487.24</v>
      </c>
      <c r="AD22">
        <v>0</v>
      </c>
      <c r="AE22">
        <v>0</v>
      </c>
      <c r="AF22">
        <v>1171.51</v>
      </c>
      <c r="AG22">
        <v>487.24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0.09</v>
      </c>
      <c r="AU22" t="s">
        <v>3</v>
      </c>
      <c r="AV22">
        <v>0</v>
      </c>
      <c r="AW22">
        <v>2</v>
      </c>
      <c r="AX22">
        <v>42367255</v>
      </c>
      <c r="AY22">
        <v>1</v>
      </c>
      <c r="AZ22">
        <v>0</v>
      </c>
      <c r="BA22">
        <v>38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Y22*Source!I38</f>
        <v>8.8199999999999997E-3</v>
      </c>
      <c r="CY22">
        <f>AB22</f>
        <v>1171.51</v>
      </c>
      <c r="CZ22">
        <f>AF22</f>
        <v>1171.51</v>
      </c>
      <c r="DA22">
        <f>AJ22</f>
        <v>1</v>
      </c>
      <c r="DB22">
        <f t="shared" si="0"/>
        <v>105.44</v>
      </c>
      <c r="DC22">
        <f t="shared" si="1"/>
        <v>43.85</v>
      </c>
    </row>
    <row r="23" spans="1:107" x14ac:dyDescent="0.2">
      <c r="A23">
        <f>ROW(Source!A38)</f>
        <v>38</v>
      </c>
      <c r="B23">
        <v>42278323</v>
      </c>
      <c r="C23">
        <v>42367245</v>
      </c>
      <c r="D23">
        <v>40681466</v>
      </c>
      <c r="E23">
        <v>1</v>
      </c>
      <c r="F23">
        <v>1</v>
      </c>
      <c r="G23">
        <v>27</v>
      </c>
      <c r="H23">
        <v>3</v>
      </c>
      <c r="I23" t="s">
        <v>212</v>
      </c>
      <c r="J23" t="s">
        <v>213</v>
      </c>
      <c r="K23" t="s">
        <v>214</v>
      </c>
      <c r="L23">
        <v>1339</v>
      </c>
      <c r="N23">
        <v>1007</v>
      </c>
      <c r="O23" t="s">
        <v>29</v>
      </c>
      <c r="P23" t="s">
        <v>29</v>
      </c>
      <c r="Q23">
        <v>1</v>
      </c>
      <c r="W23">
        <v>0</v>
      </c>
      <c r="X23">
        <v>353177933</v>
      </c>
      <c r="Y23">
        <v>1.1499999999999999</v>
      </c>
      <c r="AA23">
        <v>1436.5</v>
      </c>
      <c r="AB23">
        <v>0</v>
      </c>
      <c r="AC23">
        <v>0</v>
      </c>
      <c r="AD23">
        <v>0</v>
      </c>
      <c r="AE23">
        <v>1436.5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1.1499999999999999</v>
      </c>
      <c r="AU23" t="s">
        <v>3</v>
      </c>
      <c r="AV23">
        <v>0</v>
      </c>
      <c r="AW23">
        <v>2</v>
      </c>
      <c r="AX23">
        <v>42367256</v>
      </c>
      <c r="AY23">
        <v>1</v>
      </c>
      <c r="AZ23">
        <v>0</v>
      </c>
      <c r="BA23">
        <v>39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Y23*Source!I38</f>
        <v>0.11269999999999999</v>
      </c>
      <c r="CY23">
        <f>AA23</f>
        <v>1436.5</v>
      </c>
      <c r="CZ23">
        <f>AE23</f>
        <v>1436.5</v>
      </c>
      <c r="DA23">
        <f>AI23</f>
        <v>1</v>
      </c>
      <c r="DB23">
        <f t="shared" si="0"/>
        <v>1651.98</v>
      </c>
      <c r="DC23">
        <f t="shared" si="1"/>
        <v>0</v>
      </c>
    </row>
    <row r="24" spans="1:107" x14ac:dyDescent="0.2">
      <c r="A24">
        <f>ROW(Source!A38)</f>
        <v>38</v>
      </c>
      <c r="B24">
        <v>42278323</v>
      </c>
      <c r="C24">
        <v>42367245</v>
      </c>
      <c r="D24">
        <v>40682177</v>
      </c>
      <c r="E24">
        <v>1</v>
      </c>
      <c r="F24">
        <v>1</v>
      </c>
      <c r="G24">
        <v>27</v>
      </c>
      <c r="H24">
        <v>3</v>
      </c>
      <c r="I24" t="s">
        <v>209</v>
      </c>
      <c r="J24" t="s">
        <v>210</v>
      </c>
      <c r="K24" t="s">
        <v>211</v>
      </c>
      <c r="L24">
        <v>1339</v>
      </c>
      <c r="N24">
        <v>1007</v>
      </c>
      <c r="O24" t="s">
        <v>29</v>
      </c>
      <c r="P24" t="s">
        <v>29</v>
      </c>
      <c r="Q24">
        <v>1</v>
      </c>
      <c r="W24">
        <v>0</v>
      </c>
      <c r="X24">
        <v>2028445372</v>
      </c>
      <c r="Y24">
        <v>0.15</v>
      </c>
      <c r="AA24">
        <v>35.25</v>
      </c>
      <c r="AB24">
        <v>0</v>
      </c>
      <c r="AC24">
        <v>0</v>
      </c>
      <c r="AD24">
        <v>0</v>
      </c>
      <c r="AE24">
        <v>35.25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0.15</v>
      </c>
      <c r="AU24" t="s">
        <v>3</v>
      </c>
      <c r="AV24">
        <v>0</v>
      </c>
      <c r="AW24">
        <v>2</v>
      </c>
      <c r="AX24">
        <v>42367257</v>
      </c>
      <c r="AY24">
        <v>1</v>
      </c>
      <c r="AZ24">
        <v>0</v>
      </c>
      <c r="BA24">
        <v>40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Y24*Source!I38</f>
        <v>1.47E-2</v>
      </c>
      <c r="CY24">
        <f>AA24</f>
        <v>35.25</v>
      </c>
      <c r="CZ24">
        <f>AE24</f>
        <v>35.25</v>
      </c>
      <c r="DA24">
        <f>AI24</f>
        <v>1</v>
      </c>
      <c r="DB24">
        <f t="shared" si="0"/>
        <v>5.29</v>
      </c>
      <c r="DC24">
        <f t="shared" si="1"/>
        <v>0</v>
      </c>
    </row>
    <row r="25" spans="1:107" x14ac:dyDescent="0.2">
      <c r="A25">
        <f>ROW(Source!A45)</f>
        <v>45</v>
      </c>
      <c r="B25">
        <v>42278323</v>
      </c>
      <c r="C25">
        <v>42367260</v>
      </c>
      <c r="D25">
        <v>40662784</v>
      </c>
      <c r="E25">
        <v>27</v>
      </c>
      <c r="F25">
        <v>1</v>
      </c>
      <c r="G25">
        <v>27</v>
      </c>
      <c r="H25">
        <v>1</v>
      </c>
      <c r="I25" t="s">
        <v>193</v>
      </c>
      <c r="J25" t="s">
        <v>3</v>
      </c>
      <c r="K25" t="s">
        <v>194</v>
      </c>
      <c r="L25">
        <v>1191</v>
      </c>
      <c r="N25">
        <v>1013</v>
      </c>
      <c r="O25" t="s">
        <v>195</v>
      </c>
      <c r="P25" t="s">
        <v>195</v>
      </c>
      <c r="Q25">
        <v>1</v>
      </c>
      <c r="W25">
        <v>0</v>
      </c>
      <c r="X25">
        <v>476480486</v>
      </c>
      <c r="Y25">
        <v>0.9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0.9</v>
      </c>
      <c r="AU25" t="s">
        <v>3</v>
      </c>
      <c r="AV25">
        <v>1</v>
      </c>
      <c r="AW25">
        <v>2</v>
      </c>
      <c r="AX25">
        <v>42367267</v>
      </c>
      <c r="AY25">
        <v>1</v>
      </c>
      <c r="AZ25">
        <v>0</v>
      </c>
      <c r="BA25">
        <v>56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Y25*Source!I45</f>
        <v>4.41E-2</v>
      </c>
      <c r="CY25">
        <f>AD25</f>
        <v>0</v>
      </c>
      <c r="CZ25">
        <f>AH25</f>
        <v>0</v>
      </c>
      <c r="DA25">
        <f>AL25</f>
        <v>1</v>
      </c>
      <c r="DB25">
        <f t="shared" si="0"/>
        <v>0</v>
      </c>
      <c r="DC25">
        <f t="shared" si="1"/>
        <v>0</v>
      </c>
    </row>
    <row r="26" spans="1:107" x14ac:dyDescent="0.2">
      <c r="A26">
        <f>ROW(Source!A45)</f>
        <v>45</v>
      </c>
      <c r="B26">
        <v>42278323</v>
      </c>
      <c r="C26">
        <v>42367260</v>
      </c>
      <c r="D26">
        <v>40679631</v>
      </c>
      <c r="E26">
        <v>1</v>
      </c>
      <c r="F26">
        <v>1</v>
      </c>
      <c r="G26">
        <v>27</v>
      </c>
      <c r="H26">
        <v>2</v>
      </c>
      <c r="I26" t="s">
        <v>196</v>
      </c>
      <c r="J26" t="s">
        <v>197</v>
      </c>
      <c r="K26" t="s">
        <v>198</v>
      </c>
      <c r="L26">
        <v>1368</v>
      </c>
      <c r="N26">
        <v>1011</v>
      </c>
      <c r="O26" t="s">
        <v>199</v>
      </c>
      <c r="P26" t="s">
        <v>199</v>
      </c>
      <c r="Q26">
        <v>1</v>
      </c>
      <c r="W26">
        <v>0</v>
      </c>
      <c r="X26">
        <v>-1226344697</v>
      </c>
      <c r="Y26">
        <v>0.22</v>
      </c>
      <c r="AA26">
        <v>0</v>
      </c>
      <c r="AB26">
        <v>470.71</v>
      </c>
      <c r="AC26">
        <v>359.8</v>
      </c>
      <c r="AD26">
        <v>0</v>
      </c>
      <c r="AE26">
        <v>0</v>
      </c>
      <c r="AF26">
        <v>470.71</v>
      </c>
      <c r="AG26">
        <v>359.8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0.22</v>
      </c>
      <c r="AU26" t="s">
        <v>3</v>
      </c>
      <c r="AV26">
        <v>0</v>
      </c>
      <c r="AW26">
        <v>2</v>
      </c>
      <c r="AX26">
        <v>42367268</v>
      </c>
      <c r="AY26">
        <v>1</v>
      </c>
      <c r="AZ26">
        <v>0</v>
      </c>
      <c r="BA26">
        <v>57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Y26*Source!I45</f>
        <v>1.078E-2</v>
      </c>
      <c r="CY26">
        <f>AB26</f>
        <v>470.71</v>
      </c>
      <c r="CZ26">
        <f>AF26</f>
        <v>470.71</v>
      </c>
      <c r="DA26">
        <f>AJ26</f>
        <v>1</v>
      </c>
      <c r="DB26">
        <f t="shared" si="0"/>
        <v>103.56</v>
      </c>
      <c r="DC26">
        <f t="shared" si="1"/>
        <v>79.16</v>
      </c>
    </row>
    <row r="27" spans="1:107" x14ac:dyDescent="0.2">
      <c r="A27">
        <f>ROW(Source!A45)</f>
        <v>45</v>
      </c>
      <c r="B27">
        <v>42278323</v>
      </c>
      <c r="C27">
        <v>42367260</v>
      </c>
      <c r="D27">
        <v>40680099</v>
      </c>
      <c r="E27">
        <v>1</v>
      </c>
      <c r="F27">
        <v>1</v>
      </c>
      <c r="G27">
        <v>27</v>
      </c>
      <c r="H27">
        <v>2</v>
      </c>
      <c r="I27" t="s">
        <v>200</v>
      </c>
      <c r="J27" t="s">
        <v>201</v>
      </c>
      <c r="K27" t="s">
        <v>202</v>
      </c>
      <c r="L27">
        <v>1368</v>
      </c>
      <c r="N27">
        <v>1011</v>
      </c>
      <c r="O27" t="s">
        <v>199</v>
      </c>
      <c r="P27" t="s">
        <v>199</v>
      </c>
      <c r="Q27">
        <v>1</v>
      </c>
      <c r="W27">
        <v>0</v>
      </c>
      <c r="X27">
        <v>-1383996176</v>
      </c>
      <c r="Y27">
        <v>0.45</v>
      </c>
      <c r="AA27">
        <v>0</v>
      </c>
      <c r="AB27">
        <v>3.75</v>
      </c>
      <c r="AC27">
        <v>2.56</v>
      </c>
      <c r="AD27">
        <v>0</v>
      </c>
      <c r="AE27">
        <v>0</v>
      </c>
      <c r="AF27">
        <v>3.75</v>
      </c>
      <c r="AG27">
        <v>2.56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0.45</v>
      </c>
      <c r="AU27" t="s">
        <v>3</v>
      </c>
      <c r="AV27">
        <v>0</v>
      </c>
      <c r="AW27">
        <v>2</v>
      </c>
      <c r="AX27">
        <v>42367269</v>
      </c>
      <c r="AY27">
        <v>1</v>
      </c>
      <c r="AZ27">
        <v>0</v>
      </c>
      <c r="BA27">
        <v>58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Y27*Source!I45</f>
        <v>2.205E-2</v>
      </c>
      <c r="CY27">
        <f>AB27</f>
        <v>3.75</v>
      </c>
      <c r="CZ27">
        <f>AF27</f>
        <v>3.75</v>
      </c>
      <c r="DA27">
        <f>AJ27</f>
        <v>1</v>
      </c>
      <c r="DB27">
        <f t="shared" si="0"/>
        <v>1.69</v>
      </c>
      <c r="DC27">
        <f t="shared" si="1"/>
        <v>1.1499999999999999</v>
      </c>
    </row>
    <row r="28" spans="1:107" x14ac:dyDescent="0.2">
      <c r="A28">
        <f>ROW(Source!A45)</f>
        <v>45</v>
      </c>
      <c r="B28">
        <v>42278323</v>
      </c>
      <c r="C28">
        <v>42367260</v>
      </c>
      <c r="D28">
        <v>40679388</v>
      </c>
      <c r="E28">
        <v>1</v>
      </c>
      <c r="F28">
        <v>1</v>
      </c>
      <c r="G28">
        <v>27</v>
      </c>
      <c r="H28">
        <v>2</v>
      </c>
      <c r="I28" t="s">
        <v>203</v>
      </c>
      <c r="J28" t="s">
        <v>204</v>
      </c>
      <c r="K28" t="s">
        <v>205</v>
      </c>
      <c r="L28">
        <v>1368</v>
      </c>
      <c r="N28">
        <v>1011</v>
      </c>
      <c r="O28" t="s">
        <v>199</v>
      </c>
      <c r="P28" t="s">
        <v>199</v>
      </c>
      <c r="Q28">
        <v>1</v>
      </c>
      <c r="W28">
        <v>0</v>
      </c>
      <c r="X28">
        <v>-61066883</v>
      </c>
      <c r="Y28">
        <v>0.09</v>
      </c>
      <c r="AA28">
        <v>0</v>
      </c>
      <c r="AB28">
        <v>1171.51</v>
      </c>
      <c r="AC28">
        <v>487.24</v>
      </c>
      <c r="AD28">
        <v>0</v>
      </c>
      <c r="AE28">
        <v>0</v>
      </c>
      <c r="AF28">
        <v>1171.51</v>
      </c>
      <c r="AG28">
        <v>487.24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0.09</v>
      </c>
      <c r="AU28" t="s">
        <v>3</v>
      </c>
      <c r="AV28">
        <v>0</v>
      </c>
      <c r="AW28">
        <v>2</v>
      </c>
      <c r="AX28">
        <v>42367270</v>
      </c>
      <c r="AY28">
        <v>1</v>
      </c>
      <c r="AZ28">
        <v>0</v>
      </c>
      <c r="BA28">
        <v>59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Y28*Source!I45</f>
        <v>4.4099999999999999E-3</v>
      </c>
      <c r="CY28">
        <f>AB28</f>
        <v>1171.51</v>
      </c>
      <c r="CZ28">
        <f>AF28</f>
        <v>1171.51</v>
      </c>
      <c r="DA28">
        <f>AJ28</f>
        <v>1</v>
      </c>
      <c r="DB28">
        <f t="shared" si="0"/>
        <v>105.44</v>
      </c>
      <c r="DC28">
        <f t="shared" si="1"/>
        <v>43.85</v>
      </c>
    </row>
    <row r="29" spans="1:107" x14ac:dyDescent="0.2">
      <c r="A29">
        <f>ROW(Source!A45)</f>
        <v>45</v>
      </c>
      <c r="B29">
        <v>42278323</v>
      </c>
      <c r="C29">
        <v>42367260</v>
      </c>
      <c r="D29">
        <v>40681432</v>
      </c>
      <c r="E29">
        <v>1</v>
      </c>
      <c r="F29">
        <v>1</v>
      </c>
      <c r="G29">
        <v>27</v>
      </c>
      <c r="H29">
        <v>3</v>
      </c>
      <c r="I29" t="s">
        <v>206</v>
      </c>
      <c r="J29" t="s">
        <v>207</v>
      </c>
      <c r="K29" t="s">
        <v>208</v>
      </c>
      <c r="L29">
        <v>1339</v>
      </c>
      <c r="N29">
        <v>1007</v>
      </c>
      <c r="O29" t="s">
        <v>29</v>
      </c>
      <c r="P29" t="s">
        <v>29</v>
      </c>
      <c r="Q29">
        <v>1</v>
      </c>
      <c r="W29">
        <v>0</v>
      </c>
      <c r="X29">
        <v>-1662970571</v>
      </c>
      <c r="Y29">
        <v>1.1000000000000001</v>
      </c>
      <c r="AA29">
        <v>590.78</v>
      </c>
      <c r="AB29">
        <v>0</v>
      </c>
      <c r="AC29">
        <v>0</v>
      </c>
      <c r="AD29">
        <v>0</v>
      </c>
      <c r="AE29">
        <v>590.78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1.1000000000000001</v>
      </c>
      <c r="AU29" t="s">
        <v>3</v>
      </c>
      <c r="AV29">
        <v>0</v>
      </c>
      <c r="AW29">
        <v>2</v>
      </c>
      <c r="AX29">
        <v>42367271</v>
      </c>
      <c r="AY29">
        <v>1</v>
      </c>
      <c r="AZ29">
        <v>0</v>
      </c>
      <c r="BA29">
        <v>60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Y29*Source!I45</f>
        <v>5.3900000000000003E-2</v>
      </c>
      <c r="CY29">
        <f>AA29</f>
        <v>590.78</v>
      </c>
      <c r="CZ29">
        <f>AE29</f>
        <v>590.78</v>
      </c>
      <c r="DA29">
        <f>AI29</f>
        <v>1</v>
      </c>
      <c r="DB29">
        <f t="shared" si="0"/>
        <v>649.86</v>
      </c>
      <c r="DC29">
        <f t="shared" si="1"/>
        <v>0</v>
      </c>
    </row>
    <row r="30" spans="1:107" x14ac:dyDescent="0.2">
      <c r="A30">
        <f>ROW(Source!A45)</f>
        <v>45</v>
      </c>
      <c r="B30">
        <v>42278323</v>
      </c>
      <c r="C30">
        <v>42367260</v>
      </c>
      <c r="D30">
        <v>40682177</v>
      </c>
      <c r="E30">
        <v>1</v>
      </c>
      <c r="F30">
        <v>1</v>
      </c>
      <c r="G30">
        <v>27</v>
      </c>
      <c r="H30">
        <v>3</v>
      </c>
      <c r="I30" t="s">
        <v>209</v>
      </c>
      <c r="J30" t="s">
        <v>210</v>
      </c>
      <c r="K30" t="s">
        <v>211</v>
      </c>
      <c r="L30">
        <v>1339</v>
      </c>
      <c r="N30">
        <v>1007</v>
      </c>
      <c r="O30" t="s">
        <v>29</v>
      </c>
      <c r="P30" t="s">
        <v>29</v>
      </c>
      <c r="Q30">
        <v>1</v>
      </c>
      <c r="W30">
        <v>0</v>
      </c>
      <c r="X30">
        <v>2028445372</v>
      </c>
      <c r="Y30">
        <v>0.15</v>
      </c>
      <c r="AA30">
        <v>35.25</v>
      </c>
      <c r="AB30">
        <v>0</v>
      </c>
      <c r="AC30">
        <v>0</v>
      </c>
      <c r="AD30">
        <v>0</v>
      </c>
      <c r="AE30">
        <v>35.25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0.15</v>
      </c>
      <c r="AU30" t="s">
        <v>3</v>
      </c>
      <c r="AV30">
        <v>0</v>
      </c>
      <c r="AW30">
        <v>2</v>
      </c>
      <c r="AX30">
        <v>42367272</v>
      </c>
      <c r="AY30">
        <v>1</v>
      </c>
      <c r="AZ30">
        <v>0</v>
      </c>
      <c r="BA30">
        <v>61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Y30*Source!I45</f>
        <v>7.3499999999999998E-3</v>
      </c>
      <c r="CY30">
        <f>AA30</f>
        <v>35.25</v>
      </c>
      <c r="CZ30">
        <f>AE30</f>
        <v>35.25</v>
      </c>
      <c r="DA30">
        <f>AI30</f>
        <v>1</v>
      </c>
      <c r="DB30">
        <f t="shared" si="0"/>
        <v>5.29</v>
      </c>
      <c r="DC30">
        <f t="shared" si="1"/>
        <v>0</v>
      </c>
    </row>
    <row r="31" spans="1:107" x14ac:dyDescent="0.2">
      <c r="A31">
        <f>ROW(Source!A46)</f>
        <v>46</v>
      </c>
      <c r="B31">
        <v>42278323</v>
      </c>
      <c r="C31">
        <v>42367273</v>
      </c>
      <c r="D31">
        <v>40662784</v>
      </c>
      <c r="E31">
        <v>27</v>
      </c>
      <c r="F31">
        <v>1</v>
      </c>
      <c r="G31">
        <v>27</v>
      </c>
      <c r="H31">
        <v>1</v>
      </c>
      <c r="I31" t="s">
        <v>193</v>
      </c>
      <c r="J31" t="s">
        <v>3</v>
      </c>
      <c r="K31" t="s">
        <v>194</v>
      </c>
      <c r="L31">
        <v>1191</v>
      </c>
      <c r="N31">
        <v>1013</v>
      </c>
      <c r="O31" t="s">
        <v>195</v>
      </c>
      <c r="P31" t="s">
        <v>195</v>
      </c>
      <c r="Q31">
        <v>1</v>
      </c>
      <c r="W31">
        <v>0</v>
      </c>
      <c r="X31">
        <v>476480486</v>
      </c>
      <c r="Y31">
        <v>0.98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0.98</v>
      </c>
      <c r="AU31" t="s">
        <v>3</v>
      </c>
      <c r="AV31">
        <v>1</v>
      </c>
      <c r="AW31">
        <v>2</v>
      </c>
      <c r="AX31">
        <v>42367280</v>
      </c>
      <c r="AY31">
        <v>1</v>
      </c>
      <c r="AZ31">
        <v>0</v>
      </c>
      <c r="BA31">
        <v>62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Y31*Source!I46</f>
        <v>9.604E-2</v>
      </c>
      <c r="CY31">
        <f>AD31</f>
        <v>0</v>
      </c>
      <c r="CZ31">
        <f>AH31</f>
        <v>0</v>
      </c>
      <c r="DA31">
        <f>AL31</f>
        <v>1</v>
      </c>
      <c r="DB31">
        <f t="shared" si="0"/>
        <v>0</v>
      </c>
      <c r="DC31">
        <f t="shared" si="1"/>
        <v>0</v>
      </c>
    </row>
    <row r="32" spans="1:107" x14ac:dyDescent="0.2">
      <c r="A32">
        <f>ROW(Source!A46)</f>
        <v>46</v>
      </c>
      <c r="B32">
        <v>42278323</v>
      </c>
      <c r="C32">
        <v>42367273</v>
      </c>
      <c r="D32">
        <v>40679631</v>
      </c>
      <c r="E32">
        <v>1</v>
      </c>
      <c r="F32">
        <v>1</v>
      </c>
      <c r="G32">
        <v>27</v>
      </c>
      <c r="H32">
        <v>2</v>
      </c>
      <c r="I32" t="s">
        <v>196</v>
      </c>
      <c r="J32" t="s">
        <v>197</v>
      </c>
      <c r="K32" t="s">
        <v>198</v>
      </c>
      <c r="L32">
        <v>1368</v>
      </c>
      <c r="N32">
        <v>1011</v>
      </c>
      <c r="O32" t="s">
        <v>199</v>
      </c>
      <c r="P32" t="s">
        <v>199</v>
      </c>
      <c r="Q32">
        <v>1</v>
      </c>
      <c r="W32">
        <v>0</v>
      </c>
      <c r="X32">
        <v>-1226344697</v>
      </c>
      <c r="Y32">
        <v>0.25</v>
      </c>
      <c r="AA32">
        <v>0</v>
      </c>
      <c r="AB32">
        <v>470.71</v>
      </c>
      <c r="AC32">
        <v>359.8</v>
      </c>
      <c r="AD32">
        <v>0</v>
      </c>
      <c r="AE32">
        <v>0</v>
      </c>
      <c r="AF32">
        <v>470.71</v>
      </c>
      <c r="AG32">
        <v>359.8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0.25</v>
      </c>
      <c r="AU32" t="s">
        <v>3</v>
      </c>
      <c r="AV32">
        <v>0</v>
      </c>
      <c r="AW32">
        <v>2</v>
      </c>
      <c r="AX32">
        <v>42367281</v>
      </c>
      <c r="AY32">
        <v>1</v>
      </c>
      <c r="AZ32">
        <v>0</v>
      </c>
      <c r="BA32">
        <v>63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Y32*Source!I46</f>
        <v>2.4500000000000001E-2</v>
      </c>
      <c r="CY32">
        <f>AB32</f>
        <v>470.71</v>
      </c>
      <c r="CZ32">
        <f>AF32</f>
        <v>470.71</v>
      </c>
      <c r="DA32">
        <f>AJ32</f>
        <v>1</v>
      </c>
      <c r="DB32">
        <f t="shared" si="0"/>
        <v>117.68</v>
      </c>
      <c r="DC32">
        <f t="shared" si="1"/>
        <v>89.95</v>
      </c>
    </row>
    <row r="33" spans="1:107" x14ac:dyDescent="0.2">
      <c r="A33">
        <f>ROW(Source!A46)</f>
        <v>46</v>
      </c>
      <c r="B33">
        <v>42278323</v>
      </c>
      <c r="C33">
        <v>42367273</v>
      </c>
      <c r="D33">
        <v>40680099</v>
      </c>
      <c r="E33">
        <v>1</v>
      </c>
      <c r="F33">
        <v>1</v>
      </c>
      <c r="G33">
        <v>27</v>
      </c>
      <c r="H33">
        <v>2</v>
      </c>
      <c r="I33" t="s">
        <v>200</v>
      </c>
      <c r="J33" t="s">
        <v>201</v>
      </c>
      <c r="K33" t="s">
        <v>202</v>
      </c>
      <c r="L33">
        <v>1368</v>
      </c>
      <c r="N33">
        <v>1011</v>
      </c>
      <c r="O33" t="s">
        <v>199</v>
      </c>
      <c r="P33" t="s">
        <v>199</v>
      </c>
      <c r="Q33">
        <v>1</v>
      </c>
      <c r="W33">
        <v>0</v>
      </c>
      <c r="X33">
        <v>-1383996176</v>
      </c>
      <c r="Y33">
        <v>0.5</v>
      </c>
      <c r="AA33">
        <v>0</v>
      </c>
      <c r="AB33">
        <v>3.75</v>
      </c>
      <c r="AC33">
        <v>2.56</v>
      </c>
      <c r="AD33">
        <v>0</v>
      </c>
      <c r="AE33">
        <v>0</v>
      </c>
      <c r="AF33">
        <v>3.75</v>
      </c>
      <c r="AG33">
        <v>2.56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0.5</v>
      </c>
      <c r="AU33" t="s">
        <v>3</v>
      </c>
      <c r="AV33">
        <v>0</v>
      </c>
      <c r="AW33">
        <v>2</v>
      </c>
      <c r="AX33">
        <v>42367282</v>
      </c>
      <c r="AY33">
        <v>1</v>
      </c>
      <c r="AZ33">
        <v>0</v>
      </c>
      <c r="BA33">
        <v>64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Y33*Source!I46</f>
        <v>4.9000000000000002E-2</v>
      </c>
      <c r="CY33">
        <f>AB33</f>
        <v>3.75</v>
      </c>
      <c r="CZ33">
        <f>AF33</f>
        <v>3.75</v>
      </c>
      <c r="DA33">
        <f>AJ33</f>
        <v>1</v>
      </c>
      <c r="DB33">
        <f t="shared" ref="DB33:DB64" si="2">ROUND(ROUND(AT33*CZ33,2),6)</f>
        <v>1.88</v>
      </c>
      <c r="DC33">
        <f t="shared" ref="DC33:DC64" si="3">ROUND(ROUND(AT33*AG33,2),6)</f>
        <v>1.28</v>
      </c>
    </row>
    <row r="34" spans="1:107" x14ac:dyDescent="0.2">
      <c r="A34">
        <f>ROW(Source!A46)</f>
        <v>46</v>
      </c>
      <c r="B34">
        <v>42278323</v>
      </c>
      <c r="C34">
        <v>42367273</v>
      </c>
      <c r="D34">
        <v>40679388</v>
      </c>
      <c r="E34">
        <v>1</v>
      </c>
      <c r="F34">
        <v>1</v>
      </c>
      <c r="G34">
        <v>27</v>
      </c>
      <c r="H34">
        <v>2</v>
      </c>
      <c r="I34" t="s">
        <v>203</v>
      </c>
      <c r="J34" t="s">
        <v>204</v>
      </c>
      <c r="K34" t="s">
        <v>205</v>
      </c>
      <c r="L34">
        <v>1368</v>
      </c>
      <c r="N34">
        <v>1011</v>
      </c>
      <c r="O34" t="s">
        <v>199</v>
      </c>
      <c r="P34" t="s">
        <v>199</v>
      </c>
      <c r="Q34">
        <v>1</v>
      </c>
      <c r="W34">
        <v>0</v>
      </c>
      <c r="X34">
        <v>-61066883</v>
      </c>
      <c r="Y34">
        <v>0.09</v>
      </c>
      <c r="AA34">
        <v>0</v>
      </c>
      <c r="AB34">
        <v>1171.51</v>
      </c>
      <c r="AC34">
        <v>487.24</v>
      </c>
      <c r="AD34">
        <v>0</v>
      </c>
      <c r="AE34">
        <v>0</v>
      </c>
      <c r="AF34">
        <v>1171.51</v>
      </c>
      <c r="AG34">
        <v>487.24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0.09</v>
      </c>
      <c r="AU34" t="s">
        <v>3</v>
      </c>
      <c r="AV34">
        <v>0</v>
      </c>
      <c r="AW34">
        <v>2</v>
      </c>
      <c r="AX34">
        <v>42367283</v>
      </c>
      <c r="AY34">
        <v>1</v>
      </c>
      <c r="AZ34">
        <v>0</v>
      </c>
      <c r="BA34">
        <v>65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Y34*Source!I46</f>
        <v>8.8199999999999997E-3</v>
      </c>
      <c r="CY34">
        <f>AB34</f>
        <v>1171.51</v>
      </c>
      <c r="CZ34">
        <f>AF34</f>
        <v>1171.51</v>
      </c>
      <c r="DA34">
        <f>AJ34</f>
        <v>1</v>
      </c>
      <c r="DB34">
        <f t="shared" si="2"/>
        <v>105.44</v>
      </c>
      <c r="DC34">
        <f t="shared" si="3"/>
        <v>43.85</v>
      </c>
    </row>
    <row r="35" spans="1:107" x14ac:dyDescent="0.2">
      <c r="A35">
        <f>ROW(Source!A46)</f>
        <v>46</v>
      </c>
      <c r="B35">
        <v>42278323</v>
      </c>
      <c r="C35">
        <v>42367273</v>
      </c>
      <c r="D35">
        <v>40681466</v>
      </c>
      <c r="E35">
        <v>1</v>
      </c>
      <c r="F35">
        <v>1</v>
      </c>
      <c r="G35">
        <v>27</v>
      </c>
      <c r="H35">
        <v>3</v>
      </c>
      <c r="I35" t="s">
        <v>212</v>
      </c>
      <c r="J35" t="s">
        <v>213</v>
      </c>
      <c r="K35" t="s">
        <v>214</v>
      </c>
      <c r="L35">
        <v>1339</v>
      </c>
      <c r="N35">
        <v>1007</v>
      </c>
      <c r="O35" t="s">
        <v>29</v>
      </c>
      <c r="P35" t="s">
        <v>29</v>
      </c>
      <c r="Q35">
        <v>1</v>
      </c>
      <c r="W35">
        <v>0</v>
      </c>
      <c r="X35">
        <v>353177933</v>
      </c>
      <c r="Y35">
        <v>1.1499999999999999</v>
      </c>
      <c r="AA35">
        <v>1436.5</v>
      </c>
      <c r="AB35">
        <v>0</v>
      </c>
      <c r="AC35">
        <v>0</v>
      </c>
      <c r="AD35">
        <v>0</v>
      </c>
      <c r="AE35">
        <v>1436.5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1.1499999999999999</v>
      </c>
      <c r="AU35" t="s">
        <v>3</v>
      </c>
      <c r="AV35">
        <v>0</v>
      </c>
      <c r="AW35">
        <v>2</v>
      </c>
      <c r="AX35">
        <v>42367284</v>
      </c>
      <c r="AY35">
        <v>1</v>
      </c>
      <c r="AZ35">
        <v>0</v>
      </c>
      <c r="BA35">
        <v>66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Y35*Source!I46</f>
        <v>0.11269999999999999</v>
      </c>
      <c r="CY35">
        <f>AA35</f>
        <v>1436.5</v>
      </c>
      <c r="CZ35">
        <f>AE35</f>
        <v>1436.5</v>
      </c>
      <c r="DA35">
        <f>AI35</f>
        <v>1</v>
      </c>
      <c r="DB35">
        <f t="shared" si="2"/>
        <v>1651.98</v>
      </c>
      <c r="DC35">
        <f t="shared" si="3"/>
        <v>0</v>
      </c>
    </row>
    <row r="36" spans="1:107" x14ac:dyDescent="0.2">
      <c r="A36">
        <f>ROW(Source!A46)</f>
        <v>46</v>
      </c>
      <c r="B36">
        <v>42278323</v>
      </c>
      <c r="C36">
        <v>42367273</v>
      </c>
      <c r="D36">
        <v>40682177</v>
      </c>
      <c r="E36">
        <v>1</v>
      </c>
      <c r="F36">
        <v>1</v>
      </c>
      <c r="G36">
        <v>27</v>
      </c>
      <c r="H36">
        <v>3</v>
      </c>
      <c r="I36" t="s">
        <v>209</v>
      </c>
      <c r="J36" t="s">
        <v>210</v>
      </c>
      <c r="K36" t="s">
        <v>211</v>
      </c>
      <c r="L36">
        <v>1339</v>
      </c>
      <c r="N36">
        <v>1007</v>
      </c>
      <c r="O36" t="s">
        <v>29</v>
      </c>
      <c r="P36" t="s">
        <v>29</v>
      </c>
      <c r="Q36">
        <v>1</v>
      </c>
      <c r="W36">
        <v>0</v>
      </c>
      <c r="X36">
        <v>2028445372</v>
      </c>
      <c r="Y36">
        <v>0.15</v>
      </c>
      <c r="AA36">
        <v>35.25</v>
      </c>
      <c r="AB36">
        <v>0</v>
      </c>
      <c r="AC36">
        <v>0</v>
      </c>
      <c r="AD36">
        <v>0</v>
      </c>
      <c r="AE36">
        <v>35.25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0.15</v>
      </c>
      <c r="AU36" t="s">
        <v>3</v>
      </c>
      <c r="AV36">
        <v>0</v>
      </c>
      <c r="AW36">
        <v>2</v>
      </c>
      <c r="AX36">
        <v>42367285</v>
      </c>
      <c r="AY36">
        <v>1</v>
      </c>
      <c r="AZ36">
        <v>0</v>
      </c>
      <c r="BA36">
        <v>67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Y36*Source!I46</f>
        <v>1.47E-2</v>
      </c>
      <c r="CY36">
        <f>AA36</f>
        <v>35.25</v>
      </c>
      <c r="CZ36">
        <f>AE36</f>
        <v>35.25</v>
      </c>
      <c r="DA36">
        <f>AI36</f>
        <v>1</v>
      </c>
      <c r="DB36">
        <f t="shared" si="2"/>
        <v>5.29</v>
      </c>
      <c r="DC36">
        <f t="shared" si="3"/>
        <v>0</v>
      </c>
    </row>
    <row r="37" spans="1:107" x14ac:dyDescent="0.2">
      <c r="A37">
        <f>ROW(Source!A48)</f>
        <v>48</v>
      </c>
      <c r="B37">
        <v>42278323</v>
      </c>
      <c r="C37">
        <v>42279655</v>
      </c>
      <c r="D37">
        <v>40683405</v>
      </c>
      <c r="E37">
        <v>1</v>
      </c>
      <c r="F37">
        <v>1</v>
      </c>
      <c r="G37">
        <v>27</v>
      </c>
      <c r="H37">
        <v>3</v>
      </c>
      <c r="I37" t="s">
        <v>50</v>
      </c>
      <c r="J37" t="s">
        <v>52</v>
      </c>
      <c r="K37" t="s">
        <v>51</v>
      </c>
      <c r="L37">
        <v>1348</v>
      </c>
      <c r="N37">
        <v>1009</v>
      </c>
      <c r="O37" t="s">
        <v>42</v>
      </c>
      <c r="P37" t="s">
        <v>42</v>
      </c>
      <c r="Q37">
        <v>1000</v>
      </c>
      <c r="W37">
        <v>1</v>
      </c>
      <c r="X37">
        <v>588667335</v>
      </c>
      <c r="Y37">
        <v>-1</v>
      </c>
      <c r="AA37">
        <v>53233.52</v>
      </c>
      <c r="AB37">
        <v>0</v>
      </c>
      <c r="AC37">
        <v>0</v>
      </c>
      <c r="AD37">
        <v>0</v>
      </c>
      <c r="AE37">
        <v>53233.52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3</v>
      </c>
      <c r="AT37">
        <v>-1</v>
      </c>
      <c r="AU37" t="s">
        <v>3</v>
      </c>
      <c r="AV37">
        <v>0</v>
      </c>
      <c r="AW37">
        <v>2</v>
      </c>
      <c r="AX37">
        <v>42279657</v>
      </c>
      <c r="AY37">
        <v>1</v>
      </c>
      <c r="AZ37">
        <v>6144</v>
      </c>
      <c r="BA37">
        <v>81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Y37*Source!I48</f>
        <v>-8.5000000000000006E-2</v>
      </c>
      <c r="CY37">
        <f>AA37</f>
        <v>53233.52</v>
      </c>
      <c r="CZ37">
        <f>AE37</f>
        <v>53233.52</v>
      </c>
      <c r="DA37">
        <f>AI37</f>
        <v>1</v>
      </c>
      <c r="DB37">
        <f t="shared" si="2"/>
        <v>-53233.52</v>
      </c>
      <c r="DC37">
        <f t="shared" si="3"/>
        <v>0</v>
      </c>
    </row>
    <row r="38" spans="1:107" x14ac:dyDescent="0.2">
      <c r="A38">
        <f>ROW(Source!A48)</f>
        <v>48</v>
      </c>
      <c r="B38">
        <v>42278323</v>
      </c>
      <c r="C38">
        <v>42279655</v>
      </c>
      <c r="D38">
        <v>40684692</v>
      </c>
      <c r="E38">
        <v>1</v>
      </c>
      <c r="F38">
        <v>1</v>
      </c>
      <c r="G38">
        <v>27</v>
      </c>
      <c r="H38">
        <v>3</v>
      </c>
      <c r="I38" t="s">
        <v>45</v>
      </c>
      <c r="J38" t="s">
        <v>48</v>
      </c>
      <c r="K38" t="s">
        <v>46</v>
      </c>
      <c r="L38">
        <v>1354</v>
      </c>
      <c r="N38">
        <v>1010</v>
      </c>
      <c r="O38" t="s">
        <v>47</v>
      </c>
      <c r="P38" t="s">
        <v>47</v>
      </c>
      <c r="Q38">
        <v>1</v>
      </c>
      <c r="W38">
        <v>0</v>
      </c>
      <c r="X38">
        <v>462942439</v>
      </c>
      <c r="Y38">
        <v>11.764706</v>
      </c>
      <c r="AA38">
        <v>210</v>
      </c>
      <c r="AB38">
        <v>0</v>
      </c>
      <c r="AC38">
        <v>0</v>
      </c>
      <c r="AD38">
        <v>0</v>
      </c>
      <c r="AE38">
        <v>210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3</v>
      </c>
      <c r="AT38">
        <v>11.764706</v>
      </c>
      <c r="AU38" t="s">
        <v>3</v>
      </c>
      <c r="AV38">
        <v>0</v>
      </c>
      <c r="AW38">
        <v>1</v>
      </c>
      <c r="AX38">
        <v>-1</v>
      </c>
      <c r="AY38">
        <v>0</v>
      </c>
      <c r="AZ38">
        <v>0</v>
      </c>
      <c r="BA38" t="s">
        <v>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Y38*Source!I48</f>
        <v>1.0000000100000002</v>
      </c>
      <c r="CY38">
        <f>AA38</f>
        <v>210</v>
      </c>
      <c r="CZ38">
        <f>AE38</f>
        <v>210</v>
      </c>
      <c r="DA38">
        <f>AI38</f>
        <v>1</v>
      </c>
      <c r="DB38">
        <f t="shared" si="2"/>
        <v>2470.59</v>
      </c>
      <c r="DC38">
        <f t="shared" si="3"/>
        <v>0</v>
      </c>
    </row>
    <row r="39" spans="1:107" x14ac:dyDescent="0.2">
      <c r="A39">
        <f>ROW(Source!A53)</f>
        <v>53</v>
      </c>
      <c r="B39">
        <v>42278323</v>
      </c>
      <c r="C39">
        <v>42367288</v>
      </c>
      <c r="D39">
        <v>40662784</v>
      </c>
      <c r="E39">
        <v>27</v>
      </c>
      <c r="F39">
        <v>1</v>
      </c>
      <c r="G39">
        <v>27</v>
      </c>
      <c r="H39">
        <v>1</v>
      </c>
      <c r="I39" t="s">
        <v>193</v>
      </c>
      <c r="J39" t="s">
        <v>3</v>
      </c>
      <c r="K39" t="s">
        <v>194</v>
      </c>
      <c r="L39">
        <v>1191</v>
      </c>
      <c r="N39">
        <v>1013</v>
      </c>
      <c r="O39" t="s">
        <v>195</v>
      </c>
      <c r="P39" t="s">
        <v>195</v>
      </c>
      <c r="Q39">
        <v>1</v>
      </c>
      <c r="W39">
        <v>0</v>
      </c>
      <c r="X39">
        <v>476480486</v>
      </c>
      <c r="Y39">
        <v>0.9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0.9</v>
      </c>
      <c r="AU39" t="s">
        <v>3</v>
      </c>
      <c r="AV39">
        <v>1</v>
      </c>
      <c r="AW39">
        <v>2</v>
      </c>
      <c r="AX39">
        <v>42367295</v>
      </c>
      <c r="AY39">
        <v>1</v>
      </c>
      <c r="AZ39">
        <v>0</v>
      </c>
      <c r="BA39">
        <v>83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Y39*Source!I53</f>
        <v>4.41E-2</v>
      </c>
      <c r="CY39">
        <f>AD39</f>
        <v>0</v>
      </c>
      <c r="CZ39">
        <f>AH39</f>
        <v>0</v>
      </c>
      <c r="DA39">
        <f>AL39</f>
        <v>1</v>
      </c>
      <c r="DB39">
        <f t="shared" si="2"/>
        <v>0</v>
      </c>
      <c r="DC39">
        <f t="shared" si="3"/>
        <v>0</v>
      </c>
    </row>
    <row r="40" spans="1:107" x14ac:dyDescent="0.2">
      <c r="A40">
        <f>ROW(Source!A53)</f>
        <v>53</v>
      </c>
      <c r="B40">
        <v>42278323</v>
      </c>
      <c r="C40">
        <v>42367288</v>
      </c>
      <c r="D40">
        <v>40679631</v>
      </c>
      <c r="E40">
        <v>1</v>
      </c>
      <c r="F40">
        <v>1</v>
      </c>
      <c r="G40">
        <v>27</v>
      </c>
      <c r="H40">
        <v>2</v>
      </c>
      <c r="I40" t="s">
        <v>196</v>
      </c>
      <c r="J40" t="s">
        <v>197</v>
      </c>
      <c r="K40" t="s">
        <v>198</v>
      </c>
      <c r="L40">
        <v>1368</v>
      </c>
      <c r="N40">
        <v>1011</v>
      </c>
      <c r="O40" t="s">
        <v>199</v>
      </c>
      <c r="P40" t="s">
        <v>199</v>
      </c>
      <c r="Q40">
        <v>1</v>
      </c>
      <c r="W40">
        <v>0</v>
      </c>
      <c r="X40">
        <v>-1226344697</v>
      </c>
      <c r="Y40">
        <v>0.22</v>
      </c>
      <c r="AA40">
        <v>0</v>
      </c>
      <c r="AB40">
        <v>470.71</v>
      </c>
      <c r="AC40">
        <v>359.8</v>
      </c>
      <c r="AD40">
        <v>0</v>
      </c>
      <c r="AE40">
        <v>0</v>
      </c>
      <c r="AF40">
        <v>470.71</v>
      </c>
      <c r="AG40">
        <v>359.8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0.22</v>
      </c>
      <c r="AU40" t="s">
        <v>3</v>
      </c>
      <c r="AV40">
        <v>0</v>
      </c>
      <c r="AW40">
        <v>2</v>
      </c>
      <c r="AX40">
        <v>42367296</v>
      </c>
      <c r="AY40">
        <v>1</v>
      </c>
      <c r="AZ40">
        <v>0</v>
      </c>
      <c r="BA40">
        <v>84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Y40*Source!I53</f>
        <v>1.078E-2</v>
      </c>
      <c r="CY40">
        <f>AB40</f>
        <v>470.71</v>
      </c>
      <c r="CZ40">
        <f>AF40</f>
        <v>470.71</v>
      </c>
      <c r="DA40">
        <f>AJ40</f>
        <v>1</v>
      </c>
      <c r="DB40">
        <f t="shared" si="2"/>
        <v>103.56</v>
      </c>
      <c r="DC40">
        <f t="shared" si="3"/>
        <v>79.16</v>
      </c>
    </row>
    <row r="41" spans="1:107" x14ac:dyDescent="0.2">
      <c r="A41">
        <f>ROW(Source!A53)</f>
        <v>53</v>
      </c>
      <c r="B41">
        <v>42278323</v>
      </c>
      <c r="C41">
        <v>42367288</v>
      </c>
      <c r="D41">
        <v>40680099</v>
      </c>
      <c r="E41">
        <v>1</v>
      </c>
      <c r="F41">
        <v>1</v>
      </c>
      <c r="G41">
        <v>27</v>
      </c>
      <c r="H41">
        <v>2</v>
      </c>
      <c r="I41" t="s">
        <v>200</v>
      </c>
      <c r="J41" t="s">
        <v>201</v>
      </c>
      <c r="K41" t="s">
        <v>202</v>
      </c>
      <c r="L41">
        <v>1368</v>
      </c>
      <c r="N41">
        <v>1011</v>
      </c>
      <c r="O41" t="s">
        <v>199</v>
      </c>
      <c r="P41" t="s">
        <v>199</v>
      </c>
      <c r="Q41">
        <v>1</v>
      </c>
      <c r="W41">
        <v>0</v>
      </c>
      <c r="X41">
        <v>-1383996176</v>
      </c>
      <c r="Y41">
        <v>0.45</v>
      </c>
      <c r="AA41">
        <v>0</v>
      </c>
      <c r="AB41">
        <v>3.75</v>
      </c>
      <c r="AC41">
        <v>2.56</v>
      </c>
      <c r="AD41">
        <v>0</v>
      </c>
      <c r="AE41">
        <v>0</v>
      </c>
      <c r="AF41">
        <v>3.75</v>
      </c>
      <c r="AG41">
        <v>2.56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0.45</v>
      </c>
      <c r="AU41" t="s">
        <v>3</v>
      </c>
      <c r="AV41">
        <v>0</v>
      </c>
      <c r="AW41">
        <v>2</v>
      </c>
      <c r="AX41">
        <v>42367297</v>
      </c>
      <c r="AY41">
        <v>1</v>
      </c>
      <c r="AZ41">
        <v>0</v>
      </c>
      <c r="BA41">
        <v>85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Y41*Source!I53</f>
        <v>2.205E-2</v>
      </c>
      <c r="CY41">
        <f>AB41</f>
        <v>3.75</v>
      </c>
      <c r="CZ41">
        <f>AF41</f>
        <v>3.75</v>
      </c>
      <c r="DA41">
        <f>AJ41</f>
        <v>1</v>
      </c>
      <c r="DB41">
        <f t="shared" si="2"/>
        <v>1.69</v>
      </c>
      <c r="DC41">
        <f t="shared" si="3"/>
        <v>1.1499999999999999</v>
      </c>
    </row>
    <row r="42" spans="1:107" x14ac:dyDescent="0.2">
      <c r="A42">
        <f>ROW(Source!A53)</f>
        <v>53</v>
      </c>
      <c r="B42">
        <v>42278323</v>
      </c>
      <c r="C42">
        <v>42367288</v>
      </c>
      <c r="D42">
        <v>40679388</v>
      </c>
      <c r="E42">
        <v>1</v>
      </c>
      <c r="F42">
        <v>1</v>
      </c>
      <c r="G42">
        <v>27</v>
      </c>
      <c r="H42">
        <v>2</v>
      </c>
      <c r="I42" t="s">
        <v>203</v>
      </c>
      <c r="J42" t="s">
        <v>204</v>
      </c>
      <c r="K42" t="s">
        <v>205</v>
      </c>
      <c r="L42">
        <v>1368</v>
      </c>
      <c r="N42">
        <v>1011</v>
      </c>
      <c r="O42" t="s">
        <v>199</v>
      </c>
      <c r="P42" t="s">
        <v>199</v>
      </c>
      <c r="Q42">
        <v>1</v>
      </c>
      <c r="W42">
        <v>0</v>
      </c>
      <c r="X42">
        <v>-61066883</v>
      </c>
      <c r="Y42">
        <v>0.09</v>
      </c>
      <c r="AA42">
        <v>0</v>
      </c>
      <c r="AB42">
        <v>1171.51</v>
      </c>
      <c r="AC42">
        <v>487.24</v>
      </c>
      <c r="AD42">
        <v>0</v>
      </c>
      <c r="AE42">
        <v>0</v>
      </c>
      <c r="AF42">
        <v>1171.51</v>
      </c>
      <c r="AG42">
        <v>487.24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0.09</v>
      </c>
      <c r="AU42" t="s">
        <v>3</v>
      </c>
      <c r="AV42">
        <v>0</v>
      </c>
      <c r="AW42">
        <v>2</v>
      </c>
      <c r="AX42">
        <v>42367298</v>
      </c>
      <c r="AY42">
        <v>1</v>
      </c>
      <c r="AZ42">
        <v>0</v>
      </c>
      <c r="BA42">
        <v>86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Y42*Source!I53</f>
        <v>4.4099999999999999E-3</v>
      </c>
      <c r="CY42">
        <f>AB42</f>
        <v>1171.51</v>
      </c>
      <c r="CZ42">
        <f>AF42</f>
        <v>1171.51</v>
      </c>
      <c r="DA42">
        <f>AJ42</f>
        <v>1</v>
      </c>
      <c r="DB42">
        <f t="shared" si="2"/>
        <v>105.44</v>
      </c>
      <c r="DC42">
        <f t="shared" si="3"/>
        <v>43.85</v>
      </c>
    </row>
    <row r="43" spans="1:107" x14ac:dyDescent="0.2">
      <c r="A43">
        <f>ROW(Source!A53)</f>
        <v>53</v>
      </c>
      <c r="B43">
        <v>42278323</v>
      </c>
      <c r="C43">
        <v>42367288</v>
      </c>
      <c r="D43">
        <v>40681432</v>
      </c>
      <c r="E43">
        <v>1</v>
      </c>
      <c r="F43">
        <v>1</v>
      </c>
      <c r="G43">
        <v>27</v>
      </c>
      <c r="H43">
        <v>3</v>
      </c>
      <c r="I43" t="s">
        <v>206</v>
      </c>
      <c r="J43" t="s">
        <v>207</v>
      </c>
      <c r="K43" t="s">
        <v>208</v>
      </c>
      <c r="L43">
        <v>1339</v>
      </c>
      <c r="N43">
        <v>1007</v>
      </c>
      <c r="O43" t="s">
        <v>29</v>
      </c>
      <c r="P43" t="s">
        <v>29</v>
      </c>
      <c r="Q43">
        <v>1</v>
      </c>
      <c r="W43">
        <v>0</v>
      </c>
      <c r="X43">
        <v>-1662970571</v>
      </c>
      <c r="Y43">
        <v>1.1000000000000001</v>
      </c>
      <c r="AA43">
        <v>590.78</v>
      </c>
      <c r="AB43">
        <v>0</v>
      </c>
      <c r="AC43">
        <v>0</v>
      </c>
      <c r="AD43">
        <v>0</v>
      </c>
      <c r="AE43">
        <v>590.78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1.1000000000000001</v>
      </c>
      <c r="AU43" t="s">
        <v>3</v>
      </c>
      <c r="AV43">
        <v>0</v>
      </c>
      <c r="AW43">
        <v>2</v>
      </c>
      <c r="AX43">
        <v>42367299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Y43*Source!I53</f>
        <v>5.3900000000000003E-2</v>
      </c>
      <c r="CY43">
        <f>AA43</f>
        <v>590.78</v>
      </c>
      <c r="CZ43">
        <f>AE43</f>
        <v>590.78</v>
      </c>
      <c r="DA43">
        <f>AI43</f>
        <v>1</v>
      </c>
      <c r="DB43">
        <f t="shared" si="2"/>
        <v>649.86</v>
      </c>
      <c r="DC43">
        <f t="shared" si="3"/>
        <v>0</v>
      </c>
    </row>
    <row r="44" spans="1:107" x14ac:dyDescent="0.2">
      <c r="A44">
        <f>ROW(Source!A53)</f>
        <v>53</v>
      </c>
      <c r="B44">
        <v>42278323</v>
      </c>
      <c r="C44">
        <v>42367288</v>
      </c>
      <c r="D44">
        <v>40682177</v>
      </c>
      <c r="E44">
        <v>1</v>
      </c>
      <c r="F44">
        <v>1</v>
      </c>
      <c r="G44">
        <v>27</v>
      </c>
      <c r="H44">
        <v>3</v>
      </c>
      <c r="I44" t="s">
        <v>209</v>
      </c>
      <c r="J44" t="s">
        <v>210</v>
      </c>
      <c r="K44" t="s">
        <v>211</v>
      </c>
      <c r="L44">
        <v>1339</v>
      </c>
      <c r="N44">
        <v>1007</v>
      </c>
      <c r="O44" t="s">
        <v>29</v>
      </c>
      <c r="P44" t="s">
        <v>29</v>
      </c>
      <c r="Q44">
        <v>1</v>
      </c>
      <c r="W44">
        <v>0</v>
      </c>
      <c r="X44">
        <v>2028445372</v>
      </c>
      <c r="Y44">
        <v>0.15</v>
      </c>
      <c r="AA44">
        <v>35.25</v>
      </c>
      <c r="AB44">
        <v>0</v>
      </c>
      <c r="AC44">
        <v>0</v>
      </c>
      <c r="AD44">
        <v>0</v>
      </c>
      <c r="AE44">
        <v>35.25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0.15</v>
      </c>
      <c r="AU44" t="s">
        <v>3</v>
      </c>
      <c r="AV44">
        <v>0</v>
      </c>
      <c r="AW44">
        <v>2</v>
      </c>
      <c r="AX44">
        <v>42367300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Y44*Source!I53</f>
        <v>7.3499999999999998E-3</v>
      </c>
      <c r="CY44">
        <f>AA44</f>
        <v>35.25</v>
      </c>
      <c r="CZ44">
        <f>AE44</f>
        <v>35.25</v>
      </c>
      <c r="DA44">
        <f>AI44</f>
        <v>1</v>
      </c>
      <c r="DB44">
        <f t="shared" si="2"/>
        <v>5.29</v>
      </c>
      <c r="DC44">
        <f t="shared" si="3"/>
        <v>0</v>
      </c>
    </row>
    <row r="45" spans="1:107" x14ac:dyDescent="0.2">
      <c r="A45">
        <f>ROW(Source!A54)</f>
        <v>54</v>
      </c>
      <c r="B45">
        <v>42278323</v>
      </c>
      <c r="C45">
        <v>42367301</v>
      </c>
      <c r="D45">
        <v>40662784</v>
      </c>
      <c r="E45">
        <v>27</v>
      </c>
      <c r="F45">
        <v>1</v>
      </c>
      <c r="G45">
        <v>27</v>
      </c>
      <c r="H45">
        <v>1</v>
      </c>
      <c r="I45" t="s">
        <v>193</v>
      </c>
      <c r="J45" t="s">
        <v>3</v>
      </c>
      <c r="K45" t="s">
        <v>194</v>
      </c>
      <c r="L45">
        <v>1191</v>
      </c>
      <c r="N45">
        <v>1013</v>
      </c>
      <c r="O45" t="s">
        <v>195</v>
      </c>
      <c r="P45" t="s">
        <v>195</v>
      </c>
      <c r="Q45">
        <v>1</v>
      </c>
      <c r="W45">
        <v>0</v>
      </c>
      <c r="X45">
        <v>476480486</v>
      </c>
      <c r="Y45">
        <v>0.98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0.98</v>
      </c>
      <c r="AU45" t="s">
        <v>3</v>
      </c>
      <c r="AV45">
        <v>1</v>
      </c>
      <c r="AW45">
        <v>2</v>
      </c>
      <c r="AX45">
        <v>42367308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Y45*Source!I54</f>
        <v>9.604E-2</v>
      </c>
      <c r="CY45">
        <f>AD45</f>
        <v>0</v>
      </c>
      <c r="CZ45">
        <f>AH45</f>
        <v>0</v>
      </c>
      <c r="DA45">
        <f>AL45</f>
        <v>1</v>
      </c>
      <c r="DB45">
        <f t="shared" si="2"/>
        <v>0</v>
      </c>
      <c r="DC45">
        <f t="shared" si="3"/>
        <v>0</v>
      </c>
    </row>
    <row r="46" spans="1:107" x14ac:dyDescent="0.2">
      <c r="A46">
        <f>ROW(Source!A54)</f>
        <v>54</v>
      </c>
      <c r="B46">
        <v>42278323</v>
      </c>
      <c r="C46">
        <v>42367301</v>
      </c>
      <c r="D46">
        <v>40679631</v>
      </c>
      <c r="E46">
        <v>1</v>
      </c>
      <c r="F46">
        <v>1</v>
      </c>
      <c r="G46">
        <v>27</v>
      </c>
      <c r="H46">
        <v>2</v>
      </c>
      <c r="I46" t="s">
        <v>196</v>
      </c>
      <c r="J46" t="s">
        <v>197</v>
      </c>
      <c r="K46" t="s">
        <v>198</v>
      </c>
      <c r="L46">
        <v>1368</v>
      </c>
      <c r="N46">
        <v>1011</v>
      </c>
      <c r="O46" t="s">
        <v>199</v>
      </c>
      <c r="P46" t="s">
        <v>199</v>
      </c>
      <c r="Q46">
        <v>1</v>
      </c>
      <c r="W46">
        <v>0</v>
      </c>
      <c r="X46">
        <v>-1226344697</v>
      </c>
      <c r="Y46">
        <v>0.25</v>
      </c>
      <c r="AA46">
        <v>0</v>
      </c>
      <c r="AB46">
        <v>470.71</v>
      </c>
      <c r="AC46">
        <v>359.8</v>
      </c>
      <c r="AD46">
        <v>0</v>
      </c>
      <c r="AE46">
        <v>0</v>
      </c>
      <c r="AF46">
        <v>470.71</v>
      </c>
      <c r="AG46">
        <v>359.8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0.25</v>
      </c>
      <c r="AU46" t="s">
        <v>3</v>
      </c>
      <c r="AV46">
        <v>0</v>
      </c>
      <c r="AW46">
        <v>2</v>
      </c>
      <c r="AX46">
        <v>42367309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Y46*Source!I54</f>
        <v>2.4500000000000001E-2</v>
      </c>
      <c r="CY46">
        <f>AB46</f>
        <v>470.71</v>
      </c>
      <c r="CZ46">
        <f>AF46</f>
        <v>470.71</v>
      </c>
      <c r="DA46">
        <f>AJ46</f>
        <v>1</v>
      </c>
      <c r="DB46">
        <f t="shared" si="2"/>
        <v>117.68</v>
      </c>
      <c r="DC46">
        <f t="shared" si="3"/>
        <v>89.95</v>
      </c>
    </row>
    <row r="47" spans="1:107" x14ac:dyDescent="0.2">
      <c r="A47">
        <f>ROW(Source!A54)</f>
        <v>54</v>
      </c>
      <c r="B47">
        <v>42278323</v>
      </c>
      <c r="C47">
        <v>42367301</v>
      </c>
      <c r="D47">
        <v>40680099</v>
      </c>
      <c r="E47">
        <v>1</v>
      </c>
      <c r="F47">
        <v>1</v>
      </c>
      <c r="G47">
        <v>27</v>
      </c>
      <c r="H47">
        <v>2</v>
      </c>
      <c r="I47" t="s">
        <v>200</v>
      </c>
      <c r="J47" t="s">
        <v>201</v>
      </c>
      <c r="K47" t="s">
        <v>202</v>
      </c>
      <c r="L47">
        <v>1368</v>
      </c>
      <c r="N47">
        <v>1011</v>
      </c>
      <c r="O47" t="s">
        <v>199</v>
      </c>
      <c r="P47" t="s">
        <v>199</v>
      </c>
      <c r="Q47">
        <v>1</v>
      </c>
      <c r="W47">
        <v>0</v>
      </c>
      <c r="X47">
        <v>-1383996176</v>
      </c>
      <c r="Y47">
        <v>0.5</v>
      </c>
      <c r="AA47">
        <v>0</v>
      </c>
      <c r="AB47">
        <v>3.75</v>
      </c>
      <c r="AC47">
        <v>2.56</v>
      </c>
      <c r="AD47">
        <v>0</v>
      </c>
      <c r="AE47">
        <v>0</v>
      </c>
      <c r="AF47">
        <v>3.75</v>
      </c>
      <c r="AG47">
        <v>2.56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0.5</v>
      </c>
      <c r="AU47" t="s">
        <v>3</v>
      </c>
      <c r="AV47">
        <v>0</v>
      </c>
      <c r="AW47">
        <v>2</v>
      </c>
      <c r="AX47">
        <v>42367310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Y47*Source!I54</f>
        <v>4.9000000000000002E-2</v>
      </c>
      <c r="CY47">
        <f>AB47</f>
        <v>3.75</v>
      </c>
      <c r="CZ47">
        <f>AF47</f>
        <v>3.75</v>
      </c>
      <c r="DA47">
        <f>AJ47</f>
        <v>1</v>
      </c>
      <c r="DB47">
        <f t="shared" si="2"/>
        <v>1.88</v>
      </c>
      <c r="DC47">
        <f t="shared" si="3"/>
        <v>1.28</v>
      </c>
    </row>
    <row r="48" spans="1:107" x14ac:dyDescent="0.2">
      <c r="A48">
        <f>ROW(Source!A54)</f>
        <v>54</v>
      </c>
      <c r="B48">
        <v>42278323</v>
      </c>
      <c r="C48">
        <v>42367301</v>
      </c>
      <c r="D48">
        <v>40679388</v>
      </c>
      <c r="E48">
        <v>1</v>
      </c>
      <c r="F48">
        <v>1</v>
      </c>
      <c r="G48">
        <v>27</v>
      </c>
      <c r="H48">
        <v>2</v>
      </c>
      <c r="I48" t="s">
        <v>203</v>
      </c>
      <c r="J48" t="s">
        <v>204</v>
      </c>
      <c r="K48" t="s">
        <v>205</v>
      </c>
      <c r="L48">
        <v>1368</v>
      </c>
      <c r="N48">
        <v>1011</v>
      </c>
      <c r="O48" t="s">
        <v>199</v>
      </c>
      <c r="P48" t="s">
        <v>199</v>
      </c>
      <c r="Q48">
        <v>1</v>
      </c>
      <c r="W48">
        <v>0</v>
      </c>
      <c r="X48">
        <v>-61066883</v>
      </c>
      <c r="Y48">
        <v>0.09</v>
      </c>
      <c r="AA48">
        <v>0</v>
      </c>
      <c r="AB48">
        <v>1171.51</v>
      </c>
      <c r="AC48">
        <v>487.24</v>
      </c>
      <c r="AD48">
        <v>0</v>
      </c>
      <c r="AE48">
        <v>0</v>
      </c>
      <c r="AF48">
        <v>1171.51</v>
      </c>
      <c r="AG48">
        <v>487.24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0.09</v>
      </c>
      <c r="AU48" t="s">
        <v>3</v>
      </c>
      <c r="AV48">
        <v>0</v>
      </c>
      <c r="AW48">
        <v>2</v>
      </c>
      <c r="AX48">
        <v>42367311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Y48*Source!I54</f>
        <v>8.8199999999999997E-3</v>
      </c>
      <c r="CY48">
        <f>AB48</f>
        <v>1171.51</v>
      </c>
      <c r="CZ48">
        <f>AF48</f>
        <v>1171.51</v>
      </c>
      <c r="DA48">
        <f>AJ48</f>
        <v>1</v>
      </c>
      <c r="DB48">
        <f t="shared" si="2"/>
        <v>105.44</v>
      </c>
      <c r="DC48">
        <f t="shared" si="3"/>
        <v>43.85</v>
      </c>
    </row>
    <row r="49" spans="1:107" x14ac:dyDescent="0.2">
      <c r="A49">
        <f>ROW(Source!A54)</f>
        <v>54</v>
      </c>
      <c r="B49">
        <v>42278323</v>
      </c>
      <c r="C49">
        <v>42367301</v>
      </c>
      <c r="D49">
        <v>40681466</v>
      </c>
      <c r="E49">
        <v>1</v>
      </c>
      <c r="F49">
        <v>1</v>
      </c>
      <c r="G49">
        <v>27</v>
      </c>
      <c r="H49">
        <v>3</v>
      </c>
      <c r="I49" t="s">
        <v>212</v>
      </c>
      <c r="J49" t="s">
        <v>213</v>
      </c>
      <c r="K49" t="s">
        <v>214</v>
      </c>
      <c r="L49">
        <v>1339</v>
      </c>
      <c r="N49">
        <v>1007</v>
      </c>
      <c r="O49" t="s">
        <v>29</v>
      </c>
      <c r="P49" t="s">
        <v>29</v>
      </c>
      <c r="Q49">
        <v>1</v>
      </c>
      <c r="W49">
        <v>0</v>
      </c>
      <c r="X49">
        <v>353177933</v>
      </c>
      <c r="Y49">
        <v>1.1499999999999999</v>
      </c>
      <c r="AA49">
        <v>1436.5</v>
      </c>
      <c r="AB49">
        <v>0</v>
      </c>
      <c r="AC49">
        <v>0</v>
      </c>
      <c r="AD49">
        <v>0</v>
      </c>
      <c r="AE49">
        <v>1436.5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1.1499999999999999</v>
      </c>
      <c r="AU49" t="s">
        <v>3</v>
      </c>
      <c r="AV49">
        <v>0</v>
      </c>
      <c r="AW49">
        <v>2</v>
      </c>
      <c r="AX49">
        <v>42367312</v>
      </c>
      <c r="AY49">
        <v>1</v>
      </c>
      <c r="AZ49">
        <v>0</v>
      </c>
      <c r="BA49">
        <v>93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Y49*Source!I54</f>
        <v>0.11269999999999999</v>
      </c>
      <c r="CY49">
        <f>AA49</f>
        <v>1436.5</v>
      </c>
      <c r="CZ49">
        <f>AE49</f>
        <v>1436.5</v>
      </c>
      <c r="DA49">
        <f>AI49</f>
        <v>1</v>
      </c>
      <c r="DB49">
        <f t="shared" si="2"/>
        <v>1651.98</v>
      </c>
      <c r="DC49">
        <f t="shared" si="3"/>
        <v>0</v>
      </c>
    </row>
    <row r="50" spans="1:107" x14ac:dyDescent="0.2">
      <c r="A50">
        <f>ROW(Source!A54)</f>
        <v>54</v>
      </c>
      <c r="B50">
        <v>42278323</v>
      </c>
      <c r="C50">
        <v>42367301</v>
      </c>
      <c r="D50">
        <v>40682177</v>
      </c>
      <c r="E50">
        <v>1</v>
      </c>
      <c r="F50">
        <v>1</v>
      </c>
      <c r="G50">
        <v>27</v>
      </c>
      <c r="H50">
        <v>3</v>
      </c>
      <c r="I50" t="s">
        <v>209</v>
      </c>
      <c r="J50" t="s">
        <v>210</v>
      </c>
      <c r="K50" t="s">
        <v>211</v>
      </c>
      <c r="L50">
        <v>1339</v>
      </c>
      <c r="N50">
        <v>1007</v>
      </c>
      <c r="O50" t="s">
        <v>29</v>
      </c>
      <c r="P50" t="s">
        <v>29</v>
      </c>
      <c r="Q50">
        <v>1</v>
      </c>
      <c r="W50">
        <v>0</v>
      </c>
      <c r="X50">
        <v>2028445372</v>
      </c>
      <c r="Y50">
        <v>0.15</v>
      </c>
      <c r="AA50">
        <v>35.25</v>
      </c>
      <c r="AB50">
        <v>0</v>
      </c>
      <c r="AC50">
        <v>0</v>
      </c>
      <c r="AD50">
        <v>0</v>
      </c>
      <c r="AE50">
        <v>35.25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0.15</v>
      </c>
      <c r="AU50" t="s">
        <v>3</v>
      </c>
      <c r="AV50">
        <v>0</v>
      </c>
      <c r="AW50">
        <v>2</v>
      </c>
      <c r="AX50">
        <v>42367313</v>
      </c>
      <c r="AY50">
        <v>1</v>
      </c>
      <c r="AZ50">
        <v>0</v>
      </c>
      <c r="BA50">
        <v>94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Y50*Source!I54</f>
        <v>1.47E-2</v>
      </c>
      <c r="CY50">
        <f>AA50</f>
        <v>35.25</v>
      </c>
      <c r="CZ50">
        <f>AE50</f>
        <v>35.25</v>
      </c>
      <c r="DA50">
        <f>AI50</f>
        <v>1</v>
      </c>
      <c r="DB50">
        <f t="shared" si="2"/>
        <v>5.29</v>
      </c>
      <c r="DC50">
        <f t="shared" si="3"/>
        <v>0</v>
      </c>
    </row>
    <row r="51" spans="1:107" x14ac:dyDescent="0.2">
      <c r="A51">
        <f>ROW(Source!A56)</f>
        <v>56</v>
      </c>
      <c r="B51">
        <v>42278323</v>
      </c>
      <c r="C51">
        <v>42279680</v>
      </c>
      <c r="D51">
        <v>40683405</v>
      </c>
      <c r="E51">
        <v>1</v>
      </c>
      <c r="F51">
        <v>1</v>
      </c>
      <c r="G51">
        <v>27</v>
      </c>
      <c r="H51">
        <v>3</v>
      </c>
      <c r="I51" t="s">
        <v>50</v>
      </c>
      <c r="J51" t="s">
        <v>52</v>
      </c>
      <c r="K51" t="s">
        <v>51</v>
      </c>
      <c r="L51">
        <v>1348</v>
      </c>
      <c r="N51">
        <v>1009</v>
      </c>
      <c r="O51" t="s">
        <v>42</v>
      </c>
      <c r="P51" t="s">
        <v>42</v>
      </c>
      <c r="Q51">
        <v>1000</v>
      </c>
      <c r="W51">
        <v>1</v>
      </c>
      <c r="X51">
        <v>588667335</v>
      </c>
      <c r="Y51">
        <v>-1</v>
      </c>
      <c r="AA51">
        <v>53233.52</v>
      </c>
      <c r="AB51">
        <v>0</v>
      </c>
      <c r="AC51">
        <v>0</v>
      </c>
      <c r="AD51">
        <v>0</v>
      </c>
      <c r="AE51">
        <v>53233.52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3</v>
      </c>
      <c r="AT51">
        <v>-1</v>
      </c>
      <c r="AU51" t="s">
        <v>3</v>
      </c>
      <c r="AV51">
        <v>0</v>
      </c>
      <c r="AW51">
        <v>2</v>
      </c>
      <c r="AX51">
        <v>42279684</v>
      </c>
      <c r="AY51">
        <v>1</v>
      </c>
      <c r="AZ51">
        <v>6144</v>
      </c>
      <c r="BA51">
        <v>108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-0.09</v>
      </c>
      <c r="CY51">
        <f>AA51</f>
        <v>53233.52</v>
      </c>
      <c r="CZ51">
        <f>AE51</f>
        <v>53233.52</v>
      </c>
      <c r="DA51">
        <f>AI51</f>
        <v>1</v>
      </c>
      <c r="DB51">
        <f t="shared" si="2"/>
        <v>-53233.52</v>
      </c>
      <c r="DC51">
        <f t="shared" si="3"/>
        <v>0</v>
      </c>
    </row>
    <row r="52" spans="1:107" x14ac:dyDescent="0.2">
      <c r="A52">
        <f>ROW(Source!A56)</f>
        <v>56</v>
      </c>
      <c r="B52">
        <v>42278323</v>
      </c>
      <c r="C52">
        <v>42279680</v>
      </c>
      <c r="D52">
        <v>40684692</v>
      </c>
      <c r="E52">
        <v>1</v>
      </c>
      <c r="F52">
        <v>1</v>
      </c>
      <c r="G52">
        <v>27</v>
      </c>
      <c r="H52">
        <v>3</v>
      </c>
      <c r="I52" t="s">
        <v>45</v>
      </c>
      <c r="J52" t="s">
        <v>48</v>
      </c>
      <c r="K52" t="s">
        <v>46</v>
      </c>
      <c r="L52">
        <v>1354</v>
      </c>
      <c r="N52">
        <v>1010</v>
      </c>
      <c r="O52" t="s">
        <v>47</v>
      </c>
      <c r="P52" t="s">
        <v>47</v>
      </c>
      <c r="Q52">
        <v>1</v>
      </c>
      <c r="W52">
        <v>0</v>
      </c>
      <c r="X52">
        <v>462942439</v>
      </c>
      <c r="Y52">
        <v>11.111110999999999</v>
      </c>
      <c r="AA52">
        <v>210</v>
      </c>
      <c r="AB52">
        <v>0</v>
      </c>
      <c r="AC52">
        <v>0</v>
      </c>
      <c r="AD52">
        <v>0</v>
      </c>
      <c r="AE52">
        <v>210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3</v>
      </c>
      <c r="AT52">
        <v>11.111110999999999</v>
      </c>
      <c r="AU52" t="s">
        <v>3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0.99999998999999995</v>
      </c>
      <c r="CY52">
        <f>AA52</f>
        <v>210</v>
      </c>
      <c r="CZ52">
        <f>AE52</f>
        <v>210</v>
      </c>
      <c r="DA52">
        <f>AI52</f>
        <v>1</v>
      </c>
      <c r="DB52">
        <f t="shared" si="2"/>
        <v>2333.33</v>
      </c>
      <c r="DC52">
        <f t="shared" si="3"/>
        <v>0</v>
      </c>
    </row>
    <row r="53" spans="1:107" x14ac:dyDescent="0.2">
      <c r="A53">
        <f>ROW(Source!A61)</f>
        <v>61</v>
      </c>
      <c r="B53">
        <v>42278323</v>
      </c>
      <c r="C53">
        <v>42367316</v>
      </c>
      <c r="D53">
        <v>40662784</v>
      </c>
      <c r="E53">
        <v>27</v>
      </c>
      <c r="F53">
        <v>1</v>
      </c>
      <c r="G53">
        <v>27</v>
      </c>
      <c r="H53">
        <v>1</v>
      </c>
      <c r="I53" t="s">
        <v>193</v>
      </c>
      <c r="J53" t="s">
        <v>3</v>
      </c>
      <c r="K53" t="s">
        <v>194</v>
      </c>
      <c r="L53">
        <v>1191</v>
      </c>
      <c r="N53">
        <v>1013</v>
      </c>
      <c r="O53" t="s">
        <v>195</v>
      </c>
      <c r="P53" t="s">
        <v>195</v>
      </c>
      <c r="Q53">
        <v>1</v>
      </c>
      <c r="W53">
        <v>0</v>
      </c>
      <c r="X53">
        <v>476480486</v>
      </c>
      <c r="Y53">
        <v>0.9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0.9</v>
      </c>
      <c r="AU53" t="s">
        <v>3</v>
      </c>
      <c r="AV53">
        <v>1</v>
      </c>
      <c r="AW53">
        <v>2</v>
      </c>
      <c r="AX53">
        <v>42367323</v>
      </c>
      <c r="AY53">
        <v>1</v>
      </c>
      <c r="AZ53">
        <v>0</v>
      </c>
      <c r="BA53">
        <v>110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Y53*Source!I61</f>
        <v>4.41E-2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</row>
    <row r="54" spans="1:107" x14ac:dyDescent="0.2">
      <c r="A54">
        <f>ROW(Source!A61)</f>
        <v>61</v>
      </c>
      <c r="B54">
        <v>42278323</v>
      </c>
      <c r="C54">
        <v>42367316</v>
      </c>
      <c r="D54">
        <v>40679631</v>
      </c>
      <c r="E54">
        <v>1</v>
      </c>
      <c r="F54">
        <v>1</v>
      </c>
      <c r="G54">
        <v>27</v>
      </c>
      <c r="H54">
        <v>2</v>
      </c>
      <c r="I54" t="s">
        <v>196</v>
      </c>
      <c r="J54" t="s">
        <v>197</v>
      </c>
      <c r="K54" t="s">
        <v>198</v>
      </c>
      <c r="L54">
        <v>1368</v>
      </c>
      <c r="N54">
        <v>1011</v>
      </c>
      <c r="O54" t="s">
        <v>199</v>
      </c>
      <c r="P54" t="s">
        <v>199</v>
      </c>
      <c r="Q54">
        <v>1</v>
      </c>
      <c r="W54">
        <v>0</v>
      </c>
      <c r="X54">
        <v>-1226344697</v>
      </c>
      <c r="Y54">
        <v>0.22</v>
      </c>
      <c r="AA54">
        <v>0</v>
      </c>
      <c r="AB54">
        <v>470.71</v>
      </c>
      <c r="AC54">
        <v>359.8</v>
      </c>
      <c r="AD54">
        <v>0</v>
      </c>
      <c r="AE54">
        <v>0</v>
      </c>
      <c r="AF54">
        <v>470.71</v>
      </c>
      <c r="AG54">
        <v>359.8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0.22</v>
      </c>
      <c r="AU54" t="s">
        <v>3</v>
      </c>
      <c r="AV54">
        <v>0</v>
      </c>
      <c r="AW54">
        <v>2</v>
      </c>
      <c r="AX54">
        <v>42367324</v>
      </c>
      <c r="AY54">
        <v>1</v>
      </c>
      <c r="AZ54">
        <v>0</v>
      </c>
      <c r="BA54">
        <v>111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Y54*Source!I61</f>
        <v>1.078E-2</v>
      </c>
      <c r="CY54">
        <f>AB54</f>
        <v>470.71</v>
      </c>
      <c r="CZ54">
        <f>AF54</f>
        <v>470.71</v>
      </c>
      <c r="DA54">
        <f>AJ54</f>
        <v>1</v>
      </c>
      <c r="DB54">
        <f t="shared" si="2"/>
        <v>103.56</v>
      </c>
      <c r="DC54">
        <f t="shared" si="3"/>
        <v>79.16</v>
      </c>
    </row>
    <row r="55" spans="1:107" x14ac:dyDescent="0.2">
      <c r="A55">
        <f>ROW(Source!A61)</f>
        <v>61</v>
      </c>
      <c r="B55">
        <v>42278323</v>
      </c>
      <c r="C55">
        <v>42367316</v>
      </c>
      <c r="D55">
        <v>40680099</v>
      </c>
      <c r="E55">
        <v>1</v>
      </c>
      <c r="F55">
        <v>1</v>
      </c>
      <c r="G55">
        <v>27</v>
      </c>
      <c r="H55">
        <v>2</v>
      </c>
      <c r="I55" t="s">
        <v>200</v>
      </c>
      <c r="J55" t="s">
        <v>201</v>
      </c>
      <c r="K55" t="s">
        <v>202</v>
      </c>
      <c r="L55">
        <v>1368</v>
      </c>
      <c r="N55">
        <v>1011</v>
      </c>
      <c r="O55" t="s">
        <v>199</v>
      </c>
      <c r="P55" t="s">
        <v>199</v>
      </c>
      <c r="Q55">
        <v>1</v>
      </c>
      <c r="W55">
        <v>0</v>
      </c>
      <c r="X55">
        <v>-1383996176</v>
      </c>
      <c r="Y55">
        <v>0.45</v>
      </c>
      <c r="AA55">
        <v>0</v>
      </c>
      <c r="AB55">
        <v>3.75</v>
      </c>
      <c r="AC55">
        <v>2.56</v>
      </c>
      <c r="AD55">
        <v>0</v>
      </c>
      <c r="AE55">
        <v>0</v>
      </c>
      <c r="AF55">
        <v>3.75</v>
      </c>
      <c r="AG55">
        <v>2.56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0.45</v>
      </c>
      <c r="AU55" t="s">
        <v>3</v>
      </c>
      <c r="AV55">
        <v>0</v>
      </c>
      <c r="AW55">
        <v>2</v>
      </c>
      <c r="AX55">
        <v>42367325</v>
      </c>
      <c r="AY55">
        <v>1</v>
      </c>
      <c r="AZ55">
        <v>0</v>
      </c>
      <c r="BA55">
        <v>112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Y55*Source!I61</f>
        <v>2.205E-2</v>
      </c>
      <c r="CY55">
        <f>AB55</f>
        <v>3.75</v>
      </c>
      <c r="CZ55">
        <f>AF55</f>
        <v>3.75</v>
      </c>
      <c r="DA55">
        <f>AJ55</f>
        <v>1</v>
      </c>
      <c r="DB55">
        <f t="shared" si="2"/>
        <v>1.69</v>
      </c>
      <c r="DC55">
        <f t="shared" si="3"/>
        <v>1.1499999999999999</v>
      </c>
    </row>
    <row r="56" spans="1:107" x14ac:dyDescent="0.2">
      <c r="A56">
        <f>ROW(Source!A61)</f>
        <v>61</v>
      </c>
      <c r="B56">
        <v>42278323</v>
      </c>
      <c r="C56">
        <v>42367316</v>
      </c>
      <c r="D56">
        <v>40679388</v>
      </c>
      <c r="E56">
        <v>1</v>
      </c>
      <c r="F56">
        <v>1</v>
      </c>
      <c r="G56">
        <v>27</v>
      </c>
      <c r="H56">
        <v>2</v>
      </c>
      <c r="I56" t="s">
        <v>203</v>
      </c>
      <c r="J56" t="s">
        <v>204</v>
      </c>
      <c r="K56" t="s">
        <v>205</v>
      </c>
      <c r="L56">
        <v>1368</v>
      </c>
      <c r="N56">
        <v>1011</v>
      </c>
      <c r="O56" t="s">
        <v>199</v>
      </c>
      <c r="P56" t="s">
        <v>199</v>
      </c>
      <c r="Q56">
        <v>1</v>
      </c>
      <c r="W56">
        <v>0</v>
      </c>
      <c r="X56">
        <v>-61066883</v>
      </c>
      <c r="Y56">
        <v>0.09</v>
      </c>
      <c r="AA56">
        <v>0</v>
      </c>
      <c r="AB56">
        <v>1171.51</v>
      </c>
      <c r="AC56">
        <v>487.24</v>
      </c>
      <c r="AD56">
        <v>0</v>
      </c>
      <c r="AE56">
        <v>0</v>
      </c>
      <c r="AF56">
        <v>1171.51</v>
      </c>
      <c r="AG56">
        <v>487.24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0.09</v>
      </c>
      <c r="AU56" t="s">
        <v>3</v>
      </c>
      <c r="AV56">
        <v>0</v>
      </c>
      <c r="AW56">
        <v>2</v>
      </c>
      <c r="AX56">
        <v>42367326</v>
      </c>
      <c r="AY56">
        <v>1</v>
      </c>
      <c r="AZ56">
        <v>0</v>
      </c>
      <c r="BA56">
        <v>113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Y56*Source!I61</f>
        <v>4.4099999999999999E-3</v>
      </c>
      <c r="CY56">
        <f>AB56</f>
        <v>1171.51</v>
      </c>
      <c r="CZ56">
        <f>AF56</f>
        <v>1171.51</v>
      </c>
      <c r="DA56">
        <f>AJ56</f>
        <v>1</v>
      </c>
      <c r="DB56">
        <f t="shared" si="2"/>
        <v>105.44</v>
      </c>
      <c r="DC56">
        <f t="shared" si="3"/>
        <v>43.85</v>
      </c>
    </row>
    <row r="57" spans="1:107" x14ac:dyDescent="0.2">
      <c r="A57">
        <f>ROW(Source!A61)</f>
        <v>61</v>
      </c>
      <c r="B57">
        <v>42278323</v>
      </c>
      <c r="C57">
        <v>42367316</v>
      </c>
      <c r="D57">
        <v>40681432</v>
      </c>
      <c r="E57">
        <v>1</v>
      </c>
      <c r="F57">
        <v>1</v>
      </c>
      <c r="G57">
        <v>27</v>
      </c>
      <c r="H57">
        <v>3</v>
      </c>
      <c r="I57" t="s">
        <v>206</v>
      </c>
      <c r="J57" t="s">
        <v>207</v>
      </c>
      <c r="K57" t="s">
        <v>208</v>
      </c>
      <c r="L57">
        <v>1339</v>
      </c>
      <c r="N57">
        <v>1007</v>
      </c>
      <c r="O57" t="s">
        <v>29</v>
      </c>
      <c r="P57" t="s">
        <v>29</v>
      </c>
      <c r="Q57">
        <v>1</v>
      </c>
      <c r="W57">
        <v>0</v>
      </c>
      <c r="X57">
        <v>-1662970571</v>
      </c>
      <c r="Y57">
        <v>1.1000000000000001</v>
      </c>
      <c r="AA57">
        <v>590.78</v>
      </c>
      <c r="AB57">
        <v>0</v>
      </c>
      <c r="AC57">
        <v>0</v>
      </c>
      <c r="AD57">
        <v>0</v>
      </c>
      <c r="AE57">
        <v>590.78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1.1000000000000001</v>
      </c>
      <c r="AU57" t="s">
        <v>3</v>
      </c>
      <c r="AV57">
        <v>0</v>
      </c>
      <c r="AW57">
        <v>2</v>
      </c>
      <c r="AX57">
        <v>42367327</v>
      </c>
      <c r="AY57">
        <v>1</v>
      </c>
      <c r="AZ57">
        <v>0</v>
      </c>
      <c r="BA57">
        <v>114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Y57*Source!I61</f>
        <v>5.3900000000000003E-2</v>
      </c>
      <c r="CY57">
        <f>AA57</f>
        <v>590.78</v>
      </c>
      <c r="CZ57">
        <f>AE57</f>
        <v>590.78</v>
      </c>
      <c r="DA57">
        <f>AI57</f>
        <v>1</v>
      </c>
      <c r="DB57">
        <f t="shared" si="2"/>
        <v>649.86</v>
      </c>
      <c r="DC57">
        <f t="shared" si="3"/>
        <v>0</v>
      </c>
    </row>
    <row r="58" spans="1:107" x14ac:dyDescent="0.2">
      <c r="A58">
        <f>ROW(Source!A61)</f>
        <v>61</v>
      </c>
      <c r="B58">
        <v>42278323</v>
      </c>
      <c r="C58">
        <v>42367316</v>
      </c>
      <c r="D58">
        <v>40682177</v>
      </c>
      <c r="E58">
        <v>1</v>
      </c>
      <c r="F58">
        <v>1</v>
      </c>
      <c r="G58">
        <v>27</v>
      </c>
      <c r="H58">
        <v>3</v>
      </c>
      <c r="I58" t="s">
        <v>209</v>
      </c>
      <c r="J58" t="s">
        <v>210</v>
      </c>
      <c r="K58" t="s">
        <v>211</v>
      </c>
      <c r="L58">
        <v>1339</v>
      </c>
      <c r="N58">
        <v>1007</v>
      </c>
      <c r="O58" t="s">
        <v>29</v>
      </c>
      <c r="P58" t="s">
        <v>29</v>
      </c>
      <c r="Q58">
        <v>1</v>
      </c>
      <c r="W58">
        <v>0</v>
      </c>
      <c r="X58">
        <v>2028445372</v>
      </c>
      <c r="Y58">
        <v>0.15</v>
      </c>
      <c r="AA58">
        <v>35.25</v>
      </c>
      <c r="AB58">
        <v>0</v>
      </c>
      <c r="AC58">
        <v>0</v>
      </c>
      <c r="AD58">
        <v>0</v>
      </c>
      <c r="AE58">
        <v>35.25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0.15</v>
      </c>
      <c r="AU58" t="s">
        <v>3</v>
      </c>
      <c r="AV58">
        <v>0</v>
      </c>
      <c r="AW58">
        <v>2</v>
      </c>
      <c r="AX58">
        <v>42367328</v>
      </c>
      <c r="AY58">
        <v>1</v>
      </c>
      <c r="AZ58">
        <v>0</v>
      </c>
      <c r="BA58">
        <v>115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Y58*Source!I61</f>
        <v>7.3499999999999998E-3</v>
      </c>
      <c r="CY58">
        <f>AA58</f>
        <v>35.25</v>
      </c>
      <c r="CZ58">
        <f>AE58</f>
        <v>35.25</v>
      </c>
      <c r="DA58">
        <f>AI58</f>
        <v>1</v>
      </c>
      <c r="DB58">
        <f t="shared" si="2"/>
        <v>5.29</v>
      </c>
      <c r="DC58">
        <f t="shared" si="3"/>
        <v>0</v>
      </c>
    </row>
    <row r="59" spans="1:107" x14ac:dyDescent="0.2">
      <c r="A59">
        <f>ROW(Source!A62)</f>
        <v>62</v>
      </c>
      <c r="B59">
        <v>42278323</v>
      </c>
      <c r="C59">
        <v>42367329</v>
      </c>
      <c r="D59">
        <v>40662784</v>
      </c>
      <c r="E59">
        <v>27</v>
      </c>
      <c r="F59">
        <v>1</v>
      </c>
      <c r="G59">
        <v>27</v>
      </c>
      <c r="H59">
        <v>1</v>
      </c>
      <c r="I59" t="s">
        <v>193</v>
      </c>
      <c r="J59" t="s">
        <v>3</v>
      </c>
      <c r="K59" t="s">
        <v>194</v>
      </c>
      <c r="L59">
        <v>1191</v>
      </c>
      <c r="N59">
        <v>1013</v>
      </c>
      <c r="O59" t="s">
        <v>195</v>
      </c>
      <c r="P59" t="s">
        <v>195</v>
      </c>
      <c r="Q59">
        <v>1</v>
      </c>
      <c r="W59">
        <v>0</v>
      </c>
      <c r="X59">
        <v>476480486</v>
      </c>
      <c r="Y59">
        <v>0.98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0.98</v>
      </c>
      <c r="AU59" t="s">
        <v>3</v>
      </c>
      <c r="AV59">
        <v>1</v>
      </c>
      <c r="AW59">
        <v>2</v>
      </c>
      <c r="AX59">
        <v>42367336</v>
      </c>
      <c r="AY59">
        <v>1</v>
      </c>
      <c r="AZ59">
        <v>0</v>
      </c>
      <c r="BA59">
        <v>116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Y59*Source!I62</f>
        <v>9.604E-2</v>
      </c>
      <c r="CY59">
        <f>AD59</f>
        <v>0</v>
      </c>
      <c r="CZ59">
        <f>AH59</f>
        <v>0</v>
      </c>
      <c r="DA59">
        <f>AL59</f>
        <v>1</v>
      </c>
      <c r="DB59">
        <f t="shared" si="2"/>
        <v>0</v>
      </c>
      <c r="DC59">
        <f t="shared" si="3"/>
        <v>0</v>
      </c>
    </row>
    <row r="60" spans="1:107" x14ac:dyDescent="0.2">
      <c r="A60">
        <f>ROW(Source!A62)</f>
        <v>62</v>
      </c>
      <c r="B60">
        <v>42278323</v>
      </c>
      <c r="C60">
        <v>42367329</v>
      </c>
      <c r="D60">
        <v>40679631</v>
      </c>
      <c r="E60">
        <v>1</v>
      </c>
      <c r="F60">
        <v>1</v>
      </c>
      <c r="G60">
        <v>27</v>
      </c>
      <c r="H60">
        <v>2</v>
      </c>
      <c r="I60" t="s">
        <v>196</v>
      </c>
      <c r="J60" t="s">
        <v>197</v>
      </c>
      <c r="K60" t="s">
        <v>198</v>
      </c>
      <c r="L60">
        <v>1368</v>
      </c>
      <c r="N60">
        <v>1011</v>
      </c>
      <c r="O60" t="s">
        <v>199</v>
      </c>
      <c r="P60" t="s">
        <v>199</v>
      </c>
      <c r="Q60">
        <v>1</v>
      </c>
      <c r="W60">
        <v>0</v>
      </c>
      <c r="X60">
        <v>-1226344697</v>
      </c>
      <c r="Y60">
        <v>0.25</v>
      </c>
      <c r="AA60">
        <v>0</v>
      </c>
      <c r="AB60">
        <v>470.71</v>
      </c>
      <c r="AC60">
        <v>359.8</v>
      </c>
      <c r="AD60">
        <v>0</v>
      </c>
      <c r="AE60">
        <v>0</v>
      </c>
      <c r="AF60">
        <v>470.71</v>
      </c>
      <c r="AG60">
        <v>359.8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0.25</v>
      </c>
      <c r="AU60" t="s">
        <v>3</v>
      </c>
      <c r="AV60">
        <v>0</v>
      </c>
      <c r="AW60">
        <v>2</v>
      </c>
      <c r="AX60">
        <v>42367337</v>
      </c>
      <c r="AY60">
        <v>1</v>
      </c>
      <c r="AZ60">
        <v>0</v>
      </c>
      <c r="BA60">
        <v>117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Y60*Source!I62</f>
        <v>2.4500000000000001E-2</v>
      </c>
      <c r="CY60">
        <f>AB60</f>
        <v>470.71</v>
      </c>
      <c r="CZ60">
        <f>AF60</f>
        <v>470.71</v>
      </c>
      <c r="DA60">
        <f>AJ60</f>
        <v>1</v>
      </c>
      <c r="DB60">
        <f t="shared" si="2"/>
        <v>117.68</v>
      </c>
      <c r="DC60">
        <f t="shared" si="3"/>
        <v>89.95</v>
      </c>
    </row>
    <row r="61" spans="1:107" x14ac:dyDescent="0.2">
      <c r="A61">
        <f>ROW(Source!A62)</f>
        <v>62</v>
      </c>
      <c r="B61">
        <v>42278323</v>
      </c>
      <c r="C61">
        <v>42367329</v>
      </c>
      <c r="D61">
        <v>40680099</v>
      </c>
      <c r="E61">
        <v>1</v>
      </c>
      <c r="F61">
        <v>1</v>
      </c>
      <c r="G61">
        <v>27</v>
      </c>
      <c r="H61">
        <v>2</v>
      </c>
      <c r="I61" t="s">
        <v>200</v>
      </c>
      <c r="J61" t="s">
        <v>201</v>
      </c>
      <c r="K61" t="s">
        <v>202</v>
      </c>
      <c r="L61">
        <v>1368</v>
      </c>
      <c r="N61">
        <v>1011</v>
      </c>
      <c r="O61" t="s">
        <v>199</v>
      </c>
      <c r="P61" t="s">
        <v>199</v>
      </c>
      <c r="Q61">
        <v>1</v>
      </c>
      <c r="W61">
        <v>0</v>
      </c>
      <c r="X61">
        <v>-1383996176</v>
      </c>
      <c r="Y61">
        <v>0.5</v>
      </c>
      <c r="AA61">
        <v>0</v>
      </c>
      <c r="AB61">
        <v>3.75</v>
      </c>
      <c r="AC61">
        <v>2.56</v>
      </c>
      <c r="AD61">
        <v>0</v>
      </c>
      <c r="AE61">
        <v>0</v>
      </c>
      <c r="AF61">
        <v>3.75</v>
      </c>
      <c r="AG61">
        <v>2.56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0.5</v>
      </c>
      <c r="AU61" t="s">
        <v>3</v>
      </c>
      <c r="AV61">
        <v>0</v>
      </c>
      <c r="AW61">
        <v>2</v>
      </c>
      <c r="AX61">
        <v>42367338</v>
      </c>
      <c r="AY61">
        <v>1</v>
      </c>
      <c r="AZ61">
        <v>0</v>
      </c>
      <c r="BA61">
        <v>118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Y61*Source!I62</f>
        <v>4.9000000000000002E-2</v>
      </c>
      <c r="CY61">
        <f>AB61</f>
        <v>3.75</v>
      </c>
      <c r="CZ61">
        <f>AF61</f>
        <v>3.75</v>
      </c>
      <c r="DA61">
        <f>AJ61</f>
        <v>1</v>
      </c>
      <c r="DB61">
        <f t="shared" si="2"/>
        <v>1.88</v>
      </c>
      <c r="DC61">
        <f t="shared" si="3"/>
        <v>1.28</v>
      </c>
    </row>
    <row r="62" spans="1:107" x14ac:dyDescent="0.2">
      <c r="A62">
        <f>ROW(Source!A62)</f>
        <v>62</v>
      </c>
      <c r="B62">
        <v>42278323</v>
      </c>
      <c r="C62">
        <v>42367329</v>
      </c>
      <c r="D62">
        <v>40679388</v>
      </c>
      <c r="E62">
        <v>1</v>
      </c>
      <c r="F62">
        <v>1</v>
      </c>
      <c r="G62">
        <v>27</v>
      </c>
      <c r="H62">
        <v>2</v>
      </c>
      <c r="I62" t="s">
        <v>203</v>
      </c>
      <c r="J62" t="s">
        <v>204</v>
      </c>
      <c r="K62" t="s">
        <v>205</v>
      </c>
      <c r="L62">
        <v>1368</v>
      </c>
      <c r="N62">
        <v>1011</v>
      </c>
      <c r="O62" t="s">
        <v>199</v>
      </c>
      <c r="P62" t="s">
        <v>199</v>
      </c>
      <c r="Q62">
        <v>1</v>
      </c>
      <c r="W62">
        <v>0</v>
      </c>
      <c r="X62">
        <v>-61066883</v>
      </c>
      <c r="Y62">
        <v>0.09</v>
      </c>
      <c r="AA62">
        <v>0</v>
      </c>
      <c r="AB62">
        <v>1171.51</v>
      </c>
      <c r="AC62">
        <v>487.24</v>
      </c>
      <c r="AD62">
        <v>0</v>
      </c>
      <c r="AE62">
        <v>0</v>
      </c>
      <c r="AF62">
        <v>1171.51</v>
      </c>
      <c r="AG62">
        <v>487.24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0.09</v>
      </c>
      <c r="AU62" t="s">
        <v>3</v>
      </c>
      <c r="AV62">
        <v>0</v>
      </c>
      <c r="AW62">
        <v>2</v>
      </c>
      <c r="AX62">
        <v>42367339</v>
      </c>
      <c r="AY62">
        <v>1</v>
      </c>
      <c r="AZ62">
        <v>0</v>
      </c>
      <c r="BA62">
        <v>119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Y62*Source!I62</f>
        <v>8.8199999999999997E-3</v>
      </c>
      <c r="CY62">
        <f>AB62</f>
        <v>1171.51</v>
      </c>
      <c r="CZ62">
        <f>AF62</f>
        <v>1171.51</v>
      </c>
      <c r="DA62">
        <f>AJ62</f>
        <v>1</v>
      </c>
      <c r="DB62">
        <f t="shared" si="2"/>
        <v>105.44</v>
      </c>
      <c r="DC62">
        <f t="shared" si="3"/>
        <v>43.85</v>
      </c>
    </row>
    <row r="63" spans="1:107" x14ac:dyDescent="0.2">
      <c r="A63">
        <f>ROW(Source!A62)</f>
        <v>62</v>
      </c>
      <c r="B63">
        <v>42278323</v>
      </c>
      <c r="C63">
        <v>42367329</v>
      </c>
      <c r="D63">
        <v>40681466</v>
      </c>
      <c r="E63">
        <v>1</v>
      </c>
      <c r="F63">
        <v>1</v>
      </c>
      <c r="G63">
        <v>27</v>
      </c>
      <c r="H63">
        <v>3</v>
      </c>
      <c r="I63" t="s">
        <v>212</v>
      </c>
      <c r="J63" t="s">
        <v>213</v>
      </c>
      <c r="K63" t="s">
        <v>214</v>
      </c>
      <c r="L63">
        <v>1339</v>
      </c>
      <c r="N63">
        <v>1007</v>
      </c>
      <c r="O63" t="s">
        <v>29</v>
      </c>
      <c r="P63" t="s">
        <v>29</v>
      </c>
      <c r="Q63">
        <v>1</v>
      </c>
      <c r="W63">
        <v>0</v>
      </c>
      <c r="X63">
        <v>353177933</v>
      </c>
      <c r="Y63">
        <v>1.1499999999999999</v>
      </c>
      <c r="AA63">
        <v>1436.5</v>
      </c>
      <c r="AB63">
        <v>0</v>
      </c>
      <c r="AC63">
        <v>0</v>
      </c>
      <c r="AD63">
        <v>0</v>
      </c>
      <c r="AE63">
        <v>1436.5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1.1499999999999999</v>
      </c>
      <c r="AU63" t="s">
        <v>3</v>
      </c>
      <c r="AV63">
        <v>0</v>
      </c>
      <c r="AW63">
        <v>2</v>
      </c>
      <c r="AX63">
        <v>42367340</v>
      </c>
      <c r="AY63">
        <v>1</v>
      </c>
      <c r="AZ63">
        <v>0</v>
      </c>
      <c r="BA63">
        <v>120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Y63*Source!I62</f>
        <v>0.11269999999999999</v>
      </c>
      <c r="CY63">
        <f>AA63</f>
        <v>1436.5</v>
      </c>
      <c r="CZ63">
        <f>AE63</f>
        <v>1436.5</v>
      </c>
      <c r="DA63">
        <f>AI63</f>
        <v>1</v>
      </c>
      <c r="DB63">
        <f t="shared" si="2"/>
        <v>1651.98</v>
      </c>
      <c r="DC63">
        <f t="shared" si="3"/>
        <v>0</v>
      </c>
    </row>
    <row r="64" spans="1:107" x14ac:dyDescent="0.2">
      <c r="A64">
        <f>ROW(Source!A62)</f>
        <v>62</v>
      </c>
      <c r="B64">
        <v>42278323</v>
      </c>
      <c r="C64">
        <v>42367329</v>
      </c>
      <c r="D64">
        <v>40682177</v>
      </c>
      <c r="E64">
        <v>1</v>
      </c>
      <c r="F64">
        <v>1</v>
      </c>
      <c r="G64">
        <v>27</v>
      </c>
      <c r="H64">
        <v>3</v>
      </c>
      <c r="I64" t="s">
        <v>209</v>
      </c>
      <c r="J64" t="s">
        <v>210</v>
      </c>
      <c r="K64" t="s">
        <v>211</v>
      </c>
      <c r="L64">
        <v>1339</v>
      </c>
      <c r="N64">
        <v>1007</v>
      </c>
      <c r="O64" t="s">
        <v>29</v>
      </c>
      <c r="P64" t="s">
        <v>29</v>
      </c>
      <c r="Q64">
        <v>1</v>
      </c>
      <c r="W64">
        <v>0</v>
      </c>
      <c r="X64">
        <v>2028445372</v>
      </c>
      <c r="Y64">
        <v>0.15</v>
      </c>
      <c r="AA64">
        <v>35.25</v>
      </c>
      <c r="AB64">
        <v>0</v>
      </c>
      <c r="AC64">
        <v>0</v>
      </c>
      <c r="AD64">
        <v>0</v>
      </c>
      <c r="AE64">
        <v>35.25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0.15</v>
      </c>
      <c r="AU64" t="s">
        <v>3</v>
      </c>
      <c r="AV64">
        <v>0</v>
      </c>
      <c r="AW64">
        <v>2</v>
      </c>
      <c r="AX64">
        <v>42367341</v>
      </c>
      <c r="AY64">
        <v>1</v>
      </c>
      <c r="AZ64">
        <v>0</v>
      </c>
      <c r="BA64">
        <v>121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Y64*Source!I62</f>
        <v>1.47E-2</v>
      </c>
      <c r="CY64">
        <f>AA64</f>
        <v>35.25</v>
      </c>
      <c r="CZ64">
        <f>AE64</f>
        <v>35.25</v>
      </c>
      <c r="DA64">
        <f>AI64</f>
        <v>1</v>
      </c>
      <c r="DB64">
        <f t="shared" si="2"/>
        <v>5.29</v>
      </c>
      <c r="DC64">
        <f t="shared" si="3"/>
        <v>0</v>
      </c>
    </row>
    <row r="65" spans="1:107" x14ac:dyDescent="0.2">
      <c r="A65">
        <f>ROW(Source!A64)</f>
        <v>64</v>
      </c>
      <c r="B65">
        <v>42278323</v>
      </c>
      <c r="C65">
        <v>42279705</v>
      </c>
      <c r="D65">
        <v>40683405</v>
      </c>
      <c r="E65">
        <v>1</v>
      </c>
      <c r="F65">
        <v>1</v>
      </c>
      <c r="G65">
        <v>27</v>
      </c>
      <c r="H65">
        <v>3</v>
      </c>
      <c r="I65" t="s">
        <v>50</v>
      </c>
      <c r="J65" t="s">
        <v>52</v>
      </c>
      <c r="K65" t="s">
        <v>51</v>
      </c>
      <c r="L65">
        <v>1348</v>
      </c>
      <c r="N65">
        <v>1009</v>
      </c>
      <c r="O65" t="s">
        <v>42</v>
      </c>
      <c r="P65" t="s">
        <v>42</v>
      </c>
      <c r="Q65">
        <v>1000</v>
      </c>
      <c r="W65">
        <v>1</v>
      </c>
      <c r="X65">
        <v>588667335</v>
      </c>
      <c r="Y65">
        <v>-1</v>
      </c>
      <c r="AA65">
        <v>53233.52</v>
      </c>
      <c r="AB65">
        <v>0</v>
      </c>
      <c r="AC65">
        <v>0</v>
      </c>
      <c r="AD65">
        <v>0</v>
      </c>
      <c r="AE65">
        <v>53233.52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3</v>
      </c>
      <c r="AT65">
        <v>-1</v>
      </c>
      <c r="AU65" t="s">
        <v>3</v>
      </c>
      <c r="AV65">
        <v>0</v>
      </c>
      <c r="AW65">
        <v>2</v>
      </c>
      <c r="AX65">
        <v>42279709</v>
      </c>
      <c r="AY65">
        <v>1</v>
      </c>
      <c r="AZ65">
        <v>6144</v>
      </c>
      <c r="BA65">
        <v>135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Y65*Source!I64</f>
        <v>-0.105</v>
      </c>
      <c r="CY65">
        <f>AA65</f>
        <v>53233.52</v>
      </c>
      <c r="CZ65">
        <f>AE65</f>
        <v>53233.52</v>
      </c>
      <c r="DA65">
        <f>AI65</f>
        <v>1</v>
      </c>
      <c r="DB65">
        <f t="shared" ref="DB65:DB96" si="4">ROUND(ROUND(AT65*CZ65,2),6)</f>
        <v>-53233.52</v>
      </c>
      <c r="DC65">
        <f t="shared" ref="DC65:DC96" si="5">ROUND(ROUND(AT65*AG65,2),6)</f>
        <v>0</v>
      </c>
    </row>
    <row r="66" spans="1:107" x14ac:dyDescent="0.2">
      <c r="A66">
        <f>ROW(Source!A64)</f>
        <v>64</v>
      </c>
      <c r="B66">
        <v>42278323</v>
      </c>
      <c r="C66">
        <v>42279705</v>
      </c>
      <c r="D66">
        <v>40684692</v>
      </c>
      <c r="E66">
        <v>1</v>
      </c>
      <c r="F66">
        <v>1</v>
      </c>
      <c r="G66">
        <v>27</v>
      </c>
      <c r="H66">
        <v>3</v>
      </c>
      <c r="I66" t="s">
        <v>45</v>
      </c>
      <c r="J66" t="s">
        <v>48</v>
      </c>
      <c r="K66" t="s">
        <v>46</v>
      </c>
      <c r="L66">
        <v>1354</v>
      </c>
      <c r="N66">
        <v>1010</v>
      </c>
      <c r="O66" t="s">
        <v>47</v>
      </c>
      <c r="P66" t="s">
        <v>47</v>
      </c>
      <c r="Q66">
        <v>1</v>
      </c>
      <c r="W66">
        <v>0</v>
      </c>
      <c r="X66">
        <v>462942439</v>
      </c>
      <c r="Y66">
        <v>9.5238099999999992</v>
      </c>
      <c r="AA66">
        <v>210</v>
      </c>
      <c r="AB66">
        <v>0</v>
      </c>
      <c r="AC66">
        <v>0</v>
      </c>
      <c r="AD66">
        <v>0</v>
      </c>
      <c r="AE66">
        <v>210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3</v>
      </c>
      <c r="AT66">
        <v>9.5238099999999992</v>
      </c>
      <c r="AU66" t="s">
        <v>3</v>
      </c>
      <c r="AV66">
        <v>0</v>
      </c>
      <c r="AW66">
        <v>1</v>
      </c>
      <c r="AX66">
        <v>-1</v>
      </c>
      <c r="AY66">
        <v>0</v>
      </c>
      <c r="AZ66">
        <v>0</v>
      </c>
      <c r="BA66" t="s">
        <v>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Y66*Source!I64</f>
        <v>1.0000000499999999</v>
      </c>
      <c r="CY66">
        <f>AA66</f>
        <v>210</v>
      </c>
      <c r="CZ66">
        <f>AE66</f>
        <v>210</v>
      </c>
      <c r="DA66">
        <f>AI66</f>
        <v>1</v>
      </c>
      <c r="DB66">
        <f t="shared" si="4"/>
        <v>2000</v>
      </c>
      <c r="DC66">
        <f t="shared" si="5"/>
        <v>0</v>
      </c>
    </row>
    <row r="67" spans="1:107" x14ac:dyDescent="0.2">
      <c r="A67">
        <f>ROW(Source!A69)</f>
        <v>69</v>
      </c>
      <c r="B67">
        <v>42278323</v>
      </c>
      <c r="C67">
        <v>42367344</v>
      </c>
      <c r="D67">
        <v>40662784</v>
      </c>
      <c r="E67">
        <v>27</v>
      </c>
      <c r="F67">
        <v>1</v>
      </c>
      <c r="G67">
        <v>27</v>
      </c>
      <c r="H67">
        <v>1</v>
      </c>
      <c r="I67" t="s">
        <v>193</v>
      </c>
      <c r="J67" t="s">
        <v>3</v>
      </c>
      <c r="K67" t="s">
        <v>194</v>
      </c>
      <c r="L67">
        <v>1191</v>
      </c>
      <c r="N67">
        <v>1013</v>
      </c>
      <c r="O67" t="s">
        <v>195</v>
      </c>
      <c r="P67" t="s">
        <v>195</v>
      </c>
      <c r="Q67">
        <v>1</v>
      </c>
      <c r="W67">
        <v>0</v>
      </c>
      <c r="X67">
        <v>476480486</v>
      </c>
      <c r="Y67">
        <v>0.9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0.9</v>
      </c>
      <c r="AU67" t="s">
        <v>3</v>
      </c>
      <c r="AV67">
        <v>1</v>
      </c>
      <c r="AW67">
        <v>2</v>
      </c>
      <c r="AX67">
        <v>42367351</v>
      </c>
      <c r="AY67">
        <v>1</v>
      </c>
      <c r="AZ67">
        <v>0</v>
      </c>
      <c r="BA67">
        <v>137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Y67*Source!I69</f>
        <v>4.41E-2</v>
      </c>
      <c r="CY67">
        <f>AD67</f>
        <v>0</v>
      </c>
      <c r="CZ67">
        <f>AH67</f>
        <v>0</v>
      </c>
      <c r="DA67">
        <f>AL67</f>
        <v>1</v>
      </c>
      <c r="DB67">
        <f t="shared" si="4"/>
        <v>0</v>
      </c>
      <c r="DC67">
        <f t="shared" si="5"/>
        <v>0</v>
      </c>
    </row>
    <row r="68" spans="1:107" x14ac:dyDescent="0.2">
      <c r="A68">
        <f>ROW(Source!A69)</f>
        <v>69</v>
      </c>
      <c r="B68">
        <v>42278323</v>
      </c>
      <c r="C68">
        <v>42367344</v>
      </c>
      <c r="D68">
        <v>40679631</v>
      </c>
      <c r="E68">
        <v>1</v>
      </c>
      <c r="F68">
        <v>1</v>
      </c>
      <c r="G68">
        <v>27</v>
      </c>
      <c r="H68">
        <v>2</v>
      </c>
      <c r="I68" t="s">
        <v>196</v>
      </c>
      <c r="J68" t="s">
        <v>197</v>
      </c>
      <c r="K68" t="s">
        <v>198</v>
      </c>
      <c r="L68">
        <v>1368</v>
      </c>
      <c r="N68">
        <v>1011</v>
      </c>
      <c r="O68" t="s">
        <v>199</v>
      </c>
      <c r="P68" t="s">
        <v>199</v>
      </c>
      <c r="Q68">
        <v>1</v>
      </c>
      <c r="W68">
        <v>0</v>
      </c>
      <c r="X68">
        <v>-1226344697</v>
      </c>
      <c r="Y68">
        <v>0.22</v>
      </c>
      <c r="AA68">
        <v>0</v>
      </c>
      <c r="AB68">
        <v>470.71</v>
      </c>
      <c r="AC68">
        <v>359.8</v>
      </c>
      <c r="AD68">
        <v>0</v>
      </c>
      <c r="AE68">
        <v>0</v>
      </c>
      <c r="AF68">
        <v>470.71</v>
      </c>
      <c r="AG68">
        <v>359.8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0.22</v>
      </c>
      <c r="AU68" t="s">
        <v>3</v>
      </c>
      <c r="AV68">
        <v>0</v>
      </c>
      <c r="AW68">
        <v>2</v>
      </c>
      <c r="AX68">
        <v>42367352</v>
      </c>
      <c r="AY68">
        <v>1</v>
      </c>
      <c r="AZ68">
        <v>0</v>
      </c>
      <c r="BA68">
        <v>138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Y68*Source!I69</f>
        <v>1.078E-2</v>
      </c>
      <c r="CY68">
        <f>AB68</f>
        <v>470.71</v>
      </c>
      <c r="CZ68">
        <f>AF68</f>
        <v>470.71</v>
      </c>
      <c r="DA68">
        <f>AJ68</f>
        <v>1</v>
      </c>
      <c r="DB68">
        <f t="shared" si="4"/>
        <v>103.56</v>
      </c>
      <c r="DC68">
        <f t="shared" si="5"/>
        <v>79.16</v>
      </c>
    </row>
    <row r="69" spans="1:107" x14ac:dyDescent="0.2">
      <c r="A69">
        <f>ROW(Source!A69)</f>
        <v>69</v>
      </c>
      <c r="B69">
        <v>42278323</v>
      </c>
      <c r="C69">
        <v>42367344</v>
      </c>
      <c r="D69">
        <v>40680099</v>
      </c>
      <c r="E69">
        <v>1</v>
      </c>
      <c r="F69">
        <v>1</v>
      </c>
      <c r="G69">
        <v>27</v>
      </c>
      <c r="H69">
        <v>2</v>
      </c>
      <c r="I69" t="s">
        <v>200</v>
      </c>
      <c r="J69" t="s">
        <v>201</v>
      </c>
      <c r="K69" t="s">
        <v>202</v>
      </c>
      <c r="L69">
        <v>1368</v>
      </c>
      <c r="N69">
        <v>1011</v>
      </c>
      <c r="O69" t="s">
        <v>199</v>
      </c>
      <c r="P69" t="s">
        <v>199</v>
      </c>
      <c r="Q69">
        <v>1</v>
      </c>
      <c r="W69">
        <v>0</v>
      </c>
      <c r="X69">
        <v>-1383996176</v>
      </c>
      <c r="Y69">
        <v>0.45</v>
      </c>
      <c r="AA69">
        <v>0</v>
      </c>
      <c r="AB69">
        <v>3.75</v>
      </c>
      <c r="AC69">
        <v>2.56</v>
      </c>
      <c r="AD69">
        <v>0</v>
      </c>
      <c r="AE69">
        <v>0</v>
      </c>
      <c r="AF69">
        <v>3.75</v>
      </c>
      <c r="AG69">
        <v>2.56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0.45</v>
      </c>
      <c r="AU69" t="s">
        <v>3</v>
      </c>
      <c r="AV69">
        <v>0</v>
      </c>
      <c r="AW69">
        <v>2</v>
      </c>
      <c r="AX69">
        <v>42367353</v>
      </c>
      <c r="AY69">
        <v>1</v>
      </c>
      <c r="AZ69">
        <v>0</v>
      </c>
      <c r="BA69">
        <v>139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Y69*Source!I69</f>
        <v>2.205E-2</v>
      </c>
      <c r="CY69">
        <f>AB69</f>
        <v>3.75</v>
      </c>
      <c r="CZ69">
        <f>AF69</f>
        <v>3.75</v>
      </c>
      <c r="DA69">
        <f>AJ69</f>
        <v>1</v>
      </c>
      <c r="DB69">
        <f t="shared" si="4"/>
        <v>1.69</v>
      </c>
      <c r="DC69">
        <f t="shared" si="5"/>
        <v>1.1499999999999999</v>
      </c>
    </row>
    <row r="70" spans="1:107" x14ac:dyDescent="0.2">
      <c r="A70">
        <f>ROW(Source!A69)</f>
        <v>69</v>
      </c>
      <c r="B70">
        <v>42278323</v>
      </c>
      <c r="C70">
        <v>42367344</v>
      </c>
      <c r="D70">
        <v>40679388</v>
      </c>
      <c r="E70">
        <v>1</v>
      </c>
      <c r="F70">
        <v>1</v>
      </c>
      <c r="G70">
        <v>27</v>
      </c>
      <c r="H70">
        <v>2</v>
      </c>
      <c r="I70" t="s">
        <v>203</v>
      </c>
      <c r="J70" t="s">
        <v>204</v>
      </c>
      <c r="K70" t="s">
        <v>205</v>
      </c>
      <c r="L70">
        <v>1368</v>
      </c>
      <c r="N70">
        <v>1011</v>
      </c>
      <c r="O70" t="s">
        <v>199</v>
      </c>
      <c r="P70" t="s">
        <v>199</v>
      </c>
      <c r="Q70">
        <v>1</v>
      </c>
      <c r="W70">
        <v>0</v>
      </c>
      <c r="X70">
        <v>-61066883</v>
      </c>
      <c r="Y70">
        <v>0.09</v>
      </c>
      <c r="AA70">
        <v>0</v>
      </c>
      <c r="AB70">
        <v>1171.51</v>
      </c>
      <c r="AC70">
        <v>487.24</v>
      </c>
      <c r="AD70">
        <v>0</v>
      </c>
      <c r="AE70">
        <v>0</v>
      </c>
      <c r="AF70">
        <v>1171.51</v>
      </c>
      <c r="AG70">
        <v>487.24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0.09</v>
      </c>
      <c r="AU70" t="s">
        <v>3</v>
      </c>
      <c r="AV70">
        <v>0</v>
      </c>
      <c r="AW70">
        <v>2</v>
      </c>
      <c r="AX70">
        <v>42367354</v>
      </c>
      <c r="AY70">
        <v>1</v>
      </c>
      <c r="AZ70">
        <v>0</v>
      </c>
      <c r="BA70">
        <v>140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Y70*Source!I69</f>
        <v>4.4099999999999999E-3</v>
      </c>
      <c r="CY70">
        <f>AB70</f>
        <v>1171.51</v>
      </c>
      <c r="CZ70">
        <f>AF70</f>
        <v>1171.51</v>
      </c>
      <c r="DA70">
        <f>AJ70</f>
        <v>1</v>
      </c>
      <c r="DB70">
        <f t="shared" si="4"/>
        <v>105.44</v>
      </c>
      <c r="DC70">
        <f t="shared" si="5"/>
        <v>43.85</v>
      </c>
    </row>
    <row r="71" spans="1:107" x14ac:dyDescent="0.2">
      <c r="A71">
        <f>ROW(Source!A69)</f>
        <v>69</v>
      </c>
      <c r="B71">
        <v>42278323</v>
      </c>
      <c r="C71">
        <v>42367344</v>
      </c>
      <c r="D71">
        <v>40681432</v>
      </c>
      <c r="E71">
        <v>1</v>
      </c>
      <c r="F71">
        <v>1</v>
      </c>
      <c r="G71">
        <v>27</v>
      </c>
      <c r="H71">
        <v>3</v>
      </c>
      <c r="I71" t="s">
        <v>206</v>
      </c>
      <c r="J71" t="s">
        <v>207</v>
      </c>
      <c r="K71" t="s">
        <v>208</v>
      </c>
      <c r="L71">
        <v>1339</v>
      </c>
      <c r="N71">
        <v>1007</v>
      </c>
      <c r="O71" t="s">
        <v>29</v>
      </c>
      <c r="P71" t="s">
        <v>29</v>
      </c>
      <c r="Q71">
        <v>1</v>
      </c>
      <c r="W71">
        <v>0</v>
      </c>
      <c r="X71">
        <v>-1662970571</v>
      </c>
      <c r="Y71">
        <v>1.1000000000000001</v>
      </c>
      <c r="AA71">
        <v>590.78</v>
      </c>
      <c r="AB71">
        <v>0</v>
      </c>
      <c r="AC71">
        <v>0</v>
      </c>
      <c r="AD71">
        <v>0</v>
      </c>
      <c r="AE71">
        <v>590.78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1.1000000000000001</v>
      </c>
      <c r="AU71" t="s">
        <v>3</v>
      </c>
      <c r="AV71">
        <v>0</v>
      </c>
      <c r="AW71">
        <v>2</v>
      </c>
      <c r="AX71">
        <v>42367355</v>
      </c>
      <c r="AY71">
        <v>1</v>
      </c>
      <c r="AZ71">
        <v>0</v>
      </c>
      <c r="BA71">
        <v>141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Y71*Source!I69</f>
        <v>5.3900000000000003E-2</v>
      </c>
      <c r="CY71">
        <f>AA71</f>
        <v>590.78</v>
      </c>
      <c r="CZ71">
        <f>AE71</f>
        <v>590.78</v>
      </c>
      <c r="DA71">
        <f>AI71</f>
        <v>1</v>
      </c>
      <c r="DB71">
        <f t="shared" si="4"/>
        <v>649.86</v>
      </c>
      <c r="DC71">
        <f t="shared" si="5"/>
        <v>0</v>
      </c>
    </row>
    <row r="72" spans="1:107" x14ac:dyDescent="0.2">
      <c r="A72">
        <f>ROW(Source!A69)</f>
        <v>69</v>
      </c>
      <c r="B72">
        <v>42278323</v>
      </c>
      <c r="C72">
        <v>42367344</v>
      </c>
      <c r="D72">
        <v>40682177</v>
      </c>
      <c r="E72">
        <v>1</v>
      </c>
      <c r="F72">
        <v>1</v>
      </c>
      <c r="G72">
        <v>27</v>
      </c>
      <c r="H72">
        <v>3</v>
      </c>
      <c r="I72" t="s">
        <v>209</v>
      </c>
      <c r="J72" t="s">
        <v>210</v>
      </c>
      <c r="K72" t="s">
        <v>211</v>
      </c>
      <c r="L72">
        <v>1339</v>
      </c>
      <c r="N72">
        <v>1007</v>
      </c>
      <c r="O72" t="s">
        <v>29</v>
      </c>
      <c r="P72" t="s">
        <v>29</v>
      </c>
      <c r="Q72">
        <v>1</v>
      </c>
      <c r="W72">
        <v>0</v>
      </c>
      <c r="X72">
        <v>2028445372</v>
      </c>
      <c r="Y72">
        <v>0.15</v>
      </c>
      <c r="AA72">
        <v>35.25</v>
      </c>
      <c r="AB72">
        <v>0</v>
      </c>
      <c r="AC72">
        <v>0</v>
      </c>
      <c r="AD72">
        <v>0</v>
      </c>
      <c r="AE72">
        <v>35.25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0.15</v>
      </c>
      <c r="AU72" t="s">
        <v>3</v>
      </c>
      <c r="AV72">
        <v>0</v>
      </c>
      <c r="AW72">
        <v>2</v>
      </c>
      <c r="AX72">
        <v>42367356</v>
      </c>
      <c r="AY72">
        <v>1</v>
      </c>
      <c r="AZ72">
        <v>0</v>
      </c>
      <c r="BA72">
        <v>142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Y72*Source!I69</f>
        <v>7.3499999999999998E-3</v>
      </c>
      <c r="CY72">
        <f>AA72</f>
        <v>35.25</v>
      </c>
      <c r="CZ72">
        <f>AE72</f>
        <v>35.25</v>
      </c>
      <c r="DA72">
        <f>AI72</f>
        <v>1</v>
      </c>
      <c r="DB72">
        <f t="shared" si="4"/>
        <v>5.29</v>
      </c>
      <c r="DC72">
        <f t="shared" si="5"/>
        <v>0</v>
      </c>
    </row>
    <row r="73" spans="1:107" x14ac:dyDescent="0.2">
      <c r="A73">
        <f>ROW(Source!A70)</f>
        <v>70</v>
      </c>
      <c r="B73">
        <v>42278323</v>
      </c>
      <c r="C73">
        <v>42367357</v>
      </c>
      <c r="D73">
        <v>40662784</v>
      </c>
      <c r="E73">
        <v>27</v>
      </c>
      <c r="F73">
        <v>1</v>
      </c>
      <c r="G73">
        <v>27</v>
      </c>
      <c r="H73">
        <v>1</v>
      </c>
      <c r="I73" t="s">
        <v>193</v>
      </c>
      <c r="J73" t="s">
        <v>3</v>
      </c>
      <c r="K73" t="s">
        <v>194</v>
      </c>
      <c r="L73">
        <v>1191</v>
      </c>
      <c r="N73">
        <v>1013</v>
      </c>
      <c r="O73" t="s">
        <v>195</v>
      </c>
      <c r="P73" t="s">
        <v>195</v>
      </c>
      <c r="Q73">
        <v>1</v>
      </c>
      <c r="W73">
        <v>0</v>
      </c>
      <c r="X73">
        <v>476480486</v>
      </c>
      <c r="Y73">
        <v>0.98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0.98</v>
      </c>
      <c r="AU73" t="s">
        <v>3</v>
      </c>
      <c r="AV73">
        <v>1</v>
      </c>
      <c r="AW73">
        <v>2</v>
      </c>
      <c r="AX73">
        <v>42367364</v>
      </c>
      <c r="AY73">
        <v>1</v>
      </c>
      <c r="AZ73">
        <v>0</v>
      </c>
      <c r="BA73">
        <v>143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Y73*Source!I70</f>
        <v>9.604E-2</v>
      </c>
      <c r="CY73">
        <f>AD73</f>
        <v>0</v>
      </c>
      <c r="CZ73">
        <f>AH73</f>
        <v>0</v>
      </c>
      <c r="DA73">
        <f>AL73</f>
        <v>1</v>
      </c>
      <c r="DB73">
        <f t="shared" si="4"/>
        <v>0</v>
      </c>
      <c r="DC73">
        <f t="shared" si="5"/>
        <v>0</v>
      </c>
    </row>
    <row r="74" spans="1:107" x14ac:dyDescent="0.2">
      <c r="A74">
        <f>ROW(Source!A70)</f>
        <v>70</v>
      </c>
      <c r="B74">
        <v>42278323</v>
      </c>
      <c r="C74">
        <v>42367357</v>
      </c>
      <c r="D74">
        <v>40679631</v>
      </c>
      <c r="E74">
        <v>1</v>
      </c>
      <c r="F74">
        <v>1</v>
      </c>
      <c r="G74">
        <v>27</v>
      </c>
      <c r="H74">
        <v>2</v>
      </c>
      <c r="I74" t="s">
        <v>196</v>
      </c>
      <c r="J74" t="s">
        <v>197</v>
      </c>
      <c r="K74" t="s">
        <v>198</v>
      </c>
      <c r="L74">
        <v>1368</v>
      </c>
      <c r="N74">
        <v>1011</v>
      </c>
      <c r="O74" t="s">
        <v>199</v>
      </c>
      <c r="P74" t="s">
        <v>199</v>
      </c>
      <c r="Q74">
        <v>1</v>
      </c>
      <c r="W74">
        <v>0</v>
      </c>
      <c r="X74">
        <v>-1226344697</v>
      </c>
      <c r="Y74">
        <v>0.25</v>
      </c>
      <c r="AA74">
        <v>0</v>
      </c>
      <c r="AB74">
        <v>470.71</v>
      </c>
      <c r="AC74">
        <v>359.8</v>
      </c>
      <c r="AD74">
        <v>0</v>
      </c>
      <c r="AE74">
        <v>0</v>
      </c>
      <c r="AF74">
        <v>470.71</v>
      </c>
      <c r="AG74">
        <v>359.8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0.25</v>
      </c>
      <c r="AU74" t="s">
        <v>3</v>
      </c>
      <c r="AV74">
        <v>0</v>
      </c>
      <c r="AW74">
        <v>2</v>
      </c>
      <c r="AX74">
        <v>42367365</v>
      </c>
      <c r="AY74">
        <v>1</v>
      </c>
      <c r="AZ74">
        <v>0</v>
      </c>
      <c r="BA74">
        <v>144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Y74*Source!I70</f>
        <v>2.4500000000000001E-2</v>
      </c>
      <c r="CY74">
        <f>AB74</f>
        <v>470.71</v>
      </c>
      <c r="CZ74">
        <f>AF74</f>
        <v>470.71</v>
      </c>
      <c r="DA74">
        <f>AJ74</f>
        <v>1</v>
      </c>
      <c r="DB74">
        <f t="shared" si="4"/>
        <v>117.68</v>
      </c>
      <c r="DC74">
        <f t="shared" si="5"/>
        <v>89.95</v>
      </c>
    </row>
    <row r="75" spans="1:107" x14ac:dyDescent="0.2">
      <c r="A75">
        <f>ROW(Source!A70)</f>
        <v>70</v>
      </c>
      <c r="B75">
        <v>42278323</v>
      </c>
      <c r="C75">
        <v>42367357</v>
      </c>
      <c r="D75">
        <v>40680099</v>
      </c>
      <c r="E75">
        <v>1</v>
      </c>
      <c r="F75">
        <v>1</v>
      </c>
      <c r="G75">
        <v>27</v>
      </c>
      <c r="H75">
        <v>2</v>
      </c>
      <c r="I75" t="s">
        <v>200</v>
      </c>
      <c r="J75" t="s">
        <v>201</v>
      </c>
      <c r="K75" t="s">
        <v>202</v>
      </c>
      <c r="L75">
        <v>1368</v>
      </c>
      <c r="N75">
        <v>1011</v>
      </c>
      <c r="O75" t="s">
        <v>199</v>
      </c>
      <c r="P75" t="s">
        <v>199</v>
      </c>
      <c r="Q75">
        <v>1</v>
      </c>
      <c r="W75">
        <v>0</v>
      </c>
      <c r="X75">
        <v>-1383996176</v>
      </c>
      <c r="Y75">
        <v>0.5</v>
      </c>
      <c r="AA75">
        <v>0</v>
      </c>
      <c r="AB75">
        <v>3.75</v>
      </c>
      <c r="AC75">
        <v>2.56</v>
      </c>
      <c r="AD75">
        <v>0</v>
      </c>
      <c r="AE75">
        <v>0</v>
      </c>
      <c r="AF75">
        <v>3.75</v>
      </c>
      <c r="AG75">
        <v>2.56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0.5</v>
      </c>
      <c r="AU75" t="s">
        <v>3</v>
      </c>
      <c r="AV75">
        <v>0</v>
      </c>
      <c r="AW75">
        <v>2</v>
      </c>
      <c r="AX75">
        <v>42367366</v>
      </c>
      <c r="AY75">
        <v>1</v>
      </c>
      <c r="AZ75">
        <v>0</v>
      </c>
      <c r="BA75">
        <v>145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Y75*Source!I70</f>
        <v>4.9000000000000002E-2</v>
      </c>
      <c r="CY75">
        <f>AB75</f>
        <v>3.75</v>
      </c>
      <c r="CZ75">
        <f>AF75</f>
        <v>3.75</v>
      </c>
      <c r="DA75">
        <f>AJ75</f>
        <v>1</v>
      </c>
      <c r="DB75">
        <f t="shared" si="4"/>
        <v>1.88</v>
      </c>
      <c r="DC75">
        <f t="shared" si="5"/>
        <v>1.28</v>
      </c>
    </row>
    <row r="76" spans="1:107" x14ac:dyDescent="0.2">
      <c r="A76">
        <f>ROW(Source!A70)</f>
        <v>70</v>
      </c>
      <c r="B76">
        <v>42278323</v>
      </c>
      <c r="C76">
        <v>42367357</v>
      </c>
      <c r="D76">
        <v>40679388</v>
      </c>
      <c r="E76">
        <v>1</v>
      </c>
      <c r="F76">
        <v>1</v>
      </c>
      <c r="G76">
        <v>27</v>
      </c>
      <c r="H76">
        <v>2</v>
      </c>
      <c r="I76" t="s">
        <v>203</v>
      </c>
      <c r="J76" t="s">
        <v>204</v>
      </c>
      <c r="K76" t="s">
        <v>205</v>
      </c>
      <c r="L76">
        <v>1368</v>
      </c>
      <c r="N76">
        <v>1011</v>
      </c>
      <c r="O76" t="s">
        <v>199</v>
      </c>
      <c r="P76" t="s">
        <v>199</v>
      </c>
      <c r="Q76">
        <v>1</v>
      </c>
      <c r="W76">
        <v>0</v>
      </c>
      <c r="X76">
        <v>-61066883</v>
      </c>
      <c r="Y76">
        <v>0.09</v>
      </c>
      <c r="AA76">
        <v>0</v>
      </c>
      <c r="AB76">
        <v>1171.51</v>
      </c>
      <c r="AC76">
        <v>487.24</v>
      </c>
      <c r="AD76">
        <v>0</v>
      </c>
      <c r="AE76">
        <v>0</v>
      </c>
      <c r="AF76">
        <v>1171.51</v>
      </c>
      <c r="AG76">
        <v>487.24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0.09</v>
      </c>
      <c r="AU76" t="s">
        <v>3</v>
      </c>
      <c r="AV76">
        <v>0</v>
      </c>
      <c r="AW76">
        <v>2</v>
      </c>
      <c r="AX76">
        <v>42367367</v>
      </c>
      <c r="AY76">
        <v>1</v>
      </c>
      <c r="AZ76">
        <v>0</v>
      </c>
      <c r="BA76">
        <v>146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Y76*Source!I70</f>
        <v>8.8199999999999997E-3</v>
      </c>
      <c r="CY76">
        <f>AB76</f>
        <v>1171.51</v>
      </c>
      <c r="CZ76">
        <f>AF76</f>
        <v>1171.51</v>
      </c>
      <c r="DA76">
        <f>AJ76</f>
        <v>1</v>
      </c>
      <c r="DB76">
        <f t="shared" si="4"/>
        <v>105.44</v>
      </c>
      <c r="DC76">
        <f t="shared" si="5"/>
        <v>43.85</v>
      </c>
    </row>
    <row r="77" spans="1:107" x14ac:dyDescent="0.2">
      <c r="A77">
        <f>ROW(Source!A70)</f>
        <v>70</v>
      </c>
      <c r="B77">
        <v>42278323</v>
      </c>
      <c r="C77">
        <v>42367357</v>
      </c>
      <c r="D77">
        <v>40681466</v>
      </c>
      <c r="E77">
        <v>1</v>
      </c>
      <c r="F77">
        <v>1</v>
      </c>
      <c r="G77">
        <v>27</v>
      </c>
      <c r="H77">
        <v>3</v>
      </c>
      <c r="I77" t="s">
        <v>212</v>
      </c>
      <c r="J77" t="s">
        <v>213</v>
      </c>
      <c r="K77" t="s">
        <v>214</v>
      </c>
      <c r="L77">
        <v>1339</v>
      </c>
      <c r="N77">
        <v>1007</v>
      </c>
      <c r="O77" t="s">
        <v>29</v>
      </c>
      <c r="P77" t="s">
        <v>29</v>
      </c>
      <c r="Q77">
        <v>1</v>
      </c>
      <c r="W77">
        <v>0</v>
      </c>
      <c r="X77">
        <v>353177933</v>
      </c>
      <c r="Y77">
        <v>1.1499999999999999</v>
      </c>
      <c r="AA77">
        <v>1436.5</v>
      </c>
      <c r="AB77">
        <v>0</v>
      </c>
      <c r="AC77">
        <v>0</v>
      </c>
      <c r="AD77">
        <v>0</v>
      </c>
      <c r="AE77">
        <v>1436.5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1.1499999999999999</v>
      </c>
      <c r="AU77" t="s">
        <v>3</v>
      </c>
      <c r="AV77">
        <v>0</v>
      </c>
      <c r="AW77">
        <v>2</v>
      </c>
      <c r="AX77">
        <v>42367368</v>
      </c>
      <c r="AY77">
        <v>1</v>
      </c>
      <c r="AZ77">
        <v>0</v>
      </c>
      <c r="BA77">
        <v>147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Y77*Source!I70</f>
        <v>0.11269999999999999</v>
      </c>
      <c r="CY77">
        <f>AA77</f>
        <v>1436.5</v>
      </c>
      <c r="CZ77">
        <f>AE77</f>
        <v>1436.5</v>
      </c>
      <c r="DA77">
        <f>AI77</f>
        <v>1</v>
      </c>
      <c r="DB77">
        <f t="shared" si="4"/>
        <v>1651.98</v>
      </c>
      <c r="DC77">
        <f t="shared" si="5"/>
        <v>0</v>
      </c>
    </row>
    <row r="78" spans="1:107" x14ac:dyDescent="0.2">
      <c r="A78">
        <f>ROW(Source!A70)</f>
        <v>70</v>
      </c>
      <c r="B78">
        <v>42278323</v>
      </c>
      <c r="C78">
        <v>42367357</v>
      </c>
      <c r="D78">
        <v>40682177</v>
      </c>
      <c r="E78">
        <v>1</v>
      </c>
      <c r="F78">
        <v>1</v>
      </c>
      <c r="G78">
        <v>27</v>
      </c>
      <c r="H78">
        <v>3</v>
      </c>
      <c r="I78" t="s">
        <v>209</v>
      </c>
      <c r="J78" t="s">
        <v>210</v>
      </c>
      <c r="K78" t="s">
        <v>211</v>
      </c>
      <c r="L78">
        <v>1339</v>
      </c>
      <c r="N78">
        <v>1007</v>
      </c>
      <c r="O78" t="s">
        <v>29</v>
      </c>
      <c r="P78" t="s">
        <v>29</v>
      </c>
      <c r="Q78">
        <v>1</v>
      </c>
      <c r="W78">
        <v>0</v>
      </c>
      <c r="X78">
        <v>2028445372</v>
      </c>
      <c r="Y78">
        <v>0.15</v>
      </c>
      <c r="AA78">
        <v>35.25</v>
      </c>
      <c r="AB78">
        <v>0</v>
      </c>
      <c r="AC78">
        <v>0</v>
      </c>
      <c r="AD78">
        <v>0</v>
      </c>
      <c r="AE78">
        <v>35.25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0.15</v>
      </c>
      <c r="AU78" t="s">
        <v>3</v>
      </c>
      <c r="AV78">
        <v>0</v>
      </c>
      <c r="AW78">
        <v>2</v>
      </c>
      <c r="AX78">
        <v>42367369</v>
      </c>
      <c r="AY78">
        <v>1</v>
      </c>
      <c r="AZ78">
        <v>0</v>
      </c>
      <c r="BA78">
        <v>148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Y78*Source!I70</f>
        <v>1.47E-2</v>
      </c>
      <c r="CY78">
        <f>AA78</f>
        <v>35.25</v>
      </c>
      <c r="CZ78">
        <f>AE78</f>
        <v>35.25</v>
      </c>
      <c r="DA78">
        <f>AI78</f>
        <v>1</v>
      </c>
      <c r="DB78">
        <f t="shared" si="4"/>
        <v>5.29</v>
      </c>
      <c r="DC78">
        <f t="shared" si="5"/>
        <v>0</v>
      </c>
    </row>
    <row r="79" spans="1:107" x14ac:dyDescent="0.2">
      <c r="A79">
        <f>ROW(Source!A72)</f>
        <v>72</v>
      </c>
      <c r="B79">
        <v>42278323</v>
      </c>
      <c r="C79">
        <v>42279731</v>
      </c>
      <c r="D79">
        <v>40683405</v>
      </c>
      <c r="E79">
        <v>1</v>
      </c>
      <c r="F79">
        <v>1</v>
      </c>
      <c r="G79">
        <v>27</v>
      </c>
      <c r="H79">
        <v>3</v>
      </c>
      <c r="I79" t="s">
        <v>50</v>
      </c>
      <c r="J79" t="s">
        <v>52</v>
      </c>
      <c r="K79" t="s">
        <v>51</v>
      </c>
      <c r="L79">
        <v>1348</v>
      </c>
      <c r="N79">
        <v>1009</v>
      </c>
      <c r="O79" t="s">
        <v>42</v>
      </c>
      <c r="P79" t="s">
        <v>42</v>
      </c>
      <c r="Q79">
        <v>1000</v>
      </c>
      <c r="W79">
        <v>1</v>
      </c>
      <c r="X79">
        <v>588667335</v>
      </c>
      <c r="Y79">
        <v>-1</v>
      </c>
      <c r="AA79">
        <v>53233.52</v>
      </c>
      <c r="AB79">
        <v>0</v>
      </c>
      <c r="AC79">
        <v>0</v>
      </c>
      <c r="AD79">
        <v>0</v>
      </c>
      <c r="AE79">
        <v>53233.52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3</v>
      </c>
      <c r="AT79">
        <v>-1</v>
      </c>
      <c r="AU79" t="s">
        <v>3</v>
      </c>
      <c r="AV79">
        <v>0</v>
      </c>
      <c r="AW79">
        <v>2</v>
      </c>
      <c r="AX79">
        <v>42279735</v>
      </c>
      <c r="AY79">
        <v>1</v>
      </c>
      <c r="AZ79">
        <v>6144</v>
      </c>
      <c r="BA79">
        <v>162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Y79*Source!I72</f>
        <v>-7.85E-2</v>
      </c>
      <c r="CY79">
        <f>AA79</f>
        <v>53233.52</v>
      </c>
      <c r="CZ79">
        <f>AE79</f>
        <v>53233.52</v>
      </c>
      <c r="DA79">
        <f>AI79</f>
        <v>1</v>
      </c>
      <c r="DB79">
        <f t="shared" si="4"/>
        <v>-53233.52</v>
      </c>
      <c r="DC79">
        <f t="shared" si="5"/>
        <v>0</v>
      </c>
    </row>
    <row r="80" spans="1:107" x14ac:dyDescent="0.2">
      <c r="A80">
        <f>ROW(Source!A72)</f>
        <v>72</v>
      </c>
      <c r="B80">
        <v>42278323</v>
      </c>
      <c r="C80">
        <v>42279731</v>
      </c>
      <c r="D80">
        <v>40684692</v>
      </c>
      <c r="E80">
        <v>1</v>
      </c>
      <c r="F80">
        <v>1</v>
      </c>
      <c r="G80">
        <v>27</v>
      </c>
      <c r="H80">
        <v>3</v>
      </c>
      <c r="I80" t="s">
        <v>45</v>
      </c>
      <c r="J80" t="s">
        <v>48</v>
      </c>
      <c r="K80" t="s">
        <v>46</v>
      </c>
      <c r="L80">
        <v>1354</v>
      </c>
      <c r="N80">
        <v>1010</v>
      </c>
      <c r="O80" t="s">
        <v>47</v>
      </c>
      <c r="P80" t="s">
        <v>47</v>
      </c>
      <c r="Q80">
        <v>1</v>
      </c>
      <c r="W80">
        <v>0</v>
      </c>
      <c r="X80">
        <v>462942439</v>
      </c>
      <c r="Y80">
        <v>12.738854</v>
      </c>
      <c r="AA80">
        <v>210</v>
      </c>
      <c r="AB80">
        <v>0</v>
      </c>
      <c r="AC80">
        <v>0</v>
      </c>
      <c r="AD80">
        <v>0</v>
      </c>
      <c r="AE80">
        <v>210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3</v>
      </c>
      <c r="AT80">
        <v>12.738854</v>
      </c>
      <c r="AU80" t="s">
        <v>3</v>
      </c>
      <c r="AV80">
        <v>0</v>
      </c>
      <c r="AW80">
        <v>1</v>
      </c>
      <c r="AX80">
        <v>-1</v>
      </c>
      <c r="AY80">
        <v>0</v>
      </c>
      <c r="AZ80">
        <v>0</v>
      </c>
      <c r="BA80" t="s">
        <v>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Y80*Source!I72</f>
        <v>1.0000000389999999</v>
      </c>
      <c r="CY80">
        <f>AA80</f>
        <v>210</v>
      </c>
      <c r="CZ80">
        <f>AE80</f>
        <v>210</v>
      </c>
      <c r="DA80">
        <f>AI80</f>
        <v>1</v>
      </c>
      <c r="DB80">
        <f t="shared" si="4"/>
        <v>2675.16</v>
      </c>
      <c r="DC80">
        <f t="shared" si="5"/>
        <v>0</v>
      </c>
    </row>
    <row r="81" spans="1:107" x14ac:dyDescent="0.2">
      <c r="A81">
        <f>ROW(Source!A77)</f>
        <v>77</v>
      </c>
      <c r="B81">
        <v>42278323</v>
      </c>
      <c r="C81">
        <v>42367372</v>
      </c>
      <c r="D81">
        <v>40662784</v>
      </c>
      <c r="E81">
        <v>27</v>
      </c>
      <c r="F81">
        <v>1</v>
      </c>
      <c r="G81">
        <v>27</v>
      </c>
      <c r="H81">
        <v>1</v>
      </c>
      <c r="I81" t="s">
        <v>193</v>
      </c>
      <c r="J81" t="s">
        <v>3</v>
      </c>
      <c r="K81" t="s">
        <v>194</v>
      </c>
      <c r="L81">
        <v>1191</v>
      </c>
      <c r="N81">
        <v>1013</v>
      </c>
      <c r="O81" t="s">
        <v>195</v>
      </c>
      <c r="P81" t="s">
        <v>195</v>
      </c>
      <c r="Q81">
        <v>1</v>
      </c>
      <c r="W81">
        <v>0</v>
      </c>
      <c r="X81">
        <v>476480486</v>
      </c>
      <c r="Y81">
        <v>0.9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0.9</v>
      </c>
      <c r="AU81" t="s">
        <v>3</v>
      </c>
      <c r="AV81">
        <v>1</v>
      </c>
      <c r="AW81">
        <v>2</v>
      </c>
      <c r="AX81">
        <v>42367379</v>
      </c>
      <c r="AY81">
        <v>1</v>
      </c>
      <c r="AZ81">
        <v>0</v>
      </c>
      <c r="BA81">
        <v>164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Y81*Source!I77</f>
        <v>4.41E-2</v>
      </c>
      <c r="CY81">
        <f>AD81</f>
        <v>0</v>
      </c>
      <c r="CZ81">
        <f>AH81</f>
        <v>0</v>
      </c>
      <c r="DA81">
        <f>AL81</f>
        <v>1</v>
      </c>
      <c r="DB81">
        <f t="shared" si="4"/>
        <v>0</v>
      </c>
      <c r="DC81">
        <f t="shared" si="5"/>
        <v>0</v>
      </c>
    </row>
    <row r="82" spans="1:107" x14ac:dyDescent="0.2">
      <c r="A82">
        <f>ROW(Source!A77)</f>
        <v>77</v>
      </c>
      <c r="B82">
        <v>42278323</v>
      </c>
      <c r="C82">
        <v>42367372</v>
      </c>
      <c r="D82">
        <v>40679631</v>
      </c>
      <c r="E82">
        <v>1</v>
      </c>
      <c r="F82">
        <v>1</v>
      </c>
      <c r="G82">
        <v>27</v>
      </c>
      <c r="H82">
        <v>2</v>
      </c>
      <c r="I82" t="s">
        <v>196</v>
      </c>
      <c r="J82" t="s">
        <v>197</v>
      </c>
      <c r="K82" t="s">
        <v>198</v>
      </c>
      <c r="L82">
        <v>1368</v>
      </c>
      <c r="N82">
        <v>1011</v>
      </c>
      <c r="O82" t="s">
        <v>199</v>
      </c>
      <c r="P82" t="s">
        <v>199</v>
      </c>
      <c r="Q82">
        <v>1</v>
      </c>
      <c r="W82">
        <v>0</v>
      </c>
      <c r="X82">
        <v>-1226344697</v>
      </c>
      <c r="Y82">
        <v>0.22</v>
      </c>
      <c r="AA82">
        <v>0</v>
      </c>
      <c r="AB82">
        <v>470.71</v>
      </c>
      <c r="AC82">
        <v>359.8</v>
      </c>
      <c r="AD82">
        <v>0</v>
      </c>
      <c r="AE82">
        <v>0</v>
      </c>
      <c r="AF82">
        <v>470.71</v>
      </c>
      <c r="AG82">
        <v>359.8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0.22</v>
      </c>
      <c r="AU82" t="s">
        <v>3</v>
      </c>
      <c r="AV82">
        <v>0</v>
      </c>
      <c r="AW82">
        <v>2</v>
      </c>
      <c r="AX82">
        <v>42367380</v>
      </c>
      <c r="AY82">
        <v>1</v>
      </c>
      <c r="AZ82">
        <v>0</v>
      </c>
      <c r="BA82">
        <v>165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Y82*Source!I77</f>
        <v>1.078E-2</v>
      </c>
      <c r="CY82">
        <f>AB82</f>
        <v>470.71</v>
      </c>
      <c r="CZ82">
        <f>AF82</f>
        <v>470.71</v>
      </c>
      <c r="DA82">
        <f>AJ82</f>
        <v>1</v>
      </c>
      <c r="DB82">
        <f t="shared" si="4"/>
        <v>103.56</v>
      </c>
      <c r="DC82">
        <f t="shared" si="5"/>
        <v>79.16</v>
      </c>
    </row>
    <row r="83" spans="1:107" x14ac:dyDescent="0.2">
      <c r="A83">
        <f>ROW(Source!A77)</f>
        <v>77</v>
      </c>
      <c r="B83">
        <v>42278323</v>
      </c>
      <c r="C83">
        <v>42367372</v>
      </c>
      <c r="D83">
        <v>40680099</v>
      </c>
      <c r="E83">
        <v>1</v>
      </c>
      <c r="F83">
        <v>1</v>
      </c>
      <c r="G83">
        <v>27</v>
      </c>
      <c r="H83">
        <v>2</v>
      </c>
      <c r="I83" t="s">
        <v>200</v>
      </c>
      <c r="J83" t="s">
        <v>201</v>
      </c>
      <c r="K83" t="s">
        <v>202</v>
      </c>
      <c r="L83">
        <v>1368</v>
      </c>
      <c r="N83">
        <v>1011</v>
      </c>
      <c r="O83" t="s">
        <v>199</v>
      </c>
      <c r="P83" t="s">
        <v>199</v>
      </c>
      <c r="Q83">
        <v>1</v>
      </c>
      <c r="W83">
        <v>0</v>
      </c>
      <c r="X83">
        <v>-1383996176</v>
      </c>
      <c r="Y83">
        <v>0.45</v>
      </c>
      <c r="AA83">
        <v>0</v>
      </c>
      <c r="AB83">
        <v>3.75</v>
      </c>
      <c r="AC83">
        <v>2.56</v>
      </c>
      <c r="AD83">
        <v>0</v>
      </c>
      <c r="AE83">
        <v>0</v>
      </c>
      <c r="AF83">
        <v>3.75</v>
      </c>
      <c r="AG83">
        <v>2.56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0.45</v>
      </c>
      <c r="AU83" t="s">
        <v>3</v>
      </c>
      <c r="AV83">
        <v>0</v>
      </c>
      <c r="AW83">
        <v>2</v>
      </c>
      <c r="AX83">
        <v>42367381</v>
      </c>
      <c r="AY83">
        <v>1</v>
      </c>
      <c r="AZ83">
        <v>0</v>
      </c>
      <c r="BA83">
        <v>166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Y83*Source!I77</f>
        <v>2.205E-2</v>
      </c>
      <c r="CY83">
        <f>AB83</f>
        <v>3.75</v>
      </c>
      <c r="CZ83">
        <f>AF83</f>
        <v>3.75</v>
      </c>
      <c r="DA83">
        <f>AJ83</f>
        <v>1</v>
      </c>
      <c r="DB83">
        <f t="shared" si="4"/>
        <v>1.69</v>
      </c>
      <c r="DC83">
        <f t="shared" si="5"/>
        <v>1.1499999999999999</v>
      </c>
    </row>
    <row r="84" spans="1:107" x14ac:dyDescent="0.2">
      <c r="A84">
        <f>ROW(Source!A77)</f>
        <v>77</v>
      </c>
      <c r="B84">
        <v>42278323</v>
      </c>
      <c r="C84">
        <v>42367372</v>
      </c>
      <c r="D84">
        <v>40679388</v>
      </c>
      <c r="E84">
        <v>1</v>
      </c>
      <c r="F84">
        <v>1</v>
      </c>
      <c r="G84">
        <v>27</v>
      </c>
      <c r="H84">
        <v>2</v>
      </c>
      <c r="I84" t="s">
        <v>203</v>
      </c>
      <c r="J84" t="s">
        <v>204</v>
      </c>
      <c r="K84" t="s">
        <v>205</v>
      </c>
      <c r="L84">
        <v>1368</v>
      </c>
      <c r="N84">
        <v>1011</v>
      </c>
      <c r="O84" t="s">
        <v>199</v>
      </c>
      <c r="P84" t="s">
        <v>199</v>
      </c>
      <c r="Q84">
        <v>1</v>
      </c>
      <c r="W84">
        <v>0</v>
      </c>
      <c r="X84">
        <v>-61066883</v>
      </c>
      <c r="Y84">
        <v>0.09</v>
      </c>
      <c r="AA84">
        <v>0</v>
      </c>
      <c r="AB84">
        <v>1171.51</v>
      </c>
      <c r="AC84">
        <v>487.24</v>
      </c>
      <c r="AD84">
        <v>0</v>
      </c>
      <c r="AE84">
        <v>0</v>
      </c>
      <c r="AF84">
        <v>1171.51</v>
      </c>
      <c r="AG84">
        <v>487.24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0.09</v>
      </c>
      <c r="AU84" t="s">
        <v>3</v>
      </c>
      <c r="AV84">
        <v>0</v>
      </c>
      <c r="AW84">
        <v>2</v>
      </c>
      <c r="AX84">
        <v>42367382</v>
      </c>
      <c r="AY84">
        <v>1</v>
      </c>
      <c r="AZ84">
        <v>0</v>
      </c>
      <c r="BA84">
        <v>167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Y84*Source!I77</f>
        <v>4.4099999999999999E-3</v>
      </c>
      <c r="CY84">
        <f>AB84</f>
        <v>1171.51</v>
      </c>
      <c r="CZ84">
        <f>AF84</f>
        <v>1171.51</v>
      </c>
      <c r="DA84">
        <f>AJ84</f>
        <v>1</v>
      </c>
      <c r="DB84">
        <f t="shared" si="4"/>
        <v>105.44</v>
      </c>
      <c r="DC84">
        <f t="shared" si="5"/>
        <v>43.85</v>
      </c>
    </row>
    <row r="85" spans="1:107" x14ac:dyDescent="0.2">
      <c r="A85">
        <f>ROW(Source!A77)</f>
        <v>77</v>
      </c>
      <c r="B85">
        <v>42278323</v>
      </c>
      <c r="C85">
        <v>42367372</v>
      </c>
      <c r="D85">
        <v>40681432</v>
      </c>
      <c r="E85">
        <v>1</v>
      </c>
      <c r="F85">
        <v>1</v>
      </c>
      <c r="G85">
        <v>27</v>
      </c>
      <c r="H85">
        <v>3</v>
      </c>
      <c r="I85" t="s">
        <v>206</v>
      </c>
      <c r="J85" t="s">
        <v>207</v>
      </c>
      <c r="K85" t="s">
        <v>208</v>
      </c>
      <c r="L85">
        <v>1339</v>
      </c>
      <c r="N85">
        <v>1007</v>
      </c>
      <c r="O85" t="s">
        <v>29</v>
      </c>
      <c r="P85" t="s">
        <v>29</v>
      </c>
      <c r="Q85">
        <v>1</v>
      </c>
      <c r="W85">
        <v>0</v>
      </c>
      <c r="X85">
        <v>-1662970571</v>
      </c>
      <c r="Y85">
        <v>1.1000000000000001</v>
      </c>
      <c r="AA85">
        <v>590.78</v>
      </c>
      <c r="AB85">
        <v>0</v>
      </c>
      <c r="AC85">
        <v>0</v>
      </c>
      <c r="AD85">
        <v>0</v>
      </c>
      <c r="AE85">
        <v>590.78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1.1000000000000001</v>
      </c>
      <c r="AU85" t="s">
        <v>3</v>
      </c>
      <c r="AV85">
        <v>0</v>
      </c>
      <c r="AW85">
        <v>2</v>
      </c>
      <c r="AX85">
        <v>42367383</v>
      </c>
      <c r="AY85">
        <v>1</v>
      </c>
      <c r="AZ85">
        <v>0</v>
      </c>
      <c r="BA85">
        <v>168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Y85*Source!I77</f>
        <v>5.3900000000000003E-2</v>
      </c>
      <c r="CY85">
        <f>AA85</f>
        <v>590.78</v>
      </c>
      <c r="CZ85">
        <f>AE85</f>
        <v>590.78</v>
      </c>
      <c r="DA85">
        <f>AI85</f>
        <v>1</v>
      </c>
      <c r="DB85">
        <f t="shared" si="4"/>
        <v>649.86</v>
      </c>
      <c r="DC85">
        <f t="shared" si="5"/>
        <v>0</v>
      </c>
    </row>
    <row r="86" spans="1:107" x14ac:dyDescent="0.2">
      <c r="A86">
        <f>ROW(Source!A77)</f>
        <v>77</v>
      </c>
      <c r="B86">
        <v>42278323</v>
      </c>
      <c r="C86">
        <v>42367372</v>
      </c>
      <c r="D86">
        <v>40682177</v>
      </c>
      <c r="E86">
        <v>1</v>
      </c>
      <c r="F86">
        <v>1</v>
      </c>
      <c r="G86">
        <v>27</v>
      </c>
      <c r="H86">
        <v>3</v>
      </c>
      <c r="I86" t="s">
        <v>209</v>
      </c>
      <c r="J86" t="s">
        <v>210</v>
      </c>
      <c r="K86" t="s">
        <v>211</v>
      </c>
      <c r="L86">
        <v>1339</v>
      </c>
      <c r="N86">
        <v>1007</v>
      </c>
      <c r="O86" t="s">
        <v>29</v>
      </c>
      <c r="P86" t="s">
        <v>29</v>
      </c>
      <c r="Q86">
        <v>1</v>
      </c>
      <c r="W86">
        <v>0</v>
      </c>
      <c r="X86">
        <v>2028445372</v>
      </c>
      <c r="Y86">
        <v>0.15</v>
      </c>
      <c r="AA86">
        <v>35.25</v>
      </c>
      <c r="AB86">
        <v>0</v>
      </c>
      <c r="AC86">
        <v>0</v>
      </c>
      <c r="AD86">
        <v>0</v>
      </c>
      <c r="AE86">
        <v>35.25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0.15</v>
      </c>
      <c r="AU86" t="s">
        <v>3</v>
      </c>
      <c r="AV86">
        <v>0</v>
      </c>
      <c r="AW86">
        <v>2</v>
      </c>
      <c r="AX86">
        <v>42367384</v>
      </c>
      <c r="AY86">
        <v>1</v>
      </c>
      <c r="AZ86">
        <v>0</v>
      </c>
      <c r="BA86">
        <v>169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Y86*Source!I77</f>
        <v>7.3499999999999998E-3</v>
      </c>
      <c r="CY86">
        <f>AA86</f>
        <v>35.25</v>
      </c>
      <c r="CZ86">
        <f>AE86</f>
        <v>35.25</v>
      </c>
      <c r="DA86">
        <f>AI86</f>
        <v>1</v>
      </c>
      <c r="DB86">
        <f t="shared" si="4"/>
        <v>5.29</v>
      </c>
      <c r="DC86">
        <f t="shared" si="5"/>
        <v>0</v>
      </c>
    </row>
    <row r="87" spans="1:107" x14ac:dyDescent="0.2">
      <c r="A87">
        <f>ROW(Source!A78)</f>
        <v>78</v>
      </c>
      <c r="B87">
        <v>42278323</v>
      </c>
      <c r="C87">
        <v>42367385</v>
      </c>
      <c r="D87">
        <v>40662784</v>
      </c>
      <c r="E87">
        <v>27</v>
      </c>
      <c r="F87">
        <v>1</v>
      </c>
      <c r="G87">
        <v>27</v>
      </c>
      <c r="H87">
        <v>1</v>
      </c>
      <c r="I87" t="s">
        <v>193</v>
      </c>
      <c r="J87" t="s">
        <v>3</v>
      </c>
      <c r="K87" t="s">
        <v>194</v>
      </c>
      <c r="L87">
        <v>1191</v>
      </c>
      <c r="N87">
        <v>1013</v>
      </c>
      <c r="O87" t="s">
        <v>195</v>
      </c>
      <c r="P87" t="s">
        <v>195</v>
      </c>
      <c r="Q87">
        <v>1</v>
      </c>
      <c r="W87">
        <v>0</v>
      </c>
      <c r="X87">
        <v>476480486</v>
      </c>
      <c r="Y87">
        <v>0.98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0.98</v>
      </c>
      <c r="AU87" t="s">
        <v>3</v>
      </c>
      <c r="AV87">
        <v>1</v>
      </c>
      <c r="AW87">
        <v>2</v>
      </c>
      <c r="AX87">
        <v>42367392</v>
      </c>
      <c r="AY87">
        <v>1</v>
      </c>
      <c r="AZ87">
        <v>0</v>
      </c>
      <c r="BA87">
        <v>170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Y87*Source!I78</f>
        <v>9.604E-2</v>
      </c>
      <c r="CY87">
        <f>AD87</f>
        <v>0</v>
      </c>
      <c r="CZ87">
        <f>AH87</f>
        <v>0</v>
      </c>
      <c r="DA87">
        <f>AL87</f>
        <v>1</v>
      </c>
      <c r="DB87">
        <f t="shared" si="4"/>
        <v>0</v>
      </c>
      <c r="DC87">
        <f t="shared" si="5"/>
        <v>0</v>
      </c>
    </row>
    <row r="88" spans="1:107" x14ac:dyDescent="0.2">
      <c r="A88">
        <f>ROW(Source!A78)</f>
        <v>78</v>
      </c>
      <c r="B88">
        <v>42278323</v>
      </c>
      <c r="C88">
        <v>42367385</v>
      </c>
      <c r="D88">
        <v>40679631</v>
      </c>
      <c r="E88">
        <v>1</v>
      </c>
      <c r="F88">
        <v>1</v>
      </c>
      <c r="G88">
        <v>27</v>
      </c>
      <c r="H88">
        <v>2</v>
      </c>
      <c r="I88" t="s">
        <v>196</v>
      </c>
      <c r="J88" t="s">
        <v>197</v>
      </c>
      <c r="K88" t="s">
        <v>198</v>
      </c>
      <c r="L88">
        <v>1368</v>
      </c>
      <c r="N88">
        <v>1011</v>
      </c>
      <c r="O88" t="s">
        <v>199</v>
      </c>
      <c r="P88" t="s">
        <v>199</v>
      </c>
      <c r="Q88">
        <v>1</v>
      </c>
      <c r="W88">
        <v>0</v>
      </c>
      <c r="X88">
        <v>-1226344697</v>
      </c>
      <c r="Y88">
        <v>0.25</v>
      </c>
      <c r="AA88">
        <v>0</v>
      </c>
      <c r="AB88">
        <v>470.71</v>
      </c>
      <c r="AC88">
        <v>359.8</v>
      </c>
      <c r="AD88">
        <v>0</v>
      </c>
      <c r="AE88">
        <v>0</v>
      </c>
      <c r="AF88">
        <v>470.71</v>
      </c>
      <c r="AG88">
        <v>359.8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0.25</v>
      </c>
      <c r="AU88" t="s">
        <v>3</v>
      </c>
      <c r="AV88">
        <v>0</v>
      </c>
      <c r="AW88">
        <v>2</v>
      </c>
      <c r="AX88">
        <v>42367393</v>
      </c>
      <c r="AY88">
        <v>1</v>
      </c>
      <c r="AZ88">
        <v>0</v>
      </c>
      <c r="BA88">
        <v>171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Y88*Source!I78</f>
        <v>2.4500000000000001E-2</v>
      </c>
      <c r="CY88">
        <f>AB88</f>
        <v>470.71</v>
      </c>
      <c r="CZ88">
        <f>AF88</f>
        <v>470.71</v>
      </c>
      <c r="DA88">
        <f>AJ88</f>
        <v>1</v>
      </c>
      <c r="DB88">
        <f t="shared" si="4"/>
        <v>117.68</v>
      </c>
      <c r="DC88">
        <f t="shared" si="5"/>
        <v>89.95</v>
      </c>
    </row>
    <row r="89" spans="1:107" x14ac:dyDescent="0.2">
      <c r="A89">
        <f>ROW(Source!A78)</f>
        <v>78</v>
      </c>
      <c r="B89">
        <v>42278323</v>
      </c>
      <c r="C89">
        <v>42367385</v>
      </c>
      <c r="D89">
        <v>40680099</v>
      </c>
      <c r="E89">
        <v>1</v>
      </c>
      <c r="F89">
        <v>1</v>
      </c>
      <c r="G89">
        <v>27</v>
      </c>
      <c r="H89">
        <v>2</v>
      </c>
      <c r="I89" t="s">
        <v>200</v>
      </c>
      <c r="J89" t="s">
        <v>201</v>
      </c>
      <c r="K89" t="s">
        <v>202</v>
      </c>
      <c r="L89">
        <v>1368</v>
      </c>
      <c r="N89">
        <v>1011</v>
      </c>
      <c r="O89" t="s">
        <v>199</v>
      </c>
      <c r="P89" t="s">
        <v>199</v>
      </c>
      <c r="Q89">
        <v>1</v>
      </c>
      <c r="W89">
        <v>0</v>
      </c>
      <c r="X89">
        <v>-1383996176</v>
      </c>
      <c r="Y89">
        <v>0.5</v>
      </c>
      <c r="AA89">
        <v>0</v>
      </c>
      <c r="AB89">
        <v>3.75</v>
      </c>
      <c r="AC89">
        <v>2.56</v>
      </c>
      <c r="AD89">
        <v>0</v>
      </c>
      <c r="AE89">
        <v>0</v>
      </c>
      <c r="AF89">
        <v>3.75</v>
      </c>
      <c r="AG89">
        <v>2.56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0.5</v>
      </c>
      <c r="AU89" t="s">
        <v>3</v>
      </c>
      <c r="AV89">
        <v>0</v>
      </c>
      <c r="AW89">
        <v>2</v>
      </c>
      <c r="AX89">
        <v>42367394</v>
      </c>
      <c r="AY89">
        <v>1</v>
      </c>
      <c r="AZ89">
        <v>0</v>
      </c>
      <c r="BA89">
        <v>172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Y89*Source!I78</f>
        <v>4.9000000000000002E-2</v>
      </c>
      <c r="CY89">
        <f>AB89</f>
        <v>3.75</v>
      </c>
      <c r="CZ89">
        <f>AF89</f>
        <v>3.75</v>
      </c>
      <c r="DA89">
        <f>AJ89</f>
        <v>1</v>
      </c>
      <c r="DB89">
        <f t="shared" si="4"/>
        <v>1.88</v>
      </c>
      <c r="DC89">
        <f t="shared" si="5"/>
        <v>1.28</v>
      </c>
    </row>
    <row r="90" spans="1:107" x14ac:dyDescent="0.2">
      <c r="A90">
        <f>ROW(Source!A78)</f>
        <v>78</v>
      </c>
      <c r="B90">
        <v>42278323</v>
      </c>
      <c r="C90">
        <v>42367385</v>
      </c>
      <c r="D90">
        <v>40679388</v>
      </c>
      <c r="E90">
        <v>1</v>
      </c>
      <c r="F90">
        <v>1</v>
      </c>
      <c r="G90">
        <v>27</v>
      </c>
      <c r="H90">
        <v>2</v>
      </c>
      <c r="I90" t="s">
        <v>203</v>
      </c>
      <c r="J90" t="s">
        <v>204</v>
      </c>
      <c r="K90" t="s">
        <v>205</v>
      </c>
      <c r="L90">
        <v>1368</v>
      </c>
      <c r="N90">
        <v>1011</v>
      </c>
      <c r="O90" t="s">
        <v>199</v>
      </c>
      <c r="P90" t="s">
        <v>199</v>
      </c>
      <c r="Q90">
        <v>1</v>
      </c>
      <c r="W90">
        <v>0</v>
      </c>
      <c r="X90">
        <v>-61066883</v>
      </c>
      <c r="Y90">
        <v>0.09</v>
      </c>
      <c r="AA90">
        <v>0</v>
      </c>
      <c r="AB90">
        <v>1171.51</v>
      </c>
      <c r="AC90">
        <v>487.24</v>
      </c>
      <c r="AD90">
        <v>0</v>
      </c>
      <c r="AE90">
        <v>0</v>
      </c>
      <c r="AF90">
        <v>1171.51</v>
      </c>
      <c r="AG90">
        <v>487.24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0.09</v>
      </c>
      <c r="AU90" t="s">
        <v>3</v>
      </c>
      <c r="AV90">
        <v>0</v>
      </c>
      <c r="AW90">
        <v>2</v>
      </c>
      <c r="AX90">
        <v>42367395</v>
      </c>
      <c r="AY90">
        <v>1</v>
      </c>
      <c r="AZ90">
        <v>0</v>
      </c>
      <c r="BA90">
        <v>173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Y90*Source!I78</f>
        <v>8.8199999999999997E-3</v>
      </c>
      <c r="CY90">
        <f>AB90</f>
        <v>1171.51</v>
      </c>
      <c r="CZ90">
        <f>AF90</f>
        <v>1171.51</v>
      </c>
      <c r="DA90">
        <f>AJ90</f>
        <v>1</v>
      </c>
      <c r="DB90">
        <f t="shared" si="4"/>
        <v>105.44</v>
      </c>
      <c r="DC90">
        <f t="shared" si="5"/>
        <v>43.85</v>
      </c>
    </row>
    <row r="91" spans="1:107" x14ac:dyDescent="0.2">
      <c r="A91">
        <f>ROW(Source!A78)</f>
        <v>78</v>
      </c>
      <c r="B91">
        <v>42278323</v>
      </c>
      <c r="C91">
        <v>42367385</v>
      </c>
      <c r="D91">
        <v>40681466</v>
      </c>
      <c r="E91">
        <v>1</v>
      </c>
      <c r="F91">
        <v>1</v>
      </c>
      <c r="G91">
        <v>27</v>
      </c>
      <c r="H91">
        <v>3</v>
      </c>
      <c r="I91" t="s">
        <v>212</v>
      </c>
      <c r="J91" t="s">
        <v>213</v>
      </c>
      <c r="K91" t="s">
        <v>214</v>
      </c>
      <c r="L91">
        <v>1339</v>
      </c>
      <c r="N91">
        <v>1007</v>
      </c>
      <c r="O91" t="s">
        <v>29</v>
      </c>
      <c r="P91" t="s">
        <v>29</v>
      </c>
      <c r="Q91">
        <v>1</v>
      </c>
      <c r="W91">
        <v>0</v>
      </c>
      <c r="X91">
        <v>353177933</v>
      </c>
      <c r="Y91">
        <v>1.1499999999999999</v>
      </c>
      <c r="AA91">
        <v>1436.5</v>
      </c>
      <c r="AB91">
        <v>0</v>
      </c>
      <c r="AC91">
        <v>0</v>
      </c>
      <c r="AD91">
        <v>0</v>
      </c>
      <c r="AE91">
        <v>1436.5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1.1499999999999999</v>
      </c>
      <c r="AU91" t="s">
        <v>3</v>
      </c>
      <c r="AV91">
        <v>0</v>
      </c>
      <c r="AW91">
        <v>2</v>
      </c>
      <c r="AX91">
        <v>42367396</v>
      </c>
      <c r="AY91">
        <v>1</v>
      </c>
      <c r="AZ91">
        <v>0</v>
      </c>
      <c r="BA91">
        <v>174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Y91*Source!I78</f>
        <v>0.11269999999999999</v>
      </c>
      <c r="CY91">
        <f>AA91</f>
        <v>1436.5</v>
      </c>
      <c r="CZ91">
        <f>AE91</f>
        <v>1436.5</v>
      </c>
      <c r="DA91">
        <f>AI91</f>
        <v>1</v>
      </c>
      <c r="DB91">
        <f t="shared" si="4"/>
        <v>1651.98</v>
      </c>
      <c r="DC91">
        <f t="shared" si="5"/>
        <v>0</v>
      </c>
    </row>
    <row r="92" spans="1:107" x14ac:dyDescent="0.2">
      <c r="A92">
        <f>ROW(Source!A78)</f>
        <v>78</v>
      </c>
      <c r="B92">
        <v>42278323</v>
      </c>
      <c r="C92">
        <v>42367385</v>
      </c>
      <c r="D92">
        <v>40682177</v>
      </c>
      <c r="E92">
        <v>1</v>
      </c>
      <c r="F92">
        <v>1</v>
      </c>
      <c r="G92">
        <v>27</v>
      </c>
      <c r="H92">
        <v>3</v>
      </c>
      <c r="I92" t="s">
        <v>209</v>
      </c>
      <c r="J92" t="s">
        <v>210</v>
      </c>
      <c r="K92" t="s">
        <v>211</v>
      </c>
      <c r="L92">
        <v>1339</v>
      </c>
      <c r="N92">
        <v>1007</v>
      </c>
      <c r="O92" t="s">
        <v>29</v>
      </c>
      <c r="P92" t="s">
        <v>29</v>
      </c>
      <c r="Q92">
        <v>1</v>
      </c>
      <c r="W92">
        <v>0</v>
      </c>
      <c r="X92">
        <v>2028445372</v>
      </c>
      <c r="Y92">
        <v>0.15</v>
      </c>
      <c r="AA92">
        <v>35.25</v>
      </c>
      <c r="AB92">
        <v>0</v>
      </c>
      <c r="AC92">
        <v>0</v>
      </c>
      <c r="AD92">
        <v>0</v>
      </c>
      <c r="AE92">
        <v>35.25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0.15</v>
      </c>
      <c r="AU92" t="s">
        <v>3</v>
      </c>
      <c r="AV92">
        <v>0</v>
      </c>
      <c r="AW92">
        <v>2</v>
      </c>
      <c r="AX92">
        <v>42367397</v>
      </c>
      <c r="AY92">
        <v>1</v>
      </c>
      <c r="AZ92">
        <v>0</v>
      </c>
      <c r="BA92">
        <v>175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Y92*Source!I78</f>
        <v>1.47E-2</v>
      </c>
      <c r="CY92">
        <f>AA92</f>
        <v>35.25</v>
      </c>
      <c r="CZ92">
        <f>AE92</f>
        <v>35.25</v>
      </c>
      <c r="DA92">
        <f>AI92</f>
        <v>1</v>
      </c>
      <c r="DB92">
        <f t="shared" si="4"/>
        <v>5.29</v>
      </c>
      <c r="DC92">
        <f t="shared" si="5"/>
        <v>0</v>
      </c>
    </row>
    <row r="93" spans="1:107" x14ac:dyDescent="0.2">
      <c r="A93">
        <f>ROW(Source!A80)</f>
        <v>80</v>
      </c>
      <c r="B93">
        <v>42278323</v>
      </c>
      <c r="C93">
        <v>42279756</v>
      </c>
      <c r="D93">
        <v>40683405</v>
      </c>
      <c r="E93">
        <v>1</v>
      </c>
      <c r="F93">
        <v>1</v>
      </c>
      <c r="G93">
        <v>27</v>
      </c>
      <c r="H93">
        <v>3</v>
      </c>
      <c r="I93" t="s">
        <v>50</v>
      </c>
      <c r="J93" t="s">
        <v>52</v>
      </c>
      <c r="K93" t="s">
        <v>51</v>
      </c>
      <c r="L93">
        <v>1348</v>
      </c>
      <c r="N93">
        <v>1009</v>
      </c>
      <c r="O93" t="s">
        <v>42</v>
      </c>
      <c r="P93" t="s">
        <v>42</v>
      </c>
      <c r="Q93">
        <v>1000</v>
      </c>
      <c r="W93">
        <v>1</v>
      </c>
      <c r="X93">
        <v>588667335</v>
      </c>
      <c r="Y93">
        <v>-1</v>
      </c>
      <c r="AA93">
        <v>53233.52</v>
      </c>
      <c r="AB93">
        <v>0</v>
      </c>
      <c r="AC93">
        <v>0</v>
      </c>
      <c r="AD93">
        <v>0</v>
      </c>
      <c r="AE93">
        <v>53233.52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3</v>
      </c>
      <c r="AT93">
        <v>-1</v>
      </c>
      <c r="AU93" t="s">
        <v>3</v>
      </c>
      <c r="AV93">
        <v>0</v>
      </c>
      <c r="AW93">
        <v>2</v>
      </c>
      <c r="AX93">
        <v>42279760</v>
      </c>
      <c r="AY93">
        <v>1</v>
      </c>
      <c r="AZ93">
        <v>6144</v>
      </c>
      <c r="BA93">
        <v>189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Y93*Source!I80</f>
        <v>-7.1999999999999995E-2</v>
      </c>
      <c r="CY93">
        <f>AA93</f>
        <v>53233.52</v>
      </c>
      <c r="CZ93">
        <f>AE93</f>
        <v>53233.52</v>
      </c>
      <c r="DA93">
        <f>AI93</f>
        <v>1</v>
      </c>
      <c r="DB93">
        <f t="shared" si="4"/>
        <v>-53233.52</v>
      </c>
      <c r="DC93">
        <f t="shared" si="5"/>
        <v>0</v>
      </c>
    </row>
    <row r="94" spans="1:107" x14ac:dyDescent="0.2">
      <c r="A94">
        <f>ROW(Source!A80)</f>
        <v>80</v>
      </c>
      <c r="B94">
        <v>42278323</v>
      </c>
      <c r="C94">
        <v>42279756</v>
      </c>
      <c r="D94">
        <v>40684692</v>
      </c>
      <c r="E94">
        <v>1</v>
      </c>
      <c r="F94">
        <v>1</v>
      </c>
      <c r="G94">
        <v>27</v>
      </c>
      <c r="H94">
        <v>3</v>
      </c>
      <c r="I94" t="s">
        <v>45</v>
      </c>
      <c r="J94" t="s">
        <v>48</v>
      </c>
      <c r="K94" t="s">
        <v>46</v>
      </c>
      <c r="L94">
        <v>1354</v>
      </c>
      <c r="N94">
        <v>1010</v>
      </c>
      <c r="O94" t="s">
        <v>47</v>
      </c>
      <c r="P94" t="s">
        <v>47</v>
      </c>
      <c r="Q94">
        <v>1</v>
      </c>
      <c r="W94">
        <v>0</v>
      </c>
      <c r="X94">
        <v>462942439</v>
      </c>
      <c r="Y94">
        <v>13.888889000000001</v>
      </c>
      <c r="AA94">
        <v>210</v>
      </c>
      <c r="AB94">
        <v>0</v>
      </c>
      <c r="AC94">
        <v>0</v>
      </c>
      <c r="AD94">
        <v>0</v>
      </c>
      <c r="AE94">
        <v>210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3</v>
      </c>
      <c r="AT94">
        <v>13.888889000000001</v>
      </c>
      <c r="AU94" t="s">
        <v>3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Y94*Source!I80</f>
        <v>1.000000008</v>
      </c>
      <c r="CY94">
        <f>AA94</f>
        <v>210</v>
      </c>
      <c r="CZ94">
        <f>AE94</f>
        <v>210</v>
      </c>
      <c r="DA94">
        <f>AI94</f>
        <v>1</v>
      </c>
      <c r="DB94">
        <f t="shared" si="4"/>
        <v>2916.67</v>
      </c>
      <c r="DC94">
        <f t="shared" si="5"/>
        <v>0</v>
      </c>
    </row>
    <row r="95" spans="1:107" x14ac:dyDescent="0.2">
      <c r="A95">
        <f>ROW(Source!A85)</f>
        <v>85</v>
      </c>
      <c r="B95">
        <v>42278323</v>
      </c>
      <c r="C95">
        <v>42367400</v>
      </c>
      <c r="D95">
        <v>40662784</v>
      </c>
      <c r="E95">
        <v>27</v>
      </c>
      <c r="F95">
        <v>1</v>
      </c>
      <c r="G95">
        <v>27</v>
      </c>
      <c r="H95">
        <v>1</v>
      </c>
      <c r="I95" t="s">
        <v>193</v>
      </c>
      <c r="J95" t="s">
        <v>3</v>
      </c>
      <c r="K95" t="s">
        <v>194</v>
      </c>
      <c r="L95">
        <v>1191</v>
      </c>
      <c r="N95">
        <v>1013</v>
      </c>
      <c r="O95" t="s">
        <v>195</v>
      </c>
      <c r="P95" t="s">
        <v>195</v>
      </c>
      <c r="Q95">
        <v>1</v>
      </c>
      <c r="W95">
        <v>0</v>
      </c>
      <c r="X95">
        <v>476480486</v>
      </c>
      <c r="Y95">
        <v>0.9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0.9</v>
      </c>
      <c r="AU95" t="s">
        <v>3</v>
      </c>
      <c r="AV95">
        <v>1</v>
      </c>
      <c r="AW95">
        <v>2</v>
      </c>
      <c r="AX95">
        <v>42367407</v>
      </c>
      <c r="AY95">
        <v>1</v>
      </c>
      <c r="AZ95">
        <v>0</v>
      </c>
      <c r="BA95">
        <v>191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Y95*Source!I85</f>
        <v>4.41E-2</v>
      </c>
      <c r="CY95">
        <f>AD95</f>
        <v>0</v>
      </c>
      <c r="CZ95">
        <f>AH95</f>
        <v>0</v>
      </c>
      <c r="DA95">
        <f>AL95</f>
        <v>1</v>
      </c>
      <c r="DB95">
        <f t="shared" si="4"/>
        <v>0</v>
      </c>
      <c r="DC95">
        <f t="shared" si="5"/>
        <v>0</v>
      </c>
    </row>
    <row r="96" spans="1:107" x14ac:dyDescent="0.2">
      <c r="A96">
        <f>ROW(Source!A85)</f>
        <v>85</v>
      </c>
      <c r="B96">
        <v>42278323</v>
      </c>
      <c r="C96">
        <v>42367400</v>
      </c>
      <c r="D96">
        <v>40679631</v>
      </c>
      <c r="E96">
        <v>1</v>
      </c>
      <c r="F96">
        <v>1</v>
      </c>
      <c r="G96">
        <v>27</v>
      </c>
      <c r="H96">
        <v>2</v>
      </c>
      <c r="I96" t="s">
        <v>196</v>
      </c>
      <c r="J96" t="s">
        <v>197</v>
      </c>
      <c r="K96" t="s">
        <v>198</v>
      </c>
      <c r="L96">
        <v>1368</v>
      </c>
      <c r="N96">
        <v>1011</v>
      </c>
      <c r="O96" t="s">
        <v>199</v>
      </c>
      <c r="P96" t="s">
        <v>199</v>
      </c>
      <c r="Q96">
        <v>1</v>
      </c>
      <c r="W96">
        <v>0</v>
      </c>
      <c r="X96">
        <v>-1226344697</v>
      </c>
      <c r="Y96">
        <v>0.22</v>
      </c>
      <c r="AA96">
        <v>0</v>
      </c>
      <c r="AB96">
        <v>470.71</v>
      </c>
      <c r="AC96">
        <v>359.8</v>
      </c>
      <c r="AD96">
        <v>0</v>
      </c>
      <c r="AE96">
        <v>0</v>
      </c>
      <c r="AF96">
        <v>470.71</v>
      </c>
      <c r="AG96">
        <v>359.8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0.22</v>
      </c>
      <c r="AU96" t="s">
        <v>3</v>
      </c>
      <c r="AV96">
        <v>0</v>
      </c>
      <c r="AW96">
        <v>2</v>
      </c>
      <c r="AX96">
        <v>42367408</v>
      </c>
      <c r="AY96">
        <v>1</v>
      </c>
      <c r="AZ96">
        <v>0</v>
      </c>
      <c r="BA96">
        <v>192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Y96*Source!I85</f>
        <v>1.078E-2</v>
      </c>
      <c r="CY96">
        <f>AB96</f>
        <v>470.71</v>
      </c>
      <c r="CZ96">
        <f>AF96</f>
        <v>470.71</v>
      </c>
      <c r="DA96">
        <f>AJ96</f>
        <v>1</v>
      </c>
      <c r="DB96">
        <f t="shared" si="4"/>
        <v>103.56</v>
      </c>
      <c r="DC96">
        <f t="shared" si="5"/>
        <v>79.16</v>
      </c>
    </row>
    <row r="97" spans="1:107" x14ac:dyDescent="0.2">
      <c r="A97">
        <f>ROW(Source!A85)</f>
        <v>85</v>
      </c>
      <c r="B97">
        <v>42278323</v>
      </c>
      <c r="C97">
        <v>42367400</v>
      </c>
      <c r="D97">
        <v>40680099</v>
      </c>
      <c r="E97">
        <v>1</v>
      </c>
      <c r="F97">
        <v>1</v>
      </c>
      <c r="G97">
        <v>27</v>
      </c>
      <c r="H97">
        <v>2</v>
      </c>
      <c r="I97" t="s">
        <v>200</v>
      </c>
      <c r="J97" t="s">
        <v>201</v>
      </c>
      <c r="K97" t="s">
        <v>202</v>
      </c>
      <c r="L97">
        <v>1368</v>
      </c>
      <c r="N97">
        <v>1011</v>
      </c>
      <c r="O97" t="s">
        <v>199</v>
      </c>
      <c r="P97" t="s">
        <v>199</v>
      </c>
      <c r="Q97">
        <v>1</v>
      </c>
      <c r="W97">
        <v>0</v>
      </c>
      <c r="X97">
        <v>-1383996176</v>
      </c>
      <c r="Y97">
        <v>0.45</v>
      </c>
      <c r="AA97">
        <v>0</v>
      </c>
      <c r="AB97">
        <v>3.75</v>
      </c>
      <c r="AC97">
        <v>2.56</v>
      </c>
      <c r="AD97">
        <v>0</v>
      </c>
      <c r="AE97">
        <v>0</v>
      </c>
      <c r="AF97">
        <v>3.75</v>
      </c>
      <c r="AG97">
        <v>2.56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0.45</v>
      </c>
      <c r="AU97" t="s">
        <v>3</v>
      </c>
      <c r="AV97">
        <v>0</v>
      </c>
      <c r="AW97">
        <v>2</v>
      </c>
      <c r="AX97">
        <v>42367409</v>
      </c>
      <c r="AY97">
        <v>1</v>
      </c>
      <c r="AZ97">
        <v>0</v>
      </c>
      <c r="BA97">
        <v>193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Y97*Source!I85</f>
        <v>2.205E-2</v>
      </c>
      <c r="CY97">
        <f>AB97</f>
        <v>3.75</v>
      </c>
      <c r="CZ97">
        <f>AF97</f>
        <v>3.75</v>
      </c>
      <c r="DA97">
        <f>AJ97</f>
        <v>1</v>
      </c>
      <c r="DB97">
        <f t="shared" ref="DB97:DB110" si="6">ROUND(ROUND(AT97*CZ97,2),6)</f>
        <v>1.69</v>
      </c>
      <c r="DC97">
        <f t="shared" ref="DC97:DC110" si="7">ROUND(ROUND(AT97*AG97,2),6)</f>
        <v>1.1499999999999999</v>
      </c>
    </row>
    <row r="98" spans="1:107" x14ac:dyDescent="0.2">
      <c r="A98">
        <f>ROW(Source!A85)</f>
        <v>85</v>
      </c>
      <c r="B98">
        <v>42278323</v>
      </c>
      <c r="C98">
        <v>42367400</v>
      </c>
      <c r="D98">
        <v>40679388</v>
      </c>
      <c r="E98">
        <v>1</v>
      </c>
      <c r="F98">
        <v>1</v>
      </c>
      <c r="G98">
        <v>27</v>
      </c>
      <c r="H98">
        <v>2</v>
      </c>
      <c r="I98" t="s">
        <v>203</v>
      </c>
      <c r="J98" t="s">
        <v>204</v>
      </c>
      <c r="K98" t="s">
        <v>205</v>
      </c>
      <c r="L98">
        <v>1368</v>
      </c>
      <c r="N98">
        <v>1011</v>
      </c>
      <c r="O98" t="s">
        <v>199</v>
      </c>
      <c r="P98" t="s">
        <v>199</v>
      </c>
      <c r="Q98">
        <v>1</v>
      </c>
      <c r="W98">
        <v>0</v>
      </c>
      <c r="X98">
        <v>-61066883</v>
      </c>
      <c r="Y98">
        <v>0.09</v>
      </c>
      <c r="AA98">
        <v>0</v>
      </c>
      <c r="AB98">
        <v>1171.51</v>
      </c>
      <c r="AC98">
        <v>487.24</v>
      </c>
      <c r="AD98">
        <v>0</v>
      </c>
      <c r="AE98">
        <v>0</v>
      </c>
      <c r="AF98">
        <v>1171.51</v>
      </c>
      <c r="AG98">
        <v>487.24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0.09</v>
      </c>
      <c r="AU98" t="s">
        <v>3</v>
      </c>
      <c r="AV98">
        <v>0</v>
      </c>
      <c r="AW98">
        <v>2</v>
      </c>
      <c r="AX98">
        <v>42367410</v>
      </c>
      <c r="AY98">
        <v>1</v>
      </c>
      <c r="AZ98">
        <v>0</v>
      </c>
      <c r="BA98">
        <v>194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Y98*Source!I85</f>
        <v>4.4099999999999999E-3</v>
      </c>
      <c r="CY98">
        <f>AB98</f>
        <v>1171.51</v>
      </c>
      <c r="CZ98">
        <f>AF98</f>
        <v>1171.51</v>
      </c>
      <c r="DA98">
        <f>AJ98</f>
        <v>1</v>
      </c>
      <c r="DB98">
        <f t="shared" si="6"/>
        <v>105.44</v>
      </c>
      <c r="DC98">
        <f t="shared" si="7"/>
        <v>43.85</v>
      </c>
    </row>
    <row r="99" spans="1:107" x14ac:dyDescent="0.2">
      <c r="A99">
        <f>ROW(Source!A85)</f>
        <v>85</v>
      </c>
      <c r="B99">
        <v>42278323</v>
      </c>
      <c r="C99">
        <v>42367400</v>
      </c>
      <c r="D99">
        <v>40681432</v>
      </c>
      <c r="E99">
        <v>1</v>
      </c>
      <c r="F99">
        <v>1</v>
      </c>
      <c r="G99">
        <v>27</v>
      </c>
      <c r="H99">
        <v>3</v>
      </c>
      <c r="I99" t="s">
        <v>206</v>
      </c>
      <c r="J99" t="s">
        <v>207</v>
      </c>
      <c r="K99" t="s">
        <v>208</v>
      </c>
      <c r="L99">
        <v>1339</v>
      </c>
      <c r="N99">
        <v>1007</v>
      </c>
      <c r="O99" t="s">
        <v>29</v>
      </c>
      <c r="P99" t="s">
        <v>29</v>
      </c>
      <c r="Q99">
        <v>1</v>
      </c>
      <c r="W99">
        <v>0</v>
      </c>
      <c r="X99">
        <v>-1662970571</v>
      </c>
      <c r="Y99">
        <v>1.1000000000000001</v>
      </c>
      <c r="AA99">
        <v>590.78</v>
      </c>
      <c r="AB99">
        <v>0</v>
      </c>
      <c r="AC99">
        <v>0</v>
      </c>
      <c r="AD99">
        <v>0</v>
      </c>
      <c r="AE99">
        <v>590.78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1.1000000000000001</v>
      </c>
      <c r="AU99" t="s">
        <v>3</v>
      </c>
      <c r="AV99">
        <v>0</v>
      </c>
      <c r="AW99">
        <v>2</v>
      </c>
      <c r="AX99">
        <v>42367411</v>
      </c>
      <c r="AY99">
        <v>1</v>
      </c>
      <c r="AZ99">
        <v>0</v>
      </c>
      <c r="BA99">
        <v>195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Y99*Source!I85</f>
        <v>5.3900000000000003E-2</v>
      </c>
      <c r="CY99">
        <f>AA99</f>
        <v>590.78</v>
      </c>
      <c r="CZ99">
        <f>AE99</f>
        <v>590.78</v>
      </c>
      <c r="DA99">
        <f>AI99</f>
        <v>1</v>
      </c>
      <c r="DB99">
        <f t="shared" si="6"/>
        <v>649.86</v>
      </c>
      <c r="DC99">
        <f t="shared" si="7"/>
        <v>0</v>
      </c>
    </row>
    <row r="100" spans="1:107" x14ac:dyDescent="0.2">
      <c r="A100">
        <f>ROW(Source!A85)</f>
        <v>85</v>
      </c>
      <c r="B100">
        <v>42278323</v>
      </c>
      <c r="C100">
        <v>42367400</v>
      </c>
      <c r="D100">
        <v>40682177</v>
      </c>
      <c r="E100">
        <v>1</v>
      </c>
      <c r="F100">
        <v>1</v>
      </c>
      <c r="G100">
        <v>27</v>
      </c>
      <c r="H100">
        <v>3</v>
      </c>
      <c r="I100" t="s">
        <v>209</v>
      </c>
      <c r="J100" t="s">
        <v>210</v>
      </c>
      <c r="K100" t="s">
        <v>211</v>
      </c>
      <c r="L100">
        <v>1339</v>
      </c>
      <c r="N100">
        <v>1007</v>
      </c>
      <c r="O100" t="s">
        <v>29</v>
      </c>
      <c r="P100" t="s">
        <v>29</v>
      </c>
      <c r="Q100">
        <v>1</v>
      </c>
      <c r="W100">
        <v>0</v>
      </c>
      <c r="X100">
        <v>2028445372</v>
      </c>
      <c r="Y100">
        <v>0.15</v>
      </c>
      <c r="AA100">
        <v>35.25</v>
      </c>
      <c r="AB100">
        <v>0</v>
      </c>
      <c r="AC100">
        <v>0</v>
      </c>
      <c r="AD100">
        <v>0</v>
      </c>
      <c r="AE100">
        <v>35.25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0.15</v>
      </c>
      <c r="AU100" t="s">
        <v>3</v>
      </c>
      <c r="AV100">
        <v>0</v>
      </c>
      <c r="AW100">
        <v>2</v>
      </c>
      <c r="AX100">
        <v>42367412</v>
      </c>
      <c r="AY100">
        <v>1</v>
      </c>
      <c r="AZ100">
        <v>0</v>
      </c>
      <c r="BA100">
        <v>196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Y100*Source!I85</f>
        <v>7.3499999999999998E-3</v>
      </c>
      <c r="CY100">
        <f>AA100</f>
        <v>35.25</v>
      </c>
      <c r="CZ100">
        <f>AE100</f>
        <v>35.25</v>
      </c>
      <c r="DA100">
        <f>AI100</f>
        <v>1</v>
      </c>
      <c r="DB100">
        <f t="shared" si="6"/>
        <v>5.29</v>
      </c>
      <c r="DC100">
        <f t="shared" si="7"/>
        <v>0</v>
      </c>
    </row>
    <row r="101" spans="1:107" x14ac:dyDescent="0.2">
      <c r="A101">
        <f>ROW(Source!A86)</f>
        <v>86</v>
      </c>
      <c r="B101">
        <v>42278323</v>
      </c>
      <c r="C101">
        <v>42367413</v>
      </c>
      <c r="D101">
        <v>40662784</v>
      </c>
      <c r="E101">
        <v>27</v>
      </c>
      <c r="F101">
        <v>1</v>
      </c>
      <c r="G101">
        <v>27</v>
      </c>
      <c r="H101">
        <v>1</v>
      </c>
      <c r="I101" t="s">
        <v>193</v>
      </c>
      <c r="J101" t="s">
        <v>3</v>
      </c>
      <c r="K101" t="s">
        <v>194</v>
      </c>
      <c r="L101">
        <v>1191</v>
      </c>
      <c r="N101">
        <v>1013</v>
      </c>
      <c r="O101" t="s">
        <v>195</v>
      </c>
      <c r="P101" t="s">
        <v>195</v>
      </c>
      <c r="Q101">
        <v>1</v>
      </c>
      <c r="W101">
        <v>0</v>
      </c>
      <c r="X101">
        <v>476480486</v>
      </c>
      <c r="Y101">
        <v>0.98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0.98</v>
      </c>
      <c r="AU101" t="s">
        <v>3</v>
      </c>
      <c r="AV101">
        <v>1</v>
      </c>
      <c r="AW101">
        <v>2</v>
      </c>
      <c r="AX101">
        <v>42367420</v>
      </c>
      <c r="AY101">
        <v>1</v>
      </c>
      <c r="AZ101">
        <v>0</v>
      </c>
      <c r="BA101">
        <v>197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Y101*Source!I86</f>
        <v>9.604E-2</v>
      </c>
      <c r="CY101">
        <f>AD101</f>
        <v>0</v>
      </c>
      <c r="CZ101">
        <f>AH101</f>
        <v>0</v>
      </c>
      <c r="DA101">
        <f>AL101</f>
        <v>1</v>
      </c>
      <c r="DB101">
        <f t="shared" si="6"/>
        <v>0</v>
      </c>
      <c r="DC101">
        <f t="shared" si="7"/>
        <v>0</v>
      </c>
    </row>
    <row r="102" spans="1:107" x14ac:dyDescent="0.2">
      <c r="A102">
        <f>ROW(Source!A86)</f>
        <v>86</v>
      </c>
      <c r="B102">
        <v>42278323</v>
      </c>
      <c r="C102">
        <v>42367413</v>
      </c>
      <c r="D102">
        <v>40679631</v>
      </c>
      <c r="E102">
        <v>1</v>
      </c>
      <c r="F102">
        <v>1</v>
      </c>
      <c r="G102">
        <v>27</v>
      </c>
      <c r="H102">
        <v>2</v>
      </c>
      <c r="I102" t="s">
        <v>196</v>
      </c>
      <c r="J102" t="s">
        <v>197</v>
      </c>
      <c r="K102" t="s">
        <v>198</v>
      </c>
      <c r="L102">
        <v>1368</v>
      </c>
      <c r="N102">
        <v>1011</v>
      </c>
      <c r="O102" t="s">
        <v>199</v>
      </c>
      <c r="P102" t="s">
        <v>199</v>
      </c>
      <c r="Q102">
        <v>1</v>
      </c>
      <c r="W102">
        <v>0</v>
      </c>
      <c r="X102">
        <v>-1226344697</v>
      </c>
      <c r="Y102">
        <v>0.25</v>
      </c>
      <c r="AA102">
        <v>0</v>
      </c>
      <c r="AB102">
        <v>470.71</v>
      </c>
      <c r="AC102">
        <v>359.8</v>
      </c>
      <c r="AD102">
        <v>0</v>
      </c>
      <c r="AE102">
        <v>0</v>
      </c>
      <c r="AF102">
        <v>470.71</v>
      </c>
      <c r="AG102">
        <v>359.8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0.25</v>
      </c>
      <c r="AU102" t="s">
        <v>3</v>
      </c>
      <c r="AV102">
        <v>0</v>
      </c>
      <c r="AW102">
        <v>2</v>
      </c>
      <c r="AX102">
        <v>42367421</v>
      </c>
      <c r="AY102">
        <v>1</v>
      </c>
      <c r="AZ102">
        <v>0</v>
      </c>
      <c r="BA102">
        <v>198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Y102*Source!I86</f>
        <v>2.4500000000000001E-2</v>
      </c>
      <c r="CY102">
        <f>AB102</f>
        <v>470.71</v>
      </c>
      <c r="CZ102">
        <f>AF102</f>
        <v>470.71</v>
      </c>
      <c r="DA102">
        <f>AJ102</f>
        <v>1</v>
      </c>
      <c r="DB102">
        <f t="shared" si="6"/>
        <v>117.68</v>
      </c>
      <c r="DC102">
        <f t="shared" si="7"/>
        <v>89.95</v>
      </c>
    </row>
    <row r="103" spans="1:107" x14ac:dyDescent="0.2">
      <c r="A103">
        <f>ROW(Source!A86)</f>
        <v>86</v>
      </c>
      <c r="B103">
        <v>42278323</v>
      </c>
      <c r="C103">
        <v>42367413</v>
      </c>
      <c r="D103">
        <v>40680099</v>
      </c>
      <c r="E103">
        <v>1</v>
      </c>
      <c r="F103">
        <v>1</v>
      </c>
      <c r="G103">
        <v>27</v>
      </c>
      <c r="H103">
        <v>2</v>
      </c>
      <c r="I103" t="s">
        <v>200</v>
      </c>
      <c r="J103" t="s">
        <v>201</v>
      </c>
      <c r="K103" t="s">
        <v>202</v>
      </c>
      <c r="L103">
        <v>1368</v>
      </c>
      <c r="N103">
        <v>1011</v>
      </c>
      <c r="O103" t="s">
        <v>199</v>
      </c>
      <c r="P103" t="s">
        <v>199</v>
      </c>
      <c r="Q103">
        <v>1</v>
      </c>
      <c r="W103">
        <v>0</v>
      </c>
      <c r="X103">
        <v>-1383996176</v>
      </c>
      <c r="Y103">
        <v>0.5</v>
      </c>
      <c r="AA103">
        <v>0</v>
      </c>
      <c r="AB103">
        <v>3.75</v>
      </c>
      <c r="AC103">
        <v>2.56</v>
      </c>
      <c r="AD103">
        <v>0</v>
      </c>
      <c r="AE103">
        <v>0</v>
      </c>
      <c r="AF103">
        <v>3.75</v>
      </c>
      <c r="AG103">
        <v>2.56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0.5</v>
      </c>
      <c r="AU103" t="s">
        <v>3</v>
      </c>
      <c r="AV103">
        <v>0</v>
      </c>
      <c r="AW103">
        <v>2</v>
      </c>
      <c r="AX103">
        <v>42367422</v>
      </c>
      <c r="AY103">
        <v>1</v>
      </c>
      <c r="AZ103">
        <v>0</v>
      </c>
      <c r="BA103">
        <v>199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Y103*Source!I86</f>
        <v>4.9000000000000002E-2</v>
      </c>
      <c r="CY103">
        <f>AB103</f>
        <v>3.75</v>
      </c>
      <c r="CZ103">
        <f>AF103</f>
        <v>3.75</v>
      </c>
      <c r="DA103">
        <f>AJ103</f>
        <v>1</v>
      </c>
      <c r="DB103">
        <f t="shared" si="6"/>
        <v>1.88</v>
      </c>
      <c r="DC103">
        <f t="shared" si="7"/>
        <v>1.28</v>
      </c>
    </row>
    <row r="104" spans="1:107" x14ac:dyDescent="0.2">
      <c r="A104">
        <f>ROW(Source!A86)</f>
        <v>86</v>
      </c>
      <c r="B104">
        <v>42278323</v>
      </c>
      <c r="C104">
        <v>42367413</v>
      </c>
      <c r="D104">
        <v>40679388</v>
      </c>
      <c r="E104">
        <v>1</v>
      </c>
      <c r="F104">
        <v>1</v>
      </c>
      <c r="G104">
        <v>27</v>
      </c>
      <c r="H104">
        <v>2</v>
      </c>
      <c r="I104" t="s">
        <v>203</v>
      </c>
      <c r="J104" t="s">
        <v>204</v>
      </c>
      <c r="K104" t="s">
        <v>205</v>
      </c>
      <c r="L104">
        <v>1368</v>
      </c>
      <c r="N104">
        <v>1011</v>
      </c>
      <c r="O104" t="s">
        <v>199</v>
      </c>
      <c r="P104" t="s">
        <v>199</v>
      </c>
      <c r="Q104">
        <v>1</v>
      </c>
      <c r="W104">
        <v>0</v>
      </c>
      <c r="X104">
        <v>-61066883</v>
      </c>
      <c r="Y104">
        <v>0.09</v>
      </c>
      <c r="AA104">
        <v>0</v>
      </c>
      <c r="AB104">
        <v>1171.51</v>
      </c>
      <c r="AC104">
        <v>487.24</v>
      </c>
      <c r="AD104">
        <v>0</v>
      </c>
      <c r="AE104">
        <v>0</v>
      </c>
      <c r="AF104">
        <v>1171.51</v>
      </c>
      <c r="AG104">
        <v>487.24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0.09</v>
      </c>
      <c r="AU104" t="s">
        <v>3</v>
      </c>
      <c r="AV104">
        <v>0</v>
      </c>
      <c r="AW104">
        <v>2</v>
      </c>
      <c r="AX104">
        <v>42367423</v>
      </c>
      <c r="AY104">
        <v>1</v>
      </c>
      <c r="AZ104">
        <v>0</v>
      </c>
      <c r="BA104">
        <v>200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Y104*Source!I86</f>
        <v>8.8199999999999997E-3</v>
      </c>
      <c r="CY104">
        <f>AB104</f>
        <v>1171.51</v>
      </c>
      <c r="CZ104">
        <f>AF104</f>
        <v>1171.51</v>
      </c>
      <c r="DA104">
        <f>AJ104</f>
        <v>1</v>
      </c>
      <c r="DB104">
        <f t="shared" si="6"/>
        <v>105.44</v>
      </c>
      <c r="DC104">
        <f t="shared" si="7"/>
        <v>43.85</v>
      </c>
    </row>
    <row r="105" spans="1:107" x14ac:dyDescent="0.2">
      <c r="A105">
        <f>ROW(Source!A86)</f>
        <v>86</v>
      </c>
      <c r="B105">
        <v>42278323</v>
      </c>
      <c r="C105">
        <v>42367413</v>
      </c>
      <c r="D105">
        <v>40681466</v>
      </c>
      <c r="E105">
        <v>1</v>
      </c>
      <c r="F105">
        <v>1</v>
      </c>
      <c r="G105">
        <v>27</v>
      </c>
      <c r="H105">
        <v>3</v>
      </c>
      <c r="I105" t="s">
        <v>212</v>
      </c>
      <c r="J105" t="s">
        <v>213</v>
      </c>
      <c r="K105" t="s">
        <v>214</v>
      </c>
      <c r="L105">
        <v>1339</v>
      </c>
      <c r="N105">
        <v>1007</v>
      </c>
      <c r="O105" t="s">
        <v>29</v>
      </c>
      <c r="P105" t="s">
        <v>29</v>
      </c>
      <c r="Q105">
        <v>1</v>
      </c>
      <c r="W105">
        <v>0</v>
      </c>
      <c r="X105">
        <v>353177933</v>
      </c>
      <c r="Y105">
        <v>1.1499999999999999</v>
      </c>
      <c r="AA105">
        <v>1436.5</v>
      </c>
      <c r="AB105">
        <v>0</v>
      </c>
      <c r="AC105">
        <v>0</v>
      </c>
      <c r="AD105">
        <v>0</v>
      </c>
      <c r="AE105">
        <v>1436.5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1.1499999999999999</v>
      </c>
      <c r="AU105" t="s">
        <v>3</v>
      </c>
      <c r="AV105">
        <v>0</v>
      </c>
      <c r="AW105">
        <v>2</v>
      </c>
      <c r="AX105">
        <v>42367424</v>
      </c>
      <c r="AY105">
        <v>1</v>
      </c>
      <c r="AZ105">
        <v>0</v>
      </c>
      <c r="BA105">
        <v>201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Y105*Source!I86</f>
        <v>0.11269999999999999</v>
      </c>
      <c r="CY105">
        <f>AA105</f>
        <v>1436.5</v>
      </c>
      <c r="CZ105">
        <f>AE105</f>
        <v>1436.5</v>
      </c>
      <c r="DA105">
        <f>AI105</f>
        <v>1</v>
      </c>
      <c r="DB105">
        <f t="shared" si="6"/>
        <v>1651.98</v>
      </c>
      <c r="DC105">
        <f t="shared" si="7"/>
        <v>0</v>
      </c>
    </row>
    <row r="106" spans="1:107" x14ac:dyDescent="0.2">
      <c r="A106">
        <f>ROW(Source!A86)</f>
        <v>86</v>
      </c>
      <c r="B106">
        <v>42278323</v>
      </c>
      <c r="C106">
        <v>42367413</v>
      </c>
      <c r="D106">
        <v>40682177</v>
      </c>
      <c r="E106">
        <v>1</v>
      </c>
      <c r="F106">
        <v>1</v>
      </c>
      <c r="G106">
        <v>27</v>
      </c>
      <c r="H106">
        <v>3</v>
      </c>
      <c r="I106" t="s">
        <v>209</v>
      </c>
      <c r="J106" t="s">
        <v>210</v>
      </c>
      <c r="K106" t="s">
        <v>211</v>
      </c>
      <c r="L106">
        <v>1339</v>
      </c>
      <c r="N106">
        <v>1007</v>
      </c>
      <c r="O106" t="s">
        <v>29</v>
      </c>
      <c r="P106" t="s">
        <v>29</v>
      </c>
      <c r="Q106">
        <v>1</v>
      </c>
      <c r="W106">
        <v>0</v>
      </c>
      <c r="X106">
        <v>2028445372</v>
      </c>
      <c r="Y106">
        <v>0.15</v>
      </c>
      <c r="AA106">
        <v>35.25</v>
      </c>
      <c r="AB106">
        <v>0</v>
      </c>
      <c r="AC106">
        <v>0</v>
      </c>
      <c r="AD106">
        <v>0</v>
      </c>
      <c r="AE106">
        <v>35.25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0.15</v>
      </c>
      <c r="AU106" t="s">
        <v>3</v>
      </c>
      <c r="AV106">
        <v>0</v>
      </c>
      <c r="AW106">
        <v>2</v>
      </c>
      <c r="AX106">
        <v>42367425</v>
      </c>
      <c r="AY106">
        <v>1</v>
      </c>
      <c r="AZ106">
        <v>0</v>
      </c>
      <c r="BA106">
        <v>202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Y106*Source!I86</f>
        <v>1.47E-2</v>
      </c>
      <c r="CY106">
        <f>AA106</f>
        <v>35.25</v>
      </c>
      <c r="CZ106">
        <f>AE106</f>
        <v>35.25</v>
      </c>
      <c r="DA106">
        <f>AI106</f>
        <v>1</v>
      </c>
      <c r="DB106">
        <f t="shared" si="6"/>
        <v>5.29</v>
      </c>
      <c r="DC106">
        <f t="shared" si="7"/>
        <v>0</v>
      </c>
    </row>
    <row r="107" spans="1:107" x14ac:dyDescent="0.2">
      <c r="A107">
        <f>ROW(Source!A88)</f>
        <v>88</v>
      </c>
      <c r="B107">
        <v>42278323</v>
      </c>
      <c r="C107">
        <v>42279781</v>
      </c>
      <c r="D107">
        <v>40683405</v>
      </c>
      <c r="E107">
        <v>1</v>
      </c>
      <c r="F107">
        <v>1</v>
      </c>
      <c r="G107">
        <v>27</v>
      </c>
      <c r="H107">
        <v>3</v>
      </c>
      <c r="I107" t="s">
        <v>50</v>
      </c>
      <c r="J107" t="s">
        <v>52</v>
      </c>
      <c r="K107" t="s">
        <v>51</v>
      </c>
      <c r="L107">
        <v>1348</v>
      </c>
      <c r="N107">
        <v>1009</v>
      </c>
      <c r="O107" t="s">
        <v>42</v>
      </c>
      <c r="P107" t="s">
        <v>42</v>
      </c>
      <c r="Q107">
        <v>1000</v>
      </c>
      <c r="W107">
        <v>1</v>
      </c>
      <c r="X107">
        <v>588667335</v>
      </c>
      <c r="Y107">
        <v>-1</v>
      </c>
      <c r="AA107">
        <v>53233.52</v>
      </c>
      <c r="AB107">
        <v>0</v>
      </c>
      <c r="AC107">
        <v>0</v>
      </c>
      <c r="AD107">
        <v>0</v>
      </c>
      <c r="AE107">
        <v>53233.52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3</v>
      </c>
      <c r="AT107">
        <v>-1</v>
      </c>
      <c r="AU107" t="s">
        <v>3</v>
      </c>
      <c r="AV107">
        <v>0</v>
      </c>
      <c r="AW107">
        <v>2</v>
      </c>
      <c r="AX107">
        <v>42279785</v>
      </c>
      <c r="AY107">
        <v>1</v>
      </c>
      <c r="AZ107">
        <v>6144</v>
      </c>
      <c r="BA107">
        <v>216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Y107*Source!I88</f>
        <v>-0.1</v>
      </c>
      <c r="CY107">
        <f>AA107</f>
        <v>53233.52</v>
      </c>
      <c r="CZ107">
        <f>AE107</f>
        <v>53233.52</v>
      </c>
      <c r="DA107">
        <f>AI107</f>
        <v>1</v>
      </c>
      <c r="DB107">
        <f t="shared" si="6"/>
        <v>-53233.52</v>
      </c>
      <c r="DC107">
        <f t="shared" si="7"/>
        <v>0</v>
      </c>
    </row>
    <row r="108" spans="1:107" x14ac:dyDescent="0.2">
      <c r="A108">
        <f>ROW(Source!A88)</f>
        <v>88</v>
      </c>
      <c r="B108">
        <v>42278323</v>
      </c>
      <c r="C108">
        <v>42279781</v>
      </c>
      <c r="D108">
        <v>40684692</v>
      </c>
      <c r="E108">
        <v>1</v>
      </c>
      <c r="F108">
        <v>1</v>
      </c>
      <c r="G108">
        <v>27</v>
      </c>
      <c r="H108">
        <v>3</v>
      </c>
      <c r="I108" t="s">
        <v>45</v>
      </c>
      <c r="J108" t="s">
        <v>48</v>
      </c>
      <c r="K108" t="s">
        <v>46</v>
      </c>
      <c r="L108">
        <v>1354</v>
      </c>
      <c r="N108">
        <v>1010</v>
      </c>
      <c r="O108" t="s">
        <v>47</v>
      </c>
      <c r="P108" t="s">
        <v>47</v>
      </c>
      <c r="Q108">
        <v>1</v>
      </c>
      <c r="W108">
        <v>0</v>
      </c>
      <c r="X108">
        <v>462942439</v>
      </c>
      <c r="Y108">
        <v>10</v>
      </c>
      <c r="AA108">
        <v>210</v>
      </c>
      <c r="AB108">
        <v>0</v>
      </c>
      <c r="AC108">
        <v>0</v>
      </c>
      <c r="AD108">
        <v>0</v>
      </c>
      <c r="AE108">
        <v>210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3</v>
      </c>
      <c r="AT108">
        <v>10</v>
      </c>
      <c r="AU108" t="s">
        <v>3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Y108*Source!I88</f>
        <v>1</v>
      </c>
      <c r="CY108">
        <f>AA108</f>
        <v>210</v>
      </c>
      <c r="CZ108">
        <f>AE108</f>
        <v>210</v>
      </c>
      <c r="DA108">
        <f>AI108</f>
        <v>1</v>
      </c>
      <c r="DB108">
        <f t="shared" si="6"/>
        <v>2100</v>
      </c>
      <c r="DC108">
        <f t="shared" si="7"/>
        <v>0</v>
      </c>
    </row>
    <row r="109" spans="1:107" x14ac:dyDescent="0.2">
      <c r="A109">
        <f>ROW(Source!A92)</f>
        <v>92</v>
      </c>
      <c r="B109">
        <v>42278323</v>
      </c>
      <c r="C109">
        <v>42280546</v>
      </c>
      <c r="D109">
        <v>40662784</v>
      </c>
      <c r="E109">
        <v>27</v>
      </c>
      <c r="F109">
        <v>1</v>
      </c>
      <c r="G109">
        <v>27</v>
      </c>
      <c r="H109">
        <v>1</v>
      </c>
      <c r="I109" t="s">
        <v>193</v>
      </c>
      <c r="J109" t="s">
        <v>3</v>
      </c>
      <c r="K109" t="s">
        <v>194</v>
      </c>
      <c r="L109">
        <v>1191</v>
      </c>
      <c r="N109">
        <v>1013</v>
      </c>
      <c r="O109" t="s">
        <v>195</v>
      </c>
      <c r="P109" t="s">
        <v>195</v>
      </c>
      <c r="Q109">
        <v>1</v>
      </c>
      <c r="W109">
        <v>0</v>
      </c>
      <c r="X109">
        <v>476480486</v>
      </c>
      <c r="Y109">
        <v>13.68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13.68</v>
      </c>
      <c r="AU109" t="s">
        <v>3</v>
      </c>
      <c r="AV109">
        <v>1</v>
      </c>
      <c r="AW109">
        <v>2</v>
      </c>
      <c r="AX109">
        <v>42280549</v>
      </c>
      <c r="AY109">
        <v>1</v>
      </c>
      <c r="AZ109">
        <v>0</v>
      </c>
      <c r="BA109">
        <v>217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Y109*Source!I92</f>
        <v>2.1888000000000001</v>
      </c>
      <c r="CY109">
        <f>AD109</f>
        <v>0</v>
      </c>
      <c r="CZ109">
        <f>AH109</f>
        <v>0</v>
      </c>
      <c r="DA109">
        <f>AL109</f>
        <v>1</v>
      </c>
      <c r="DB109">
        <f t="shared" si="6"/>
        <v>0</v>
      </c>
      <c r="DC109">
        <f t="shared" si="7"/>
        <v>0</v>
      </c>
    </row>
    <row r="110" spans="1:107" x14ac:dyDescent="0.2">
      <c r="A110">
        <f>ROW(Source!A92)</f>
        <v>92</v>
      </c>
      <c r="B110">
        <v>42278323</v>
      </c>
      <c r="C110">
        <v>42280546</v>
      </c>
      <c r="D110">
        <v>40681227</v>
      </c>
      <c r="E110">
        <v>1</v>
      </c>
      <c r="F110">
        <v>1</v>
      </c>
      <c r="G110">
        <v>27</v>
      </c>
      <c r="H110">
        <v>3</v>
      </c>
      <c r="I110" t="s">
        <v>215</v>
      </c>
      <c r="J110" t="s">
        <v>216</v>
      </c>
      <c r="K110" t="s">
        <v>217</v>
      </c>
      <c r="L110">
        <v>1348</v>
      </c>
      <c r="N110">
        <v>1009</v>
      </c>
      <c r="O110" t="s">
        <v>42</v>
      </c>
      <c r="P110" t="s">
        <v>42</v>
      </c>
      <c r="Q110">
        <v>1000</v>
      </c>
      <c r="W110">
        <v>0</v>
      </c>
      <c r="X110">
        <v>-1356276541</v>
      </c>
      <c r="Y110">
        <v>7.1399999999999996E-3</v>
      </c>
      <c r="AA110">
        <v>105084.63</v>
      </c>
      <c r="AB110">
        <v>0</v>
      </c>
      <c r="AC110">
        <v>0</v>
      </c>
      <c r="AD110">
        <v>0</v>
      </c>
      <c r="AE110">
        <v>105084.63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7.1399999999999996E-3</v>
      </c>
      <c r="AU110" t="s">
        <v>3</v>
      </c>
      <c r="AV110">
        <v>0</v>
      </c>
      <c r="AW110">
        <v>2</v>
      </c>
      <c r="AX110">
        <v>42280550</v>
      </c>
      <c r="AY110">
        <v>1</v>
      </c>
      <c r="AZ110">
        <v>0</v>
      </c>
      <c r="BA110">
        <v>218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Y110*Source!I92</f>
        <v>1.1424E-3</v>
      </c>
      <c r="CY110">
        <f>AA110</f>
        <v>105084.63</v>
      </c>
      <c r="CZ110">
        <f>AE110</f>
        <v>105084.63</v>
      </c>
      <c r="DA110">
        <f>AI110</f>
        <v>1</v>
      </c>
      <c r="DB110">
        <f t="shared" si="6"/>
        <v>750.3</v>
      </c>
      <c r="DC110">
        <f t="shared" si="7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42367194</v>
      </c>
      <c r="C1">
        <v>42274427</v>
      </c>
      <c r="D1">
        <v>40662784</v>
      </c>
      <c r="E1">
        <v>27</v>
      </c>
      <c r="F1">
        <v>1</v>
      </c>
      <c r="G1">
        <v>27</v>
      </c>
      <c r="H1">
        <v>1</v>
      </c>
      <c r="I1" t="s">
        <v>193</v>
      </c>
      <c r="J1" t="s">
        <v>3</v>
      </c>
      <c r="K1" t="s">
        <v>194</v>
      </c>
      <c r="L1">
        <v>1191</v>
      </c>
      <c r="N1">
        <v>1013</v>
      </c>
      <c r="O1" t="s">
        <v>195</v>
      </c>
      <c r="P1" t="s">
        <v>195</v>
      </c>
      <c r="Q1">
        <v>1</v>
      </c>
      <c r="X1">
        <v>221.6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221.6</v>
      </c>
      <c r="AH1">
        <v>3</v>
      </c>
      <c r="AI1">
        <v>-1</v>
      </c>
      <c r="AJ1" t="s">
        <v>3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ROW(Source!A29)</f>
        <v>29</v>
      </c>
      <c r="B2">
        <v>42367197</v>
      </c>
      <c r="C2">
        <v>42367196</v>
      </c>
      <c r="D2">
        <v>40662784</v>
      </c>
      <c r="E2">
        <v>27</v>
      </c>
      <c r="F2">
        <v>1</v>
      </c>
      <c r="G2">
        <v>27</v>
      </c>
      <c r="H2">
        <v>1</v>
      </c>
      <c r="I2" t="s">
        <v>193</v>
      </c>
      <c r="J2" t="s">
        <v>3</v>
      </c>
      <c r="K2" t="s">
        <v>194</v>
      </c>
      <c r="L2">
        <v>1191</v>
      </c>
      <c r="N2">
        <v>1013</v>
      </c>
      <c r="O2" t="s">
        <v>195</v>
      </c>
      <c r="P2" t="s">
        <v>195</v>
      </c>
      <c r="Q2">
        <v>1</v>
      </c>
      <c r="X2">
        <v>0.9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 t="s">
        <v>3</v>
      </c>
      <c r="AG2">
        <v>0.9</v>
      </c>
      <c r="AH2">
        <v>2</v>
      </c>
      <c r="AI2">
        <v>42367197</v>
      </c>
      <c r="AJ2">
        <v>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ROW(Source!A29)</f>
        <v>29</v>
      </c>
      <c r="B3">
        <v>42367198</v>
      </c>
      <c r="C3">
        <v>42367196</v>
      </c>
      <c r="D3">
        <v>40679631</v>
      </c>
      <c r="E3">
        <v>1</v>
      </c>
      <c r="F3">
        <v>1</v>
      </c>
      <c r="G3">
        <v>27</v>
      </c>
      <c r="H3">
        <v>2</v>
      </c>
      <c r="I3" t="s">
        <v>196</v>
      </c>
      <c r="J3" t="s">
        <v>197</v>
      </c>
      <c r="K3" t="s">
        <v>198</v>
      </c>
      <c r="L3">
        <v>1368</v>
      </c>
      <c r="N3">
        <v>1011</v>
      </c>
      <c r="O3" t="s">
        <v>199</v>
      </c>
      <c r="P3" t="s">
        <v>199</v>
      </c>
      <c r="Q3">
        <v>1</v>
      </c>
      <c r="X3">
        <v>0.22</v>
      </c>
      <c r="Y3">
        <v>0</v>
      </c>
      <c r="Z3">
        <v>470.71</v>
      </c>
      <c r="AA3">
        <v>359.8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0.22</v>
      </c>
      <c r="AH3">
        <v>2</v>
      </c>
      <c r="AI3">
        <v>42367198</v>
      </c>
      <c r="AJ3">
        <v>2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ROW(Source!A29)</f>
        <v>29</v>
      </c>
      <c r="B4">
        <v>42367199</v>
      </c>
      <c r="C4">
        <v>42367196</v>
      </c>
      <c r="D4">
        <v>40680099</v>
      </c>
      <c r="E4">
        <v>1</v>
      </c>
      <c r="F4">
        <v>1</v>
      </c>
      <c r="G4">
        <v>27</v>
      </c>
      <c r="H4">
        <v>2</v>
      </c>
      <c r="I4" t="s">
        <v>200</v>
      </c>
      <c r="J4" t="s">
        <v>201</v>
      </c>
      <c r="K4" t="s">
        <v>202</v>
      </c>
      <c r="L4">
        <v>1368</v>
      </c>
      <c r="N4">
        <v>1011</v>
      </c>
      <c r="O4" t="s">
        <v>199</v>
      </c>
      <c r="P4" t="s">
        <v>199</v>
      </c>
      <c r="Q4">
        <v>1</v>
      </c>
      <c r="X4">
        <v>0.45</v>
      </c>
      <c r="Y4">
        <v>0</v>
      </c>
      <c r="Z4">
        <v>3.75</v>
      </c>
      <c r="AA4">
        <v>2.56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0.45</v>
      </c>
      <c r="AH4">
        <v>2</v>
      </c>
      <c r="AI4">
        <v>42367199</v>
      </c>
      <c r="AJ4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ROW(Source!A29)</f>
        <v>29</v>
      </c>
      <c r="B5">
        <v>42367200</v>
      </c>
      <c r="C5">
        <v>42367196</v>
      </c>
      <c r="D5">
        <v>40679388</v>
      </c>
      <c r="E5">
        <v>1</v>
      </c>
      <c r="F5">
        <v>1</v>
      </c>
      <c r="G5">
        <v>27</v>
      </c>
      <c r="H5">
        <v>2</v>
      </c>
      <c r="I5" t="s">
        <v>203</v>
      </c>
      <c r="J5" t="s">
        <v>204</v>
      </c>
      <c r="K5" t="s">
        <v>205</v>
      </c>
      <c r="L5">
        <v>1368</v>
      </c>
      <c r="N5">
        <v>1011</v>
      </c>
      <c r="O5" t="s">
        <v>199</v>
      </c>
      <c r="P5" t="s">
        <v>199</v>
      </c>
      <c r="Q5">
        <v>1</v>
      </c>
      <c r="X5">
        <v>0.09</v>
      </c>
      <c r="Y5">
        <v>0</v>
      </c>
      <c r="Z5">
        <v>1171.51</v>
      </c>
      <c r="AA5">
        <v>487.24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0.09</v>
      </c>
      <c r="AH5">
        <v>2</v>
      </c>
      <c r="AI5">
        <v>42367200</v>
      </c>
      <c r="AJ5">
        <v>4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ROW(Source!A29)</f>
        <v>29</v>
      </c>
      <c r="B6">
        <v>42367201</v>
      </c>
      <c r="C6">
        <v>42367196</v>
      </c>
      <c r="D6">
        <v>40681432</v>
      </c>
      <c r="E6">
        <v>1</v>
      </c>
      <c r="F6">
        <v>1</v>
      </c>
      <c r="G6">
        <v>27</v>
      </c>
      <c r="H6">
        <v>3</v>
      </c>
      <c r="I6" t="s">
        <v>206</v>
      </c>
      <c r="J6" t="s">
        <v>207</v>
      </c>
      <c r="K6" t="s">
        <v>208</v>
      </c>
      <c r="L6">
        <v>1339</v>
      </c>
      <c r="N6">
        <v>1007</v>
      </c>
      <c r="O6" t="s">
        <v>29</v>
      </c>
      <c r="P6" t="s">
        <v>29</v>
      </c>
      <c r="Q6">
        <v>1</v>
      </c>
      <c r="X6">
        <v>1.1000000000000001</v>
      </c>
      <c r="Y6">
        <v>590.78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1.1000000000000001</v>
      </c>
      <c r="AH6">
        <v>2</v>
      </c>
      <c r="AI6">
        <v>42367201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ROW(Source!A29)</f>
        <v>29</v>
      </c>
      <c r="B7">
        <v>42367202</v>
      </c>
      <c r="C7">
        <v>42367196</v>
      </c>
      <c r="D7">
        <v>40682177</v>
      </c>
      <c r="E7">
        <v>1</v>
      </c>
      <c r="F7">
        <v>1</v>
      </c>
      <c r="G7">
        <v>27</v>
      </c>
      <c r="H7">
        <v>3</v>
      </c>
      <c r="I7" t="s">
        <v>209</v>
      </c>
      <c r="J7" t="s">
        <v>210</v>
      </c>
      <c r="K7" t="s">
        <v>211</v>
      </c>
      <c r="L7">
        <v>1339</v>
      </c>
      <c r="N7">
        <v>1007</v>
      </c>
      <c r="O7" t="s">
        <v>29</v>
      </c>
      <c r="P7" t="s">
        <v>29</v>
      </c>
      <c r="Q7">
        <v>1</v>
      </c>
      <c r="X7">
        <v>0.15</v>
      </c>
      <c r="Y7">
        <v>35.25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0.15</v>
      </c>
      <c r="AH7">
        <v>2</v>
      </c>
      <c r="AI7">
        <v>42367202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ROW(Source!A30)</f>
        <v>30</v>
      </c>
      <c r="B8">
        <v>42367204</v>
      </c>
      <c r="C8">
        <v>42367203</v>
      </c>
      <c r="D8">
        <v>40662784</v>
      </c>
      <c r="E8">
        <v>27</v>
      </c>
      <c r="F8">
        <v>1</v>
      </c>
      <c r="G8">
        <v>27</v>
      </c>
      <c r="H8">
        <v>1</v>
      </c>
      <c r="I8" t="s">
        <v>193</v>
      </c>
      <c r="J8" t="s">
        <v>3</v>
      </c>
      <c r="K8" t="s">
        <v>194</v>
      </c>
      <c r="L8">
        <v>1191</v>
      </c>
      <c r="N8">
        <v>1013</v>
      </c>
      <c r="O8" t="s">
        <v>195</v>
      </c>
      <c r="P8" t="s">
        <v>195</v>
      </c>
      <c r="Q8">
        <v>1</v>
      </c>
      <c r="X8">
        <v>0.98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3</v>
      </c>
      <c r="AG8">
        <v>0.98</v>
      </c>
      <c r="AH8">
        <v>2</v>
      </c>
      <c r="AI8">
        <v>42367204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ROW(Source!A30)</f>
        <v>30</v>
      </c>
      <c r="B9">
        <v>42367205</v>
      </c>
      <c r="C9">
        <v>42367203</v>
      </c>
      <c r="D9">
        <v>40679631</v>
      </c>
      <c r="E9">
        <v>1</v>
      </c>
      <c r="F9">
        <v>1</v>
      </c>
      <c r="G9">
        <v>27</v>
      </c>
      <c r="H9">
        <v>2</v>
      </c>
      <c r="I9" t="s">
        <v>196</v>
      </c>
      <c r="J9" t="s">
        <v>197</v>
      </c>
      <c r="K9" t="s">
        <v>198</v>
      </c>
      <c r="L9">
        <v>1368</v>
      </c>
      <c r="N9">
        <v>1011</v>
      </c>
      <c r="O9" t="s">
        <v>199</v>
      </c>
      <c r="P9" t="s">
        <v>199</v>
      </c>
      <c r="Q9">
        <v>1</v>
      </c>
      <c r="X9">
        <v>0.25</v>
      </c>
      <c r="Y9">
        <v>0</v>
      </c>
      <c r="Z9">
        <v>470.71</v>
      </c>
      <c r="AA9">
        <v>359.8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0.25</v>
      </c>
      <c r="AH9">
        <v>2</v>
      </c>
      <c r="AI9">
        <v>42367205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ROW(Source!A30)</f>
        <v>30</v>
      </c>
      <c r="B10">
        <v>42367206</v>
      </c>
      <c r="C10">
        <v>42367203</v>
      </c>
      <c r="D10">
        <v>40680099</v>
      </c>
      <c r="E10">
        <v>1</v>
      </c>
      <c r="F10">
        <v>1</v>
      </c>
      <c r="G10">
        <v>27</v>
      </c>
      <c r="H10">
        <v>2</v>
      </c>
      <c r="I10" t="s">
        <v>200</v>
      </c>
      <c r="J10" t="s">
        <v>201</v>
      </c>
      <c r="K10" t="s">
        <v>202</v>
      </c>
      <c r="L10">
        <v>1368</v>
      </c>
      <c r="N10">
        <v>1011</v>
      </c>
      <c r="O10" t="s">
        <v>199</v>
      </c>
      <c r="P10" t="s">
        <v>199</v>
      </c>
      <c r="Q10">
        <v>1</v>
      </c>
      <c r="X10">
        <v>0.5</v>
      </c>
      <c r="Y10">
        <v>0</v>
      </c>
      <c r="Z10">
        <v>3.75</v>
      </c>
      <c r="AA10">
        <v>2.56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0.5</v>
      </c>
      <c r="AH10">
        <v>2</v>
      </c>
      <c r="AI10">
        <v>42367206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ROW(Source!A30)</f>
        <v>30</v>
      </c>
      <c r="B11">
        <v>42367207</v>
      </c>
      <c r="C11">
        <v>42367203</v>
      </c>
      <c r="D11">
        <v>40679388</v>
      </c>
      <c r="E11">
        <v>1</v>
      </c>
      <c r="F11">
        <v>1</v>
      </c>
      <c r="G11">
        <v>27</v>
      </c>
      <c r="H11">
        <v>2</v>
      </c>
      <c r="I11" t="s">
        <v>203</v>
      </c>
      <c r="J11" t="s">
        <v>204</v>
      </c>
      <c r="K11" t="s">
        <v>205</v>
      </c>
      <c r="L11">
        <v>1368</v>
      </c>
      <c r="N11">
        <v>1011</v>
      </c>
      <c r="O11" t="s">
        <v>199</v>
      </c>
      <c r="P11" t="s">
        <v>199</v>
      </c>
      <c r="Q11">
        <v>1</v>
      </c>
      <c r="X11">
        <v>0.09</v>
      </c>
      <c r="Y11">
        <v>0</v>
      </c>
      <c r="Z11">
        <v>1171.51</v>
      </c>
      <c r="AA11">
        <v>487.24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0.09</v>
      </c>
      <c r="AH11">
        <v>2</v>
      </c>
      <c r="AI11">
        <v>42367207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ROW(Source!A30)</f>
        <v>30</v>
      </c>
      <c r="B12">
        <v>42367208</v>
      </c>
      <c r="C12">
        <v>42367203</v>
      </c>
      <c r="D12">
        <v>40681466</v>
      </c>
      <c r="E12">
        <v>1</v>
      </c>
      <c r="F12">
        <v>1</v>
      </c>
      <c r="G12">
        <v>27</v>
      </c>
      <c r="H12">
        <v>3</v>
      </c>
      <c r="I12" t="s">
        <v>212</v>
      </c>
      <c r="J12" t="s">
        <v>213</v>
      </c>
      <c r="K12" t="s">
        <v>214</v>
      </c>
      <c r="L12">
        <v>1339</v>
      </c>
      <c r="N12">
        <v>1007</v>
      </c>
      <c r="O12" t="s">
        <v>29</v>
      </c>
      <c r="P12" t="s">
        <v>29</v>
      </c>
      <c r="Q12">
        <v>1</v>
      </c>
      <c r="X12">
        <v>1.1499999999999999</v>
      </c>
      <c r="Y12">
        <v>1436.5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1.1499999999999999</v>
      </c>
      <c r="AH12">
        <v>2</v>
      </c>
      <c r="AI12">
        <v>42367208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42367209</v>
      </c>
      <c r="C13">
        <v>42367203</v>
      </c>
      <c r="D13">
        <v>40682177</v>
      </c>
      <c r="E13">
        <v>1</v>
      </c>
      <c r="F13">
        <v>1</v>
      </c>
      <c r="G13">
        <v>27</v>
      </c>
      <c r="H13">
        <v>3</v>
      </c>
      <c r="I13" t="s">
        <v>209</v>
      </c>
      <c r="J13" t="s">
        <v>210</v>
      </c>
      <c r="K13" t="s">
        <v>211</v>
      </c>
      <c r="L13">
        <v>1339</v>
      </c>
      <c r="N13">
        <v>1007</v>
      </c>
      <c r="O13" t="s">
        <v>29</v>
      </c>
      <c r="P13" t="s">
        <v>29</v>
      </c>
      <c r="Q13">
        <v>1</v>
      </c>
      <c r="X13">
        <v>0.15</v>
      </c>
      <c r="Y13">
        <v>35.25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0.15</v>
      </c>
      <c r="AH13">
        <v>2</v>
      </c>
      <c r="AI13">
        <v>42367209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ROW(Source!A31)</f>
        <v>31</v>
      </c>
      <c r="B14">
        <v>42278355</v>
      </c>
      <c r="C14">
        <v>42274430</v>
      </c>
      <c r="D14">
        <v>40662784</v>
      </c>
      <c r="E14">
        <v>27</v>
      </c>
      <c r="F14">
        <v>1</v>
      </c>
      <c r="G14">
        <v>27</v>
      </c>
      <c r="H14">
        <v>1</v>
      </c>
      <c r="I14" t="s">
        <v>193</v>
      </c>
      <c r="J14" t="s">
        <v>3</v>
      </c>
      <c r="K14" t="s">
        <v>194</v>
      </c>
      <c r="L14">
        <v>1191</v>
      </c>
      <c r="N14">
        <v>1013</v>
      </c>
      <c r="O14" t="s">
        <v>195</v>
      </c>
      <c r="P14" t="s">
        <v>195</v>
      </c>
      <c r="Q14">
        <v>1</v>
      </c>
      <c r="X14">
        <v>563.5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3</v>
      </c>
      <c r="AG14">
        <v>563.5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ROW(Source!A31)</f>
        <v>31</v>
      </c>
      <c r="B15">
        <v>42278356</v>
      </c>
      <c r="C15">
        <v>42274430</v>
      </c>
      <c r="D15">
        <v>40680122</v>
      </c>
      <c r="E15">
        <v>1</v>
      </c>
      <c r="F15">
        <v>1</v>
      </c>
      <c r="G15">
        <v>27</v>
      </c>
      <c r="H15">
        <v>2</v>
      </c>
      <c r="I15" t="s">
        <v>218</v>
      </c>
      <c r="J15" t="s">
        <v>219</v>
      </c>
      <c r="K15" t="s">
        <v>220</v>
      </c>
      <c r="L15">
        <v>1368</v>
      </c>
      <c r="N15">
        <v>1011</v>
      </c>
      <c r="O15" t="s">
        <v>199</v>
      </c>
      <c r="P15" t="s">
        <v>199</v>
      </c>
      <c r="Q15">
        <v>1</v>
      </c>
      <c r="X15">
        <v>1.08</v>
      </c>
      <c r="Y15">
        <v>0</v>
      </c>
      <c r="Z15">
        <v>3.67</v>
      </c>
      <c r="AA15">
        <v>0.01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1.08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ROW(Source!A31)</f>
        <v>31</v>
      </c>
      <c r="B16">
        <v>42278357</v>
      </c>
      <c r="C16">
        <v>42274430</v>
      </c>
      <c r="D16">
        <v>40679392</v>
      </c>
      <c r="E16">
        <v>1</v>
      </c>
      <c r="F16">
        <v>1</v>
      </c>
      <c r="G16">
        <v>27</v>
      </c>
      <c r="H16">
        <v>2</v>
      </c>
      <c r="I16" t="s">
        <v>221</v>
      </c>
      <c r="J16" t="s">
        <v>222</v>
      </c>
      <c r="K16" t="s">
        <v>223</v>
      </c>
      <c r="L16">
        <v>1368</v>
      </c>
      <c r="N16">
        <v>1011</v>
      </c>
      <c r="O16" t="s">
        <v>199</v>
      </c>
      <c r="P16" t="s">
        <v>199</v>
      </c>
      <c r="Q16">
        <v>1</v>
      </c>
      <c r="X16">
        <v>0.31</v>
      </c>
      <c r="Y16">
        <v>0</v>
      </c>
      <c r="Z16">
        <v>683.9</v>
      </c>
      <c r="AA16">
        <v>371.27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0.31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ROW(Source!A31)</f>
        <v>31</v>
      </c>
      <c r="B17">
        <v>42278358</v>
      </c>
      <c r="C17">
        <v>42274430</v>
      </c>
      <c r="D17">
        <v>40679562</v>
      </c>
      <c r="E17">
        <v>1</v>
      </c>
      <c r="F17">
        <v>1</v>
      </c>
      <c r="G17">
        <v>27</v>
      </c>
      <c r="H17">
        <v>2</v>
      </c>
      <c r="I17" t="s">
        <v>224</v>
      </c>
      <c r="J17" t="s">
        <v>225</v>
      </c>
      <c r="K17" t="s">
        <v>226</v>
      </c>
      <c r="L17">
        <v>1368</v>
      </c>
      <c r="N17">
        <v>1011</v>
      </c>
      <c r="O17" t="s">
        <v>199</v>
      </c>
      <c r="P17" t="s">
        <v>199</v>
      </c>
      <c r="Q17">
        <v>1</v>
      </c>
      <c r="X17">
        <v>30.62</v>
      </c>
      <c r="Y17">
        <v>0</v>
      </c>
      <c r="Z17">
        <v>10.82</v>
      </c>
      <c r="AA17">
        <v>2.97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30.62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ROW(Source!A31)</f>
        <v>31</v>
      </c>
      <c r="B18">
        <v>42278359</v>
      </c>
      <c r="C18">
        <v>42274430</v>
      </c>
      <c r="D18">
        <v>40680932</v>
      </c>
      <c r="E18">
        <v>1</v>
      </c>
      <c r="F18">
        <v>1</v>
      </c>
      <c r="G18">
        <v>27</v>
      </c>
      <c r="H18">
        <v>3</v>
      </c>
      <c r="I18" t="s">
        <v>227</v>
      </c>
      <c r="J18" t="s">
        <v>228</v>
      </c>
      <c r="K18" t="s">
        <v>229</v>
      </c>
      <c r="L18">
        <v>1348</v>
      </c>
      <c r="N18">
        <v>1009</v>
      </c>
      <c r="O18" t="s">
        <v>42</v>
      </c>
      <c r="P18" t="s">
        <v>42</v>
      </c>
      <c r="Q18">
        <v>1000</v>
      </c>
      <c r="X18">
        <v>7.6200000000000004E-2</v>
      </c>
      <c r="Y18">
        <v>32318.55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7.6200000000000004E-2</v>
      </c>
      <c r="AH18">
        <v>3</v>
      </c>
      <c r="AI18">
        <v>-1</v>
      </c>
      <c r="AJ18" t="s">
        <v>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ROW(Source!A31)</f>
        <v>31</v>
      </c>
      <c r="B19">
        <v>42278360</v>
      </c>
      <c r="C19">
        <v>42274430</v>
      </c>
      <c r="D19">
        <v>40681252</v>
      </c>
      <c r="E19">
        <v>1</v>
      </c>
      <c r="F19">
        <v>1</v>
      </c>
      <c r="G19">
        <v>27</v>
      </c>
      <c r="H19">
        <v>3</v>
      </c>
      <c r="I19" t="s">
        <v>230</v>
      </c>
      <c r="J19" t="s">
        <v>231</v>
      </c>
      <c r="K19" t="s">
        <v>232</v>
      </c>
      <c r="L19">
        <v>1348</v>
      </c>
      <c r="N19">
        <v>1009</v>
      </c>
      <c r="O19" t="s">
        <v>42</v>
      </c>
      <c r="P19" t="s">
        <v>42</v>
      </c>
      <c r="Q19">
        <v>1000</v>
      </c>
      <c r="X19">
        <v>0.03</v>
      </c>
      <c r="Y19">
        <v>49736.04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0.03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42278362</v>
      </c>
      <c r="C20">
        <v>42274430</v>
      </c>
      <c r="D20">
        <v>40682000</v>
      </c>
      <c r="E20">
        <v>1</v>
      </c>
      <c r="F20">
        <v>1</v>
      </c>
      <c r="G20">
        <v>27</v>
      </c>
      <c r="H20">
        <v>3</v>
      </c>
      <c r="I20" t="s">
        <v>233</v>
      </c>
      <c r="J20" t="s">
        <v>234</v>
      </c>
      <c r="K20" t="s">
        <v>235</v>
      </c>
      <c r="L20">
        <v>1327</v>
      </c>
      <c r="N20">
        <v>1005</v>
      </c>
      <c r="O20" t="s">
        <v>236</v>
      </c>
      <c r="P20" t="s">
        <v>236</v>
      </c>
      <c r="Q20">
        <v>1</v>
      </c>
      <c r="X20">
        <v>75</v>
      </c>
      <c r="Y20">
        <v>91.89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75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42278361</v>
      </c>
      <c r="C21">
        <v>42274430</v>
      </c>
      <c r="D21">
        <v>40680371</v>
      </c>
      <c r="E21">
        <v>1</v>
      </c>
      <c r="F21">
        <v>1</v>
      </c>
      <c r="G21">
        <v>27</v>
      </c>
      <c r="H21">
        <v>3</v>
      </c>
      <c r="I21" t="s">
        <v>237</v>
      </c>
      <c r="J21" t="s">
        <v>238</v>
      </c>
      <c r="K21" t="s">
        <v>239</v>
      </c>
      <c r="L21">
        <v>1348</v>
      </c>
      <c r="N21">
        <v>1009</v>
      </c>
      <c r="O21" t="s">
        <v>42</v>
      </c>
      <c r="P21" t="s">
        <v>42</v>
      </c>
      <c r="Q21">
        <v>1000</v>
      </c>
      <c r="X21">
        <v>8.2000000000000003E-2</v>
      </c>
      <c r="Y21">
        <v>4752.34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8.2000000000000003E-2</v>
      </c>
      <c r="AH21">
        <v>3</v>
      </c>
      <c r="AI21">
        <v>-1</v>
      </c>
      <c r="AJ21" t="s">
        <v>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42278363</v>
      </c>
      <c r="C22">
        <v>42274430</v>
      </c>
      <c r="D22">
        <v>40682177</v>
      </c>
      <c r="E22">
        <v>1</v>
      </c>
      <c r="F22">
        <v>1</v>
      </c>
      <c r="G22">
        <v>27</v>
      </c>
      <c r="H22">
        <v>3</v>
      </c>
      <c r="I22" t="s">
        <v>209</v>
      </c>
      <c r="J22" t="s">
        <v>210</v>
      </c>
      <c r="K22" t="s">
        <v>211</v>
      </c>
      <c r="L22">
        <v>1339</v>
      </c>
      <c r="N22">
        <v>1007</v>
      </c>
      <c r="O22" t="s">
        <v>29</v>
      </c>
      <c r="P22" t="s">
        <v>29</v>
      </c>
      <c r="Q22">
        <v>1</v>
      </c>
      <c r="X22">
        <v>0.42399999999999999</v>
      </c>
      <c r="Y22">
        <v>35.25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0.42399999999999999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42278364</v>
      </c>
      <c r="C23">
        <v>42274430</v>
      </c>
      <c r="D23">
        <v>40680879</v>
      </c>
      <c r="E23">
        <v>1</v>
      </c>
      <c r="F23">
        <v>1</v>
      </c>
      <c r="G23">
        <v>27</v>
      </c>
      <c r="H23">
        <v>3</v>
      </c>
      <c r="I23" t="s">
        <v>240</v>
      </c>
      <c r="J23" t="s">
        <v>241</v>
      </c>
      <c r="K23" t="s">
        <v>242</v>
      </c>
      <c r="L23">
        <v>1339</v>
      </c>
      <c r="N23">
        <v>1007</v>
      </c>
      <c r="O23" t="s">
        <v>29</v>
      </c>
      <c r="P23" t="s">
        <v>29</v>
      </c>
      <c r="Q23">
        <v>1</v>
      </c>
      <c r="X23">
        <v>0.7</v>
      </c>
      <c r="Y23">
        <v>7098.7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0.7</v>
      </c>
      <c r="AH23">
        <v>3</v>
      </c>
      <c r="AI23">
        <v>-1</v>
      </c>
      <c r="AJ23" t="s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42278365</v>
      </c>
      <c r="C24">
        <v>42274430</v>
      </c>
      <c r="D24">
        <v>40683143</v>
      </c>
      <c r="E24">
        <v>1</v>
      </c>
      <c r="F24">
        <v>1</v>
      </c>
      <c r="G24">
        <v>27</v>
      </c>
      <c r="H24">
        <v>3</v>
      </c>
      <c r="I24" t="s">
        <v>243</v>
      </c>
      <c r="J24" t="s">
        <v>244</v>
      </c>
      <c r="K24" t="s">
        <v>245</v>
      </c>
      <c r="L24">
        <v>1339</v>
      </c>
      <c r="N24">
        <v>1007</v>
      </c>
      <c r="O24" t="s">
        <v>29</v>
      </c>
      <c r="P24" t="s">
        <v>29</v>
      </c>
      <c r="Q24">
        <v>1</v>
      </c>
      <c r="X24">
        <v>102</v>
      </c>
      <c r="Y24">
        <v>3247.23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102</v>
      </c>
      <c r="AH24">
        <v>3</v>
      </c>
      <c r="AI24">
        <v>-1</v>
      </c>
      <c r="AJ24" t="s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42278366</v>
      </c>
      <c r="C25">
        <v>42274430</v>
      </c>
      <c r="D25">
        <v>40685315</v>
      </c>
      <c r="E25">
        <v>1</v>
      </c>
      <c r="F25">
        <v>1</v>
      </c>
      <c r="G25">
        <v>27</v>
      </c>
      <c r="H25">
        <v>3</v>
      </c>
      <c r="I25" t="s">
        <v>246</v>
      </c>
      <c r="J25" t="s">
        <v>247</v>
      </c>
      <c r="K25" t="s">
        <v>248</v>
      </c>
      <c r="L25">
        <v>1327</v>
      </c>
      <c r="N25">
        <v>1005</v>
      </c>
      <c r="O25" t="s">
        <v>236</v>
      </c>
      <c r="P25" t="s">
        <v>236</v>
      </c>
      <c r="Q25">
        <v>1</v>
      </c>
      <c r="X25">
        <v>65.099999999999994</v>
      </c>
      <c r="Y25">
        <v>241.04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65.099999999999994</v>
      </c>
      <c r="AH25">
        <v>3</v>
      </c>
      <c r="AI25">
        <v>-1</v>
      </c>
      <c r="AJ25" t="s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ROW(Source!A32)</f>
        <v>32</v>
      </c>
      <c r="B26">
        <v>42278367</v>
      </c>
      <c r="C26">
        <v>42274455</v>
      </c>
      <c r="D26">
        <v>40662784</v>
      </c>
      <c r="E26">
        <v>27</v>
      </c>
      <c r="F26">
        <v>1</v>
      </c>
      <c r="G26">
        <v>27</v>
      </c>
      <c r="H26">
        <v>1</v>
      </c>
      <c r="I26" t="s">
        <v>193</v>
      </c>
      <c r="J26" t="s">
        <v>3</v>
      </c>
      <c r="K26" t="s">
        <v>194</v>
      </c>
      <c r="L26">
        <v>1191</v>
      </c>
      <c r="N26">
        <v>1013</v>
      </c>
      <c r="O26" t="s">
        <v>195</v>
      </c>
      <c r="P26" t="s">
        <v>195</v>
      </c>
      <c r="Q26">
        <v>1</v>
      </c>
      <c r="X26">
        <v>227.7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 t="s">
        <v>3</v>
      </c>
      <c r="AG26">
        <v>227.7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42278368</v>
      </c>
      <c r="C27">
        <v>42274455</v>
      </c>
      <c r="D27">
        <v>40683405</v>
      </c>
      <c r="E27">
        <v>1</v>
      </c>
      <c r="F27">
        <v>1</v>
      </c>
      <c r="G27">
        <v>27</v>
      </c>
      <c r="H27">
        <v>3</v>
      </c>
      <c r="I27" t="s">
        <v>50</v>
      </c>
      <c r="J27" t="s">
        <v>52</v>
      </c>
      <c r="K27" t="s">
        <v>51</v>
      </c>
      <c r="L27">
        <v>1348</v>
      </c>
      <c r="N27">
        <v>1009</v>
      </c>
      <c r="O27" t="s">
        <v>42</v>
      </c>
      <c r="P27" t="s">
        <v>42</v>
      </c>
      <c r="Q27">
        <v>1000</v>
      </c>
      <c r="X27">
        <v>1</v>
      </c>
      <c r="Y27">
        <v>53233.52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</v>
      </c>
      <c r="AH27">
        <v>3</v>
      </c>
      <c r="AI27">
        <v>-1</v>
      </c>
      <c r="AJ27" t="s">
        <v>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ROW(Source!A36)</f>
        <v>36</v>
      </c>
      <c r="B28">
        <v>42367231</v>
      </c>
      <c r="C28">
        <v>42367230</v>
      </c>
      <c r="D28">
        <v>40662784</v>
      </c>
      <c r="E28">
        <v>27</v>
      </c>
      <c r="F28">
        <v>1</v>
      </c>
      <c r="G28">
        <v>27</v>
      </c>
      <c r="H28">
        <v>1</v>
      </c>
      <c r="I28" t="s">
        <v>193</v>
      </c>
      <c r="J28" t="s">
        <v>3</v>
      </c>
      <c r="K28" t="s">
        <v>194</v>
      </c>
      <c r="L28">
        <v>1191</v>
      </c>
      <c r="N28">
        <v>1013</v>
      </c>
      <c r="O28" t="s">
        <v>195</v>
      </c>
      <c r="P28" t="s">
        <v>195</v>
      </c>
      <c r="Q28">
        <v>1</v>
      </c>
      <c r="X28">
        <v>221.6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 t="s">
        <v>3</v>
      </c>
      <c r="AG28">
        <v>221.6</v>
      </c>
      <c r="AH28">
        <v>3</v>
      </c>
      <c r="AI28">
        <v>-1</v>
      </c>
      <c r="AJ28" t="s">
        <v>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ROW(Source!A37)</f>
        <v>37</v>
      </c>
      <c r="B29">
        <v>42367239</v>
      </c>
      <c r="C29">
        <v>42367232</v>
      </c>
      <c r="D29">
        <v>40662784</v>
      </c>
      <c r="E29">
        <v>27</v>
      </c>
      <c r="F29">
        <v>1</v>
      </c>
      <c r="G29">
        <v>27</v>
      </c>
      <c r="H29">
        <v>1</v>
      </c>
      <c r="I29" t="s">
        <v>193</v>
      </c>
      <c r="J29" t="s">
        <v>3</v>
      </c>
      <c r="K29" t="s">
        <v>194</v>
      </c>
      <c r="L29">
        <v>1191</v>
      </c>
      <c r="N29">
        <v>1013</v>
      </c>
      <c r="O29" t="s">
        <v>195</v>
      </c>
      <c r="P29" t="s">
        <v>195</v>
      </c>
      <c r="Q29">
        <v>1</v>
      </c>
      <c r="X29">
        <v>0.9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 t="s">
        <v>3</v>
      </c>
      <c r="AG29">
        <v>0.9</v>
      </c>
      <c r="AH29">
        <v>2</v>
      </c>
      <c r="AI29">
        <v>42367233</v>
      </c>
      <c r="AJ29">
        <v>13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ROW(Source!A37)</f>
        <v>37</v>
      </c>
      <c r="B30">
        <v>42367240</v>
      </c>
      <c r="C30">
        <v>42367232</v>
      </c>
      <c r="D30">
        <v>40679631</v>
      </c>
      <c r="E30">
        <v>1</v>
      </c>
      <c r="F30">
        <v>1</v>
      </c>
      <c r="G30">
        <v>27</v>
      </c>
      <c r="H30">
        <v>2</v>
      </c>
      <c r="I30" t="s">
        <v>196</v>
      </c>
      <c r="J30" t="s">
        <v>197</v>
      </c>
      <c r="K30" t="s">
        <v>198</v>
      </c>
      <c r="L30">
        <v>1368</v>
      </c>
      <c r="N30">
        <v>1011</v>
      </c>
      <c r="O30" t="s">
        <v>199</v>
      </c>
      <c r="P30" t="s">
        <v>199</v>
      </c>
      <c r="Q30">
        <v>1</v>
      </c>
      <c r="X30">
        <v>0.22</v>
      </c>
      <c r="Y30">
        <v>0</v>
      </c>
      <c r="Z30">
        <v>470.71</v>
      </c>
      <c r="AA30">
        <v>359.8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0.22</v>
      </c>
      <c r="AH30">
        <v>2</v>
      </c>
      <c r="AI30">
        <v>42367234</v>
      </c>
      <c r="AJ30">
        <v>14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ROW(Source!A37)</f>
        <v>37</v>
      </c>
      <c r="B31">
        <v>42367241</v>
      </c>
      <c r="C31">
        <v>42367232</v>
      </c>
      <c r="D31">
        <v>40680099</v>
      </c>
      <c r="E31">
        <v>1</v>
      </c>
      <c r="F31">
        <v>1</v>
      </c>
      <c r="G31">
        <v>27</v>
      </c>
      <c r="H31">
        <v>2</v>
      </c>
      <c r="I31" t="s">
        <v>200</v>
      </c>
      <c r="J31" t="s">
        <v>201</v>
      </c>
      <c r="K31" t="s">
        <v>202</v>
      </c>
      <c r="L31">
        <v>1368</v>
      </c>
      <c r="N31">
        <v>1011</v>
      </c>
      <c r="O31" t="s">
        <v>199</v>
      </c>
      <c r="P31" t="s">
        <v>199</v>
      </c>
      <c r="Q31">
        <v>1</v>
      </c>
      <c r="X31">
        <v>0.45</v>
      </c>
      <c r="Y31">
        <v>0</v>
      </c>
      <c r="Z31">
        <v>3.75</v>
      </c>
      <c r="AA31">
        <v>2.56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0.45</v>
      </c>
      <c r="AH31">
        <v>2</v>
      </c>
      <c r="AI31">
        <v>42367235</v>
      </c>
      <c r="AJ31">
        <v>15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ROW(Source!A37)</f>
        <v>37</v>
      </c>
      <c r="B32">
        <v>42367242</v>
      </c>
      <c r="C32">
        <v>42367232</v>
      </c>
      <c r="D32">
        <v>40679388</v>
      </c>
      <c r="E32">
        <v>1</v>
      </c>
      <c r="F32">
        <v>1</v>
      </c>
      <c r="G32">
        <v>27</v>
      </c>
      <c r="H32">
        <v>2</v>
      </c>
      <c r="I32" t="s">
        <v>203</v>
      </c>
      <c r="J32" t="s">
        <v>204</v>
      </c>
      <c r="K32" t="s">
        <v>205</v>
      </c>
      <c r="L32">
        <v>1368</v>
      </c>
      <c r="N32">
        <v>1011</v>
      </c>
      <c r="O32" t="s">
        <v>199</v>
      </c>
      <c r="P32" t="s">
        <v>199</v>
      </c>
      <c r="Q32">
        <v>1</v>
      </c>
      <c r="X32">
        <v>0.09</v>
      </c>
      <c r="Y32">
        <v>0</v>
      </c>
      <c r="Z32">
        <v>1171.51</v>
      </c>
      <c r="AA32">
        <v>487.24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0.09</v>
      </c>
      <c r="AH32">
        <v>2</v>
      </c>
      <c r="AI32">
        <v>42367236</v>
      </c>
      <c r="AJ32">
        <v>16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ROW(Source!A37)</f>
        <v>37</v>
      </c>
      <c r="B33">
        <v>42367243</v>
      </c>
      <c r="C33">
        <v>42367232</v>
      </c>
      <c r="D33">
        <v>40681432</v>
      </c>
      <c r="E33">
        <v>1</v>
      </c>
      <c r="F33">
        <v>1</v>
      </c>
      <c r="G33">
        <v>27</v>
      </c>
      <c r="H33">
        <v>3</v>
      </c>
      <c r="I33" t="s">
        <v>206</v>
      </c>
      <c r="J33" t="s">
        <v>207</v>
      </c>
      <c r="K33" t="s">
        <v>208</v>
      </c>
      <c r="L33">
        <v>1339</v>
      </c>
      <c r="N33">
        <v>1007</v>
      </c>
      <c r="O33" t="s">
        <v>29</v>
      </c>
      <c r="P33" t="s">
        <v>29</v>
      </c>
      <c r="Q33">
        <v>1</v>
      </c>
      <c r="X33">
        <v>1.1000000000000001</v>
      </c>
      <c r="Y33">
        <v>590.78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1.1000000000000001</v>
      </c>
      <c r="AH33">
        <v>2</v>
      </c>
      <c r="AI33">
        <v>42367237</v>
      </c>
      <c r="AJ33">
        <v>17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ROW(Source!A37)</f>
        <v>37</v>
      </c>
      <c r="B34">
        <v>42367244</v>
      </c>
      <c r="C34">
        <v>42367232</v>
      </c>
      <c r="D34">
        <v>40682177</v>
      </c>
      <c r="E34">
        <v>1</v>
      </c>
      <c r="F34">
        <v>1</v>
      </c>
      <c r="G34">
        <v>27</v>
      </c>
      <c r="H34">
        <v>3</v>
      </c>
      <c r="I34" t="s">
        <v>209</v>
      </c>
      <c r="J34" t="s">
        <v>210</v>
      </c>
      <c r="K34" t="s">
        <v>211</v>
      </c>
      <c r="L34">
        <v>1339</v>
      </c>
      <c r="N34">
        <v>1007</v>
      </c>
      <c r="O34" t="s">
        <v>29</v>
      </c>
      <c r="P34" t="s">
        <v>29</v>
      </c>
      <c r="Q34">
        <v>1</v>
      </c>
      <c r="X34">
        <v>0.15</v>
      </c>
      <c r="Y34">
        <v>35.25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0.15</v>
      </c>
      <c r="AH34">
        <v>2</v>
      </c>
      <c r="AI34">
        <v>42367238</v>
      </c>
      <c r="AJ34">
        <v>18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ROW(Source!A38)</f>
        <v>38</v>
      </c>
      <c r="B35">
        <v>42367252</v>
      </c>
      <c r="C35">
        <v>42367245</v>
      </c>
      <c r="D35">
        <v>40662784</v>
      </c>
      <c r="E35">
        <v>27</v>
      </c>
      <c r="F35">
        <v>1</v>
      </c>
      <c r="G35">
        <v>27</v>
      </c>
      <c r="H35">
        <v>1</v>
      </c>
      <c r="I35" t="s">
        <v>193</v>
      </c>
      <c r="J35" t="s">
        <v>3</v>
      </c>
      <c r="K35" t="s">
        <v>194</v>
      </c>
      <c r="L35">
        <v>1191</v>
      </c>
      <c r="N35">
        <v>1013</v>
      </c>
      <c r="O35" t="s">
        <v>195</v>
      </c>
      <c r="P35" t="s">
        <v>195</v>
      </c>
      <c r="Q35">
        <v>1</v>
      </c>
      <c r="X35">
        <v>0.98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3</v>
      </c>
      <c r="AG35">
        <v>0.98</v>
      </c>
      <c r="AH35">
        <v>2</v>
      </c>
      <c r="AI35">
        <v>42367246</v>
      </c>
      <c r="AJ35">
        <v>19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ROW(Source!A38)</f>
        <v>38</v>
      </c>
      <c r="B36">
        <v>42367253</v>
      </c>
      <c r="C36">
        <v>42367245</v>
      </c>
      <c r="D36">
        <v>40679631</v>
      </c>
      <c r="E36">
        <v>1</v>
      </c>
      <c r="F36">
        <v>1</v>
      </c>
      <c r="G36">
        <v>27</v>
      </c>
      <c r="H36">
        <v>2</v>
      </c>
      <c r="I36" t="s">
        <v>196</v>
      </c>
      <c r="J36" t="s">
        <v>197</v>
      </c>
      <c r="K36" t="s">
        <v>198</v>
      </c>
      <c r="L36">
        <v>1368</v>
      </c>
      <c r="N36">
        <v>1011</v>
      </c>
      <c r="O36" t="s">
        <v>199</v>
      </c>
      <c r="P36" t="s">
        <v>199</v>
      </c>
      <c r="Q36">
        <v>1</v>
      </c>
      <c r="X36">
        <v>0.25</v>
      </c>
      <c r="Y36">
        <v>0</v>
      </c>
      <c r="Z36">
        <v>470.71</v>
      </c>
      <c r="AA36">
        <v>359.8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0.25</v>
      </c>
      <c r="AH36">
        <v>2</v>
      </c>
      <c r="AI36">
        <v>42367247</v>
      </c>
      <c r="AJ36">
        <v>20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ROW(Source!A38)</f>
        <v>38</v>
      </c>
      <c r="B37">
        <v>42367254</v>
      </c>
      <c r="C37">
        <v>42367245</v>
      </c>
      <c r="D37">
        <v>40680099</v>
      </c>
      <c r="E37">
        <v>1</v>
      </c>
      <c r="F37">
        <v>1</v>
      </c>
      <c r="G37">
        <v>27</v>
      </c>
      <c r="H37">
        <v>2</v>
      </c>
      <c r="I37" t="s">
        <v>200</v>
      </c>
      <c r="J37" t="s">
        <v>201</v>
      </c>
      <c r="K37" t="s">
        <v>202</v>
      </c>
      <c r="L37">
        <v>1368</v>
      </c>
      <c r="N37">
        <v>1011</v>
      </c>
      <c r="O37" t="s">
        <v>199</v>
      </c>
      <c r="P37" t="s">
        <v>199</v>
      </c>
      <c r="Q37">
        <v>1</v>
      </c>
      <c r="X37">
        <v>0.5</v>
      </c>
      <c r="Y37">
        <v>0</v>
      </c>
      <c r="Z37">
        <v>3.75</v>
      </c>
      <c r="AA37">
        <v>2.56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0.5</v>
      </c>
      <c r="AH37">
        <v>2</v>
      </c>
      <c r="AI37">
        <v>42367248</v>
      </c>
      <c r="AJ37">
        <v>21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ROW(Source!A38)</f>
        <v>38</v>
      </c>
      <c r="B38">
        <v>42367255</v>
      </c>
      <c r="C38">
        <v>42367245</v>
      </c>
      <c r="D38">
        <v>40679388</v>
      </c>
      <c r="E38">
        <v>1</v>
      </c>
      <c r="F38">
        <v>1</v>
      </c>
      <c r="G38">
        <v>27</v>
      </c>
      <c r="H38">
        <v>2</v>
      </c>
      <c r="I38" t="s">
        <v>203</v>
      </c>
      <c r="J38" t="s">
        <v>204</v>
      </c>
      <c r="K38" t="s">
        <v>205</v>
      </c>
      <c r="L38">
        <v>1368</v>
      </c>
      <c r="N38">
        <v>1011</v>
      </c>
      <c r="O38" t="s">
        <v>199</v>
      </c>
      <c r="P38" t="s">
        <v>199</v>
      </c>
      <c r="Q38">
        <v>1</v>
      </c>
      <c r="X38">
        <v>0.09</v>
      </c>
      <c r="Y38">
        <v>0</v>
      </c>
      <c r="Z38">
        <v>1171.51</v>
      </c>
      <c r="AA38">
        <v>487.24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0.09</v>
      </c>
      <c r="AH38">
        <v>2</v>
      </c>
      <c r="AI38">
        <v>42367249</v>
      </c>
      <c r="AJ38">
        <v>22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ROW(Source!A38)</f>
        <v>38</v>
      </c>
      <c r="B39">
        <v>42367256</v>
      </c>
      <c r="C39">
        <v>42367245</v>
      </c>
      <c r="D39">
        <v>40681466</v>
      </c>
      <c r="E39">
        <v>1</v>
      </c>
      <c r="F39">
        <v>1</v>
      </c>
      <c r="G39">
        <v>27</v>
      </c>
      <c r="H39">
        <v>3</v>
      </c>
      <c r="I39" t="s">
        <v>212</v>
      </c>
      <c r="J39" t="s">
        <v>213</v>
      </c>
      <c r="K39" t="s">
        <v>214</v>
      </c>
      <c r="L39">
        <v>1339</v>
      </c>
      <c r="N39">
        <v>1007</v>
      </c>
      <c r="O39" t="s">
        <v>29</v>
      </c>
      <c r="P39" t="s">
        <v>29</v>
      </c>
      <c r="Q39">
        <v>1</v>
      </c>
      <c r="X39">
        <v>1.1499999999999999</v>
      </c>
      <c r="Y39">
        <v>1436.5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1.1499999999999999</v>
      </c>
      <c r="AH39">
        <v>2</v>
      </c>
      <c r="AI39">
        <v>42367250</v>
      </c>
      <c r="AJ39">
        <v>23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ROW(Source!A38)</f>
        <v>38</v>
      </c>
      <c r="B40">
        <v>42367257</v>
      </c>
      <c r="C40">
        <v>42367245</v>
      </c>
      <c r="D40">
        <v>40682177</v>
      </c>
      <c r="E40">
        <v>1</v>
      </c>
      <c r="F40">
        <v>1</v>
      </c>
      <c r="G40">
        <v>27</v>
      </c>
      <c r="H40">
        <v>3</v>
      </c>
      <c r="I40" t="s">
        <v>209</v>
      </c>
      <c r="J40" t="s">
        <v>210</v>
      </c>
      <c r="K40" t="s">
        <v>211</v>
      </c>
      <c r="L40">
        <v>1339</v>
      </c>
      <c r="N40">
        <v>1007</v>
      </c>
      <c r="O40" t="s">
        <v>29</v>
      </c>
      <c r="P40" t="s">
        <v>29</v>
      </c>
      <c r="Q40">
        <v>1</v>
      </c>
      <c r="X40">
        <v>0.15</v>
      </c>
      <c r="Y40">
        <v>35.25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0.15</v>
      </c>
      <c r="AH40">
        <v>2</v>
      </c>
      <c r="AI40">
        <v>42367251</v>
      </c>
      <c r="AJ40">
        <v>24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ROW(Source!A39)</f>
        <v>39</v>
      </c>
      <c r="B41">
        <v>42279625</v>
      </c>
      <c r="C41">
        <v>42279624</v>
      </c>
      <c r="D41">
        <v>40662784</v>
      </c>
      <c r="E41">
        <v>27</v>
      </c>
      <c r="F41">
        <v>1</v>
      </c>
      <c r="G41">
        <v>27</v>
      </c>
      <c r="H41">
        <v>1</v>
      </c>
      <c r="I41" t="s">
        <v>193</v>
      </c>
      <c r="J41" t="s">
        <v>3</v>
      </c>
      <c r="K41" t="s">
        <v>194</v>
      </c>
      <c r="L41">
        <v>1191</v>
      </c>
      <c r="N41">
        <v>1013</v>
      </c>
      <c r="O41" t="s">
        <v>195</v>
      </c>
      <c r="P41" t="s">
        <v>195</v>
      </c>
      <c r="Q41">
        <v>1</v>
      </c>
      <c r="X41">
        <v>563.5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 t="s">
        <v>3</v>
      </c>
      <c r="AG41">
        <v>563.5</v>
      </c>
      <c r="AH41">
        <v>3</v>
      </c>
      <c r="AI41">
        <v>-1</v>
      </c>
      <c r="AJ41" t="s">
        <v>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ROW(Source!A39)</f>
        <v>39</v>
      </c>
      <c r="B42">
        <v>42279626</v>
      </c>
      <c r="C42">
        <v>42279624</v>
      </c>
      <c r="D42">
        <v>40680122</v>
      </c>
      <c r="E42">
        <v>1</v>
      </c>
      <c r="F42">
        <v>1</v>
      </c>
      <c r="G42">
        <v>27</v>
      </c>
      <c r="H42">
        <v>2</v>
      </c>
      <c r="I42" t="s">
        <v>218</v>
      </c>
      <c r="J42" t="s">
        <v>219</v>
      </c>
      <c r="K42" t="s">
        <v>220</v>
      </c>
      <c r="L42">
        <v>1368</v>
      </c>
      <c r="N42">
        <v>1011</v>
      </c>
      <c r="O42" t="s">
        <v>199</v>
      </c>
      <c r="P42" t="s">
        <v>199</v>
      </c>
      <c r="Q42">
        <v>1</v>
      </c>
      <c r="X42">
        <v>1.08</v>
      </c>
      <c r="Y42">
        <v>0</v>
      </c>
      <c r="Z42">
        <v>3.67</v>
      </c>
      <c r="AA42">
        <v>0.01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1.08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ROW(Source!A39)</f>
        <v>39</v>
      </c>
      <c r="B43">
        <v>42279627</v>
      </c>
      <c r="C43">
        <v>42279624</v>
      </c>
      <c r="D43">
        <v>40679392</v>
      </c>
      <c r="E43">
        <v>1</v>
      </c>
      <c r="F43">
        <v>1</v>
      </c>
      <c r="G43">
        <v>27</v>
      </c>
      <c r="H43">
        <v>2</v>
      </c>
      <c r="I43" t="s">
        <v>221</v>
      </c>
      <c r="J43" t="s">
        <v>222</v>
      </c>
      <c r="K43" t="s">
        <v>223</v>
      </c>
      <c r="L43">
        <v>1368</v>
      </c>
      <c r="N43">
        <v>1011</v>
      </c>
      <c r="O43" t="s">
        <v>199</v>
      </c>
      <c r="P43" t="s">
        <v>199</v>
      </c>
      <c r="Q43">
        <v>1</v>
      </c>
      <c r="X43">
        <v>0.31</v>
      </c>
      <c r="Y43">
        <v>0</v>
      </c>
      <c r="Z43">
        <v>683.9</v>
      </c>
      <c r="AA43">
        <v>371.27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0.31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ROW(Source!A39)</f>
        <v>39</v>
      </c>
      <c r="B44">
        <v>42279628</v>
      </c>
      <c r="C44">
        <v>42279624</v>
      </c>
      <c r="D44">
        <v>40679562</v>
      </c>
      <c r="E44">
        <v>1</v>
      </c>
      <c r="F44">
        <v>1</v>
      </c>
      <c r="G44">
        <v>27</v>
      </c>
      <c r="H44">
        <v>2</v>
      </c>
      <c r="I44" t="s">
        <v>224</v>
      </c>
      <c r="J44" t="s">
        <v>225</v>
      </c>
      <c r="K44" t="s">
        <v>226</v>
      </c>
      <c r="L44">
        <v>1368</v>
      </c>
      <c r="N44">
        <v>1011</v>
      </c>
      <c r="O44" t="s">
        <v>199</v>
      </c>
      <c r="P44" t="s">
        <v>199</v>
      </c>
      <c r="Q44">
        <v>1</v>
      </c>
      <c r="X44">
        <v>30.62</v>
      </c>
      <c r="Y44">
        <v>0</v>
      </c>
      <c r="Z44">
        <v>10.82</v>
      </c>
      <c r="AA44">
        <v>2.97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30.62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ROW(Source!A39)</f>
        <v>39</v>
      </c>
      <c r="B45">
        <v>42279629</v>
      </c>
      <c r="C45">
        <v>42279624</v>
      </c>
      <c r="D45">
        <v>40680932</v>
      </c>
      <c r="E45">
        <v>1</v>
      </c>
      <c r="F45">
        <v>1</v>
      </c>
      <c r="G45">
        <v>27</v>
      </c>
      <c r="H45">
        <v>3</v>
      </c>
      <c r="I45" t="s">
        <v>227</v>
      </c>
      <c r="J45" t="s">
        <v>228</v>
      </c>
      <c r="K45" t="s">
        <v>229</v>
      </c>
      <c r="L45">
        <v>1348</v>
      </c>
      <c r="N45">
        <v>1009</v>
      </c>
      <c r="O45" t="s">
        <v>42</v>
      </c>
      <c r="P45" t="s">
        <v>42</v>
      </c>
      <c r="Q45">
        <v>1000</v>
      </c>
      <c r="X45">
        <v>7.6200000000000004E-2</v>
      </c>
      <c r="Y45">
        <v>32318.55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7.6200000000000004E-2</v>
      </c>
      <c r="AH45">
        <v>3</v>
      </c>
      <c r="AI45">
        <v>-1</v>
      </c>
      <c r="AJ45" t="s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ROW(Source!A39)</f>
        <v>39</v>
      </c>
      <c r="B46">
        <v>42279630</v>
      </c>
      <c r="C46">
        <v>42279624</v>
      </c>
      <c r="D46">
        <v>40681252</v>
      </c>
      <c r="E46">
        <v>1</v>
      </c>
      <c r="F46">
        <v>1</v>
      </c>
      <c r="G46">
        <v>27</v>
      </c>
      <c r="H46">
        <v>3</v>
      </c>
      <c r="I46" t="s">
        <v>230</v>
      </c>
      <c r="J46" t="s">
        <v>231</v>
      </c>
      <c r="K46" t="s">
        <v>232</v>
      </c>
      <c r="L46">
        <v>1348</v>
      </c>
      <c r="N46">
        <v>1009</v>
      </c>
      <c r="O46" t="s">
        <v>42</v>
      </c>
      <c r="P46" t="s">
        <v>42</v>
      </c>
      <c r="Q46">
        <v>1000</v>
      </c>
      <c r="X46">
        <v>0.03</v>
      </c>
      <c r="Y46">
        <v>49736.04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0.03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ROW(Source!A39)</f>
        <v>39</v>
      </c>
      <c r="B47">
        <v>42279632</v>
      </c>
      <c r="C47">
        <v>42279624</v>
      </c>
      <c r="D47">
        <v>40682000</v>
      </c>
      <c r="E47">
        <v>1</v>
      </c>
      <c r="F47">
        <v>1</v>
      </c>
      <c r="G47">
        <v>27</v>
      </c>
      <c r="H47">
        <v>3</v>
      </c>
      <c r="I47" t="s">
        <v>233</v>
      </c>
      <c r="J47" t="s">
        <v>234</v>
      </c>
      <c r="K47" t="s">
        <v>235</v>
      </c>
      <c r="L47">
        <v>1327</v>
      </c>
      <c r="N47">
        <v>1005</v>
      </c>
      <c r="O47" t="s">
        <v>236</v>
      </c>
      <c r="P47" t="s">
        <v>236</v>
      </c>
      <c r="Q47">
        <v>1</v>
      </c>
      <c r="X47">
        <v>75</v>
      </c>
      <c r="Y47">
        <v>91.89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75</v>
      </c>
      <c r="AH47">
        <v>3</v>
      </c>
      <c r="AI47">
        <v>-1</v>
      </c>
      <c r="AJ47" t="s">
        <v>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ROW(Source!A39)</f>
        <v>39</v>
      </c>
      <c r="B48">
        <v>42279631</v>
      </c>
      <c r="C48">
        <v>42279624</v>
      </c>
      <c r="D48">
        <v>40680371</v>
      </c>
      <c r="E48">
        <v>1</v>
      </c>
      <c r="F48">
        <v>1</v>
      </c>
      <c r="G48">
        <v>27</v>
      </c>
      <c r="H48">
        <v>3</v>
      </c>
      <c r="I48" t="s">
        <v>237</v>
      </c>
      <c r="J48" t="s">
        <v>238</v>
      </c>
      <c r="K48" t="s">
        <v>239</v>
      </c>
      <c r="L48">
        <v>1348</v>
      </c>
      <c r="N48">
        <v>1009</v>
      </c>
      <c r="O48" t="s">
        <v>42</v>
      </c>
      <c r="P48" t="s">
        <v>42</v>
      </c>
      <c r="Q48">
        <v>1000</v>
      </c>
      <c r="X48">
        <v>8.2000000000000003E-2</v>
      </c>
      <c r="Y48">
        <v>4752.34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8.2000000000000003E-2</v>
      </c>
      <c r="AH48">
        <v>3</v>
      </c>
      <c r="AI48">
        <v>-1</v>
      </c>
      <c r="AJ48" t="s">
        <v>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ROW(Source!A39)</f>
        <v>39</v>
      </c>
      <c r="B49">
        <v>42279633</v>
      </c>
      <c r="C49">
        <v>42279624</v>
      </c>
      <c r="D49">
        <v>40682177</v>
      </c>
      <c r="E49">
        <v>1</v>
      </c>
      <c r="F49">
        <v>1</v>
      </c>
      <c r="G49">
        <v>27</v>
      </c>
      <c r="H49">
        <v>3</v>
      </c>
      <c r="I49" t="s">
        <v>209</v>
      </c>
      <c r="J49" t="s">
        <v>210</v>
      </c>
      <c r="K49" t="s">
        <v>211</v>
      </c>
      <c r="L49">
        <v>1339</v>
      </c>
      <c r="N49">
        <v>1007</v>
      </c>
      <c r="O49" t="s">
        <v>29</v>
      </c>
      <c r="P49" t="s">
        <v>29</v>
      </c>
      <c r="Q49">
        <v>1</v>
      </c>
      <c r="X49">
        <v>0.42399999999999999</v>
      </c>
      <c r="Y49">
        <v>35.25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0.42399999999999999</v>
      </c>
      <c r="AH49">
        <v>3</v>
      </c>
      <c r="AI49">
        <v>-1</v>
      </c>
      <c r="AJ49" t="s">
        <v>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ROW(Source!A39)</f>
        <v>39</v>
      </c>
      <c r="B50">
        <v>42279634</v>
      </c>
      <c r="C50">
        <v>42279624</v>
      </c>
      <c r="D50">
        <v>40680879</v>
      </c>
      <c r="E50">
        <v>1</v>
      </c>
      <c r="F50">
        <v>1</v>
      </c>
      <c r="G50">
        <v>27</v>
      </c>
      <c r="H50">
        <v>3</v>
      </c>
      <c r="I50" t="s">
        <v>240</v>
      </c>
      <c r="J50" t="s">
        <v>241</v>
      </c>
      <c r="K50" t="s">
        <v>242</v>
      </c>
      <c r="L50">
        <v>1339</v>
      </c>
      <c r="N50">
        <v>1007</v>
      </c>
      <c r="O50" t="s">
        <v>29</v>
      </c>
      <c r="P50" t="s">
        <v>29</v>
      </c>
      <c r="Q50">
        <v>1</v>
      </c>
      <c r="X50">
        <v>0.7</v>
      </c>
      <c r="Y50">
        <v>7098.7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0.7</v>
      </c>
      <c r="AH50">
        <v>3</v>
      </c>
      <c r="AI50">
        <v>-1</v>
      </c>
      <c r="AJ50" t="s">
        <v>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ROW(Source!A39)</f>
        <v>39</v>
      </c>
      <c r="B51">
        <v>42279635</v>
      </c>
      <c r="C51">
        <v>42279624</v>
      </c>
      <c r="D51">
        <v>40683143</v>
      </c>
      <c r="E51">
        <v>1</v>
      </c>
      <c r="F51">
        <v>1</v>
      </c>
      <c r="G51">
        <v>27</v>
      </c>
      <c r="H51">
        <v>3</v>
      </c>
      <c r="I51" t="s">
        <v>243</v>
      </c>
      <c r="J51" t="s">
        <v>244</v>
      </c>
      <c r="K51" t="s">
        <v>245</v>
      </c>
      <c r="L51">
        <v>1339</v>
      </c>
      <c r="N51">
        <v>1007</v>
      </c>
      <c r="O51" t="s">
        <v>29</v>
      </c>
      <c r="P51" t="s">
        <v>29</v>
      </c>
      <c r="Q51">
        <v>1</v>
      </c>
      <c r="X51">
        <v>102</v>
      </c>
      <c r="Y51">
        <v>3247.23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102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ROW(Source!A39)</f>
        <v>39</v>
      </c>
      <c r="B52">
        <v>42279636</v>
      </c>
      <c r="C52">
        <v>42279624</v>
      </c>
      <c r="D52">
        <v>40685315</v>
      </c>
      <c r="E52">
        <v>1</v>
      </c>
      <c r="F52">
        <v>1</v>
      </c>
      <c r="G52">
        <v>27</v>
      </c>
      <c r="H52">
        <v>3</v>
      </c>
      <c r="I52" t="s">
        <v>246</v>
      </c>
      <c r="J52" t="s">
        <v>247</v>
      </c>
      <c r="K52" t="s">
        <v>248</v>
      </c>
      <c r="L52">
        <v>1327</v>
      </c>
      <c r="N52">
        <v>1005</v>
      </c>
      <c r="O52" t="s">
        <v>236</v>
      </c>
      <c r="P52" t="s">
        <v>236</v>
      </c>
      <c r="Q52">
        <v>1</v>
      </c>
      <c r="X52">
        <v>65.099999999999994</v>
      </c>
      <c r="Y52">
        <v>241.04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65.099999999999994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ROW(Source!A40)</f>
        <v>40</v>
      </c>
      <c r="B53">
        <v>42278385</v>
      </c>
      <c r="C53">
        <v>42274499</v>
      </c>
      <c r="D53">
        <v>40662784</v>
      </c>
      <c r="E53">
        <v>27</v>
      </c>
      <c r="F53">
        <v>1</v>
      </c>
      <c r="G53">
        <v>27</v>
      </c>
      <c r="H53">
        <v>1</v>
      </c>
      <c r="I53" t="s">
        <v>193</v>
      </c>
      <c r="J53" t="s">
        <v>3</v>
      </c>
      <c r="K53" t="s">
        <v>194</v>
      </c>
      <c r="L53">
        <v>1191</v>
      </c>
      <c r="N53">
        <v>1013</v>
      </c>
      <c r="O53" t="s">
        <v>195</v>
      </c>
      <c r="P53" t="s">
        <v>195</v>
      </c>
      <c r="Q53">
        <v>1</v>
      </c>
      <c r="X53">
        <v>227.7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3</v>
      </c>
      <c r="AG53">
        <v>227.7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ROW(Source!A40)</f>
        <v>40</v>
      </c>
      <c r="B54">
        <v>42278386</v>
      </c>
      <c r="C54">
        <v>42274499</v>
      </c>
      <c r="D54">
        <v>40683405</v>
      </c>
      <c r="E54">
        <v>1</v>
      </c>
      <c r="F54">
        <v>1</v>
      </c>
      <c r="G54">
        <v>27</v>
      </c>
      <c r="H54">
        <v>3</v>
      </c>
      <c r="I54" t="s">
        <v>50</v>
      </c>
      <c r="J54" t="s">
        <v>52</v>
      </c>
      <c r="K54" t="s">
        <v>51</v>
      </c>
      <c r="L54">
        <v>1348</v>
      </c>
      <c r="N54">
        <v>1009</v>
      </c>
      <c r="O54" t="s">
        <v>42</v>
      </c>
      <c r="P54" t="s">
        <v>42</v>
      </c>
      <c r="Q54">
        <v>1000</v>
      </c>
      <c r="X54">
        <v>1</v>
      </c>
      <c r="Y54">
        <v>53233.52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ROW(Source!A44)</f>
        <v>44</v>
      </c>
      <c r="B55">
        <v>42367259</v>
      </c>
      <c r="C55">
        <v>42367258</v>
      </c>
      <c r="D55">
        <v>40662784</v>
      </c>
      <c r="E55">
        <v>27</v>
      </c>
      <c r="F55">
        <v>1</v>
      </c>
      <c r="G55">
        <v>27</v>
      </c>
      <c r="H55">
        <v>1</v>
      </c>
      <c r="I55" t="s">
        <v>193</v>
      </c>
      <c r="J55" t="s">
        <v>3</v>
      </c>
      <c r="K55" t="s">
        <v>194</v>
      </c>
      <c r="L55">
        <v>1191</v>
      </c>
      <c r="N55">
        <v>1013</v>
      </c>
      <c r="O55" t="s">
        <v>195</v>
      </c>
      <c r="P55" t="s">
        <v>195</v>
      </c>
      <c r="Q55">
        <v>1</v>
      </c>
      <c r="X55">
        <v>221.6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1</v>
      </c>
      <c r="AF55" t="s">
        <v>3</v>
      </c>
      <c r="AG55">
        <v>221.6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ROW(Source!A45)</f>
        <v>45</v>
      </c>
      <c r="B56">
        <v>42367267</v>
      </c>
      <c r="C56">
        <v>42367260</v>
      </c>
      <c r="D56">
        <v>40662784</v>
      </c>
      <c r="E56">
        <v>27</v>
      </c>
      <c r="F56">
        <v>1</v>
      </c>
      <c r="G56">
        <v>27</v>
      </c>
      <c r="H56">
        <v>1</v>
      </c>
      <c r="I56" t="s">
        <v>193</v>
      </c>
      <c r="J56" t="s">
        <v>3</v>
      </c>
      <c r="K56" t="s">
        <v>194</v>
      </c>
      <c r="L56">
        <v>1191</v>
      </c>
      <c r="N56">
        <v>1013</v>
      </c>
      <c r="O56" t="s">
        <v>195</v>
      </c>
      <c r="P56" t="s">
        <v>195</v>
      </c>
      <c r="Q56">
        <v>1</v>
      </c>
      <c r="X56">
        <v>0.9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 t="s">
        <v>3</v>
      </c>
      <c r="AG56">
        <v>0.9</v>
      </c>
      <c r="AH56">
        <v>2</v>
      </c>
      <c r="AI56">
        <v>42367261</v>
      </c>
      <c r="AJ56">
        <v>25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ROW(Source!A45)</f>
        <v>45</v>
      </c>
      <c r="B57">
        <v>42367268</v>
      </c>
      <c r="C57">
        <v>42367260</v>
      </c>
      <c r="D57">
        <v>40679631</v>
      </c>
      <c r="E57">
        <v>1</v>
      </c>
      <c r="F57">
        <v>1</v>
      </c>
      <c r="G57">
        <v>27</v>
      </c>
      <c r="H57">
        <v>2</v>
      </c>
      <c r="I57" t="s">
        <v>196</v>
      </c>
      <c r="J57" t="s">
        <v>197</v>
      </c>
      <c r="K57" t="s">
        <v>198</v>
      </c>
      <c r="L57">
        <v>1368</v>
      </c>
      <c r="N57">
        <v>1011</v>
      </c>
      <c r="O57" t="s">
        <v>199</v>
      </c>
      <c r="P57" t="s">
        <v>199</v>
      </c>
      <c r="Q57">
        <v>1</v>
      </c>
      <c r="X57">
        <v>0.22</v>
      </c>
      <c r="Y57">
        <v>0</v>
      </c>
      <c r="Z57">
        <v>470.71</v>
      </c>
      <c r="AA57">
        <v>359.8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0.22</v>
      </c>
      <c r="AH57">
        <v>2</v>
      </c>
      <c r="AI57">
        <v>42367262</v>
      </c>
      <c r="AJ57">
        <v>26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ROW(Source!A45)</f>
        <v>45</v>
      </c>
      <c r="B58">
        <v>42367269</v>
      </c>
      <c r="C58">
        <v>42367260</v>
      </c>
      <c r="D58">
        <v>40680099</v>
      </c>
      <c r="E58">
        <v>1</v>
      </c>
      <c r="F58">
        <v>1</v>
      </c>
      <c r="G58">
        <v>27</v>
      </c>
      <c r="H58">
        <v>2</v>
      </c>
      <c r="I58" t="s">
        <v>200</v>
      </c>
      <c r="J58" t="s">
        <v>201</v>
      </c>
      <c r="K58" t="s">
        <v>202</v>
      </c>
      <c r="L58">
        <v>1368</v>
      </c>
      <c r="N58">
        <v>1011</v>
      </c>
      <c r="O58" t="s">
        <v>199</v>
      </c>
      <c r="P58" t="s">
        <v>199</v>
      </c>
      <c r="Q58">
        <v>1</v>
      </c>
      <c r="X58">
        <v>0.45</v>
      </c>
      <c r="Y58">
        <v>0</v>
      </c>
      <c r="Z58">
        <v>3.75</v>
      </c>
      <c r="AA58">
        <v>2.56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0.45</v>
      </c>
      <c r="AH58">
        <v>2</v>
      </c>
      <c r="AI58">
        <v>42367263</v>
      </c>
      <c r="AJ58">
        <v>27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ROW(Source!A45)</f>
        <v>45</v>
      </c>
      <c r="B59">
        <v>42367270</v>
      </c>
      <c r="C59">
        <v>42367260</v>
      </c>
      <c r="D59">
        <v>40679388</v>
      </c>
      <c r="E59">
        <v>1</v>
      </c>
      <c r="F59">
        <v>1</v>
      </c>
      <c r="G59">
        <v>27</v>
      </c>
      <c r="H59">
        <v>2</v>
      </c>
      <c r="I59" t="s">
        <v>203</v>
      </c>
      <c r="J59" t="s">
        <v>204</v>
      </c>
      <c r="K59" t="s">
        <v>205</v>
      </c>
      <c r="L59">
        <v>1368</v>
      </c>
      <c r="N59">
        <v>1011</v>
      </c>
      <c r="O59" t="s">
        <v>199</v>
      </c>
      <c r="P59" t="s">
        <v>199</v>
      </c>
      <c r="Q59">
        <v>1</v>
      </c>
      <c r="X59">
        <v>0.09</v>
      </c>
      <c r="Y59">
        <v>0</v>
      </c>
      <c r="Z59">
        <v>1171.51</v>
      </c>
      <c r="AA59">
        <v>487.24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0.09</v>
      </c>
      <c r="AH59">
        <v>2</v>
      </c>
      <c r="AI59">
        <v>42367264</v>
      </c>
      <c r="AJ59">
        <v>28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ROW(Source!A45)</f>
        <v>45</v>
      </c>
      <c r="B60">
        <v>42367271</v>
      </c>
      <c r="C60">
        <v>42367260</v>
      </c>
      <c r="D60">
        <v>40681432</v>
      </c>
      <c r="E60">
        <v>1</v>
      </c>
      <c r="F60">
        <v>1</v>
      </c>
      <c r="G60">
        <v>27</v>
      </c>
      <c r="H60">
        <v>3</v>
      </c>
      <c r="I60" t="s">
        <v>206</v>
      </c>
      <c r="J60" t="s">
        <v>207</v>
      </c>
      <c r="K60" t="s">
        <v>208</v>
      </c>
      <c r="L60">
        <v>1339</v>
      </c>
      <c r="N60">
        <v>1007</v>
      </c>
      <c r="O60" t="s">
        <v>29</v>
      </c>
      <c r="P60" t="s">
        <v>29</v>
      </c>
      <c r="Q60">
        <v>1</v>
      </c>
      <c r="X60">
        <v>1.1000000000000001</v>
      </c>
      <c r="Y60">
        <v>590.78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1.1000000000000001</v>
      </c>
      <c r="AH60">
        <v>2</v>
      </c>
      <c r="AI60">
        <v>42367265</v>
      </c>
      <c r="AJ60">
        <v>29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ROW(Source!A45)</f>
        <v>45</v>
      </c>
      <c r="B61">
        <v>42367272</v>
      </c>
      <c r="C61">
        <v>42367260</v>
      </c>
      <c r="D61">
        <v>40682177</v>
      </c>
      <c r="E61">
        <v>1</v>
      </c>
      <c r="F61">
        <v>1</v>
      </c>
      <c r="G61">
        <v>27</v>
      </c>
      <c r="H61">
        <v>3</v>
      </c>
      <c r="I61" t="s">
        <v>209</v>
      </c>
      <c r="J61" t="s">
        <v>210</v>
      </c>
      <c r="K61" t="s">
        <v>211</v>
      </c>
      <c r="L61">
        <v>1339</v>
      </c>
      <c r="N61">
        <v>1007</v>
      </c>
      <c r="O61" t="s">
        <v>29</v>
      </c>
      <c r="P61" t="s">
        <v>29</v>
      </c>
      <c r="Q61">
        <v>1</v>
      </c>
      <c r="X61">
        <v>0.15</v>
      </c>
      <c r="Y61">
        <v>35.25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0.15</v>
      </c>
      <c r="AH61">
        <v>2</v>
      </c>
      <c r="AI61">
        <v>42367266</v>
      </c>
      <c r="AJ61">
        <v>30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ROW(Source!A46)</f>
        <v>46</v>
      </c>
      <c r="B62">
        <v>42367280</v>
      </c>
      <c r="C62">
        <v>42367273</v>
      </c>
      <c r="D62">
        <v>40662784</v>
      </c>
      <c r="E62">
        <v>27</v>
      </c>
      <c r="F62">
        <v>1</v>
      </c>
      <c r="G62">
        <v>27</v>
      </c>
      <c r="H62">
        <v>1</v>
      </c>
      <c r="I62" t="s">
        <v>193</v>
      </c>
      <c r="J62" t="s">
        <v>3</v>
      </c>
      <c r="K62" t="s">
        <v>194</v>
      </c>
      <c r="L62">
        <v>1191</v>
      </c>
      <c r="N62">
        <v>1013</v>
      </c>
      <c r="O62" t="s">
        <v>195</v>
      </c>
      <c r="P62" t="s">
        <v>195</v>
      </c>
      <c r="Q62">
        <v>1</v>
      </c>
      <c r="X62">
        <v>0.98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 t="s">
        <v>3</v>
      </c>
      <c r="AG62">
        <v>0.98</v>
      </c>
      <c r="AH62">
        <v>2</v>
      </c>
      <c r="AI62">
        <v>42367274</v>
      </c>
      <c r="AJ62">
        <v>31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ROW(Source!A46)</f>
        <v>46</v>
      </c>
      <c r="B63">
        <v>42367281</v>
      </c>
      <c r="C63">
        <v>42367273</v>
      </c>
      <c r="D63">
        <v>40679631</v>
      </c>
      <c r="E63">
        <v>1</v>
      </c>
      <c r="F63">
        <v>1</v>
      </c>
      <c r="G63">
        <v>27</v>
      </c>
      <c r="H63">
        <v>2</v>
      </c>
      <c r="I63" t="s">
        <v>196</v>
      </c>
      <c r="J63" t="s">
        <v>197</v>
      </c>
      <c r="K63" t="s">
        <v>198</v>
      </c>
      <c r="L63">
        <v>1368</v>
      </c>
      <c r="N63">
        <v>1011</v>
      </c>
      <c r="O63" t="s">
        <v>199</v>
      </c>
      <c r="P63" t="s">
        <v>199</v>
      </c>
      <c r="Q63">
        <v>1</v>
      </c>
      <c r="X63">
        <v>0.25</v>
      </c>
      <c r="Y63">
        <v>0</v>
      </c>
      <c r="Z63">
        <v>470.71</v>
      </c>
      <c r="AA63">
        <v>359.8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0.25</v>
      </c>
      <c r="AH63">
        <v>2</v>
      </c>
      <c r="AI63">
        <v>42367275</v>
      </c>
      <c r="AJ63">
        <v>32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ROW(Source!A46)</f>
        <v>46</v>
      </c>
      <c r="B64">
        <v>42367282</v>
      </c>
      <c r="C64">
        <v>42367273</v>
      </c>
      <c r="D64">
        <v>40680099</v>
      </c>
      <c r="E64">
        <v>1</v>
      </c>
      <c r="F64">
        <v>1</v>
      </c>
      <c r="G64">
        <v>27</v>
      </c>
      <c r="H64">
        <v>2</v>
      </c>
      <c r="I64" t="s">
        <v>200</v>
      </c>
      <c r="J64" t="s">
        <v>201</v>
      </c>
      <c r="K64" t="s">
        <v>202</v>
      </c>
      <c r="L64">
        <v>1368</v>
      </c>
      <c r="N64">
        <v>1011</v>
      </c>
      <c r="O64" t="s">
        <v>199</v>
      </c>
      <c r="P64" t="s">
        <v>199</v>
      </c>
      <c r="Q64">
        <v>1</v>
      </c>
      <c r="X64">
        <v>0.5</v>
      </c>
      <c r="Y64">
        <v>0</v>
      </c>
      <c r="Z64">
        <v>3.75</v>
      </c>
      <c r="AA64">
        <v>2.56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0.5</v>
      </c>
      <c r="AH64">
        <v>2</v>
      </c>
      <c r="AI64">
        <v>42367276</v>
      </c>
      <c r="AJ64">
        <v>33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ROW(Source!A46)</f>
        <v>46</v>
      </c>
      <c r="B65">
        <v>42367283</v>
      </c>
      <c r="C65">
        <v>42367273</v>
      </c>
      <c r="D65">
        <v>40679388</v>
      </c>
      <c r="E65">
        <v>1</v>
      </c>
      <c r="F65">
        <v>1</v>
      </c>
      <c r="G65">
        <v>27</v>
      </c>
      <c r="H65">
        <v>2</v>
      </c>
      <c r="I65" t="s">
        <v>203</v>
      </c>
      <c r="J65" t="s">
        <v>204</v>
      </c>
      <c r="K65" t="s">
        <v>205</v>
      </c>
      <c r="L65">
        <v>1368</v>
      </c>
      <c r="N65">
        <v>1011</v>
      </c>
      <c r="O65" t="s">
        <v>199</v>
      </c>
      <c r="P65" t="s">
        <v>199</v>
      </c>
      <c r="Q65">
        <v>1</v>
      </c>
      <c r="X65">
        <v>0.09</v>
      </c>
      <c r="Y65">
        <v>0</v>
      </c>
      <c r="Z65">
        <v>1171.51</v>
      </c>
      <c r="AA65">
        <v>487.24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0.09</v>
      </c>
      <c r="AH65">
        <v>2</v>
      </c>
      <c r="AI65">
        <v>42367277</v>
      </c>
      <c r="AJ65">
        <v>34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ROW(Source!A46)</f>
        <v>46</v>
      </c>
      <c r="B66">
        <v>42367284</v>
      </c>
      <c r="C66">
        <v>42367273</v>
      </c>
      <c r="D66">
        <v>40681466</v>
      </c>
      <c r="E66">
        <v>1</v>
      </c>
      <c r="F66">
        <v>1</v>
      </c>
      <c r="G66">
        <v>27</v>
      </c>
      <c r="H66">
        <v>3</v>
      </c>
      <c r="I66" t="s">
        <v>212</v>
      </c>
      <c r="J66" t="s">
        <v>213</v>
      </c>
      <c r="K66" t="s">
        <v>214</v>
      </c>
      <c r="L66">
        <v>1339</v>
      </c>
      <c r="N66">
        <v>1007</v>
      </c>
      <c r="O66" t="s">
        <v>29</v>
      </c>
      <c r="P66" t="s">
        <v>29</v>
      </c>
      <c r="Q66">
        <v>1</v>
      </c>
      <c r="X66">
        <v>1.1499999999999999</v>
      </c>
      <c r="Y66">
        <v>1436.5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1.1499999999999999</v>
      </c>
      <c r="AH66">
        <v>2</v>
      </c>
      <c r="AI66">
        <v>42367278</v>
      </c>
      <c r="AJ66">
        <v>35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ROW(Source!A46)</f>
        <v>46</v>
      </c>
      <c r="B67">
        <v>42367285</v>
      </c>
      <c r="C67">
        <v>42367273</v>
      </c>
      <c r="D67">
        <v>40682177</v>
      </c>
      <c r="E67">
        <v>1</v>
      </c>
      <c r="F67">
        <v>1</v>
      </c>
      <c r="G67">
        <v>27</v>
      </c>
      <c r="H67">
        <v>3</v>
      </c>
      <c r="I67" t="s">
        <v>209</v>
      </c>
      <c r="J67" t="s">
        <v>210</v>
      </c>
      <c r="K67" t="s">
        <v>211</v>
      </c>
      <c r="L67">
        <v>1339</v>
      </c>
      <c r="N67">
        <v>1007</v>
      </c>
      <c r="O67" t="s">
        <v>29</v>
      </c>
      <c r="P67" t="s">
        <v>29</v>
      </c>
      <c r="Q67">
        <v>1</v>
      </c>
      <c r="X67">
        <v>0.15</v>
      </c>
      <c r="Y67">
        <v>35.25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0.15</v>
      </c>
      <c r="AH67">
        <v>2</v>
      </c>
      <c r="AI67">
        <v>42367279</v>
      </c>
      <c r="AJ67">
        <v>36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ROW(Source!A47)</f>
        <v>47</v>
      </c>
      <c r="B68">
        <v>42279643</v>
      </c>
      <c r="C68">
        <v>42279642</v>
      </c>
      <c r="D68">
        <v>40662784</v>
      </c>
      <c r="E68">
        <v>27</v>
      </c>
      <c r="F68">
        <v>1</v>
      </c>
      <c r="G68">
        <v>27</v>
      </c>
      <c r="H68">
        <v>1</v>
      </c>
      <c r="I68" t="s">
        <v>193</v>
      </c>
      <c r="J68" t="s">
        <v>3</v>
      </c>
      <c r="K68" t="s">
        <v>194</v>
      </c>
      <c r="L68">
        <v>1191</v>
      </c>
      <c r="N68">
        <v>1013</v>
      </c>
      <c r="O68" t="s">
        <v>195</v>
      </c>
      <c r="P68" t="s">
        <v>195</v>
      </c>
      <c r="Q68">
        <v>1</v>
      </c>
      <c r="X68">
        <v>563.5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</v>
      </c>
      <c r="AF68" t="s">
        <v>3</v>
      </c>
      <c r="AG68">
        <v>563.5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ROW(Source!A47)</f>
        <v>47</v>
      </c>
      <c r="B69">
        <v>42279644</v>
      </c>
      <c r="C69">
        <v>42279642</v>
      </c>
      <c r="D69">
        <v>40680122</v>
      </c>
      <c r="E69">
        <v>1</v>
      </c>
      <c r="F69">
        <v>1</v>
      </c>
      <c r="G69">
        <v>27</v>
      </c>
      <c r="H69">
        <v>2</v>
      </c>
      <c r="I69" t="s">
        <v>218</v>
      </c>
      <c r="J69" t="s">
        <v>219</v>
      </c>
      <c r="K69" t="s">
        <v>220</v>
      </c>
      <c r="L69">
        <v>1368</v>
      </c>
      <c r="N69">
        <v>1011</v>
      </c>
      <c r="O69" t="s">
        <v>199</v>
      </c>
      <c r="P69" t="s">
        <v>199</v>
      </c>
      <c r="Q69">
        <v>1</v>
      </c>
      <c r="X69">
        <v>1.08</v>
      </c>
      <c r="Y69">
        <v>0</v>
      </c>
      <c r="Z69">
        <v>3.67</v>
      </c>
      <c r="AA69">
        <v>0.01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1.08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ROW(Source!A47)</f>
        <v>47</v>
      </c>
      <c r="B70">
        <v>42279645</v>
      </c>
      <c r="C70">
        <v>42279642</v>
      </c>
      <c r="D70">
        <v>40679392</v>
      </c>
      <c r="E70">
        <v>1</v>
      </c>
      <c r="F70">
        <v>1</v>
      </c>
      <c r="G70">
        <v>27</v>
      </c>
      <c r="H70">
        <v>2</v>
      </c>
      <c r="I70" t="s">
        <v>221</v>
      </c>
      <c r="J70" t="s">
        <v>222</v>
      </c>
      <c r="K70" t="s">
        <v>223</v>
      </c>
      <c r="L70">
        <v>1368</v>
      </c>
      <c r="N70">
        <v>1011</v>
      </c>
      <c r="O70" t="s">
        <v>199</v>
      </c>
      <c r="P70" t="s">
        <v>199</v>
      </c>
      <c r="Q70">
        <v>1</v>
      </c>
      <c r="X70">
        <v>0.31</v>
      </c>
      <c r="Y70">
        <v>0</v>
      </c>
      <c r="Z70">
        <v>683.9</v>
      </c>
      <c r="AA70">
        <v>371.27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0.31</v>
      </c>
      <c r="AH70">
        <v>3</v>
      </c>
      <c r="AI70">
        <v>-1</v>
      </c>
      <c r="AJ70" t="s">
        <v>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ROW(Source!A47)</f>
        <v>47</v>
      </c>
      <c r="B71">
        <v>42279646</v>
      </c>
      <c r="C71">
        <v>42279642</v>
      </c>
      <c r="D71">
        <v>40679562</v>
      </c>
      <c r="E71">
        <v>1</v>
      </c>
      <c r="F71">
        <v>1</v>
      </c>
      <c r="G71">
        <v>27</v>
      </c>
      <c r="H71">
        <v>2</v>
      </c>
      <c r="I71" t="s">
        <v>224</v>
      </c>
      <c r="J71" t="s">
        <v>225</v>
      </c>
      <c r="K71" t="s">
        <v>226</v>
      </c>
      <c r="L71">
        <v>1368</v>
      </c>
      <c r="N71">
        <v>1011</v>
      </c>
      <c r="O71" t="s">
        <v>199</v>
      </c>
      <c r="P71" t="s">
        <v>199</v>
      </c>
      <c r="Q71">
        <v>1</v>
      </c>
      <c r="X71">
        <v>30.62</v>
      </c>
      <c r="Y71">
        <v>0</v>
      </c>
      <c r="Z71">
        <v>10.82</v>
      </c>
      <c r="AA71">
        <v>2.97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30.62</v>
      </c>
      <c r="AH71">
        <v>3</v>
      </c>
      <c r="AI71">
        <v>-1</v>
      </c>
      <c r="AJ71" t="s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ROW(Source!A47)</f>
        <v>47</v>
      </c>
      <c r="B72">
        <v>42279647</v>
      </c>
      <c r="C72">
        <v>42279642</v>
      </c>
      <c r="D72">
        <v>40680932</v>
      </c>
      <c r="E72">
        <v>1</v>
      </c>
      <c r="F72">
        <v>1</v>
      </c>
      <c r="G72">
        <v>27</v>
      </c>
      <c r="H72">
        <v>3</v>
      </c>
      <c r="I72" t="s">
        <v>227</v>
      </c>
      <c r="J72" t="s">
        <v>228</v>
      </c>
      <c r="K72" t="s">
        <v>229</v>
      </c>
      <c r="L72">
        <v>1348</v>
      </c>
      <c r="N72">
        <v>1009</v>
      </c>
      <c r="O72" t="s">
        <v>42</v>
      </c>
      <c r="P72" t="s">
        <v>42</v>
      </c>
      <c r="Q72">
        <v>1000</v>
      </c>
      <c r="X72">
        <v>7.6200000000000004E-2</v>
      </c>
      <c r="Y72">
        <v>32318.55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7.6200000000000004E-2</v>
      </c>
      <c r="AH72">
        <v>3</v>
      </c>
      <c r="AI72">
        <v>-1</v>
      </c>
      <c r="AJ72" t="s">
        <v>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ROW(Source!A47)</f>
        <v>47</v>
      </c>
      <c r="B73">
        <v>42279648</v>
      </c>
      <c r="C73">
        <v>42279642</v>
      </c>
      <c r="D73">
        <v>40681252</v>
      </c>
      <c r="E73">
        <v>1</v>
      </c>
      <c r="F73">
        <v>1</v>
      </c>
      <c r="G73">
        <v>27</v>
      </c>
      <c r="H73">
        <v>3</v>
      </c>
      <c r="I73" t="s">
        <v>230</v>
      </c>
      <c r="J73" t="s">
        <v>231</v>
      </c>
      <c r="K73" t="s">
        <v>232</v>
      </c>
      <c r="L73">
        <v>1348</v>
      </c>
      <c r="N73">
        <v>1009</v>
      </c>
      <c r="O73" t="s">
        <v>42</v>
      </c>
      <c r="P73" t="s">
        <v>42</v>
      </c>
      <c r="Q73">
        <v>1000</v>
      </c>
      <c r="X73">
        <v>0.03</v>
      </c>
      <c r="Y73">
        <v>49736.04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0.03</v>
      </c>
      <c r="AH73">
        <v>3</v>
      </c>
      <c r="AI73">
        <v>-1</v>
      </c>
      <c r="AJ73" t="s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ROW(Source!A47)</f>
        <v>47</v>
      </c>
      <c r="B74">
        <v>42279650</v>
      </c>
      <c r="C74">
        <v>42279642</v>
      </c>
      <c r="D74">
        <v>40682000</v>
      </c>
      <c r="E74">
        <v>1</v>
      </c>
      <c r="F74">
        <v>1</v>
      </c>
      <c r="G74">
        <v>27</v>
      </c>
      <c r="H74">
        <v>3</v>
      </c>
      <c r="I74" t="s">
        <v>233</v>
      </c>
      <c r="J74" t="s">
        <v>234</v>
      </c>
      <c r="K74" t="s">
        <v>235</v>
      </c>
      <c r="L74">
        <v>1327</v>
      </c>
      <c r="N74">
        <v>1005</v>
      </c>
      <c r="O74" t="s">
        <v>236</v>
      </c>
      <c r="P74" t="s">
        <v>236</v>
      </c>
      <c r="Q74">
        <v>1</v>
      </c>
      <c r="X74">
        <v>75</v>
      </c>
      <c r="Y74">
        <v>91.89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75</v>
      </c>
      <c r="AH74">
        <v>3</v>
      </c>
      <c r="AI74">
        <v>-1</v>
      </c>
      <c r="AJ74" t="s">
        <v>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ROW(Source!A47)</f>
        <v>47</v>
      </c>
      <c r="B75">
        <v>42279649</v>
      </c>
      <c r="C75">
        <v>42279642</v>
      </c>
      <c r="D75">
        <v>40680371</v>
      </c>
      <c r="E75">
        <v>1</v>
      </c>
      <c r="F75">
        <v>1</v>
      </c>
      <c r="G75">
        <v>27</v>
      </c>
      <c r="H75">
        <v>3</v>
      </c>
      <c r="I75" t="s">
        <v>237</v>
      </c>
      <c r="J75" t="s">
        <v>238</v>
      </c>
      <c r="K75" t="s">
        <v>239</v>
      </c>
      <c r="L75">
        <v>1348</v>
      </c>
      <c r="N75">
        <v>1009</v>
      </c>
      <c r="O75" t="s">
        <v>42</v>
      </c>
      <c r="P75" t="s">
        <v>42</v>
      </c>
      <c r="Q75">
        <v>1000</v>
      </c>
      <c r="X75">
        <v>8.2000000000000003E-2</v>
      </c>
      <c r="Y75">
        <v>4752.34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8.2000000000000003E-2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ROW(Source!A47)</f>
        <v>47</v>
      </c>
      <c r="B76">
        <v>42279651</v>
      </c>
      <c r="C76">
        <v>42279642</v>
      </c>
      <c r="D76">
        <v>40682177</v>
      </c>
      <c r="E76">
        <v>1</v>
      </c>
      <c r="F76">
        <v>1</v>
      </c>
      <c r="G76">
        <v>27</v>
      </c>
      <c r="H76">
        <v>3</v>
      </c>
      <c r="I76" t="s">
        <v>209</v>
      </c>
      <c r="J76" t="s">
        <v>210</v>
      </c>
      <c r="K76" t="s">
        <v>211</v>
      </c>
      <c r="L76">
        <v>1339</v>
      </c>
      <c r="N76">
        <v>1007</v>
      </c>
      <c r="O76" t="s">
        <v>29</v>
      </c>
      <c r="P76" t="s">
        <v>29</v>
      </c>
      <c r="Q76">
        <v>1</v>
      </c>
      <c r="X76">
        <v>0.42399999999999999</v>
      </c>
      <c r="Y76">
        <v>35.25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0.42399999999999999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ROW(Source!A47)</f>
        <v>47</v>
      </c>
      <c r="B77">
        <v>42279652</v>
      </c>
      <c r="C77">
        <v>42279642</v>
      </c>
      <c r="D77">
        <v>40680879</v>
      </c>
      <c r="E77">
        <v>1</v>
      </c>
      <c r="F77">
        <v>1</v>
      </c>
      <c r="G77">
        <v>27</v>
      </c>
      <c r="H77">
        <v>3</v>
      </c>
      <c r="I77" t="s">
        <v>240</v>
      </c>
      <c r="J77" t="s">
        <v>241</v>
      </c>
      <c r="K77" t="s">
        <v>242</v>
      </c>
      <c r="L77">
        <v>1339</v>
      </c>
      <c r="N77">
        <v>1007</v>
      </c>
      <c r="O77" t="s">
        <v>29</v>
      </c>
      <c r="P77" t="s">
        <v>29</v>
      </c>
      <c r="Q77">
        <v>1</v>
      </c>
      <c r="X77">
        <v>0.7</v>
      </c>
      <c r="Y77">
        <v>7098.7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0.7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ROW(Source!A47)</f>
        <v>47</v>
      </c>
      <c r="B78">
        <v>42279653</v>
      </c>
      <c r="C78">
        <v>42279642</v>
      </c>
      <c r="D78">
        <v>40683143</v>
      </c>
      <c r="E78">
        <v>1</v>
      </c>
      <c r="F78">
        <v>1</v>
      </c>
      <c r="G78">
        <v>27</v>
      </c>
      <c r="H78">
        <v>3</v>
      </c>
      <c r="I78" t="s">
        <v>243</v>
      </c>
      <c r="J78" t="s">
        <v>244</v>
      </c>
      <c r="K78" t="s">
        <v>245</v>
      </c>
      <c r="L78">
        <v>1339</v>
      </c>
      <c r="N78">
        <v>1007</v>
      </c>
      <c r="O78" t="s">
        <v>29</v>
      </c>
      <c r="P78" t="s">
        <v>29</v>
      </c>
      <c r="Q78">
        <v>1</v>
      </c>
      <c r="X78">
        <v>102</v>
      </c>
      <c r="Y78">
        <v>3247.23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102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ROW(Source!A47)</f>
        <v>47</v>
      </c>
      <c r="B79">
        <v>42279654</v>
      </c>
      <c r="C79">
        <v>42279642</v>
      </c>
      <c r="D79">
        <v>40685315</v>
      </c>
      <c r="E79">
        <v>1</v>
      </c>
      <c r="F79">
        <v>1</v>
      </c>
      <c r="G79">
        <v>27</v>
      </c>
      <c r="H79">
        <v>3</v>
      </c>
      <c r="I79" t="s">
        <v>246</v>
      </c>
      <c r="J79" t="s">
        <v>247</v>
      </c>
      <c r="K79" t="s">
        <v>248</v>
      </c>
      <c r="L79">
        <v>1327</v>
      </c>
      <c r="N79">
        <v>1005</v>
      </c>
      <c r="O79" t="s">
        <v>236</v>
      </c>
      <c r="P79" t="s">
        <v>236</v>
      </c>
      <c r="Q79">
        <v>1</v>
      </c>
      <c r="X79">
        <v>65.099999999999994</v>
      </c>
      <c r="Y79">
        <v>241.04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65.099999999999994</v>
      </c>
      <c r="AH79">
        <v>3</v>
      </c>
      <c r="AI79">
        <v>-1</v>
      </c>
      <c r="AJ79" t="s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ROW(Source!A48)</f>
        <v>48</v>
      </c>
      <c r="B80">
        <v>42279656</v>
      </c>
      <c r="C80">
        <v>42279655</v>
      </c>
      <c r="D80">
        <v>40662784</v>
      </c>
      <c r="E80">
        <v>27</v>
      </c>
      <c r="F80">
        <v>1</v>
      </c>
      <c r="G80">
        <v>27</v>
      </c>
      <c r="H80">
        <v>1</v>
      </c>
      <c r="I80" t="s">
        <v>193</v>
      </c>
      <c r="J80" t="s">
        <v>3</v>
      </c>
      <c r="K80" t="s">
        <v>194</v>
      </c>
      <c r="L80">
        <v>1191</v>
      </c>
      <c r="N80">
        <v>1013</v>
      </c>
      <c r="O80" t="s">
        <v>195</v>
      </c>
      <c r="P80" t="s">
        <v>195</v>
      </c>
      <c r="Q80">
        <v>1</v>
      </c>
      <c r="X80">
        <v>227.7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 t="s">
        <v>3</v>
      </c>
      <c r="AG80">
        <v>227.7</v>
      </c>
      <c r="AH80">
        <v>3</v>
      </c>
      <c r="AI80">
        <v>-1</v>
      </c>
      <c r="AJ80" t="s">
        <v>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ROW(Source!A48)</f>
        <v>48</v>
      </c>
      <c r="B81">
        <v>42279657</v>
      </c>
      <c r="C81">
        <v>42279655</v>
      </c>
      <c r="D81">
        <v>40683405</v>
      </c>
      <c r="E81">
        <v>1</v>
      </c>
      <c r="F81">
        <v>1</v>
      </c>
      <c r="G81">
        <v>27</v>
      </c>
      <c r="H81">
        <v>3</v>
      </c>
      <c r="I81" t="s">
        <v>50</v>
      </c>
      <c r="J81" t="s">
        <v>52</v>
      </c>
      <c r="K81" t="s">
        <v>51</v>
      </c>
      <c r="L81">
        <v>1348</v>
      </c>
      <c r="N81">
        <v>1009</v>
      </c>
      <c r="O81" t="s">
        <v>42</v>
      </c>
      <c r="P81" t="s">
        <v>42</v>
      </c>
      <c r="Q81">
        <v>1000</v>
      </c>
      <c r="X81">
        <v>1</v>
      </c>
      <c r="Y81">
        <v>53233.52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</v>
      </c>
      <c r="AH81">
        <v>2</v>
      </c>
      <c r="AI81">
        <v>42279661</v>
      </c>
      <c r="AJ81">
        <v>37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ROW(Source!A52)</f>
        <v>52</v>
      </c>
      <c r="B82">
        <v>42367287</v>
      </c>
      <c r="C82">
        <v>42367286</v>
      </c>
      <c r="D82">
        <v>40662784</v>
      </c>
      <c r="E82">
        <v>27</v>
      </c>
      <c r="F82">
        <v>1</v>
      </c>
      <c r="G82">
        <v>27</v>
      </c>
      <c r="H82">
        <v>1</v>
      </c>
      <c r="I82" t="s">
        <v>193</v>
      </c>
      <c r="J82" t="s">
        <v>3</v>
      </c>
      <c r="K82" t="s">
        <v>194</v>
      </c>
      <c r="L82">
        <v>1191</v>
      </c>
      <c r="N82">
        <v>1013</v>
      </c>
      <c r="O82" t="s">
        <v>195</v>
      </c>
      <c r="P82" t="s">
        <v>195</v>
      </c>
      <c r="Q82">
        <v>1</v>
      </c>
      <c r="X82">
        <v>221.6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F82" t="s">
        <v>3</v>
      </c>
      <c r="AG82">
        <v>221.6</v>
      </c>
      <c r="AH82">
        <v>3</v>
      </c>
      <c r="AI82">
        <v>-1</v>
      </c>
      <c r="AJ82" t="s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ROW(Source!A53)</f>
        <v>53</v>
      </c>
      <c r="B83">
        <v>42367295</v>
      </c>
      <c r="C83">
        <v>42367288</v>
      </c>
      <c r="D83">
        <v>40662784</v>
      </c>
      <c r="E83">
        <v>27</v>
      </c>
      <c r="F83">
        <v>1</v>
      </c>
      <c r="G83">
        <v>27</v>
      </c>
      <c r="H83">
        <v>1</v>
      </c>
      <c r="I83" t="s">
        <v>193</v>
      </c>
      <c r="J83" t="s">
        <v>3</v>
      </c>
      <c r="K83" t="s">
        <v>194</v>
      </c>
      <c r="L83">
        <v>1191</v>
      </c>
      <c r="N83">
        <v>1013</v>
      </c>
      <c r="O83" t="s">
        <v>195</v>
      </c>
      <c r="P83" t="s">
        <v>195</v>
      </c>
      <c r="Q83">
        <v>1</v>
      </c>
      <c r="X83">
        <v>0.9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1</v>
      </c>
      <c r="AF83" t="s">
        <v>3</v>
      </c>
      <c r="AG83">
        <v>0.9</v>
      </c>
      <c r="AH83">
        <v>2</v>
      </c>
      <c r="AI83">
        <v>42367289</v>
      </c>
      <c r="AJ83">
        <v>39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ROW(Source!A53)</f>
        <v>53</v>
      </c>
      <c r="B84">
        <v>42367296</v>
      </c>
      <c r="C84">
        <v>42367288</v>
      </c>
      <c r="D84">
        <v>40679631</v>
      </c>
      <c r="E84">
        <v>1</v>
      </c>
      <c r="F84">
        <v>1</v>
      </c>
      <c r="G84">
        <v>27</v>
      </c>
      <c r="H84">
        <v>2</v>
      </c>
      <c r="I84" t="s">
        <v>196</v>
      </c>
      <c r="J84" t="s">
        <v>197</v>
      </c>
      <c r="K84" t="s">
        <v>198</v>
      </c>
      <c r="L84">
        <v>1368</v>
      </c>
      <c r="N84">
        <v>1011</v>
      </c>
      <c r="O84" t="s">
        <v>199</v>
      </c>
      <c r="P84" t="s">
        <v>199</v>
      </c>
      <c r="Q84">
        <v>1</v>
      </c>
      <c r="X84">
        <v>0.22</v>
      </c>
      <c r="Y84">
        <v>0</v>
      </c>
      <c r="Z84">
        <v>470.71</v>
      </c>
      <c r="AA84">
        <v>359.8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0.22</v>
      </c>
      <c r="AH84">
        <v>2</v>
      </c>
      <c r="AI84">
        <v>42367290</v>
      </c>
      <c r="AJ84">
        <v>40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ROW(Source!A53)</f>
        <v>53</v>
      </c>
      <c r="B85">
        <v>42367297</v>
      </c>
      <c r="C85">
        <v>42367288</v>
      </c>
      <c r="D85">
        <v>40680099</v>
      </c>
      <c r="E85">
        <v>1</v>
      </c>
      <c r="F85">
        <v>1</v>
      </c>
      <c r="G85">
        <v>27</v>
      </c>
      <c r="H85">
        <v>2</v>
      </c>
      <c r="I85" t="s">
        <v>200</v>
      </c>
      <c r="J85" t="s">
        <v>201</v>
      </c>
      <c r="K85" t="s">
        <v>202</v>
      </c>
      <c r="L85">
        <v>1368</v>
      </c>
      <c r="N85">
        <v>1011</v>
      </c>
      <c r="O85" t="s">
        <v>199</v>
      </c>
      <c r="P85" t="s">
        <v>199</v>
      </c>
      <c r="Q85">
        <v>1</v>
      </c>
      <c r="X85">
        <v>0.45</v>
      </c>
      <c r="Y85">
        <v>0</v>
      </c>
      <c r="Z85">
        <v>3.75</v>
      </c>
      <c r="AA85">
        <v>2.56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0.45</v>
      </c>
      <c r="AH85">
        <v>2</v>
      </c>
      <c r="AI85">
        <v>42367291</v>
      </c>
      <c r="AJ85">
        <v>41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ROW(Source!A53)</f>
        <v>53</v>
      </c>
      <c r="B86">
        <v>42367298</v>
      </c>
      <c r="C86">
        <v>42367288</v>
      </c>
      <c r="D86">
        <v>40679388</v>
      </c>
      <c r="E86">
        <v>1</v>
      </c>
      <c r="F86">
        <v>1</v>
      </c>
      <c r="G86">
        <v>27</v>
      </c>
      <c r="H86">
        <v>2</v>
      </c>
      <c r="I86" t="s">
        <v>203</v>
      </c>
      <c r="J86" t="s">
        <v>204</v>
      </c>
      <c r="K86" t="s">
        <v>205</v>
      </c>
      <c r="L86">
        <v>1368</v>
      </c>
      <c r="N86">
        <v>1011</v>
      </c>
      <c r="O86" t="s">
        <v>199</v>
      </c>
      <c r="P86" t="s">
        <v>199</v>
      </c>
      <c r="Q86">
        <v>1</v>
      </c>
      <c r="X86">
        <v>0.09</v>
      </c>
      <c r="Y86">
        <v>0</v>
      </c>
      <c r="Z86">
        <v>1171.51</v>
      </c>
      <c r="AA86">
        <v>487.24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0.09</v>
      </c>
      <c r="AH86">
        <v>2</v>
      </c>
      <c r="AI86">
        <v>42367292</v>
      </c>
      <c r="AJ86">
        <v>42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ROW(Source!A53)</f>
        <v>53</v>
      </c>
      <c r="B87">
        <v>42367299</v>
      </c>
      <c r="C87">
        <v>42367288</v>
      </c>
      <c r="D87">
        <v>40681432</v>
      </c>
      <c r="E87">
        <v>1</v>
      </c>
      <c r="F87">
        <v>1</v>
      </c>
      <c r="G87">
        <v>27</v>
      </c>
      <c r="H87">
        <v>3</v>
      </c>
      <c r="I87" t="s">
        <v>206</v>
      </c>
      <c r="J87" t="s">
        <v>207</v>
      </c>
      <c r="K87" t="s">
        <v>208</v>
      </c>
      <c r="L87">
        <v>1339</v>
      </c>
      <c r="N87">
        <v>1007</v>
      </c>
      <c r="O87" t="s">
        <v>29</v>
      </c>
      <c r="P87" t="s">
        <v>29</v>
      </c>
      <c r="Q87">
        <v>1</v>
      </c>
      <c r="X87">
        <v>1.1000000000000001</v>
      </c>
      <c r="Y87">
        <v>590.78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1.1000000000000001</v>
      </c>
      <c r="AH87">
        <v>2</v>
      </c>
      <c r="AI87">
        <v>42367293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ROW(Source!A53)</f>
        <v>53</v>
      </c>
      <c r="B88">
        <v>42367300</v>
      </c>
      <c r="C88">
        <v>42367288</v>
      </c>
      <c r="D88">
        <v>40682177</v>
      </c>
      <c r="E88">
        <v>1</v>
      </c>
      <c r="F88">
        <v>1</v>
      </c>
      <c r="G88">
        <v>27</v>
      </c>
      <c r="H88">
        <v>3</v>
      </c>
      <c r="I88" t="s">
        <v>209</v>
      </c>
      <c r="J88" t="s">
        <v>210</v>
      </c>
      <c r="K88" t="s">
        <v>211</v>
      </c>
      <c r="L88">
        <v>1339</v>
      </c>
      <c r="N88">
        <v>1007</v>
      </c>
      <c r="O88" t="s">
        <v>29</v>
      </c>
      <c r="P88" t="s">
        <v>29</v>
      </c>
      <c r="Q88">
        <v>1</v>
      </c>
      <c r="X88">
        <v>0.15</v>
      </c>
      <c r="Y88">
        <v>35.25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0.15</v>
      </c>
      <c r="AH88">
        <v>2</v>
      </c>
      <c r="AI88">
        <v>42367294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ROW(Source!A54)</f>
        <v>54</v>
      </c>
      <c r="B89">
        <v>42367308</v>
      </c>
      <c r="C89">
        <v>42367301</v>
      </c>
      <c r="D89">
        <v>40662784</v>
      </c>
      <c r="E89">
        <v>27</v>
      </c>
      <c r="F89">
        <v>1</v>
      </c>
      <c r="G89">
        <v>27</v>
      </c>
      <c r="H89">
        <v>1</v>
      </c>
      <c r="I89" t="s">
        <v>193</v>
      </c>
      <c r="J89" t="s">
        <v>3</v>
      </c>
      <c r="K89" t="s">
        <v>194</v>
      </c>
      <c r="L89">
        <v>1191</v>
      </c>
      <c r="N89">
        <v>1013</v>
      </c>
      <c r="O89" t="s">
        <v>195</v>
      </c>
      <c r="P89" t="s">
        <v>195</v>
      </c>
      <c r="Q89">
        <v>1</v>
      </c>
      <c r="X89">
        <v>0.98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 t="s">
        <v>3</v>
      </c>
      <c r="AG89">
        <v>0.98</v>
      </c>
      <c r="AH89">
        <v>2</v>
      </c>
      <c r="AI89">
        <v>42367302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ROW(Source!A54)</f>
        <v>54</v>
      </c>
      <c r="B90">
        <v>42367309</v>
      </c>
      <c r="C90">
        <v>42367301</v>
      </c>
      <c r="D90">
        <v>40679631</v>
      </c>
      <c r="E90">
        <v>1</v>
      </c>
      <c r="F90">
        <v>1</v>
      </c>
      <c r="G90">
        <v>27</v>
      </c>
      <c r="H90">
        <v>2</v>
      </c>
      <c r="I90" t="s">
        <v>196</v>
      </c>
      <c r="J90" t="s">
        <v>197</v>
      </c>
      <c r="K90" t="s">
        <v>198</v>
      </c>
      <c r="L90">
        <v>1368</v>
      </c>
      <c r="N90">
        <v>1011</v>
      </c>
      <c r="O90" t="s">
        <v>199</v>
      </c>
      <c r="P90" t="s">
        <v>199</v>
      </c>
      <c r="Q90">
        <v>1</v>
      </c>
      <c r="X90">
        <v>0.25</v>
      </c>
      <c r="Y90">
        <v>0</v>
      </c>
      <c r="Z90">
        <v>470.71</v>
      </c>
      <c r="AA90">
        <v>359.8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0.25</v>
      </c>
      <c r="AH90">
        <v>2</v>
      </c>
      <c r="AI90">
        <v>42367303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ROW(Source!A54)</f>
        <v>54</v>
      </c>
      <c r="B91">
        <v>42367310</v>
      </c>
      <c r="C91">
        <v>42367301</v>
      </c>
      <c r="D91">
        <v>40680099</v>
      </c>
      <c r="E91">
        <v>1</v>
      </c>
      <c r="F91">
        <v>1</v>
      </c>
      <c r="G91">
        <v>27</v>
      </c>
      <c r="H91">
        <v>2</v>
      </c>
      <c r="I91" t="s">
        <v>200</v>
      </c>
      <c r="J91" t="s">
        <v>201</v>
      </c>
      <c r="K91" t="s">
        <v>202</v>
      </c>
      <c r="L91">
        <v>1368</v>
      </c>
      <c r="N91">
        <v>1011</v>
      </c>
      <c r="O91" t="s">
        <v>199</v>
      </c>
      <c r="P91" t="s">
        <v>199</v>
      </c>
      <c r="Q91">
        <v>1</v>
      </c>
      <c r="X91">
        <v>0.5</v>
      </c>
      <c r="Y91">
        <v>0</v>
      </c>
      <c r="Z91">
        <v>3.75</v>
      </c>
      <c r="AA91">
        <v>2.56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0.5</v>
      </c>
      <c r="AH91">
        <v>2</v>
      </c>
      <c r="AI91">
        <v>42367304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ROW(Source!A54)</f>
        <v>54</v>
      </c>
      <c r="B92">
        <v>42367311</v>
      </c>
      <c r="C92">
        <v>42367301</v>
      </c>
      <c r="D92">
        <v>40679388</v>
      </c>
      <c r="E92">
        <v>1</v>
      </c>
      <c r="F92">
        <v>1</v>
      </c>
      <c r="G92">
        <v>27</v>
      </c>
      <c r="H92">
        <v>2</v>
      </c>
      <c r="I92" t="s">
        <v>203</v>
      </c>
      <c r="J92" t="s">
        <v>204</v>
      </c>
      <c r="K92" t="s">
        <v>205</v>
      </c>
      <c r="L92">
        <v>1368</v>
      </c>
      <c r="N92">
        <v>1011</v>
      </c>
      <c r="O92" t="s">
        <v>199</v>
      </c>
      <c r="P92" t="s">
        <v>199</v>
      </c>
      <c r="Q92">
        <v>1</v>
      </c>
      <c r="X92">
        <v>0.09</v>
      </c>
      <c r="Y92">
        <v>0</v>
      </c>
      <c r="Z92">
        <v>1171.51</v>
      </c>
      <c r="AA92">
        <v>487.24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0.09</v>
      </c>
      <c r="AH92">
        <v>2</v>
      </c>
      <c r="AI92">
        <v>42367305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ROW(Source!A54)</f>
        <v>54</v>
      </c>
      <c r="B93">
        <v>42367312</v>
      </c>
      <c r="C93">
        <v>42367301</v>
      </c>
      <c r="D93">
        <v>40681466</v>
      </c>
      <c r="E93">
        <v>1</v>
      </c>
      <c r="F93">
        <v>1</v>
      </c>
      <c r="G93">
        <v>27</v>
      </c>
      <c r="H93">
        <v>3</v>
      </c>
      <c r="I93" t="s">
        <v>212</v>
      </c>
      <c r="J93" t="s">
        <v>213</v>
      </c>
      <c r="K93" t="s">
        <v>214</v>
      </c>
      <c r="L93">
        <v>1339</v>
      </c>
      <c r="N93">
        <v>1007</v>
      </c>
      <c r="O93" t="s">
        <v>29</v>
      </c>
      <c r="P93" t="s">
        <v>29</v>
      </c>
      <c r="Q93">
        <v>1</v>
      </c>
      <c r="X93">
        <v>1.1499999999999999</v>
      </c>
      <c r="Y93">
        <v>1436.5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1.1499999999999999</v>
      </c>
      <c r="AH93">
        <v>2</v>
      </c>
      <c r="AI93">
        <v>42367306</v>
      </c>
      <c r="AJ93">
        <v>49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ROW(Source!A54)</f>
        <v>54</v>
      </c>
      <c r="B94">
        <v>42367313</v>
      </c>
      <c r="C94">
        <v>42367301</v>
      </c>
      <c r="D94">
        <v>40682177</v>
      </c>
      <c r="E94">
        <v>1</v>
      </c>
      <c r="F94">
        <v>1</v>
      </c>
      <c r="G94">
        <v>27</v>
      </c>
      <c r="H94">
        <v>3</v>
      </c>
      <c r="I94" t="s">
        <v>209</v>
      </c>
      <c r="J94" t="s">
        <v>210</v>
      </c>
      <c r="K94" t="s">
        <v>211</v>
      </c>
      <c r="L94">
        <v>1339</v>
      </c>
      <c r="N94">
        <v>1007</v>
      </c>
      <c r="O94" t="s">
        <v>29</v>
      </c>
      <c r="P94" t="s">
        <v>29</v>
      </c>
      <c r="Q94">
        <v>1</v>
      </c>
      <c r="X94">
        <v>0.15</v>
      </c>
      <c r="Y94">
        <v>35.25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0.15</v>
      </c>
      <c r="AH94">
        <v>2</v>
      </c>
      <c r="AI94">
        <v>42367307</v>
      </c>
      <c r="AJ94">
        <v>50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ROW(Source!A55)</f>
        <v>55</v>
      </c>
      <c r="B95">
        <v>42279668</v>
      </c>
      <c r="C95">
        <v>42279667</v>
      </c>
      <c r="D95">
        <v>40662784</v>
      </c>
      <c r="E95">
        <v>27</v>
      </c>
      <c r="F95">
        <v>1</v>
      </c>
      <c r="G95">
        <v>27</v>
      </c>
      <c r="H95">
        <v>1</v>
      </c>
      <c r="I95" t="s">
        <v>193</v>
      </c>
      <c r="J95" t="s">
        <v>3</v>
      </c>
      <c r="K95" t="s">
        <v>194</v>
      </c>
      <c r="L95">
        <v>1191</v>
      </c>
      <c r="N95">
        <v>1013</v>
      </c>
      <c r="O95" t="s">
        <v>195</v>
      </c>
      <c r="P95" t="s">
        <v>195</v>
      </c>
      <c r="Q95">
        <v>1</v>
      </c>
      <c r="X95">
        <v>563.5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 t="s">
        <v>3</v>
      </c>
      <c r="AG95">
        <v>563.5</v>
      </c>
      <c r="AH95">
        <v>3</v>
      </c>
      <c r="AI95">
        <v>-1</v>
      </c>
      <c r="AJ95" t="s">
        <v>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ROW(Source!A55)</f>
        <v>55</v>
      </c>
      <c r="B96">
        <v>42279669</v>
      </c>
      <c r="C96">
        <v>42279667</v>
      </c>
      <c r="D96">
        <v>40680122</v>
      </c>
      <c r="E96">
        <v>1</v>
      </c>
      <c r="F96">
        <v>1</v>
      </c>
      <c r="G96">
        <v>27</v>
      </c>
      <c r="H96">
        <v>2</v>
      </c>
      <c r="I96" t="s">
        <v>218</v>
      </c>
      <c r="J96" t="s">
        <v>219</v>
      </c>
      <c r="K96" t="s">
        <v>220</v>
      </c>
      <c r="L96">
        <v>1368</v>
      </c>
      <c r="N96">
        <v>1011</v>
      </c>
      <c r="O96" t="s">
        <v>199</v>
      </c>
      <c r="P96" t="s">
        <v>199</v>
      </c>
      <c r="Q96">
        <v>1</v>
      </c>
      <c r="X96">
        <v>1.08</v>
      </c>
      <c r="Y96">
        <v>0</v>
      </c>
      <c r="Z96">
        <v>3.67</v>
      </c>
      <c r="AA96">
        <v>0.01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1.08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ROW(Source!A55)</f>
        <v>55</v>
      </c>
      <c r="B97">
        <v>42279670</v>
      </c>
      <c r="C97">
        <v>42279667</v>
      </c>
      <c r="D97">
        <v>40679392</v>
      </c>
      <c r="E97">
        <v>1</v>
      </c>
      <c r="F97">
        <v>1</v>
      </c>
      <c r="G97">
        <v>27</v>
      </c>
      <c r="H97">
        <v>2</v>
      </c>
      <c r="I97" t="s">
        <v>221</v>
      </c>
      <c r="J97" t="s">
        <v>222</v>
      </c>
      <c r="K97" t="s">
        <v>223</v>
      </c>
      <c r="L97">
        <v>1368</v>
      </c>
      <c r="N97">
        <v>1011</v>
      </c>
      <c r="O97" t="s">
        <v>199</v>
      </c>
      <c r="P97" t="s">
        <v>199</v>
      </c>
      <c r="Q97">
        <v>1</v>
      </c>
      <c r="X97">
        <v>0.31</v>
      </c>
      <c r="Y97">
        <v>0</v>
      </c>
      <c r="Z97">
        <v>683.9</v>
      </c>
      <c r="AA97">
        <v>371.27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0.31</v>
      </c>
      <c r="AH97">
        <v>3</v>
      </c>
      <c r="AI97">
        <v>-1</v>
      </c>
      <c r="AJ97" t="s">
        <v>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ROW(Source!A55)</f>
        <v>55</v>
      </c>
      <c r="B98">
        <v>42279671</v>
      </c>
      <c r="C98">
        <v>42279667</v>
      </c>
      <c r="D98">
        <v>40679562</v>
      </c>
      <c r="E98">
        <v>1</v>
      </c>
      <c r="F98">
        <v>1</v>
      </c>
      <c r="G98">
        <v>27</v>
      </c>
      <c r="H98">
        <v>2</v>
      </c>
      <c r="I98" t="s">
        <v>224</v>
      </c>
      <c r="J98" t="s">
        <v>225</v>
      </c>
      <c r="K98" t="s">
        <v>226</v>
      </c>
      <c r="L98">
        <v>1368</v>
      </c>
      <c r="N98">
        <v>1011</v>
      </c>
      <c r="O98" t="s">
        <v>199</v>
      </c>
      <c r="P98" t="s">
        <v>199</v>
      </c>
      <c r="Q98">
        <v>1</v>
      </c>
      <c r="X98">
        <v>30.62</v>
      </c>
      <c r="Y98">
        <v>0</v>
      </c>
      <c r="Z98">
        <v>10.82</v>
      </c>
      <c r="AA98">
        <v>2.97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30.62</v>
      </c>
      <c r="AH98">
        <v>3</v>
      </c>
      <c r="AI98">
        <v>-1</v>
      </c>
      <c r="AJ98" t="s">
        <v>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ROW(Source!A55)</f>
        <v>55</v>
      </c>
      <c r="B99">
        <v>42279672</v>
      </c>
      <c r="C99">
        <v>42279667</v>
      </c>
      <c r="D99">
        <v>40680932</v>
      </c>
      <c r="E99">
        <v>1</v>
      </c>
      <c r="F99">
        <v>1</v>
      </c>
      <c r="G99">
        <v>27</v>
      </c>
      <c r="H99">
        <v>3</v>
      </c>
      <c r="I99" t="s">
        <v>227</v>
      </c>
      <c r="J99" t="s">
        <v>228</v>
      </c>
      <c r="K99" t="s">
        <v>229</v>
      </c>
      <c r="L99">
        <v>1348</v>
      </c>
      <c r="N99">
        <v>1009</v>
      </c>
      <c r="O99" t="s">
        <v>42</v>
      </c>
      <c r="P99" t="s">
        <v>42</v>
      </c>
      <c r="Q99">
        <v>1000</v>
      </c>
      <c r="X99">
        <v>7.6200000000000004E-2</v>
      </c>
      <c r="Y99">
        <v>32318.55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7.6200000000000004E-2</v>
      </c>
      <c r="AH99">
        <v>3</v>
      </c>
      <c r="AI99">
        <v>-1</v>
      </c>
      <c r="AJ99" t="s">
        <v>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ROW(Source!A55)</f>
        <v>55</v>
      </c>
      <c r="B100">
        <v>42279673</v>
      </c>
      <c r="C100">
        <v>42279667</v>
      </c>
      <c r="D100">
        <v>40681252</v>
      </c>
      <c r="E100">
        <v>1</v>
      </c>
      <c r="F100">
        <v>1</v>
      </c>
      <c r="G100">
        <v>27</v>
      </c>
      <c r="H100">
        <v>3</v>
      </c>
      <c r="I100" t="s">
        <v>230</v>
      </c>
      <c r="J100" t="s">
        <v>231</v>
      </c>
      <c r="K100" t="s">
        <v>232</v>
      </c>
      <c r="L100">
        <v>1348</v>
      </c>
      <c r="N100">
        <v>1009</v>
      </c>
      <c r="O100" t="s">
        <v>42</v>
      </c>
      <c r="P100" t="s">
        <v>42</v>
      </c>
      <c r="Q100">
        <v>1000</v>
      </c>
      <c r="X100">
        <v>0.03</v>
      </c>
      <c r="Y100">
        <v>49736.04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0.03</v>
      </c>
      <c r="AH100">
        <v>3</v>
      </c>
      <c r="AI100">
        <v>-1</v>
      </c>
      <c r="AJ100" t="s">
        <v>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ROW(Source!A55)</f>
        <v>55</v>
      </c>
      <c r="B101">
        <v>42279675</v>
      </c>
      <c r="C101">
        <v>42279667</v>
      </c>
      <c r="D101">
        <v>40682000</v>
      </c>
      <c r="E101">
        <v>1</v>
      </c>
      <c r="F101">
        <v>1</v>
      </c>
      <c r="G101">
        <v>27</v>
      </c>
      <c r="H101">
        <v>3</v>
      </c>
      <c r="I101" t="s">
        <v>233</v>
      </c>
      <c r="J101" t="s">
        <v>234</v>
      </c>
      <c r="K101" t="s">
        <v>235</v>
      </c>
      <c r="L101">
        <v>1327</v>
      </c>
      <c r="N101">
        <v>1005</v>
      </c>
      <c r="O101" t="s">
        <v>236</v>
      </c>
      <c r="P101" t="s">
        <v>236</v>
      </c>
      <c r="Q101">
        <v>1</v>
      </c>
      <c r="X101">
        <v>75</v>
      </c>
      <c r="Y101">
        <v>91.89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75</v>
      </c>
      <c r="AH101">
        <v>3</v>
      </c>
      <c r="AI101">
        <v>-1</v>
      </c>
      <c r="AJ101" t="s">
        <v>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ROW(Source!A55)</f>
        <v>55</v>
      </c>
      <c r="B102">
        <v>42279674</v>
      </c>
      <c r="C102">
        <v>42279667</v>
      </c>
      <c r="D102">
        <v>40680371</v>
      </c>
      <c r="E102">
        <v>1</v>
      </c>
      <c r="F102">
        <v>1</v>
      </c>
      <c r="G102">
        <v>27</v>
      </c>
      <c r="H102">
        <v>3</v>
      </c>
      <c r="I102" t="s">
        <v>237</v>
      </c>
      <c r="J102" t="s">
        <v>238</v>
      </c>
      <c r="K102" t="s">
        <v>239</v>
      </c>
      <c r="L102">
        <v>1348</v>
      </c>
      <c r="N102">
        <v>1009</v>
      </c>
      <c r="O102" t="s">
        <v>42</v>
      </c>
      <c r="P102" t="s">
        <v>42</v>
      </c>
      <c r="Q102">
        <v>1000</v>
      </c>
      <c r="X102">
        <v>8.2000000000000003E-2</v>
      </c>
      <c r="Y102">
        <v>4752.34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8.2000000000000003E-2</v>
      </c>
      <c r="AH102">
        <v>3</v>
      </c>
      <c r="AI102">
        <v>-1</v>
      </c>
      <c r="AJ102" t="s">
        <v>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ROW(Source!A55)</f>
        <v>55</v>
      </c>
      <c r="B103">
        <v>42279676</v>
      </c>
      <c r="C103">
        <v>42279667</v>
      </c>
      <c r="D103">
        <v>40682177</v>
      </c>
      <c r="E103">
        <v>1</v>
      </c>
      <c r="F103">
        <v>1</v>
      </c>
      <c r="G103">
        <v>27</v>
      </c>
      <c r="H103">
        <v>3</v>
      </c>
      <c r="I103" t="s">
        <v>209</v>
      </c>
      <c r="J103" t="s">
        <v>210</v>
      </c>
      <c r="K103" t="s">
        <v>211</v>
      </c>
      <c r="L103">
        <v>1339</v>
      </c>
      <c r="N103">
        <v>1007</v>
      </c>
      <c r="O103" t="s">
        <v>29</v>
      </c>
      <c r="P103" t="s">
        <v>29</v>
      </c>
      <c r="Q103">
        <v>1</v>
      </c>
      <c r="X103">
        <v>0.42399999999999999</v>
      </c>
      <c r="Y103">
        <v>35.25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0.42399999999999999</v>
      </c>
      <c r="AH103">
        <v>3</v>
      </c>
      <c r="AI103">
        <v>-1</v>
      </c>
      <c r="AJ103" t="s">
        <v>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ROW(Source!A55)</f>
        <v>55</v>
      </c>
      <c r="B104">
        <v>42279677</v>
      </c>
      <c r="C104">
        <v>42279667</v>
      </c>
      <c r="D104">
        <v>40680879</v>
      </c>
      <c r="E104">
        <v>1</v>
      </c>
      <c r="F104">
        <v>1</v>
      </c>
      <c r="G104">
        <v>27</v>
      </c>
      <c r="H104">
        <v>3</v>
      </c>
      <c r="I104" t="s">
        <v>240</v>
      </c>
      <c r="J104" t="s">
        <v>241</v>
      </c>
      <c r="K104" t="s">
        <v>242</v>
      </c>
      <c r="L104">
        <v>1339</v>
      </c>
      <c r="N104">
        <v>1007</v>
      </c>
      <c r="O104" t="s">
        <v>29</v>
      </c>
      <c r="P104" t="s">
        <v>29</v>
      </c>
      <c r="Q104">
        <v>1</v>
      </c>
      <c r="X104">
        <v>0.7</v>
      </c>
      <c r="Y104">
        <v>7098.7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0.7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ROW(Source!A55)</f>
        <v>55</v>
      </c>
      <c r="B105">
        <v>42279678</v>
      </c>
      <c r="C105">
        <v>42279667</v>
      </c>
      <c r="D105">
        <v>40683143</v>
      </c>
      <c r="E105">
        <v>1</v>
      </c>
      <c r="F105">
        <v>1</v>
      </c>
      <c r="G105">
        <v>27</v>
      </c>
      <c r="H105">
        <v>3</v>
      </c>
      <c r="I105" t="s">
        <v>243</v>
      </c>
      <c r="J105" t="s">
        <v>244</v>
      </c>
      <c r="K105" t="s">
        <v>245</v>
      </c>
      <c r="L105">
        <v>1339</v>
      </c>
      <c r="N105">
        <v>1007</v>
      </c>
      <c r="O105" t="s">
        <v>29</v>
      </c>
      <c r="P105" t="s">
        <v>29</v>
      </c>
      <c r="Q105">
        <v>1</v>
      </c>
      <c r="X105">
        <v>102</v>
      </c>
      <c r="Y105">
        <v>3247.23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102</v>
      </c>
      <c r="AH105">
        <v>3</v>
      </c>
      <c r="AI105">
        <v>-1</v>
      </c>
      <c r="AJ105" t="s">
        <v>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ROW(Source!A55)</f>
        <v>55</v>
      </c>
      <c r="B106">
        <v>42279679</v>
      </c>
      <c r="C106">
        <v>42279667</v>
      </c>
      <c r="D106">
        <v>40685315</v>
      </c>
      <c r="E106">
        <v>1</v>
      </c>
      <c r="F106">
        <v>1</v>
      </c>
      <c r="G106">
        <v>27</v>
      </c>
      <c r="H106">
        <v>3</v>
      </c>
      <c r="I106" t="s">
        <v>246</v>
      </c>
      <c r="J106" t="s">
        <v>247</v>
      </c>
      <c r="K106" t="s">
        <v>248</v>
      </c>
      <c r="L106">
        <v>1327</v>
      </c>
      <c r="N106">
        <v>1005</v>
      </c>
      <c r="O106" t="s">
        <v>236</v>
      </c>
      <c r="P106" t="s">
        <v>236</v>
      </c>
      <c r="Q106">
        <v>1</v>
      </c>
      <c r="X106">
        <v>65.099999999999994</v>
      </c>
      <c r="Y106">
        <v>241.04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65.099999999999994</v>
      </c>
      <c r="AH106">
        <v>3</v>
      </c>
      <c r="AI106">
        <v>-1</v>
      </c>
      <c r="AJ106" t="s">
        <v>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ROW(Source!A56)</f>
        <v>56</v>
      </c>
      <c r="B107">
        <v>42279683</v>
      </c>
      <c r="C107">
        <v>42279680</v>
      </c>
      <c r="D107">
        <v>40662784</v>
      </c>
      <c r="E107">
        <v>27</v>
      </c>
      <c r="F107">
        <v>1</v>
      </c>
      <c r="G107">
        <v>27</v>
      </c>
      <c r="H107">
        <v>1</v>
      </c>
      <c r="I107" t="s">
        <v>193</v>
      </c>
      <c r="J107" t="s">
        <v>3</v>
      </c>
      <c r="K107" t="s">
        <v>194</v>
      </c>
      <c r="L107">
        <v>1191</v>
      </c>
      <c r="N107">
        <v>1013</v>
      </c>
      <c r="O107" t="s">
        <v>195</v>
      </c>
      <c r="P107" t="s">
        <v>195</v>
      </c>
      <c r="Q107">
        <v>1</v>
      </c>
      <c r="X107">
        <v>227.7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1</v>
      </c>
      <c r="AF107" t="s">
        <v>3</v>
      </c>
      <c r="AG107">
        <v>227.7</v>
      </c>
      <c r="AH107">
        <v>3</v>
      </c>
      <c r="AI107">
        <v>-1</v>
      </c>
      <c r="AJ107" t="s">
        <v>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ROW(Source!A56)</f>
        <v>56</v>
      </c>
      <c r="B108">
        <v>42279684</v>
      </c>
      <c r="C108">
        <v>42279680</v>
      </c>
      <c r="D108">
        <v>40683405</v>
      </c>
      <c r="E108">
        <v>1</v>
      </c>
      <c r="F108">
        <v>1</v>
      </c>
      <c r="G108">
        <v>27</v>
      </c>
      <c r="H108">
        <v>3</v>
      </c>
      <c r="I108" t="s">
        <v>50</v>
      </c>
      <c r="J108" t="s">
        <v>52</v>
      </c>
      <c r="K108" t="s">
        <v>51</v>
      </c>
      <c r="L108">
        <v>1348</v>
      </c>
      <c r="N108">
        <v>1009</v>
      </c>
      <c r="O108" t="s">
        <v>42</v>
      </c>
      <c r="P108" t="s">
        <v>42</v>
      </c>
      <c r="Q108">
        <v>1000</v>
      </c>
      <c r="X108">
        <v>1</v>
      </c>
      <c r="Y108">
        <v>53233.52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</v>
      </c>
      <c r="AH108">
        <v>2</v>
      </c>
      <c r="AI108">
        <v>42279681</v>
      </c>
      <c r="AJ108">
        <v>51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ROW(Source!A60)</f>
        <v>60</v>
      </c>
      <c r="B109">
        <v>42367315</v>
      </c>
      <c r="C109">
        <v>42367314</v>
      </c>
      <c r="D109">
        <v>40662784</v>
      </c>
      <c r="E109">
        <v>27</v>
      </c>
      <c r="F109">
        <v>1</v>
      </c>
      <c r="G109">
        <v>27</v>
      </c>
      <c r="H109">
        <v>1</v>
      </c>
      <c r="I109" t="s">
        <v>193</v>
      </c>
      <c r="J109" t="s">
        <v>3</v>
      </c>
      <c r="K109" t="s">
        <v>194</v>
      </c>
      <c r="L109">
        <v>1191</v>
      </c>
      <c r="N109">
        <v>1013</v>
      </c>
      <c r="O109" t="s">
        <v>195</v>
      </c>
      <c r="P109" t="s">
        <v>195</v>
      </c>
      <c r="Q109">
        <v>1</v>
      </c>
      <c r="X109">
        <v>221.6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 t="s">
        <v>3</v>
      </c>
      <c r="AG109">
        <v>221.6</v>
      </c>
      <c r="AH109">
        <v>3</v>
      </c>
      <c r="AI109">
        <v>-1</v>
      </c>
      <c r="AJ109" t="s">
        <v>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ROW(Source!A61)</f>
        <v>61</v>
      </c>
      <c r="B110">
        <v>42367323</v>
      </c>
      <c r="C110">
        <v>42367316</v>
      </c>
      <c r="D110">
        <v>40662784</v>
      </c>
      <c r="E110">
        <v>27</v>
      </c>
      <c r="F110">
        <v>1</v>
      </c>
      <c r="G110">
        <v>27</v>
      </c>
      <c r="H110">
        <v>1</v>
      </c>
      <c r="I110" t="s">
        <v>193</v>
      </c>
      <c r="J110" t="s">
        <v>3</v>
      </c>
      <c r="K110" t="s">
        <v>194</v>
      </c>
      <c r="L110">
        <v>1191</v>
      </c>
      <c r="N110">
        <v>1013</v>
      </c>
      <c r="O110" t="s">
        <v>195</v>
      </c>
      <c r="P110" t="s">
        <v>195</v>
      </c>
      <c r="Q110">
        <v>1</v>
      </c>
      <c r="X110">
        <v>0.9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1</v>
      </c>
      <c r="AF110" t="s">
        <v>3</v>
      </c>
      <c r="AG110">
        <v>0.9</v>
      </c>
      <c r="AH110">
        <v>2</v>
      </c>
      <c r="AI110">
        <v>42367317</v>
      </c>
      <c r="AJ110">
        <v>53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ROW(Source!A61)</f>
        <v>61</v>
      </c>
      <c r="B111">
        <v>42367324</v>
      </c>
      <c r="C111">
        <v>42367316</v>
      </c>
      <c r="D111">
        <v>40679631</v>
      </c>
      <c r="E111">
        <v>1</v>
      </c>
      <c r="F111">
        <v>1</v>
      </c>
      <c r="G111">
        <v>27</v>
      </c>
      <c r="H111">
        <v>2</v>
      </c>
      <c r="I111" t="s">
        <v>196</v>
      </c>
      <c r="J111" t="s">
        <v>197</v>
      </c>
      <c r="K111" t="s">
        <v>198</v>
      </c>
      <c r="L111">
        <v>1368</v>
      </c>
      <c r="N111">
        <v>1011</v>
      </c>
      <c r="O111" t="s">
        <v>199</v>
      </c>
      <c r="P111" t="s">
        <v>199</v>
      </c>
      <c r="Q111">
        <v>1</v>
      </c>
      <c r="X111">
        <v>0.22</v>
      </c>
      <c r="Y111">
        <v>0</v>
      </c>
      <c r="Z111">
        <v>470.71</v>
      </c>
      <c r="AA111">
        <v>359.8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0.22</v>
      </c>
      <c r="AH111">
        <v>2</v>
      </c>
      <c r="AI111">
        <v>42367318</v>
      </c>
      <c r="AJ111">
        <v>54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ROW(Source!A61)</f>
        <v>61</v>
      </c>
      <c r="B112">
        <v>42367325</v>
      </c>
      <c r="C112">
        <v>42367316</v>
      </c>
      <c r="D112">
        <v>40680099</v>
      </c>
      <c r="E112">
        <v>1</v>
      </c>
      <c r="F112">
        <v>1</v>
      </c>
      <c r="G112">
        <v>27</v>
      </c>
      <c r="H112">
        <v>2</v>
      </c>
      <c r="I112" t="s">
        <v>200</v>
      </c>
      <c r="J112" t="s">
        <v>201</v>
      </c>
      <c r="K112" t="s">
        <v>202</v>
      </c>
      <c r="L112">
        <v>1368</v>
      </c>
      <c r="N112">
        <v>1011</v>
      </c>
      <c r="O112" t="s">
        <v>199</v>
      </c>
      <c r="P112" t="s">
        <v>199</v>
      </c>
      <c r="Q112">
        <v>1</v>
      </c>
      <c r="X112">
        <v>0.45</v>
      </c>
      <c r="Y112">
        <v>0</v>
      </c>
      <c r="Z112">
        <v>3.75</v>
      </c>
      <c r="AA112">
        <v>2.56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0.45</v>
      </c>
      <c r="AH112">
        <v>2</v>
      </c>
      <c r="AI112">
        <v>42367319</v>
      </c>
      <c r="AJ112">
        <v>55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ROW(Source!A61)</f>
        <v>61</v>
      </c>
      <c r="B113">
        <v>42367326</v>
      </c>
      <c r="C113">
        <v>42367316</v>
      </c>
      <c r="D113">
        <v>40679388</v>
      </c>
      <c r="E113">
        <v>1</v>
      </c>
      <c r="F113">
        <v>1</v>
      </c>
      <c r="G113">
        <v>27</v>
      </c>
      <c r="H113">
        <v>2</v>
      </c>
      <c r="I113" t="s">
        <v>203</v>
      </c>
      <c r="J113" t="s">
        <v>204</v>
      </c>
      <c r="K113" t="s">
        <v>205</v>
      </c>
      <c r="L113">
        <v>1368</v>
      </c>
      <c r="N113">
        <v>1011</v>
      </c>
      <c r="O113" t="s">
        <v>199</v>
      </c>
      <c r="P113" t="s">
        <v>199</v>
      </c>
      <c r="Q113">
        <v>1</v>
      </c>
      <c r="X113">
        <v>0.09</v>
      </c>
      <c r="Y113">
        <v>0</v>
      </c>
      <c r="Z113">
        <v>1171.51</v>
      </c>
      <c r="AA113">
        <v>487.24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0.09</v>
      </c>
      <c r="AH113">
        <v>2</v>
      </c>
      <c r="AI113">
        <v>42367320</v>
      </c>
      <c r="AJ113">
        <v>56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ROW(Source!A61)</f>
        <v>61</v>
      </c>
      <c r="B114">
        <v>42367327</v>
      </c>
      <c r="C114">
        <v>42367316</v>
      </c>
      <c r="D114">
        <v>40681432</v>
      </c>
      <c r="E114">
        <v>1</v>
      </c>
      <c r="F114">
        <v>1</v>
      </c>
      <c r="G114">
        <v>27</v>
      </c>
      <c r="H114">
        <v>3</v>
      </c>
      <c r="I114" t="s">
        <v>206</v>
      </c>
      <c r="J114" t="s">
        <v>207</v>
      </c>
      <c r="K114" t="s">
        <v>208</v>
      </c>
      <c r="L114">
        <v>1339</v>
      </c>
      <c r="N114">
        <v>1007</v>
      </c>
      <c r="O114" t="s">
        <v>29</v>
      </c>
      <c r="P114" t="s">
        <v>29</v>
      </c>
      <c r="Q114">
        <v>1</v>
      </c>
      <c r="X114">
        <v>1.1000000000000001</v>
      </c>
      <c r="Y114">
        <v>590.78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1.1000000000000001</v>
      </c>
      <c r="AH114">
        <v>2</v>
      </c>
      <c r="AI114">
        <v>42367321</v>
      </c>
      <c r="AJ114">
        <v>57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ROW(Source!A61)</f>
        <v>61</v>
      </c>
      <c r="B115">
        <v>42367328</v>
      </c>
      <c r="C115">
        <v>42367316</v>
      </c>
      <c r="D115">
        <v>40682177</v>
      </c>
      <c r="E115">
        <v>1</v>
      </c>
      <c r="F115">
        <v>1</v>
      </c>
      <c r="G115">
        <v>27</v>
      </c>
      <c r="H115">
        <v>3</v>
      </c>
      <c r="I115" t="s">
        <v>209</v>
      </c>
      <c r="J115" t="s">
        <v>210</v>
      </c>
      <c r="K115" t="s">
        <v>211</v>
      </c>
      <c r="L115">
        <v>1339</v>
      </c>
      <c r="N115">
        <v>1007</v>
      </c>
      <c r="O115" t="s">
        <v>29</v>
      </c>
      <c r="P115" t="s">
        <v>29</v>
      </c>
      <c r="Q115">
        <v>1</v>
      </c>
      <c r="X115">
        <v>0.15</v>
      </c>
      <c r="Y115">
        <v>35.25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0.15</v>
      </c>
      <c r="AH115">
        <v>2</v>
      </c>
      <c r="AI115">
        <v>42367322</v>
      </c>
      <c r="AJ115">
        <v>58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ROW(Source!A62)</f>
        <v>62</v>
      </c>
      <c r="B116">
        <v>42367336</v>
      </c>
      <c r="C116">
        <v>42367329</v>
      </c>
      <c r="D116">
        <v>40662784</v>
      </c>
      <c r="E116">
        <v>27</v>
      </c>
      <c r="F116">
        <v>1</v>
      </c>
      <c r="G116">
        <v>27</v>
      </c>
      <c r="H116">
        <v>1</v>
      </c>
      <c r="I116" t="s">
        <v>193</v>
      </c>
      <c r="J116" t="s">
        <v>3</v>
      </c>
      <c r="K116" t="s">
        <v>194</v>
      </c>
      <c r="L116">
        <v>1191</v>
      </c>
      <c r="N116">
        <v>1013</v>
      </c>
      <c r="O116" t="s">
        <v>195</v>
      </c>
      <c r="P116" t="s">
        <v>195</v>
      </c>
      <c r="Q116">
        <v>1</v>
      </c>
      <c r="X116">
        <v>0.98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1</v>
      </c>
      <c r="AF116" t="s">
        <v>3</v>
      </c>
      <c r="AG116">
        <v>0.98</v>
      </c>
      <c r="AH116">
        <v>2</v>
      </c>
      <c r="AI116">
        <v>42367330</v>
      </c>
      <c r="AJ116">
        <v>59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ROW(Source!A62)</f>
        <v>62</v>
      </c>
      <c r="B117">
        <v>42367337</v>
      </c>
      <c r="C117">
        <v>42367329</v>
      </c>
      <c r="D117">
        <v>40679631</v>
      </c>
      <c r="E117">
        <v>1</v>
      </c>
      <c r="F117">
        <v>1</v>
      </c>
      <c r="G117">
        <v>27</v>
      </c>
      <c r="H117">
        <v>2</v>
      </c>
      <c r="I117" t="s">
        <v>196</v>
      </c>
      <c r="J117" t="s">
        <v>197</v>
      </c>
      <c r="K117" t="s">
        <v>198</v>
      </c>
      <c r="L117">
        <v>1368</v>
      </c>
      <c r="N117">
        <v>1011</v>
      </c>
      <c r="O117" t="s">
        <v>199</v>
      </c>
      <c r="P117" t="s">
        <v>199</v>
      </c>
      <c r="Q117">
        <v>1</v>
      </c>
      <c r="X117">
        <v>0.25</v>
      </c>
      <c r="Y117">
        <v>0</v>
      </c>
      <c r="Z117">
        <v>470.71</v>
      </c>
      <c r="AA117">
        <v>359.8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0.25</v>
      </c>
      <c r="AH117">
        <v>2</v>
      </c>
      <c r="AI117">
        <v>42367331</v>
      </c>
      <c r="AJ117">
        <v>60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ROW(Source!A62)</f>
        <v>62</v>
      </c>
      <c r="B118">
        <v>42367338</v>
      </c>
      <c r="C118">
        <v>42367329</v>
      </c>
      <c r="D118">
        <v>40680099</v>
      </c>
      <c r="E118">
        <v>1</v>
      </c>
      <c r="F118">
        <v>1</v>
      </c>
      <c r="G118">
        <v>27</v>
      </c>
      <c r="H118">
        <v>2</v>
      </c>
      <c r="I118" t="s">
        <v>200</v>
      </c>
      <c r="J118" t="s">
        <v>201</v>
      </c>
      <c r="K118" t="s">
        <v>202</v>
      </c>
      <c r="L118">
        <v>1368</v>
      </c>
      <c r="N118">
        <v>1011</v>
      </c>
      <c r="O118" t="s">
        <v>199</v>
      </c>
      <c r="P118" t="s">
        <v>199</v>
      </c>
      <c r="Q118">
        <v>1</v>
      </c>
      <c r="X118">
        <v>0.5</v>
      </c>
      <c r="Y118">
        <v>0</v>
      </c>
      <c r="Z118">
        <v>3.75</v>
      </c>
      <c r="AA118">
        <v>2.56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0.5</v>
      </c>
      <c r="AH118">
        <v>2</v>
      </c>
      <c r="AI118">
        <v>42367332</v>
      </c>
      <c r="AJ118">
        <v>61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ROW(Source!A62)</f>
        <v>62</v>
      </c>
      <c r="B119">
        <v>42367339</v>
      </c>
      <c r="C119">
        <v>42367329</v>
      </c>
      <c r="D119">
        <v>40679388</v>
      </c>
      <c r="E119">
        <v>1</v>
      </c>
      <c r="F119">
        <v>1</v>
      </c>
      <c r="G119">
        <v>27</v>
      </c>
      <c r="H119">
        <v>2</v>
      </c>
      <c r="I119" t="s">
        <v>203</v>
      </c>
      <c r="J119" t="s">
        <v>204</v>
      </c>
      <c r="K119" t="s">
        <v>205</v>
      </c>
      <c r="L119">
        <v>1368</v>
      </c>
      <c r="N119">
        <v>1011</v>
      </c>
      <c r="O119" t="s">
        <v>199</v>
      </c>
      <c r="P119" t="s">
        <v>199</v>
      </c>
      <c r="Q119">
        <v>1</v>
      </c>
      <c r="X119">
        <v>0.09</v>
      </c>
      <c r="Y119">
        <v>0</v>
      </c>
      <c r="Z119">
        <v>1171.51</v>
      </c>
      <c r="AA119">
        <v>487.24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0.09</v>
      </c>
      <c r="AH119">
        <v>2</v>
      </c>
      <c r="AI119">
        <v>42367333</v>
      </c>
      <c r="AJ119">
        <v>62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ROW(Source!A62)</f>
        <v>62</v>
      </c>
      <c r="B120">
        <v>42367340</v>
      </c>
      <c r="C120">
        <v>42367329</v>
      </c>
      <c r="D120">
        <v>40681466</v>
      </c>
      <c r="E120">
        <v>1</v>
      </c>
      <c r="F120">
        <v>1</v>
      </c>
      <c r="G120">
        <v>27</v>
      </c>
      <c r="H120">
        <v>3</v>
      </c>
      <c r="I120" t="s">
        <v>212</v>
      </c>
      <c r="J120" t="s">
        <v>213</v>
      </c>
      <c r="K120" t="s">
        <v>214</v>
      </c>
      <c r="L120">
        <v>1339</v>
      </c>
      <c r="N120">
        <v>1007</v>
      </c>
      <c r="O120" t="s">
        <v>29</v>
      </c>
      <c r="P120" t="s">
        <v>29</v>
      </c>
      <c r="Q120">
        <v>1</v>
      </c>
      <c r="X120">
        <v>1.1499999999999999</v>
      </c>
      <c r="Y120">
        <v>1436.5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1.1499999999999999</v>
      </c>
      <c r="AH120">
        <v>2</v>
      </c>
      <c r="AI120">
        <v>42367334</v>
      </c>
      <c r="AJ120">
        <v>63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ROW(Source!A62)</f>
        <v>62</v>
      </c>
      <c r="B121">
        <v>42367341</v>
      </c>
      <c r="C121">
        <v>42367329</v>
      </c>
      <c r="D121">
        <v>40682177</v>
      </c>
      <c r="E121">
        <v>1</v>
      </c>
      <c r="F121">
        <v>1</v>
      </c>
      <c r="G121">
        <v>27</v>
      </c>
      <c r="H121">
        <v>3</v>
      </c>
      <c r="I121" t="s">
        <v>209</v>
      </c>
      <c r="J121" t="s">
        <v>210</v>
      </c>
      <c r="K121" t="s">
        <v>211</v>
      </c>
      <c r="L121">
        <v>1339</v>
      </c>
      <c r="N121">
        <v>1007</v>
      </c>
      <c r="O121" t="s">
        <v>29</v>
      </c>
      <c r="P121" t="s">
        <v>29</v>
      </c>
      <c r="Q121">
        <v>1</v>
      </c>
      <c r="X121">
        <v>0.15</v>
      </c>
      <c r="Y121">
        <v>35.25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0.15</v>
      </c>
      <c r="AH121">
        <v>2</v>
      </c>
      <c r="AI121">
        <v>42367335</v>
      </c>
      <c r="AJ121">
        <v>64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ROW(Source!A63)</f>
        <v>63</v>
      </c>
      <c r="B122">
        <v>42279693</v>
      </c>
      <c r="C122">
        <v>42279692</v>
      </c>
      <c r="D122">
        <v>40662784</v>
      </c>
      <c r="E122">
        <v>27</v>
      </c>
      <c r="F122">
        <v>1</v>
      </c>
      <c r="G122">
        <v>27</v>
      </c>
      <c r="H122">
        <v>1</v>
      </c>
      <c r="I122" t="s">
        <v>193</v>
      </c>
      <c r="J122" t="s">
        <v>3</v>
      </c>
      <c r="K122" t="s">
        <v>194</v>
      </c>
      <c r="L122">
        <v>1191</v>
      </c>
      <c r="N122">
        <v>1013</v>
      </c>
      <c r="O122" t="s">
        <v>195</v>
      </c>
      <c r="P122" t="s">
        <v>195</v>
      </c>
      <c r="Q122">
        <v>1</v>
      </c>
      <c r="X122">
        <v>563.5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1</v>
      </c>
      <c r="AF122" t="s">
        <v>3</v>
      </c>
      <c r="AG122">
        <v>563.5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ROW(Source!A63)</f>
        <v>63</v>
      </c>
      <c r="B123">
        <v>42279694</v>
      </c>
      <c r="C123">
        <v>42279692</v>
      </c>
      <c r="D123">
        <v>40680122</v>
      </c>
      <c r="E123">
        <v>1</v>
      </c>
      <c r="F123">
        <v>1</v>
      </c>
      <c r="G123">
        <v>27</v>
      </c>
      <c r="H123">
        <v>2</v>
      </c>
      <c r="I123" t="s">
        <v>218</v>
      </c>
      <c r="J123" t="s">
        <v>219</v>
      </c>
      <c r="K123" t="s">
        <v>220</v>
      </c>
      <c r="L123">
        <v>1368</v>
      </c>
      <c r="N123">
        <v>1011</v>
      </c>
      <c r="O123" t="s">
        <v>199</v>
      </c>
      <c r="P123" t="s">
        <v>199</v>
      </c>
      <c r="Q123">
        <v>1</v>
      </c>
      <c r="X123">
        <v>1.08</v>
      </c>
      <c r="Y123">
        <v>0</v>
      </c>
      <c r="Z123">
        <v>3.67</v>
      </c>
      <c r="AA123">
        <v>0.01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1.08</v>
      </c>
      <c r="AH123">
        <v>3</v>
      </c>
      <c r="AI123">
        <v>-1</v>
      </c>
      <c r="AJ123" t="s">
        <v>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ROW(Source!A63)</f>
        <v>63</v>
      </c>
      <c r="B124">
        <v>42279695</v>
      </c>
      <c r="C124">
        <v>42279692</v>
      </c>
      <c r="D124">
        <v>40679392</v>
      </c>
      <c r="E124">
        <v>1</v>
      </c>
      <c r="F124">
        <v>1</v>
      </c>
      <c r="G124">
        <v>27</v>
      </c>
      <c r="H124">
        <v>2</v>
      </c>
      <c r="I124" t="s">
        <v>221</v>
      </c>
      <c r="J124" t="s">
        <v>222</v>
      </c>
      <c r="K124" t="s">
        <v>223</v>
      </c>
      <c r="L124">
        <v>1368</v>
      </c>
      <c r="N124">
        <v>1011</v>
      </c>
      <c r="O124" t="s">
        <v>199</v>
      </c>
      <c r="P124" t="s">
        <v>199</v>
      </c>
      <c r="Q124">
        <v>1</v>
      </c>
      <c r="X124">
        <v>0.31</v>
      </c>
      <c r="Y124">
        <v>0</v>
      </c>
      <c r="Z124">
        <v>683.9</v>
      </c>
      <c r="AA124">
        <v>371.27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0.31</v>
      </c>
      <c r="AH124">
        <v>3</v>
      </c>
      <c r="AI124">
        <v>-1</v>
      </c>
      <c r="AJ124" t="s">
        <v>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ROW(Source!A63)</f>
        <v>63</v>
      </c>
      <c r="B125">
        <v>42279696</v>
      </c>
      <c r="C125">
        <v>42279692</v>
      </c>
      <c r="D125">
        <v>40679562</v>
      </c>
      <c r="E125">
        <v>1</v>
      </c>
      <c r="F125">
        <v>1</v>
      </c>
      <c r="G125">
        <v>27</v>
      </c>
      <c r="H125">
        <v>2</v>
      </c>
      <c r="I125" t="s">
        <v>224</v>
      </c>
      <c r="J125" t="s">
        <v>225</v>
      </c>
      <c r="K125" t="s">
        <v>226</v>
      </c>
      <c r="L125">
        <v>1368</v>
      </c>
      <c r="N125">
        <v>1011</v>
      </c>
      <c r="O125" t="s">
        <v>199</v>
      </c>
      <c r="P125" t="s">
        <v>199</v>
      </c>
      <c r="Q125">
        <v>1</v>
      </c>
      <c r="X125">
        <v>30.62</v>
      </c>
      <c r="Y125">
        <v>0</v>
      </c>
      <c r="Z125">
        <v>10.82</v>
      </c>
      <c r="AA125">
        <v>2.97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30.62</v>
      </c>
      <c r="AH125">
        <v>3</v>
      </c>
      <c r="AI125">
        <v>-1</v>
      </c>
      <c r="AJ125" t="s">
        <v>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ROW(Source!A63)</f>
        <v>63</v>
      </c>
      <c r="B126">
        <v>42279697</v>
      </c>
      <c r="C126">
        <v>42279692</v>
      </c>
      <c r="D126">
        <v>40680932</v>
      </c>
      <c r="E126">
        <v>1</v>
      </c>
      <c r="F126">
        <v>1</v>
      </c>
      <c r="G126">
        <v>27</v>
      </c>
      <c r="H126">
        <v>3</v>
      </c>
      <c r="I126" t="s">
        <v>227</v>
      </c>
      <c r="J126" t="s">
        <v>228</v>
      </c>
      <c r="K126" t="s">
        <v>229</v>
      </c>
      <c r="L126">
        <v>1348</v>
      </c>
      <c r="N126">
        <v>1009</v>
      </c>
      <c r="O126" t="s">
        <v>42</v>
      </c>
      <c r="P126" t="s">
        <v>42</v>
      </c>
      <c r="Q126">
        <v>1000</v>
      </c>
      <c r="X126">
        <v>7.6200000000000004E-2</v>
      </c>
      <c r="Y126">
        <v>32318.55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7.6200000000000004E-2</v>
      </c>
      <c r="AH126">
        <v>3</v>
      </c>
      <c r="AI126">
        <v>-1</v>
      </c>
      <c r="AJ126" t="s">
        <v>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ROW(Source!A63)</f>
        <v>63</v>
      </c>
      <c r="B127">
        <v>42279698</v>
      </c>
      <c r="C127">
        <v>42279692</v>
      </c>
      <c r="D127">
        <v>40681252</v>
      </c>
      <c r="E127">
        <v>1</v>
      </c>
      <c r="F127">
        <v>1</v>
      </c>
      <c r="G127">
        <v>27</v>
      </c>
      <c r="H127">
        <v>3</v>
      </c>
      <c r="I127" t="s">
        <v>230</v>
      </c>
      <c r="J127" t="s">
        <v>231</v>
      </c>
      <c r="K127" t="s">
        <v>232</v>
      </c>
      <c r="L127">
        <v>1348</v>
      </c>
      <c r="N127">
        <v>1009</v>
      </c>
      <c r="O127" t="s">
        <v>42</v>
      </c>
      <c r="P127" t="s">
        <v>42</v>
      </c>
      <c r="Q127">
        <v>1000</v>
      </c>
      <c r="X127">
        <v>0.03</v>
      </c>
      <c r="Y127">
        <v>49736.04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0.03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ROW(Source!A63)</f>
        <v>63</v>
      </c>
      <c r="B128">
        <v>42279700</v>
      </c>
      <c r="C128">
        <v>42279692</v>
      </c>
      <c r="D128">
        <v>40682000</v>
      </c>
      <c r="E128">
        <v>1</v>
      </c>
      <c r="F128">
        <v>1</v>
      </c>
      <c r="G128">
        <v>27</v>
      </c>
      <c r="H128">
        <v>3</v>
      </c>
      <c r="I128" t="s">
        <v>233</v>
      </c>
      <c r="J128" t="s">
        <v>234</v>
      </c>
      <c r="K128" t="s">
        <v>235</v>
      </c>
      <c r="L128">
        <v>1327</v>
      </c>
      <c r="N128">
        <v>1005</v>
      </c>
      <c r="O128" t="s">
        <v>236</v>
      </c>
      <c r="P128" t="s">
        <v>236</v>
      </c>
      <c r="Q128">
        <v>1</v>
      </c>
      <c r="X128">
        <v>75</v>
      </c>
      <c r="Y128">
        <v>91.89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75</v>
      </c>
      <c r="AH128">
        <v>3</v>
      </c>
      <c r="AI128">
        <v>-1</v>
      </c>
      <c r="AJ128" t="s">
        <v>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ROW(Source!A63)</f>
        <v>63</v>
      </c>
      <c r="B129">
        <v>42279699</v>
      </c>
      <c r="C129">
        <v>42279692</v>
      </c>
      <c r="D129">
        <v>40680371</v>
      </c>
      <c r="E129">
        <v>1</v>
      </c>
      <c r="F129">
        <v>1</v>
      </c>
      <c r="G129">
        <v>27</v>
      </c>
      <c r="H129">
        <v>3</v>
      </c>
      <c r="I129" t="s">
        <v>237</v>
      </c>
      <c r="J129" t="s">
        <v>238</v>
      </c>
      <c r="K129" t="s">
        <v>239</v>
      </c>
      <c r="L129">
        <v>1348</v>
      </c>
      <c r="N129">
        <v>1009</v>
      </c>
      <c r="O129" t="s">
        <v>42</v>
      </c>
      <c r="P129" t="s">
        <v>42</v>
      </c>
      <c r="Q129">
        <v>1000</v>
      </c>
      <c r="X129">
        <v>8.2000000000000003E-2</v>
      </c>
      <c r="Y129">
        <v>4752.34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8.2000000000000003E-2</v>
      </c>
      <c r="AH129">
        <v>3</v>
      </c>
      <c r="AI129">
        <v>-1</v>
      </c>
      <c r="AJ129" t="s">
        <v>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ROW(Source!A63)</f>
        <v>63</v>
      </c>
      <c r="B130">
        <v>42279701</v>
      </c>
      <c r="C130">
        <v>42279692</v>
      </c>
      <c r="D130">
        <v>40682177</v>
      </c>
      <c r="E130">
        <v>1</v>
      </c>
      <c r="F130">
        <v>1</v>
      </c>
      <c r="G130">
        <v>27</v>
      </c>
      <c r="H130">
        <v>3</v>
      </c>
      <c r="I130" t="s">
        <v>209</v>
      </c>
      <c r="J130" t="s">
        <v>210</v>
      </c>
      <c r="K130" t="s">
        <v>211</v>
      </c>
      <c r="L130">
        <v>1339</v>
      </c>
      <c r="N130">
        <v>1007</v>
      </c>
      <c r="O130" t="s">
        <v>29</v>
      </c>
      <c r="P130" t="s">
        <v>29</v>
      </c>
      <c r="Q130">
        <v>1</v>
      </c>
      <c r="X130">
        <v>0.42399999999999999</v>
      </c>
      <c r="Y130">
        <v>35.25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0.42399999999999999</v>
      </c>
      <c r="AH130">
        <v>3</v>
      </c>
      <c r="AI130">
        <v>-1</v>
      </c>
      <c r="AJ130" t="s">
        <v>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ROW(Source!A63)</f>
        <v>63</v>
      </c>
      <c r="B131">
        <v>42279702</v>
      </c>
      <c r="C131">
        <v>42279692</v>
      </c>
      <c r="D131">
        <v>40680879</v>
      </c>
      <c r="E131">
        <v>1</v>
      </c>
      <c r="F131">
        <v>1</v>
      </c>
      <c r="G131">
        <v>27</v>
      </c>
      <c r="H131">
        <v>3</v>
      </c>
      <c r="I131" t="s">
        <v>240</v>
      </c>
      <c r="J131" t="s">
        <v>241</v>
      </c>
      <c r="K131" t="s">
        <v>242</v>
      </c>
      <c r="L131">
        <v>1339</v>
      </c>
      <c r="N131">
        <v>1007</v>
      </c>
      <c r="O131" t="s">
        <v>29</v>
      </c>
      <c r="P131" t="s">
        <v>29</v>
      </c>
      <c r="Q131">
        <v>1</v>
      </c>
      <c r="X131">
        <v>0.7</v>
      </c>
      <c r="Y131">
        <v>7098.7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0.7</v>
      </c>
      <c r="AH131">
        <v>3</v>
      </c>
      <c r="AI131">
        <v>-1</v>
      </c>
      <c r="AJ131" t="s">
        <v>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ROW(Source!A63)</f>
        <v>63</v>
      </c>
      <c r="B132">
        <v>42279703</v>
      </c>
      <c r="C132">
        <v>42279692</v>
      </c>
      <c r="D132">
        <v>40683143</v>
      </c>
      <c r="E132">
        <v>1</v>
      </c>
      <c r="F132">
        <v>1</v>
      </c>
      <c r="G132">
        <v>27</v>
      </c>
      <c r="H132">
        <v>3</v>
      </c>
      <c r="I132" t="s">
        <v>243</v>
      </c>
      <c r="J132" t="s">
        <v>244</v>
      </c>
      <c r="K132" t="s">
        <v>245</v>
      </c>
      <c r="L132">
        <v>1339</v>
      </c>
      <c r="N132">
        <v>1007</v>
      </c>
      <c r="O132" t="s">
        <v>29</v>
      </c>
      <c r="P132" t="s">
        <v>29</v>
      </c>
      <c r="Q132">
        <v>1</v>
      </c>
      <c r="X132">
        <v>102</v>
      </c>
      <c r="Y132">
        <v>3247.23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102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ROW(Source!A63)</f>
        <v>63</v>
      </c>
      <c r="B133">
        <v>42279704</v>
      </c>
      <c r="C133">
        <v>42279692</v>
      </c>
      <c r="D133">
        <v>40685315</v>
      </c>
      <c r="E133">
        <v>1</v>
      </c>
      <c r="F133">
        <v>1</v>
      </c>
      <c r="G133">
        <v>27</v>
      </c>
      <c r="H133">
        <v>3</v>
      </c>
      <c r="I133" t="s">
        <v>246</v>
      </c>
      <c r="J133" t="s">
        <v>247</v>
      </c>
      <c r="K133" t="s">
        <v>248</v>
      </c>
      <c r="L133">
        <v>1327</v>
      </c>
      <c r="N133">
        <v>1005</v>
      </c>
      <c r="O133" t="s">
        <v>236</v>
      </c>
      <c r="P133" t="s">
        <v>236</v>
      </c>
      <c r="Q133">
        <v>1</v>
      </c>
      <c r="X133">
        <v>65.099999999999994</v>
      </c>
      <c r="Y133">
        <v>241.04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65.099999999999994</v>
      </c>
      <c r="AH133">
        <v>3</v>
      </c>
      <c r="AI133">
        <v>-1</v>
      </c>
      <c r="AJ133" t="s">
        <v>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ROW(Source!A64)</f>
        <v>64</v>
      </c>
      <c r="B134">
        <v>42279708</v>
      </c>
      <c r="C134">
        <v>42279705</v>
      </c>
      <c r="D134">
        <v>40662784</v>
      </c>
      <c r="E134">
        <v>27</v>
      </c>
      <c r="F134">
        <v>1</v>
      </c>
      <c r="G134">
        <v>27</v>
      </c>
      <c r="H134">
        <v>1</v>
      </c>
      <c r="I134" t="s">
        <v>193</v>
      </c>
      <c r="J134" t="s">
        <v>3</v>
      </c>
      <c r="K134" t="s">
        <v>194</v>
      </c>
      <c r="L134">
        <v>1191</v>
      </c>
      <c r="N134">
        <v>1013</v>
      </c>
      <c r="O134" t="s">
        <v>195</v>
      </c>
      <c r="P134" t="s">
        <v>195</v>
      </c>
      <c r="Q134">
        <v>1</v>
      </c>
      <c r="X134">
        <v>227.7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1</v>
      </c>
      <c r="AF134" t="s">
        <v>3</v>
      </c>
      <c r="AG134">
        <v>227.7</v>
      </c>
      <c r="AH134">
        <v>3</v>
      </c>
      <c r="AI134">
        <v>-1</v>
      </c>
      <c r="AJ134" t="s">
        <v>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ROW(Source!A64)</f>
        <v>64</v>
      </c>
      <c r="B135">
        <v>42279709</v>
      </c>
      <c r="C135">
        <v>42279705</v>
      </c>
      <c r="D135">
        <v>40683405</v>
      </c>
      <c r="E135">
        <v>1</v>
      </c>
      <c r="F135">
        <v>1</v>
      </c>
      <c r="G135">
        <v>27</v>
      </c>
      <c r="H135">
        <v>3</v>
      </c>
      <c r="I135" t="s">
        <v>50</v>
      </c>
      <c r="J135" t="s">
        <v>52</v>
      </c>
      <c r="K135" t="s">
        <v>51</v>
      </c>
      <c r="L135">
        <v>1348</v>
      </c>
      <c r="N135">
        <v>1009</v>
      </c>
      <c r="O135" t="s">
        <v>42</v>
      </c>
      <c r="P135" t="s">
        <v>42</v>
      </c>
      <c r="Q135">
        <v>1000</v>
      </c>
      <c r="X135">
        <v>1</v>
      </c>
      <c r="Y135">
        <v>53233.52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2</v>
      </c>
      <c r="AI135">
        <v>42279706</v>
      </c>
      <c r="AJ135">
        <v>65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ROW(Source!A68)</f>
        <v>68</v>
      </c>
      <c r="B136">
        <v>42367343</v>
      </c>
      <c r="C136">
        <v>42367342</v>
      </c>
      <c r="D136">
        <v>40662784</v>
      </c>
      <c r="E136">
        <v>27</v>
      </c>
      <c r="F136">
        <v>1</v>
      </c>
      <c r="G136">
        <v>27</v>
      </c>
      <c r="H136">
        <v>1</v>
      </c>
      <c r="I136" t="s">
        <v>193</v>
      </c>
      <c r="J136" t="s">
        <v>3</v>
      </c>
      <c r="K136" t="s">
        <v>194</v>
      </c>
      <c r="L136">
        <v>1191</v>
      </c>
      <c r="N136">
        <v>1013</v>
      </c>
      <c r="O136" t="s">
        <v>195</v>
      </c>
      <c r="P136" t="s">
        <v>195</v>
      </c>
      <c r="Q136">
        <v>1</v>
      </c>
      <c r="X136">
        <v>221.6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1</v>
      </c>
      <c r="AF136" t="s">
        <v>3</v>
      </c>
      <c r="AG136">
        <v>221.6</v>
      </c>
      <c r="AH136">
        <v>3</v>
      </c>
      <c r="AI136">
        <v>-1</v>
      </c>
      <c r="AJ136" t="s">
        <v>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ROW(Source!A69)</f>
        <v>69</v>
      </c>
      <c r="B137">
        <v>42367351</v>
      </c>
      <c r="C137">
        <v>42367344</v>
      </c>
      <c r="D137">
        <v>40662784</v>
      </c>
      <c r="E137">
        <v>27</v>
      </c>
      <c r="F137">
        <v>1</v>
      </c>
      <c r="G137">
        <v>27</v>
      </c>
      <c r="H137">
        <v>1</v>
      </c>
      <c r="I137" t="s">
        <v>193</v>
      </c>
      <c r="J137" t="s">
        <v>3</v>
      </c>
      <c r="K137" t="s">
        <v>194</v>
      </c>
      <c r="L137">
        <v>1191</v>
      </c>
      <c r="N137">
        <v>1013</v>
      </c>
      <c r="O137" t="s">
        <v>195</v>
      </c>
      <c r="P137" t="s">
        <v>195</v>
      </c>
      <c r="Q137">
        <v>1</v>
      </c>
      <c r="X137">
        <v>0.9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 t="s">
        <v>3</v>
      </c>
      <c r="AG137">
        <v>0.9</v>
      </c>
      <c r="AH137">
        <v>2</v>
      </c>
      <c r="AI137">
        <v>42367345</v>
      </c>
      <c r="AJ137">
        <v>67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ROW(Source!A69)</f>
        <v>69</v>
      </c>
      <c r="B138">
        <v>42367352</v>
      </c>
      <c r="C138">
        <v>42367344</v>
      </c>
      <c r="D138">
        <v>40679631</v>
      </c>
      <c r="E138">
        <v>1</v>
      </c>
      <c r="F138">
        <v>1</v>
      </c>
      <c r="G138">
        <v>27</v>
      </c>
      <c r="H138">
        <v>2</v>
      </c>
      <c r="I138" t="s">
        <v>196</v>
      </c>
      <c r="J138" t="s">
        <v>197</v>
      </c>
      <c r="K138" t="s">
        <v>198</v>
      </c>
      <c r="L138">
        <v>1368</v>
      </c>
      <c r="N138">
        <v>1011</v>
      </c>
      <c r="O138" t="s">
        <v>199</v>
      </c>
      <c r="P138" t="s">
        <v>199</v>
      </c>
      <c r="Q138">
        <v>1</v>
      </c>
      <c r="X138">
        <v>0.22</v>
      </c>
      <c r="Y138">
        <v>0</v>
      </c>
      <c r="Z138">
        <v>470.71</v>
      </c>
      <c r="AA138">
        <v>359.8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0.22</v>
      </c>
      <c r="AH138">
        <v>2</v>
      </c>
      <c r="AI138">
        <v>42367346</v>
      </c>
      <c r="AJ138">
        <v>68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ROW(Source!A69)</f>
        <v>69</v>
      </c>
      <c r="B139">
        <v>42367353</v>
      </c>
      <c r="C139">
        <v>42367344</v>
      </c>
      <c r="D139">
        <v>40680099</v>
      </c>
      <c r="E139">
        <v>1</v>
      </c>
      <c r="F139">
        <v>1</v>
      </c>
      <c r="G139">
        <v>27</v>
      </c>
      <c r="H139">
        <v>2</v>
      </c>
      <c r="I139" t="s">
        <v>200</v>
      </c>
      <c r="J139" t="s">
        <v>201</v>
      </c>
      <c r="K139" t="s">
        <v>202</v>
      </c>
      <c r="L139">
        <v>1368</v>
      </c>
      <c r="N139">
        <v>1011</v>
      </c>
      <c r="O139" t="s">
        <v>199</v>
      </c>
      <c r="P139" t="s">
        <v>199</v>
      </c>
      <c r="Q139">
        <v>1</v>
      </c>
      <c r="X139">
        <v>0.45</v>
      </c>
      <c r="Y139">
        <v>0</v>
      </c>
      <c r="Z139">
        <v>3.75</v>
      </c>
      <c r="AA139">
        <v>2.56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0.45</v>
      </c>
      <c r="AH139">
        <v>2</v>
      </c>
      <c r="AI139">
        <v>42367347</v>
      </c>
      <c r="AJ139">
        <v>69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ROW(Source!A69)</f>
        <v>69</v>
      </c>
      <c r="B140">
        <v>42367354</v>
      </c>
      <c r="C140">
        <v>42367344</v>
      </c>
      <c r="D140">
        <v>40679388</v>
      </c>
      <c r="E140">
        <v>1</v>
      </c>
      <c r="F140">
        <v>1</v>
      </c>
      <c r="G140">
        <v>27</v>
      </c>
      <c r="H140">
        <v>2</v>
      </c>
      <c r="I140" t="s">
        <v>203</v>
      </c>
      <c r="J140" t="s">
        <v>204</v>
      </c>
      <c r="K140" t="s">
        <v>205</v>
      </c>
      <c r="L140">
        <v>1368</v>
      </c>
      <c r="N140">
        <v>1011</v>
      </c>
      <c r="O140" t="s">
        <v>199</v>
      </c>
      <c r="P140" t="s">
        <v>199</v>
      </c>
      <c r="Q140">
        <v>1</v>
      </c>
      <c r="X140">
        <v>0.09</v>
      </c>
      <c r="Y140">
        <v>0</v>
      </c>
      <c r="Z140">
        <v>1171.51</v>
      </c>
      <c r="AA140">
        <v>487.24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0.09</v>
      </c>
      <c r="AH140">
        <v>2</v>
      </c>
      <c r="AI140">
        <v>42367348</v>
      </c>
      <c r="AJ140">
        <v>70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ROW(Source!A69)</f>
        <v>69</v>
      </c>
      <c r="B141">
        <v>42367355</v>
      </c>
      <c r="C141">
        <v>42367344</v>
      </c>
      <c r="D141">
        <v>40681432</v>
      </c>
      <c r="E141">
        <v>1</v>
      </c>
      <c r="F141">
        <v>1</v>
      </c>
      <c r="G141">
        <v>27</v>
      </c>
      <c r="H141">
        <v>3</v>
      </c>
      <c r="I141" t="s">
        <v>206</v>
      </c>
      <c r="J141" t="s">
        <v>207</v>
      </c>
      <c r="K141" t="s">
        <v>208</v>
      </c>
      <c r="L141">
        <v>1339</v>
      </c>
      <c r="N141">
        <v>1007</v>
      </c>
      <c r="O141" t="s">
        <v>29</v>
      </c>
      <c r="P141" t="s">
        <v>29</v>
      </c>
      <c r="Q141">
        <v>1</v>
      </c>
      <c r="X141">
        <v>1.1000000000000001</v>
      </c>
      <c r="Y141">
        <v>590.78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1.1000000000000001</v>
      </c>
      <c r="AH141">
        <v>2</v>
      </c>
      <c r="AI141">
        <v>42367349</v>
      </c>
      <c r="AJ141">
        <v>71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ROW(Source!A69)</f>
        <v>69</v>
      </c>
      <c r="B142">
        <v>42367356</v>
      </c>
      <c r="C142">
        <v>42367344</v>
      </c>
      <c r="D142">
        <v>40682177</v>
      </c>
      <c r="E142">
        <v>1</v>
      </c>
      <c r="F142">
        <v>1</v>
      </c>
      <c r="G142">
        <v>27</v>
      </c>
      <c r="H142">
        <v>3</v>
      </c>
      <c r="I142" t="s">
        <v>209</v>
      </c>
      <c r="J142" t="s">
        <v>210</v>
      </c>
      <c r="K142" t="s">
        <v>211</v>
      </c>
      <c r="L142">
        <v>1339</v>
      </c>
      <c r="N142">
        <v>1007</v>
      </c>
      <c r="O142" t="s">
        <v>29</v>
      </c>
      <c r="P142" t="s">
        <v>29</v>
      </c>
      <c r="Q142">
        <v>1</v>
      </c>
      <c r="X142">
        <v>0.15</v>
      </c>
      <c r="Y142">
        <v>35.25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0.15</v>
      </c>
      <c r="AH142">
        <v>2</v>
      </c>
      <c r="AI142">
        <v>42367350</v>
      </c>
      <c r="AJ142">
        <v>72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ROW(Source!A70)</f>
        <v>70</v>
      </c>
      <c r="B143">
        <v>42367364</v>
      </c>
      <c r="C143">
        <v>42367357</v>
      </c>
      <c r="D143">
        <v>40662784</v>
      </c>
      <c r="E143">
        <v>27</v>
      </c>
      <c r="F143">
        <v>1</v>
      </c>
      <c r="G143">
        <v>27</v>
      </c>
      <c r="H143">
        <v>1</v>
      </c>
      <c r="I143" t="s">
        <v>193</v>
      </c>
      <c r="J143" t="s">
        <v>3</v>
      </c>
      <c r="K143" t="s">
        <v>194</v>
      </c>
      <c r="L143">
        <v>1191</v>
      </c>
      <c r="N143">
        <v>1013</v>
      </c>
      <c r="O143" t="s">
        <v>195</v>
      </c>
      <c r="P143" t="s">
        <v>195</v>
      </c>
      <c r="Q143">
        <v>1</v>
      </c>
      <c r="X143">
        <v>0.98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F143" t="s">
        <v>3</v>
      </c>
      <c r="AG143">
        <v>0.98</v>
      </c>
      <c r="AH143">
        <v>2</v>
      </c>
      <c r="AI143">
        <v>42367358</v>
      </c>
      <c r="AJ143">
        <v>73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ROW(Source!A70)</f>
        <v>70</v>
      </c>
      <c r="B144">
        <v>42367365</v>
      </c>
      <c r="C144">
        <v>42367357</v>
      </c>
      <c r="D144">
        <v>40679631</v>
      </c>
      <c r="E144">
        <v>1</v>
      </c>
      <c r="F144">
        <v>1</v>
      </c>
      <c r="G144">
        <v>27</v>
      </c>
      <c r="H144">
        <v>2</v>
      </c>
      <c r="I144" t="s">
        <v>196</v>
      </c>
      <c r="J144" t="s">
        <v>197</v>
      </c>
      <c r="K144" t="s">
        <v>198</v>
      </c>
      <c r="L144">
        <v>1368</v>
      </c>
      <c r="N144">
        <v>1011</v>
      </c>
      <c r="O144" t="s">
        <v>199</v>
      </c>
      <c r="P144" t="s">
        <v>199</v>
      </c>
      <c r="Q144">
        <v>1</v>
      </c>
      <c r="X144">
        <v>0.25</v>
      </c>
      <c r="Y144">
        <v>0</v>
      </c>
      <c r="Z144">
        <v>470.71</v>
      </c>
      <c r="AA144">
        <v>359.8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0.25</v>
      </c>
      <c r="AH144">
        <v>2</v>
      </c>
      <c r="AI144">
        <v>42367359</v>
      </c>
      <c r="AJ144">
        <v>74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ROW(Source!A70)</f>
        <v>70</v>
      </c>
      <c r="B145">
        <v>42367366</v>
      </c>
      <c r="C145">
        <v>42367357</v>
      </c>
      <c r="D145">
        <v>40680099</v>
      </c>
      <c r="E145">
        <v>1</v>
      </c>
      <c r="F145">
        <v>1</v>
      </c>
      <c r="G145">
        <v>27</v>
      </c>
      <c r="H145">
        <v>2</v>
      </c>
      <c r="I145" t="s">
        <v>200</v>
      </c>
      <c r="J145" t="s">
        <v>201</v>
      </c>
      <c r="K145" t="s">
        <v>202</v>
      </c>
      <c r="L145">
        <v>1368</v>
      </c>
      <c r="N145">
        <v>1011</v>
      </c>
      <c r="O145" t="s">
        <v>199</v>
      </c>
      <c r="P145" t="s">
        <v>199</v>
      </c>
      <c r="Q145">
        <v>1</v>
      </c>
      <c r="X145">
        <v>0.5</v>
      </c>
      <c r="Y145">
        <v>0</v>
      </c>
      <c r="Z145">
        <v>3.75</v>
      </c>
      <c r="AA145">
        <v>2.56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0.5</v>
      </c>
      <c r="AH145">
        <v>2</v>
      </c>
      <c r="AI145">
        <v>42367360</v>
      </c>
      <c r="AJ145">
        <v>75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ROW(Source!A70)</f>
        <v>70</v>
      </c>
      <c r="B146">
        <v>42367367</v>
      </c>
      <c r="C146">
        <v>42367357</v>
      </c>
      <c r="D146">
        <v>40679388</v>
      </c>
      <c r="E146">
        <v>1</v>
      </c>
      <c r="F146">
        <v>1</v>
      </c>
      <c r="G146">
        <v>27</v>
      </c>
      <c r="H146">
        <v>2</v>
      </c>
      <c r="I146" t="s">
        <v>203</v>
      </c>
      <c r="J146" t="s">
        <v>204</v>
      </c>
      <c r="K146" t="s">
        <v>205</v>
      </c>
      <c r="L146">
        <v>1368</v>
      </c>
      <c r="N146">
        <v>1011</v>
      </c>
      <c r="O146" t="s">
        <v>199</v>
      </c>
      <c r="P146" t="s">
        <v>199</v>
      </c>
      <c r="Q146">
        <v>1</v>
      </c>
      <c r="X146">
        <v>0.09</v>
      </c>
      <c r="Y146">
        <v>0</v>
      </c>
      <c r="Z146">
        <v>1171.51</v>
      </c>
      <c r="AA146">
        <v>487.24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0.09</v>
      </c>
      <c r="AH146">
        <v>2</v>
      </c>
      <c r="AI146">
        <v>42367361</v>
      </c>
      <c r="AJ146">
        <v>76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ROW(Source!A70)</f>
        <v>70</v>
      </c>
      <c r="B147">
        <v>42367368</v>
      </c>
      <c r="C147">
        <v>42367357</v>
      </c>
      <c r="D147">
        <v>40681466</v>
      </c>
      <c r="E147">
        <v>1</v>
      </c>
      <c r="F147">
        <v>1</v>
      </c>
      <c r="G147">
        <v>27</v>
      </c>
      <c r="H147">
        <v>3</v>
      </c>
      <c r="I147" t="s">
        <v>212</v>
      </c>
      <c r="J147" t="s">
        <v>213</v>
      </c>
      <c r="K147" t="s">
        <v>214</v>
      </c>
      <c r="L147">
        <v>1339</v>
      </c>
      <c r="N147">
        <v>1007</v>
      </c>
      <c r="O147" t="s">
        <v>29</v>
      </c>
      <c r="P147" t="s">
        <v>29</v>
      </c>
      <c r="Q147">
        <v>1</v>
      </c>
      <c r="X147">
        <v>1.1499999999999999</v>
      </c>
      <c r="Y147">
        <v>1436.5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1.1499999999999999</v>
      </c>
      <c r="AH147">
        <v>2</v>
      </c>
      <c r="AI147">
        <v>42367362</v>
      </c>
      <c r="AJ147">
        <v>77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ROW(Source!A70)</f>
        <v>70</v>
      </c>
      <c r="B148">
        <v>42367369</v>
      </c>
      <c r="C148">
        <v>42367357</v>
      </c>
      <c r="D148">
        <v>40682177</v>
      </c>
      <c r="E148">
        <v>1</v>
      </c>
      <c r="F148">
        <v>1</v>
      </c>
      <c r="G148">
        <v>27</v>
      </c>
      <c r="H148">
        <v>3</v>
      </c>
      <c r="I148" t="s">
        <v>209</v>
      </c>
      <c r="J148" t="s">
        <v>210</v>
      </c>
      <c r="K148" t="s">
        <v>211</v>
      </c>
      <c r="L148">
        <v>1339</v>
      </c>
      <c r="N148">
        <v>1007</v>
      </c>
      <c r="O148" t="s">
        <v>29</v>
      </c>
      <c r="P148" t="s">
        <v>29</v>
      </c>
      <c r="Q148">
        <v>1</v>
      </c>
      <c r="X148">
        <v>0.15</v>
      </c>
      <c r="Y148">
        <v>35.25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0.15</v>
      </c>
      <c r="AH148">
        <v>2</v>
      </c>
      <c r="AI148">
        <v>42367363</v>
      </c>
      <c r="AJ148">
        <v>78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ROW(Source!A71)</f>
        <v>71</v>
      </c>
      <c r="B149">
        <v>42279719</v>
      </c>
      <c r="C149">
        <v>42279718</v>
      </c>
      <c r="D149">
        <v>40662784</v>
      </c>
      <c r="E149">
        <v>27</v>
      </c>
      <c r="F149">
        <v>1</v>
      </c>
      <c r="G149">
        <v>27</v>
      </c>
      <c r="H149">
        <v>1</v>
      </c>
      <c r="I149" t="s">
        <v>193</v>
      </c>
      <c r="J149" t="s">
        <v>3</v>
      </c>
      <c r="K149" t="s">
        <v>194</v>
      </c>
      <c r="L149">
        <v>1191</v>
      </c>
      <c r="N149">
        <v>1013</v>
      </c>
      <c r="O149" t="s">
        <v>195</v>
      </c>
      <c r="P149" t="s">
        <v>195</v>
      </c>
      <c r="Q149">
        <v>1</v>
      </c>
      <c r="X149">
        <v>563.5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1</v>
      </c>
      <c r="AF149" t="s">
        <v>3</v>
      </c>
      <c r="AG149">
        <v>563.5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ROW(Source!A71)</f>
        <v>71</v>
      </c>
      <c r="B150">
        <v>42279720</v>
      </c>
      <c r="C150">
        <v>42279718</v>
      </c>
      <c r="D150">
        <v>40680122</v>
      </c>
      <c r="E150">
        <v>1</v>
      </c>
      <c r="F150">
        <v>1</v>
      </c>
      <c r="G150">
        <v>27</v>
      </c>
      <c r="H150">
        <v>2</v>
      </c>
      <c r="I150" t="s">
        <v>218</v>
      </c>
      <c r="J150" t="s">
        <v>219</v>
      </c>
      <c r="K150" t="s">
        <v>220</v>
      </c>
      <c r="L150">
        <v>1368</v>
      </c>
      <c r="N150">
        <v>1011</v>
      </c>
      <c r="O150" t="s">
        <v>199</v>
      </c>
      <c r="P150" t="s">
        <v>199</v>
      </c>
      <c r="Q150">
        <v>1</v>
      </c>
      <c r="X150">
        <v>1.08</v>
      </c>
      <c r="Y150">
        <v>0</v>
      </c>
      <c r="Z150">
        <v>3.67</v>
      </c>
      <c r="AA150">
        <v>0.01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1.08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ROW(Source!A71)</f>
        <v>71</v>
      </c>
      <c r="B151">
        <v>42279721</v>
      </c>
      <c r="C151">
        <v>42279718</v>
      </c>
      <c r="D151">
        <v>40679392</v>
      </c>
      <c r="E151">
        <v>1</v>
      </c>
      <c r="F151">
        <v>1</v>
      </c>
      <c r="G151">
        <v>27</v>
      </c>
      <c r="H151">
        <v>2</v>
      </c>
      <c r="I151" t="s">
        <v>221</v>
      </c>
      <c r="J151" t="s">
        <v>222</v>
      </c>
      <c r="K151" t="s">
        <v>223</v>
      </c>
      <c r="L151">
        <v>1368</v>
      </c>
      <c r="N151">
        <v>1011</v>
      </c>
      <c r="O151" t="s">
        <v>199</v>
      </c>
      <c r="P151" t="s">
        <v>199</v>
      </c>
      <c r="Q151">
        <v>1</v>
      </c>
      <c r="X151">
        <v>0.31</v>
      </c>
      <c r="Y151">
        <v>0</v>
      </c>
      <c r="Z151">
        <v>683.9</v>
      </c>
      <c r="AA151">
        <v>371.27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0.31</v>
      </c>
      <c r="AH151">
        <v>3</v>
      </c>
      <c r="AI151">
        <v>-1</v>
      </c>
      <c r="AJ151" t="s">
        <v>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ROW(Source!A71)</f>
        <v>71</v>
      </c>
      <c r="B152">
        <v>42279722</v>
      </c>
      <c r="C152">
        <v>42279718</v>
      </c>
      <c r="D152">
        <v>40679562</v>
      </c>
      <c r="E152">
        <v>1</v>
      </c>
      <c r="F152">
        <v>1</v>
      </c>
      <c r="G152">
        <v>27</v>
      </c>
      <c r="H152">
        <v>2</v>
      </c>
      <c r="I152" t="s">
        <v>224</v>
      </c>
      <c r="J152" t="s">
        <v>225</v>
      </c>
      <c r="K152" t="s">
        <v>226</v>
      </c>
      <c r="L152">
        <v>1368</v>
      </c>
      <c r="N152">
        <v>1011</v>
      </c>
      <c r="O152" t="s">
        <v>199</v>
      </c>
      <c r="P152" t="s">
        <v>199</v>
      </c>
      <c r="Q152">
        <v>1</v>
      </c>
      <c r="X152">
        <v>30.62</v>
      </c>
      <c r="Y152">
        <v>0</v>
      </c>
      <c r="Z152">
        <v>10.82</v>
      </c>
      <c r="AA152">
        <v>2.97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30.62</v>
      </c>
      <c r="AH152">
        <v>3</v>
      </c>
      <c r="AI152">
        <v>-1</v>
      </c>
      <c r="AJ152" t="s">
        <v>3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ROW(Source!A71)</f>
        <v>71</v>
      </c>
      <c r="B153">
        <v>42279723</v>
      </c>
      <c r="C153">
        <v>42279718</v>
      </c>
      <c r="D153">
        <v>40680932</v>
      </c>
      <c r="E153">
        <v>1</v>
      </c>
      <c r="F153">
        <v>1</v>
      </c>
      <c r="G153">
        <v>27</v>
      </c>
      <c r="H153">
        <v>3</v>
      </c>
      <c r="I153" t="s">
        <v>227</v>
      </c>
      <c r="J153" t="s">
        <v>228</v>
      </c>
      <c r="K153" t="s">
        <v>229</v>
      </c>
      <c r="L153">
        <v>1348</v>
      </c>
      <c r="N153">
        <v>1009</v>
      </c>
      <c r="O153" t="s">
        <v>42</v>
      </c>
      <c r="P153" t="s">
        <v>42</v>
      </c>
      <c r="Q153">
        <v>1000</v>
      </c>
      <c r="X153">
        <v>7.6200000000000004E-2</v>
      </c>
      <c r="Y153">
        <v>32318.55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7.6200000000000004E-2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ROW(Source!A71)</f>
        <v>71</v>
      </c>
      <c r="B154">
        <v>42279724</v>
      </c>
      <c r="C154">
        <v>42279718</v>
      </c>
      <c r="D154">
        <v>40681252</v>
      </c>
      <c r="E154">
        <v>1</v>
      </c>
      <c r="F154">
        <v>1</v>
      </c>
      <c r="G154">
        <v>27</v>
      </c>
      <c r="H154">
        <v>3</v>
      </c>
      <c r="I154" t="s">
        <v>230</v>
      </c>
      <c r="J154" t="s">
        <v>231</v>
      </c>
      <c r="K154" t="s">
        <v>232</v>
      </c>
      <c r="L154">
        <v>1348</v>
      </c>
      <c r="N154">
        <v>1009</v>
      </c>
      <c r="O154" t="s">
        <v>42</v>
      </c>
      <c r="P154" t="s">
        <v>42</v>
      </c>
      <c r="Q154">
        <v>1000</v>
      </c>
      <c r="X154">
        <v>0.03</v>
      </c>
      <c r="Y154">
        <v>49736.04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0.03</v>
      </c>
      <c r="AH154">
        <v>3</v>
      </c>
      <c r="AI154">
        <v>-1</v>
      </c>
      <c r="AJ154" t="s">
        <v>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ROW(Source!A71)</f>
        <v>71</v>
      </c>
      <c r="B155">
        <v>42279726</v>
      </c>
      <c r="C155">
        <v>42279718</v>
      </c>
      <c r="D155">
        <v>40682000</v>
      </c>
      <c r="E155">
        <v>1</v>
      </c>
      <c r="F155">
        <v>1</v>
      </c>
      <c r="G155">
        <v>27</v>
      </c>
      <c r="H155">
        <v>3</v>
      </c>
      <c r="I155" t="s">
        <v>233</v>
      </c>
      <c r="J155" t="s">
        <v>234</v>
      </c>
      <c r="K155" t="s">
        <v>235</v>
      </c>
      <c r="L155">
        <v>1327</v>
      </c>
      <c r="N155">
        <v>1005</v>
      </c>
      <c r="O155" t="s">
        <v>236</v>
      </c>
      <c r="P155" t="s">
        <v>236</v>
      </c>
      <c r="Q155">
        <v>1</v>
      </c>
      <c r="X155">
        <v>75</v>
      </c>
      <c r="Y155">
        <v>91.89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75</v>
      </c>
      <c r="AH155">
        <v>3</v>
      </c>
      <c r="AI155">
        <v>-1</v>
      </c>
      <c r="AJ155" t="s">
        <v>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ROW(Source!A71)</f>
        <v>71</v>
      </c>
      <c r="B156">
        <v>42279725</v>
      </c>
      <c r="C156">
        <v>42279718</v>
      </c>
      <c r="D156">
        <v>40680371</v>
      </c>
      <c r="E156">
        <v>1</v>
      </c>
      <c r="F156">
        <v>1</v>
      </c>
      <c r="G156">
        <v>27</v>
      </c>
      <c r="H156">
        <v>3</v>
      </c>
      <c r="I156" t="s">
        <v>237</v>
      </c>
      <c r="J156" t="s">
        <v>238</v>
      </c>
      <c r="K156" t="s">
        <v>239</v>
      </c>
      <c r="L156">
        <v>1348</v>
      </c>
      <c r="N156">
        <v>1009</v>
      </c>
      <c r="O156" t="s">
        <v>42</v>
      </c>
      <c r="P156" t="s">
        <v>42</v>
      </c>
      <c r="Q156">
        <v>1000</v>
      </c>
      <c r="X156">
        <v>8.2000000000000003E-2</v>
      </c>
      <c r="Y156">
        <v>4752.34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8.2000000000000003E-2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ROW(Source!A71)</f>
        <v>71</v>
      </c>
      <c r="B157">
        <v>42279727</v>
      </c>
      <c r="C157">
        <v>42279718</v>
      </c>
      <c r="D157">
        <v>40682177</v>
      </c>
      <c r="E157">
        <v>1</v>
      </c>
      <c r="F157">
        <v>1</v>
      </c>
      <c r="G157">
        <v>27</v>
      </c>
      <c r="H157">
        <v>3</v>
      </c>
      <c r="I157" t="s">
        <v>209</v>
      </c>
      <c r="J157" t="s">
        <v>210</v>
      </c>
      <c r="K157" t="s">
        <v>211</v>
      </c>
      <c r="L157">
        <v>1339</v>
      </c>
      <c r="N157">
        <v>1007</v>
      </c>
      <c r="O157" t="s">
        <v>29</v>
      </c>
      <c r="P157" t="s">
        <v>29</v>
      </c>
      <c r="Q157">
        <v>1</v>
      </c>
      <c r="X157">
        <v>0.42399999999999999</v>
      </c>
      <c r="Y157">
        <v>35.25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0.42399999999999999</v>
      </c>
      <c r="AH157">
        <v>3</v>
      </c>
      <c r="AI157">
        <v>-1</v>
      </c>
      <c r="AJ157" t="s">
        <v>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ROW(Source!A71)</f>
        <v>71</v>
      </c>
      <c r="B158">
        <v>42279728</v>
      </c>
      <c r="C158">
        <v>42279718</v>
      </c>
      <c r="D158">
        <v>40680879</v>
      </c>
      <c r="E158">
        <v>1</v>
      </c>
      <c r="F158">
        <v>1</v>
      </c>
      <c r="G158">
        <v>27</v>
      </c>
      <c r="H158">
        <v>3</v>
      </c>
      <c r="I158" t="s">
        <v>240</v>
      </c>
      <c r="J158" t="s">
        <v>241</v>
      </c>
      <c r="K158" t="s">
        <v>242</v>
      </c>
      <c r="L158">
        <v>1339</v>
      </c>
      <c r="N158">
        <v>1007</v>
      </c>
      <c r="O158" t="s">
        <v>29</v>
      </c>
      <c r="P158" t="s">
        <v>29</v>
      </c>
      <c r="Q158">
        <v>1</v>
      </c>
      <c r="X158">
        <v>0.7</v>
      </c>
      <c r="Y158">
        <v>7098.7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0.7</v>
      </c>
      <c r="AH158">
        <v>3</v>
      </c>
      <c r="AI158">
        <v>-1</v>
      </c>
      <c r="AJ158" t="s">
        <v>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ROW(Source!A71)</f>
        <v>71</v>
      </c>
      <c r="B159">
        <v>42279729</v>
      </c>
      <c r="C159">
        <v>42279718</v>
      </c>
      <c r="D159">
        <v>40683143</v>
      </c>
      <c r="E159">
        <v>1</v>
      </c>
      <c r="F159">
        <v>1</v>
      </c>
      <c r="G159">
        <v>27</v>
      </c>
      <c r="H159">
        <v>3</v>
      </c>
      <c r="I159" t="s">
        <v>243</v>
      </c>
      <c r="J159" t="s">
        <v>244</v>
      </c>
      <c r="K159" t="s">
        <v>245</v>
      </c>
      <c r="L159">
        <v>1339</v>
      </c>
      <c r="N159">
        <v>1007</v>
      </c>
      <c r="O159" t="s">
        <v>29</v>
      </c>
      <c r="P159" t="s">
        <v>29</v>
      </c>
      <c r="Q159">
        <v>1</v>
      </c>
      <c r="X159">
        <v>102</v>
      </c>
      <c r="Y159">
        <v>3247.23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102</v>
      </c>
      <c r="AH159">
        <v>3</v>
      </c>
      <c r="AI159">
        <v>-1</v>
      </c>
      <c r="AJ159" t="s">
        <v>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ROW(Source!A71)</f>
        <v>71</v>
      </c>
      <c r="B160">
        <v>42279730</v>
      </c>
      <c r="C160">
        <v>42279718</v>
      </c>
      <c r="D160">
        <v>40685315</v>
      </c>
      <c r="E160">
        <v>1</v>
      </c>
      <c r="F160">
        <v>1</v>
      </c>
      <c r="G160">
        <v>27</v>
      </c>
      <c r="H160">
        <v>3</v>
      </c>
      <c r="I160" t="s">
        <v>246</v>
      </c>
      <c r="J160" t="s">
        <v>247</v>
      </c>
      <c r="K160" t="s">
        <v>248</v>
      </c>
      <c r="L160">
        <v>1327</v>
      </c>
      <c r="N160">
        <v>1005</v>
      </c>
      <c r="O160" t="s">
        <v>236</v>
      </c>
      <c r="P160" t="s">
        <v>236</v>
      </c>
      <c r="Q160">
        <v>1</v>
      </c>
      <c r="X160">
        <v>65.099999999999994</v>
      </c>
      <c r="Y160">
        <v>241.04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65.099999999999994</v>
      </c>
      <c r="AH160">
        <v>3</v>
      </c>
      <c r="AI160">
        <v>-1</v>
      </c>
      <c r="AJ160" t="s">
        <v>3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ROW(Source!A72)</f>
        <v>72</v>
      </c>
      <c r="B161">
        <v>42279734</v>
      </c>
      <c r="C161">
        <v>42279731</v>
      </c>
      <c r="D161">
        <v>40662784</v>
      </c>
      <c r="E161">
        <v>27</v>
      </c>
      <c r="F161">
        <v>1</v>
      </c>
      <c r="G161">
        <v>27</v>
      </c>
      <c r="H161">
        <v>1</v>
      </c>
      <c r="I161" t="s">
        <v>193</v>
      </c>
      <c r="J161" t="s">
        <v>3</v>
      </c>
      <c r="K161" t="s">
        <v>194</v>
      </c>
      <c r="L161">
        <v>1191</v>
      </c>
      <c r="N161">
        <v>1013</v>
      </c>
      <c r="O161" t="s">
        <v>195</v>
      </c>
      <c r="P161" t="s">
        <v>195</v>
      </c>
      <c r="Q161">
        <v>1</v>
      </c>
      <c r="X161">
        <v>227.7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1</v>
      </c>
      <c r="AF161" t="s">
        <v>3</v>
      </c>
      <c r="AG161">
        <v>227.7</v>
      </c>
      <c r="AH161">
        <v>3</v>
      </c>
      <c r="AI161">
        <v>-1</v>
      </c>
      <c r="AJ161" t="s">
        <v>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ROW(Source!A72)</f>
        <v>72</v>
      </c>
      <c r="B162">
        <v>42279735</v>
      </c>
      <c r="C162">
        <v>42279731</v>
      </c>
      <c r="D162">
        <v>40683405</v>
      </c>
      <c r="E162">
        <v>1</v>
      </c>
      <c r="F162">
        <v>1</v>
      </c>
      <c r="G162">
        <v>27</v>
      </c>
      <c r="H162">
        <v>3</v>
      </c>
      <c r="I162" t="s">
        <v>50</v>
      </c>
      <c r="J162" t="s">
        <v>52</v>
      </c>
      <c r="K162" t="s">
        <v>51</v>
      </c>
      <c r="L162">
        <v>1348</v>
      </c>
      <c r="N162">
        <v>1009</v>
      </c>
      <c r="O162" t="s">
        <v>42</v>
      </c>
      <c r="P162" t="s">
        <v>42</v>
      </c>
      <c r="Q162">
        <v>1000</v>
      </c>
      <c r="X162">
        <v>1</v>
      </c>
      <c r="Y162">
        <v>53233.52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1</v>
      </c>
      <c r="AH162">
        <v>2</v>
      </c>
      <c r="AI162">
        <v>42279732</v>
      </c>
      <c r="AJ162">
        <v>79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ROW(Source!A76)</f>
        <v>76</v>
      </c>
      <c r="B163">
        <v>42367371</v>
      </c>
      <c r="C163">
        <v>42367370</v>
      </c>
      <c r="D163">
        <v>40662784</v>
      </c>
      <c r="E163">
        <v>27</v>
      </c>
      <c r="F163">
        <v>1</v>
      </c>
      <c r="G163">
        <v>27</v>
      </c>
      <c r="H163">
        <v>1</v>
      </c>
      <c r="I163" t="s">
        <v>193</v>
      </c>
      <c r="J163" t="s">
        <v>3</v>
      </c>
      <c r="K163" t="s">
        <v>194</v>
      </c>
      <c r="L163">
        <v>1191</v>
      </c>
      <c r="N163">
        <v>1013</v>
      </c>
      <c r="O163" t="s">
        <v>195</v>
      </c>
      <c r="P163" t="s">
        <v>195</v>
      </c>
      <c r="Q163">
        <v>1</v>
      </c>
      <c r="X163">
        <v>221.6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1</v>
      </c>
      <c r="AF163" t="s">
        <v>3</v>
      </c>
      <c r="AG163">
        <v>221.6</v>
      </c>
      <c r="AH163">
        <v>3</v>
      </c>
      <c r="AI163">
        <v>-1</v>
      </c>
      <c r="AJ163" t="s">
        <v>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ROW(Source!A77)</f>
        <v>77</v>
      </c>
      <c r="B164">
        <v>42367379</v>
      </c>
      <c r="C164">
        <v>42367372</v>
      </c>
      <c r="D164">
        <v>40662784</v>
      </c>
      <c r="E164">
        <v>27</v>
      </c>
      <c r="F164">
        <v>1</v>
      </c>
      <c r="G164">
        <v>27</v>
      </c>
      <c r="H164">
        <v>1</v>
      </c>
      <c r="I164" t="s">
        <v>193</v>
      </c>
      <c r="J164" t="s">
        <v>3</v>
      </c>
      <c r="K164" t="s">
        <v>194</v>
      </c>
      <c r="L164">
        <v>1191</v>
      </c>
      <c r="N164">
        <v>1013</v>
      </c>
      <c r="O164" t="s">
        <v>195</v>
      </c>
      <c r="P164" t="s">
        <v>195</v>
      </c>
      <c r="Q164">
        <v>1</v>
      </c>
      <c r="X164">
        <v>0.9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 t="s">
        <v>3</v>
      </c>
      <c r="AG164">
        <v>0.9</v>
      </c>
      <c r="AH164">
        <v>2</v>
      </c>
      <c r="AI164">
        <v>42367373</v>
      </c>
      <c r="AJ164">
        <v>81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ROW(Source!A77)</f>
        <v>77</v>
      </c>
      <c r="B165">
        <v>42367380</v>
      </c>
      <c r="C165">
        <v>42367372</v>
      </c>
      <c r="D165">
        <v>40679631</v>
      </c>
      <c r="E165">
        <v>1</v>
      </c>
      <c r="F165">
        <v>1</v>
      </c>
      <c r="G165">
        <v>27</v>
      </c>
      <c r="H165">
        <v>2</v>
      </c>
      <c r="I165" t="s">
        <v>196</v>
      </c>
      <c r="J165" t="s">
        <v>197</v>
      </c>
      <c r="K165" t="s">
        <v>198</v>
      </c>
      <c r="L165">
        <v>1368</v>
      </c>
      <c r="N165">
        <v>1011</v>
      </c>
      <c r="O165" t="s">
        <v>199</v>
      </c>
      <c r="P165" t="s">
        <v>199</v>
      </c>
      <c r="Q165">
        <v>1</v>
      </c>
      <c r="X165">
        <v>0.22</v>
      </c>
      <c r="Y165">
        <v>0</v>
      </c>
      <c r="Z165">
        <v>470.71</v>
      </c>
      <c r="AA165">
        <v>359.8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0.22</v>
      </c>
      <c r="AH165">
        <v>2</v>
      </c>
      <c r="AI165">
        <v>42367374</v>
      </c>
      <c r="AJ165">
        <v>82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ROW(Source!A77)</f>
        <v>77</v>
      </c>
      <c r="B166">
        <v>42367381</v>
      </c>
      <c r="C166">
        <v>42367372</v>
      </c>
      <c r="D166">
        <v>40680099</v>
      </c>
      <c r="E166">
        <v>1</v>
      </c>
      <c r="F166">
        <v>1</v>
      </c>
      <c r="G166">
        <v>27</v>
      </c>
      <c r="H166">
        <v>2</v>
      </c>
      <c r="I166" t="s">
        <v>200</v>
      </c>
      <c r="J166" t="s">
        <v>201</v>
      </c>
      <c r="K166" t="s">
        <v>202</v>
      </c>
      <c r="L166">
        <v>1368</v>
      </c>
      <c r="N166">
        <v>1011</v>
      </c>
      <c r="O166" t="s">
        <v>199</v>
      </c>
      <c r="P166" t="s">
        <v>199</v>
      </c>
      <c r="Q166">
        <v>1</v>
      </c>
      <c r="X166">
        <v>0.45</v>
      </c>
      <c r="Y166">
        <v>0</v>
      </c>
      <c r="Z166">
        <v>3.75</v>
      </c>
      <c r="AA166">
        <v>2.56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0.45</v>
      </c>
      <c r="AH166">
        <v>2</v>
      </c>
      <c r="AI166">
        <v>42367375</v>
      </c>
      <c r="AJ166">
        <v>83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ROW(Source!A77)</f>
        <v>77</v>
      </c>
      <c r="B167">
        <v>42367382</v>
      </c>
      <c r="C167">
        <v>42367372</v>
      </c>
      <c r="D167">
        <v>40679388</v>
      </c>
      <c r="E167">
        <v>1</v>
      </c>
      <c r="F167">
        <v>1</v>
      </c>
      <c r="G167">
        <v>27</v>
      </c>
      <c r="H167">
        <v>2</v>
      </c>
      <c r="I167" t="s">
        <v>203</v>
      </c>
      <c r="J167" t="s">
        <v>204</v>
      </c>
      <c r="K167" t="s">
        <v>205</v>
      </c>
      <c r="L167">
        <v>1368</v>
      </c>
      <c r="N167">
        <v>1011</v>
      </c>
      <c r="O167" t="s">
        <v>199</v>
      </c>
      <c r="P167" t="s">
        <v>199</v>
      </c>
      <c r="Q167">
        <v>1</v>
      </c>
      <c r="X167">
        <v>0.09</v>
      </c>
      <c r="Y167">
        <v>0</v>
      </c>
      <c r="Z167">
        <v>1171.51</v>
      </c>
      <c r="AA167">
        <v>487.24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0.09</v>
      </c>
      <c r="AH167">
        <v>2</v>
      </c>
      <c r="AI167">
        <v>42367376</v>
      </c>
      <c r="AJ167">
        <v>84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ROW(Source!A77)</f>
        <v>77</v>
      </c>
      <c r="B168">
        <v>42367383</v>
      </c>
      <c r="C168">
        <v>42367372</v>
      </c>
      <c r="D168">
        <v>40681432</v>
      </c>
      <c r="E168">
        <v>1</v>
      </c>
      <c r="F168">
        <v>1</v>
      </c>
      <c r="G168">
        <v>27</v>
      </c>
      <c r="H168">
        <v>3</v>
      </c>
      <c r="I168" t="s">
        <v>206</v>
      </c>
      <c r="J168" t="s">
        <v>207</v>
      </c>
      <c r="K168" t="s">
        <v>208</v>
      </c>
      <c r="L168">
        <v>1339</v>
      </c>
      <c r="N168">
        <v>1007</v>
      </c>
      <c r="O168" t="s">
        <v>29</v>
      </c>
      <c r="P168" t="s">
        <v>29</v>
      </c>
      <c r="Q168">
        <v>1</v>
      </c>
      <c r="X168">
        <v>1.1000000000000001</v>
      </c>
      <c r="Y168">
        <v>590.78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1.1000000000000001</v>
      </c>
      <c r="AH168">
        <v>2</v>
      </c>
      <c r="AI168">
        <v>42367377</v>
      </c>
      <c r="AJ168">
        <v>85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ROW(Source!A77)</f>
        <v>77</v>
      </c>
      <c r="B169">
        <v>42367384</v>
      </c>
      <c r="C169">
        <v>42367372</v>
      </c>
      <c r="D169">
        <v>40682177</v>
      </c>
      <c r="E169">
        <v>1</v>
      </c>
      <c r="F169">
        <v>1</v>
      </c>
      <c r="G169">
        <v>27</v>
      </c>
      <c r="H169">
        <v>3</v>
      </c>
      <c r="I169" t="s">
        <v>209</v>
      </c>
      <c r="J169" t="s">
        <v>210</v>
      </c>
      <c r="K169" t="s">
        <v>211</v>
      </c>
      <c r="L169">
        <v>1339</v>
      </c>
      <c r="N169">
        <v>1007</v>
      </c>
      <c r="O169" t="s">
        <v>29</v>
      </c>
      <c r="P169" t="s">
        <v>29</v>
      </c>
      <c r="Q169">
        <v>1</v>
      </c>
      <c r="X169">
        <v>0.15</v>
      </c>
      <c r="Y169">
        <v>35.25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0.15</v>
      </c>
      <c r="AH169">
        <v>2</v>
      </c>
      <c r="AI169">
        <v>42367378</v>
      </c>
      <c r="AJ169">
        <v>86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ROW(Source!A78)</f>
        <v>78</v>
      </c>
      <c r="B170">
        <v>42367392</v>
      </c>
      <c r="C170">
        <v>42367385</v>
      </c>
      <c r="D170">
        <v>40662784</v>
      </c>
      <c r="E170">
        <v>27</v>
      </c>
      <c r="F170">
        <v>1</v>
      </c>
      <c r="G170">
        <v>27</v>
      </c>
      <c r="H170">
        <v>1</v>
      </c>
      <c r="I170" t="s">
        <v>193</v>
      </c>
      <c r="J170" t="s">
        <v>3</v>
      </c>
      <c r="K170" t="s">
        <v>194</v>
      </c>
      <c r="L170">
        <v>1191</v>
      </c>
      <c r="N170">
        <v>1013</v>
      </c>
      <c r="O170" t="s">
        <v>195</v>
      </c>
      <c r="P170" t="s">
        <v>195</v>
      </c>
      <c r="Q170">
        <v>1</v>
      </c>
      <c r="X170">
        <v>0.98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1</v>
      </c>
      <c r="AF170" t="s">
        <v>3</v>
      </c>
      <c r="AG170">
        <v>0.98</v>
      </c>
      <c r="AH170">
        <v>2</v>
      </c>
      <c r="AI170">
        <v>42367386</v>
      </c>
      <c r="AJ170">
        <v>87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ROW(Source!A78)</f>
        <v>78</v>
      </c>
      <c r="B171">
        <v>42367393</v>
      </c>
      <c r="C171">
        <v>42367385</v>
      </c>
      <c r="D171">
        <v>40679631</v>
      </c>
      <c r="E171">
        <v>1</v>
      </c>
      <c r="F171">
        <v>1</v>
      </c>
      <c r="G171">
        <v>27</v>
      </c>
      <c r="H171">
        <v>2</v>
      </c>
      <c r="I171" t="s">
        <v>196</v>
      </c>
      <c r="J171" t="s">
        <v>197</v>
      </c>
      <c r="K171" t="s">
        <v>198</v>
      </c>
      <c r="L171">
        <v>1368</v>
      </c>
      <c r="N171">
        <v>1011</v>
      </c>
      <c r="O171" t="s">
        <v>199</v>
      </c>
      <c r="P171" t="s">
        <v>199</v>
      </c>
      <c r="Q171">
        <v>1</v>
      </c>
      <c r="X171">
        <v>0.25</v>
      </c>
      <c r="Y171">
        <v>0</v>
      </c>
      <c r="Z171">
        <v>470.71</v>
      </c>
      <c r="AA171">
        <v>359.8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0.25</v>
      </c>
      <c r="AH171">
        <v>2</v>
      </c>
      <c r="AI171">
        <v>42367387</v>
      </c>
      <c r="AJ171">
        <v>88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ROW(Source!A78)</f>
        <v>78</v>
      </c>
      <c r="B172">
        <v>42367394</v>
      </c>
      <c r="C172">
        <v>42367385</v>
      </c>
      <c r="D172">
        <v>40680099</v>
      </c>
      <c r="E172">
        <v>1</v>
      </c>
      <c r="F172">
        <v>1</v>
      </c>
      <c r="G172">
        <v>27</v>
      </c>
      <c r="H172">
        <v>2</v>
      </c>
      <c r="I172" t="s">
        <v>200</v>
      </c>
      <c r="J172" t="s">
        <v>201</v>
      </c>
      <c r="K172" t="s">
        <v>202</v>
      </c>
      <c r="L172">
        <v>1368</v>
      </c>
      <c r="N172">
        <v>1011</v>
      </c>
      <c r="O172" t="s">
        <v>199</v>
      </c>
      <c r="P172" t="s">
        <v>199</v>
      </c>
      <c r="Q172">
        <v>1</v>
      </c>
      <c r="X172">
        <v>0.5</v>
      </c>
      <c r="Y172">
        <v>0</v>
      </c>
      <c r="Z172">
        <v>3.75</v>
      </c>
      <c r="AA172">
        <v>2.56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0.5</v>
      </c>
      <c r="AH172">
        <v>2</v>
      </c>
      <c r="AI172">
        <v>42367388</v>
      </c>
      <c r="AJ172">
        <v>89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ROW(Source!A78)</f>
        <v>78</v>
      </c>
      <c r="B173">
        <v>42367395</v>
      </c>
      <c r="C173">
        <v>42367385</v>
      </c>
      <c r="D173">
        <v>40679388</v>
      </c>
      <c r="E173">
        <v>1</v>
      </c>
      <c r="F173">
        <v>1</v>
      </c>
      <c r="G173">
        <v>27</v>
      </c>
      <c r="H173">
        <v>2</v>
      </c>
      <c r="I173" t="s">
        <v>203</v>
      </c>
      <c r="J173" t="s">
        <v>204</v>
      </c>
      <c r="K173" t="s">
        <v>205</v>
      </c>
      <c r="L173">
        <v>1368</v>
      </c>
      <c r="N173">
        <v>1011</v>
      </c>
      <c r="O173" t="s">
        <v>199</v>
      </c>
      <c r="P173" t="s">
        <v>199</v>
      </c>
      <c r="Q173">
        <v>1</v>
      </c>
      <c r="X173">
        <v>0.09</v>
      </c>
      <c r="Y173">
        <v>0</v>
      </c>
      <c r="Z173">
        <v>1171.51</v>
      </c>
      <c r="AA173">
        <v>487.24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0.09</v>
      </c>
      <c r="AH173">
        <v>2</v>
      </c>
      <c r="AI173">
        <v>42367389</v>
      </c>
      <c r="AJ173">
        <v>90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ROW(Source!A78)</f>
        <v>78</v>
      </c>
      <c r="B174">
        <v>42367396</v>
      </c>
      <c r="C174">
        <v>42367385</v>
      </c>
      <c r="D174">
        <v>40681466</v>
      </c>
      <c r="E174">
        <v>1</v>
      </c>
      <c r="F174">
        <v>1</v>
      </c>
      <c r="G174">
        <v>27</v>
      </c>
      <c r="H174">
        <v>3</v>
      </c>
      <c r="I174" t="s">
        <v>212</v>
      </c>
      <c r="J174" t="s">
        <v>213</v>
      </c>
      <c r="K174" t="s">
        <v>214</v>
      </c>
      <c r="L174">
        <v>1339</v>
      </c>
      <c r="N174">
        <v>1007</v>
      </c>
      <c r="O174" t="s">
        <v>29</v>
      </c>
      <c r="P174" t="s">
        <v>29</v>
      </c>
      <c r="Q174">
        <v>1</v>
      </c>
      <c r="X174">
        <v>1.1499999999999999</v>
      </c>
      <c r="Y174">
        <v>1436.5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1.1499999999999999</v>
      </c>
      <c r="AH174">
        <v>2</v>
      </c>
      <c r="AI174">
        <v>42367390</v>
      </c>
      <c r="AJ174">
        <v>91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ROW(Source!A78)</f>
        <v>78</v>
      </c>
      <c r="B175">
        <v>42367397</v>
      </c>
      <c r="C175">
        <v>42367385</v>
      </c>
      <c r="D175">
        <v>40682177</v>
      </c>
      <c r="E175">
        <v>1</v>
      </c>
      <c r="F175">
        <v>1</v>
      </c>
      <c r="G175">
        <v>27</v>
      </c>
      <c r="H175">
        <v>3</v>
      </c>
      <c r="I175" t="s">
        <v>209</v>
      </c>
      <c r="J175" t="s">
        <v>210</v>
      </c>
      <c r="K175" t="s">
        <v>211</v>
      </c>
      <c r="L175">
        <v>1339</v>
      </c>
      <c r="N175">
        <v>1007</v>
      </c>
      <c r="O175" t="s">
        <v>29</v>
      </c>
      <c r="P175" t="s">
        <v>29</v>
      </c>
      <c r="Q175">
        <v>1</v>
      </c>
      <c r="X175">
        <v>0.15</v>
      </c>
      <c r="Y175">
        <v>35.25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0.15</v>
      </c>
      <c r="AH175">
        <v>2</v>
      </c>
      <c r="AI175">
        <v>42367391</v>
      </c>
      <c r="AJ175">
        <v>92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ROW(Source!A79)</f>
        <v>79</v>
      </c>
      <c r="B176">
        <v>42279744</v>
      </c>
      <c r="C176">
        <v>42279743</v>
      </c>
      <c r="D176">
        <v>40662784</v>
      </c>
      <c r="E176">
        <v>27</v>
      </c>
      <c r="F176">
        <v>1</v>
      </c>
      <c r="G176">
        <v>27</v>
      </c>
      <c r="H176">
        <v>1</v>
      </c>
      <c r="I176" t="s">
        <v>193</v>
      </c>
      <c r="J176" t="s">
        <v>3</v>
      </c>
      <c r="K176" t="s">
        <v>194</v>
      </c>
      <c r="L176">
        <v>1191</v>
      </c>
      <c r="N176">
        <v>1013</v>
      </c>
      <c r="O176" t="s">
        <v>195</v>
      </c>
      <c r="P176" t="s">
        <v>195</v>
      </c>
      <c r="Q176">
        <v>1</v>
      </c>
      <c r="X176">
        <v>563.5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 t="s">
        <v>3</v>
      </c>
      <c r="AG176">
        <v>563.5</v>
      </c>
      <c r="AH176">
        <v>3</v>
      </c>
      <c r="AI176">
        <v>-1</v>
      </c>
      <c r="AJ176" t="s">
        <v>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ROW(Source!A79)</f>
        <v>79</v>
      </c>
      <c r="B177">
        <v>42279745</v>
      </c>
      <c r="C177">
        <v>42279743</v>
      </c>
      <c r="D177">
        <v>40680122</v>
      </c>
      <c r="E177">
        <v>1</v>
      </c>
      <c r="F177">
        <v>1</v>
      </c>
      <c r="G177">
        <v>27</v>
      </c>
      <c r="H177">
        <v>2</v>
      </c>
      <c r="I177" t="s">
        <v>218</v>
      </c>
      <c r="J177" t="s">
        <v>219</v>
      </c>
      <c r="K177" t="s">
        <v>220</v>
      </c>
      <c r="L177">
        <v>1368</v>
      </c>
      <c r="N177">
        <v>1011</v>
      </c>
      <c r="O177" t="s">
        <v>199</v>
      </c>
      <c r="P177" t="s">
        <v>199</v>
      </c>
      <c r="Q177">
        <v>1</v>
      </c>
      <c r="X177">
        <v>1.08</v>
      </c>
      <c r="Y177">
        <v>0</v>
      </c>
      <c r="Z177">
        <v>3.67</v>
      </c>
      <c r="AA177">
        <v>0.01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1.08</v>
      </c>
      <c r="AH177">
        <v>3</v>
      </c>
      <c r="AI177">
        <v>-1</v>
      </c>
      <c r="AJ177" t="s">
        <v>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ROW(Source!A79)</f>
        <v>79</v>
      </c>
      <c r="B178">
        <v>42279746</v>
      </c>
      <c r="C178">
        <v>42279743</v>
      </c>
      <c r="D178">
        <v>40679392</v>
      </c>
      <c r="E178">
        <v>1</v>
      </c>
      <c r="F178">
        <v>1</v>
      </c>
      <c r="G178">
        <v>27</v>
      </c>
      <c r="H178">
        <v>2</v>
      </c>
      <c r="I178" t="s">
        <v>221</v>
      </c>
      <c r="J178" t="s">
        <v>222</v>
      </c>
      <c r="K178" t="s">
        <v>223</v>
      </c>
      <c r="L178">
        <v>1368</v>
      </c>
      <c r="N178">
        <v>1011</v>
      </c>
      <c r="O178" t="s">
        <v>199</v>
      </c>
      <c r="P178" t="s">
        <v>199</v>
      </c>
      <c r="Q178">
        <v>1</v>
      </c>
      <c r="X178">
        <v>0.31</v>
      </c>
      <c r="Y178">
        <v>0</v>
      </c>
      <c r="Z178">
        <v>683.9</v>
      </c>
      <c r="AA178">
        <v>371.27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0.31</v>
      </c>
      <c r="AH178">
        <v>3</v>
      </c>
      <c r="AI178">
        <v>-1</v>
      </c>
      <c r="AJ178" t="s">
        <v>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ROW(Source!A79)</f>
        <v>79</v>
      </c>
      <c r="B179">
        <v>42279747</v>
      </c>
      <c r="C179">
        <v>42279743</v>
      </c>
      <c r="D179">
        <v>40679562</v>
      </c>
      <c r="E179">
        <v>1</v>
      </c>
      <c r="F179">
        <v>1</v>
      </c>
      <c r="G179">
        <v>27</v>
      </c>
      <c r="H179">
        <v>2</v>
      </c>
      <c r="I179" t="s">
        <v>224</v>
      </c>
      <c r="J179" t="s">
        <v>225</v>
      </c>
      <c r="K179" t="s">
        <v>226</v>
      </c>
      <c r="L179">
        <v>1368</v>
      </c>
      <c r="N179">
        <v>1011</v>
      </c>
      <c r="O179" t="s">
        <v>199</v>
      </c>
      <c r="P179" t="s">
        <v>199</v>
      </c>
      <c r="Q179">
        <v>1</v>
      </c>
      <c r="X179">
        <v>30.62</v>
      </c>
      <c r="Y179">
        <v>0</v>
      </c>
      <c r="Z179">
        <v>10.82</v>
      </c>
      <c r="AA179">
        <v>2.97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30.62</v>
      </c>
      <c r="AH179">
        <v>3</v>
      </c>
      <c r="AI179">
        <v>-1</v>
      </c>
      <c r="AJ179" t="s">
        <v>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ROW(Source!A79)</f>
        <v>79</v>
      </c>
      <c r="B180">
        <v>42279748</v>
      </c>
      <c r="C180">
        <v>42279743</v>
      </c>
      <c r="D180">
        <v>40680932</v>
      </c>
      <c r="E180">
        <v>1</v>
      </c>
      <c r="F180">
        <v>1</v>
      </c>
      <c r="G180">
        <v>27</v>
      </c>
      <c r="H180">
        <v>3</v>
      </c>
      <c r="I180" t="s">
        <v>227</v>
      </c>
      <c r="J180" t="s">
        <v>228</v>
      </c>
      <c r="K180" t="s">
        <v>229</v>
      </c>
      <c r="L180">
        <v>1348</v>
      </c>
      <c r="N180">
        <v>1009</v>
      </c>
      <c r="O180" t="s">
        <v>42</v>
      </c>
      <c r="P180" t="s">
        <v>42</v>
      </c>
      <c r="Q180">
        <v>1000</v>
      </c>
      <c r="X180">
        <v>7.6200000000000004E-2</v>
      </c>
      <c r="Y180">
        <v>32318.55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7.6200000000000004E-2</v>
      </c>
      <c r="AH180">
        <v>3</v>
      </c>
      <c r="AI180">
        <v>-1</v>
      </c>
      <c r="AJ180" t="s">
        <v>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ROW(Source!A79)</f>
        <v>79</v>
      </c>
      <c r="B181">
        <v>42279749</v>
      </c>
      <c r="C181">
        <v>42279743</v>
      </c>
      <c r="D181">
        <v>40681252</v>
      </c>
      <c r="E181">
        <v>1</v>
      </c>
      <c r="F181">
        <v>1</v>
      </c>
      <c r="G181">
        <v>27</v>
      </c>
      <c r="H181">
        <v>3</v>
      </c>
      <c r="I181" t="s">
        <v>230</v>
      </c>
      <c r="J181" t="s">
        <v>231</v>
      </c>
      <c r="K181" t="s">
        <v>232</v>
      </c>
      <c r="L181">
        <v>1348</v>
      </c>
      <c r="N181">
        <v>1009</v>
      </c>
      <c r="O181" t="s">
        <v>42</v>
      </c>
      <c r="P181" t="s">
        <v>42</v>
      </c>
      <c r="Q181">
        <v>1000</v>
      </c>
      <c r="X181">
        <v>0.03</v>
      </c>
      <c r="Y181">
        <v>49736.04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0.03</v>
      </c>
      <c r="AH181">
        <v>3</v>
      </c>
      <c r="AI181">
        <v>-1</v>
      </c>
      <c r="AJ181" t="s">
        <v>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ROW(Source!A79)</f>
        <v>79</v>
      </c>
      <c r="B182">
        <v>42279751</v>
      </c>
      <c r="C182">
        <v>42279743</v>
      </c>
      <c r="D182">
        <v>40682000</v>
      </c>
      <c r="E182">
        <v>1</v>
      </c>
      <c r="F182">
        <v>1</v>
      </c>
      <c r="G182">
        <v>27</v>
      </c>
      <c r="H182">
        <v>3</v>
      </c>
      <c r="I182" t="s">
        <v>233</v>
      </c>
      <c r="J182" t="s">
        <v>234</v>
      </c>
      <c r="K182" t="s">
        <v>235</v>
      </c>
      <c r="L182">
        <v>1327</v>
      </c>
      <c r="N182">
        <v>1005</v>
      </c>
      <c r="O182" t="s">
        <v>236</v>
      </c>
      <c r="P182" t="s">
        <v>236</v>
      </c>
      <c r="Q182">
        <v>1</v>
      </c>
      <c r="X182">
        <v>75</v>
      </c>
      <c r="Y182">
        <v>91.89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75</v>
      </c>
      <c r="AH182">
        <v>3</v>
      </c>
      <c r="AI182">
        <v>-1</v>
      </c>
      <c r="AJ182" t="s">
        <v>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ROW(Source!A79)</f>
        <v>79</v>
      </c>
      <c r="B183">
        <v>42279750</v>
      </c>
      <c r="C183">
        <v>42279743</v>
      </c>
      <c r="D183">
        <v>40680371</v>
      </c>
      <c r="E183">
        <v>1</v>
      </c>
      <c r="F183">
        <v>1</v>
      </c>
      <c r="G183">
        <v>27</v>
      </c>
      <c r="H183">
        <v>3</v>
      </c>
      <c r="I183" t="s">
        <v>237</v>
      </c>
      <c r="J183" t="s">
        <v>238</v>
      </c>
      <c r="K183" t="s">
        <v>239</v>
      </c>
      <c r="L183">
        <v>1348</v>
      </c>
      <c r="N183">
        <v>1009</v>
      </c>
      <c r="O183" t="s">
        <v>42</v>
      </c>
      <c r="P183" t="s">
        <v>42</v>
      </c>
      <c r="Q183">
        <v>1000</v>
      </c>
      <c r="X183">
        <v>8.2000000000000003E-2</v>
      </c>
      <c r="Y183">
        <v>4752.34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8.2000000000000003E-2</v>
      </c>
      <c r="AH183">
        <v>3</v>
      </c>
      <c r="AI183">
        <v>-1</v>
      </c>
      <c r="AJ183" t="s">
        <v>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ROW(Source!A79)</f>
        <v>79</v>
      </c>
      <c r="B184">
        <v>42279752</v>
      </c>
      <c r="C184">
        <v>42279743</v>
      </c>
      <c r="D184">
        <v>40682177</v>
      </c>
      <c r="E184">
        <v>1</v>
      </c>
      <c r="F184">
        <v>1</v>
      </c>
      <c r="G184">
        <v>27</v>
      </c>
      <c r="H184">
        <v>3</v>
      </c>
      <c r="I184" t="s">
        <v>209</v>
      </c>
      <c r="J184" t="s">
        <v>210</v>
      </c>
      <c r="K184" t="s">
        <v>211</v>
      </c>
      <c r="L184">
        <v>1339</v>
      </c>
      <c r="N184">
        <v>1007</v>
      </c>
      <c r="O184" t="s">
        <v>29</v>
      </c>
      <c r="P184" t="s">
        <v>29</v>
      </c>
      <c r="Q184">
        <v>1</v>
      </c>
      <c r="X184">
        <v>0.42399999999999999</v>
      </c>
      <c r="Y184">
        <v>35.25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0.42399999999999999</v>
      </c>
      <c r="AH184">
        <v>3</v>
      </c>
      <c r="AI184">
        <v>-1</v>
      </c>
      <c r="AJ184" t="s">
        <v>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ROW(Source!A79)</f>
        <v>79</v>
      </c>
      <c r="B185">
        <v>42279753</v>
      </c>
      <c r="C185">
        <v>42279743</v>
      </c>
      <c r="D185">
        <v>40680879</v>
      </c>
      <c r="E185">
        <v>1</v>
      </c>
      <c r="F185">
        <v>1</v>
      </c>
      <c r="G185">
        <v>27</v>
      </c>
      <c r="H185">
        <v>3</v>
      </c>
      <c r="I185" t="s">
        <v>240</v>
      </c>
      <c r="J185" t="s">
        <v>241</v>
      </c>
      <c r="K185" t="s">
        <v>242</v>
      </c>
      <c r="L185">
        <v>1339</v>
      </c>
      <c r="N185">
        <v>1007</v>
      </c>
      <c r="O185" t="s">
        <v>29</v>
      </c>
      <c r="P185" t="s">
        <v>29</v>
      </c>
      <c r="Q185">
        <v>1</v>
      </c>
      <c r="X185">
        <v>0.7</v>
      </c>
      <c r="Y185">
        <v>7098.7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0.7</v>
      </c>
      <c r="AH185">
        <v>3</v>
      </c>
      <c r="AI185">
        <v>-1</v>
      </c>
      <c r="AJ185" t="s">
        <v>3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ROW(Source!A79)</f>
        <v>79</v>
      </c>
      <c r="B186">
        <v>42279754</v>
      </c>
      <c r="C186">
        <v>42279743</v>
      </c>
      <c r="D186">
        <v>40683143</v>
      </c>
      <c r="E186">
        <v>1</v>
      </c>
      <c r="F186">
        <v>1</v>
      </c>
      <c r="G186">
        <v>27</v>
      </c>
      <c r="H186">
        <v>3</v>
      </c>
      <c r="I186" t="s">
        <v>243</v>
      </c>
      <c r="J186" t="s">
        <v>244</v>
      </c>
      <c r="K186" t="s">
        <v>245</v>
      </c>
      <c r="L186">
        <v>1339</v>
      </c>
      <c r="N186">
        <v>1007</v>
      </c>
      <c r="O186" t="s">
        <v>29</v>
      </c>
      <c r="P186" t="s">
        <v>29</v>
      </c>
      <c r="Q186">
        <v>1</v>
      </c>
      <c r="X186">
        <v>102</v>
      </c>
      <c r="Y186">
        <v>3247.23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102</v>
      </c>
      <c r="AH186">
        <v>3</v>
      </c>
      <c r="AI186">
        <v>-1</v>
      </c>
      <c r="AJ186" t="s">
        <v>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ROW(Source!A79)</f>
        <v>79</v>
      </c>
      <c r="B187">
        <v>42279755</v>
      </c>
      <c r="C187">
        <v>42279743</v>
      </c>
      <c r="D187">
        <v>40685315</v>
      </c>
      <c r="E187">
        <v>1</v>
      </c>
      <c r="F187">
        <v>1</v>
      </c>
      <c r="G187">
        <v>27</v>
      </c>
      <c r="H187">
        <v>3</v>
      </c>
      <c r="I187" t="s">
        <v>246</v>
      </c>
      <c r="J187" t="s">
        <v>247</v>
      </c>
      <c r="K187" t="s">
        <v>248</v>
      </c>
      <c r="L187">
        <v>1327</v>
      </c>
      <c r="N187">
        <v>1005</v>
      </c>
      <c r="O187" t="s">
        <v>236</v>
      </c>
      <c r="P187" t="s">
        <v>236</v>
      </c>
      <c r="Q187">
        <v>1</v>
      </c>
      <c r="X187">
        <v>65.099999999999994</v>
      </c>
      <c r="Y187">
        <v>241.04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65.099999999999994</v>
      </c>
      <c r="AH187">
        <v>3</v>
      </c>
      <c r="AI187">
        <v>-1</v>
      </c>
      <c r="AJ187" t="s">
        <v>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ROW(Source!A80)</f>
        <v>80</v>
      </c>
      <c r="B188">
        <v>42279759</v>
      </c>
      <c r="C188">
        <v>42279756</v>
      </c>
      <c r="D188">
        <v>40662784</v>
      </c>
      <c r="E188">
        <v>27</v>
      </c>
      <c r="F188">
        <v>1</v>
      </c>
      <c r="G188">
        <v>27</v>
      </c>
      <c r="H188">
        <v>1</v>
      </c>
      <c r="I188" t="s">
        <v>193</v>
      </c>
      <c r="J188" t="s">
        <v>3</v>
      </c>
      <c r="K188" t="s">
        <v>194</v>
      </c>
      <c r="L188">
        <v>1191</v>
      </c>
      <c r="N188">
        <v>1013</v>
      </c>
      <c r="O188" t="s">
        <v>195</v>
      </c>
      <c r="P188" t="s">
        <v>195</v>
      </c>
      <c r="Q188">
        <v>1</v>
      </c>
      <c r="X188">
        <v>227.7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 t="s">
        <v>3</v>
      </c>
      <c r="AG188">
        <v>227.7</v>
      </c>
      <c r="AH188">
        <v>3</v>
      </c>
      <c r="AI188">
        <v>-1</v>
      </c>
      <c r="AJ188" t="s">
        <v>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ROW(Source!A80)</f>
        <v>80</v>
      </c>
      <c r="B189">
        <v>42279760</v>
      </c>
      <c r="C189">
        <v>42279756</v>
      </c>
      <c r="D189">
        <v>40683405</v>
      </c>
      <c r="E189">
        <v>1</v>
      </c>
      <c r="F189">
        <v>1</v>
      </c>
      <c r="G189">
        <v>27</v>
      </c>
      <c r="H189">
        <v>3</v>
      </c>
      <c r="I189" t="s">
        <v>50</v>
      </c>
      <c r="J189" t="s">
        <v>52</v>
      </c>
      <c r="K189" t="s">
        <v>51</v>
      </c>
      <c r="L189">
        <v>1348</v>
      </c>
      <c r="N189">
        <v>1009</v>
      </c>
      <c r="O189" t="s">
        <v>42</v>
      </c>
      <c r="P189" t="s">
        <v>42</v>
      </c>
      <c r="Q189">
        <v>1000</v>
      </c>
      <c r="X189">
        <v>1</v>
      </c>
      <c r="Y189">
        <v>53233.52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3</v>
      </c>
      <c r="AG189">
        <v>1</v>
      </c>
      <c r="AH189">
        <v>2</v>
      </c>
      <c r="AI189">
        <v>42279757</v>
      </c>
      <c r="AJ189">
        <v>93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ROW(Source!A84)</f>
        <v>84</v>
      </c>
      <c r="B190">
        <v>42367399</v>
      </c>
      <c r="C190">
        <v>42367398</v>
      </c>
      <c r="D190">
        <v>40662784</v>
      </c>
      <c r="E190">
        <v>27</v>
      </c>
      <c r="F190">
        <v>1</v>
      </c>
      <c r="G190">
        <v>27</v>
      </c>
      <c r="H190">
        <v>1</v>
      </c>
      <c r="I190" t="s">
        <v>193</v>
      </c>
      <c r="J190" t="s">
        <v>3</v>
      </c>
      <c r="K190" t="s">
        <v>194</v>
      </c>
      <c r="L190">
        <v>1191</v>
      </c>
      <c r="N190">
        <v>1013</v>
      </c>
      <c r="O190" t="s">
        <v>195</v>
      </c>
      <c r="P190" t="s">
        <v>195</v>
      </c>
      <c r="Q190">
        <v>1</v>
      </c>
      <c r="X190">
        <v>221.6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1</v>
      </c>
      <c r="AF190" t="s">
        <v>3</v>
      </c>
      <c r="AG190">
        <v>221.6</v>
      </c>
      <c r="AH190">
        <v>3</v>
      </c>
      <c r="AI190">
        <v>-1</v>
      </c>
      <c r="AJ190" t="s">
        <v>3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ROW(Source!A85)</f>
        <v>85</v>
      </c>
      <c r="B191">
        <v>42367407</v>
      </c>
      <c r="C191">
        <v>42367400</v>
      </c>
      <c r="D191">
        <v>40662784</v>
      </c>
      <c r="E191">
        <v>27</v>
      </c>
      <c r="F191">
        <v>1</v>
      </c>
      <c r="G191">
        <v>27</v>
      </c>
      <c r="H191">
        <v>1</v>
      </c>
      <c r="I191" t="s">
        <v>193</v>
      </c>
      <c r="J191" t="s">
        <v>3</v>
      </c>
      <c r="K191" t="s">
        <v>194</v>
      </c>
      <c r="L191">
        <v>1191</v>
      </c>
      <c r="N191">
        <v>1013</v>
      </c>
      <c r="O191" t="s">
        <v>195</v>
      </c>
      <c r="P191" t="s">
        <v>195</v>
      </c>
      <c r="Q191">
        <v>1</v>
      </c>
      <c r="X191">
        <v>0.9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 t="s">
        <v>3</v>
      </c>
      <c r="AG191">
        <v>0.9</v>
      </c>
      <c r="AH191">
        <v>2</v>
      </c>
      <c r="AI191">
        <v>42367401</v>
      </c>
      <c r="AJ191">
        <v>95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ROW(Source!A85)</f>
        <v>85</v>
      </c>
      <c r="B192">
        <v>42367408</v>
      </c>
      <c r="C192">
        <v>42367400</v>
      </c>
      <c r="D192">
        <v>40679631</v>
      </c>
      <c r="E192">
        <v>1</v>
      </c>
      <c r="F192">
        <v>1</v>
      </c>
      <c r="G192">
        <v>27</v>
      </c>
      <c r="H192">
        <v>2</v>
      </c>
      <c r="I192" t="s">
        <v>196</v>
      </c>
      <c r="J192" t="s">
        <v>197</v>
      </c>
      <c r="K192" t="s">
        <v>198</v>
      </c>
      <c r="L192">
        <v>1368</v>
      </c>
      <c r="N192">
        <v>1011</v>
      </c>
      <c r="O192" t="s">
        <v>199</v>
      </c>
      <c r="P192" t="s">
        <v>199</v>
      </c>
      <c r="Q192">
        <v>1</v>
      </c>
      <c r="X192">
        <v>0.22</v>
      </c>
      <c r="Y192">
        <v>0</v>
      </c>
      <c r="Z192">
        <v>470.71</v>
      </c>
      <c r="AA192">
        <v>359.8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0.22</v>
      </c>
      <c r="AH192">
        <v>2</v>
      </c>
      <c r="AI192">
        <v>42367402</v>
      </c>
      <c r="AJ192">
        <v>96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ROW(Source!A85)</f>
        <v>85</v>
      </c>
      <c r="B193">
        <v>42367409</v>
      </c>
      <c r="C193">
        <v>42367400</v>
      </c>
      <c r="D193">
        <v>40680099</v>
      </c>
      <c r="E193">
        <v>1</v>
      </c>
      <c r="F193">
        <v>1</v>
      </c>
      <c r="G193">
        <v>27</v>
      </c>
      <c r="H193">
        <v>2</v>
      </c>
      <c r="I193" t="s">
        <v>200</v>
      </c>
      <c r="J193" t="s">
        <v>201</v>
      </c>
      <c r="K193" t="s">
        <v>202</v>
      </c>
      <c r="L193">
        <v>1368</v>
      </c>
      <c r="N193">
        <v>1011</v>
      </c>
      <c r="O193" t="s">
        <v>199</v>
      </c>
      <c r="P193" t="s">
        <v>199</v>
      </c>
      <c r="Q193">
        <v>1</v>
      </c>
      <c r="X193">
        <v>0.45</v>
      </c>
      <c r="Y193">
        <v>0</v>
      </c>
      <c r="Z193">
        <v>3.75</v>
      </c>
      <c r="AA193">
        <v>2.56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0.45</v>
      </c>
      <c r="AH193">
        <v>2</v>
      </c>
      <c r="AI193">
        <v>42367403</v>
      </c>
      <c r="AJ193">
        <v>97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ROW(Source!A85)</f>
        <v>85</v>
      </c>
      <c r="B194">
        <v>42367410</v>
      </c>
      <c r="C194">
        <v>42367400</v>
      </c>
      <c r="D194">
        <v>40679388</v>
      </c>
      <c r="E194">
        <v>1</v>
      </c>
      <c r="F194">
        <v>1</v>
      </c>
      <c r="G194">
        <v>27</v>
      </c>
      <c r="H194">
        <v>2</v>
      </c>
      <c r="I194" t="s">
        <v>203</v>
      </c>
      <c r="J194" t="s">
        <v>204</v>
      </c>
      <c r="K194" t="s">
        <v>205</v>
      </c>
      <c r="L194">
        <v>1368</v>
      </c>
      <c r="N194">
        <v>1011</v>
      </c>
      <c r="O194" t="s">
        <v>199</v>
      </c>
      <c r="P194" t="s">
        <v>199</v>
      </c>
      <c r="Q194">
        <v>1</v>
      </c>
      <c r="X194">
        <v>0.09</v>
      </c>
      <c r="Y194">
        <v>0</v>
      </c>
      <c r="Z194">
        <v>1171.51</v>
      </c>
      <c r="AA194">
        <v>487.24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0.09</v>
      </c>
      <c r="AH194">
        <v>2</v>
      </c>
      <c r="AI194">
        <v>42367404</v>
      </c>
      <c r="AJ194">
        <v>98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ROW(Source!A85)</f>
        <v>85</v>
      </c>
      <c r="B195">
        <v>42367411</v>
      </c>
      <c r="C195">
        <v>42367400</v>
      </c>
      <c r="D195">
        <v>40681432</v>
      </c>
      <c r="E195">
        <v>1</v>
      </c>
      <c r="F195">
        <v>1</v>
      </c>
      <c r="G195">
        <v>27</v>
      </c>
      <c r="H195">
        <v>3</v>
      </c>
      <c r="I195" t="s">
        <v>206</v>
      </c>
      <c r="J195" t="s">
        <v>207</v>
      </c>
      <c r="K195" t="s">
        <v>208</v>
      </c>
      <c r="L195">
        <v>1339</v>
      </c>
      <c r="N195">
        <v>1007</v>
      </c>
      <c r="O195" t="s">
        <v>29</v>
      </c>
      <c r="P195" t="s">
        <v>29</v>
      </c>
      <c r="Q195">
        <v>1</v>
      </c>
      <c r="X195">
        <v>1.1000000000000001</v>
      </c>
      <c r="Y195">
        <v>590.78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1.1000000000000001</v>
      </c>
      <c r="AH195">
        <v>2</v>
      </c>
      <c r="AI195">
        <v>42367405</v>
      </c>
      <c r="AJ195">
        <v>99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ROW(Source!A85)</f>
        <v>85</v>
      </c>
      <c r="B196">
        <v>42367412</v>
      </c>
      <c r="C196">
        <v>42367400</v>
      </c>
      <c r="D196">
        <v>40682177</v>
      </c>
      <c r="E196">
        <v>1</v>
      </c>
      <c r="F196">
        <v>1</v>
      </c>
      <c r="G196">
        <v>27</v>
      </c>
      <c r="H196">
        <v>3</v>
      </c>
      <c r="I196" t="s">
        <v>209</v>
      </c>
      <c r="J196" t="s">
        <v>210</v>
      </c>
      <c r="K196" t="s">
        <v>211</v>
      </c>
      <c r="L196">
        <v>1339</v>
      </c>
      <c r="N196">
        <v>1007</v>
      </c>
      <c r="O196" t="s">
        <v>29</v>
      </c>
      <c r="P196" t="s">
        <v>29</v>
      </c>
      <c r="Q196">
        <v>1</v>
      </c>
      <c r="X196">
        <v>0.15</v>
      </c>
      <c r="Y196">
        <v>35.25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0.15</v>
      </c>
      <c r="AH196">
        <v>2</v>
      </c>
      <c r="AI196">
        <v>42367406</v>
      </c>
      <c r="AJ196">
        <v>100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ROW(Source!A86)</f>
        <v>86</v>
      </c>
      <c r="B197">
        <v>42367420</v>
      </c>
      <c r="C197">
        <v>42367413</v>
      </c>
      <c r="D197">
        <v>40662784</v>
      </c>
      <c r="E197">
        <v>27</v>
      </c>
      <c r="F197">
        <v>1</v>
      </c>
      <c r="G197">
        <v>27</v>
      </c>
      <c r="H197">
        <v>1</v>
      </c>
      <c r="I197" t="s">
        <v>193</v>
      </c>
      <c r="J197" t="s">
        <v>3</v>
      </c>
      <c r="K197" t="s">
        <v>194</v>
      </c>
      <c r="L197">
        <v>1191</v>
      </c>
      <c r="N197">
        <v>1013</v>
      </c>
      <c r="O197" t="s">
        <v>195</v>
      </c>
      <c r="P197" t="s">
        <v>195</v>
      </c>
      <c r="Q197">
        <v>1</v>
      </c>
      <c r="X197">
        <v>0.98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1</v>
      </c>
      <c r="AF197" t="s">
        <v>3</v>
      </c>
      <c r="AG197">
        <v>0.98</v>
      </c>
      <c r="AH197">
        <v>2</v>
      </c>
      <c r="AI197">
        <v>42367414</v>
      </c>
      <c r="AJ197">
        <v>101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ROW(Source!A86)</f>
        <v>86</v>
      </c>
      <c r="B198">
        <v>42367421</v>
      </c>
      <c r="C198">
        <v>42367413</v>
      </c>
      <c r="D198">
        <v>40679631</v>
      </c>
      <c r="E198">
        <v>1</v>
      </c>
      <c r="F198">
        <v>1</v>
      </c>
      <c r="G198">
        <v>27</v>
      </c>
      <c r="H198">
        <v>2</v>
      </c>
      <c r="I198" t="s">
        <v>196</v>
      </c>
      <c r="J198" t="s">
        <v>197</v>
      </c>
      <c r="K198" t="s">
        <v>198</v>
      </c>
      <c r="L198">
        <v>1368</v>
      </c>
      <c r="N198">
        <v>1011</v>
      </c>
      <c r="O198" t="s">
        <v>199</v>
      </c>
      <c r="P198" t="s">
        <v>199</v>
      </c>
      <c r="Q198">
        <v>1</v>
      </c>
      <c r="X198">
        <v>0.25</v>
      </c>
      <c r="Y198">
        <v>0</v>
      </c>
      <c r="Z198">
        <v>470.71</v>
      </c>
      <c r="AA198">
        <v>359.8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0.25</v>
      </c>
      <c r="AH198">
        <v>2</v>
      </c>
      <c r="AI198">
        <v>42367415</v>
      </c>
      <c r="AJ198">
        <v>102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ROW(Source!A86)</f>
        <v>86</v>
      </c>
      <c r="B199">
        <v>42367422</v>
      </c>
      <c r="C199">
        <v>42367413</v>
      </c>
      <c r="D199">
        <v>40680099</v>
      </c>
      <c r="E199">
        <v>1</v>
      </c>
      <c r="F199">
        <v>1</v>
      </c>
      <c r="G199">
        <v>27</v>
      </c>
      <c r="H199">
        <v>2</v>
      </c>
      <c r="I199" t="s">
        <v>200</v>
      </c>
      <c r="J199" t="s">
        <v>201</v>
      </c>
      <c r="K199" t="s">
        <v>202</v>
      </c>
      <c r="L199">
        <v>1368</v>
      </c>
      <c r="N199">
        <v>1011</v>
      </c>
      <c r="O199" t="s">
        <v>199</v>
      </c>
      <c r="P199" t="s">
        <v>199</v>
      </c>
      <c r="Q199">
        <v>1</v>
      </c>
      <c r="X199">
        <v>0.5</v>
      </c>
      <c r="Y199">
        <v>0</v>
      </c>
      <c r="Z199">
        <v>3.75</v>
      </c>
      <c r="AA199">
        <v>2.56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0.5</v>
      </c>
      <c r="AH199">
        <v>2</v>
      </c>
      <c r="AI199">
        <v>42367416</v>
      </c>
      <c r="AJ199">
        <v>103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ROW(Source!A86)</f>
        <v>86</v>
      </c>
      <c r="B200">
        <v>42367423</v>
      </c>
      <c r="C200">
        <v>42367413</v>
      </c>
      <c r="D200">
        <v>40679388</v>
      </c>
      <c r="E200">
        <v>1</v>
      </c>
      <c r="F200">
        <v>1</v>
      </c>
      <c r="G200">
        <v>27</v>
      </c>
      <c r="H200">
        <v>2</v>
      </c>
      <c r="I200" t="s">
        <v>203</v>
      </c>
      <c r="J200" t="s">
        <v>204</v>
      </c>
      <c r="K200" t="s">
        <v>205</v>
      </c>
      <c r="L200">
        <v>1368</v>
      </c>
      <c r="N200">
        <v>1011</v>
      </c>
      <c r="O200" t="s">
        <v>199</v>
      </c>
      <c r="P200" t="s">
        <v>199</v>
      </c>
      <c r="Q200">
        <v>1</v>
      </c>
      <c r="X200">
        <v>0.09</v>
      </c>
      <c r="Y200">
        <v>0</v>
      </c>
      <c r="Z200">
        <v>1171.51</v>
      </c>
      <c r="AA200">
        <v>487.24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0.09</v>
      </c>
      <c r="AH200">
        <v>2</v>
      </c>
      <c r="AI200">
        <v>42367417</v>
      </c>
      <c r="AJ200">
        <v>104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ROW(Source!A86)</f>
        <v>86</v>
      </c>
      <c r="B201">
        <v>42367424</v>
      </c>
      <c r="C201">
        <v>42367413</v>
      </c>
      <c r="D201">
        <v>40681466</v>
      </c>
      <c r="E201">
        <v>1</v>
      </c>
      <c r="F201">
        <v>1</v>
      </c>
      <c r="G201">
        <v>27</v>
      </c>
      <c r="H201">
        <v>3</v>
      </c>
      <c r="I201" t="s">
        <v>212</v>
      </c>
      <c r="J201" t="s">
        <v>213</v>
      </c>
      <c r="K201" t="s">
        <v>214</v>
      </c>
      <c r="L201">
        <v>1339</v>
      </c>
      <c r="N201">
        <v>1007</v>
      </c>
      <c r="O201" t="s">
        <v>29</v>
      </c>
      <c r="P201" t="s">
        <v>29</v>
      </c>
      <c r="Q201">
        <v>1</v>
      </c>
      <c r="X201">
        <v>1.1499999999999999</v>
      </c>
      <c r="Y201">
        <v>1436.5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1.1499999999999999</v>
      </c>
      <c r="AH201">
        <v>2</v>
      </c>
      <c r="AI201">
        <v>42367418</v>
      </c>
      <c r="AJ201">
        <v>105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ROW(Source!A86)</f>
        <v>86</v>
      </c>
      <c r="B202">
        <v>42367425</v>
      </c>
      <c r="C202">
        <v>42367413</v>
      </c>
      <c r="D202">
        <v>40682177</v>
      </c>
      <c r="E202">
        <v>1</v>
      </c>
      <c r="F202">
        <v>1</v>
      </c>
      <c r="G202">
        <v>27</v>
      </c>
      <c r="H202">
        <v>3</v>
      </c>
      <c r="I202" t="s">
        <v>209</v>
      </c>
      <c r="J202" t="s">
        <v>210</v>
      </c>
      <c r="K202" t="s">
        <v>211</v>
      </c>
      <c r="L202">
        <v>1339</v>
      </c>
      <c r="N202">
        <v>1007</v>
      </c>
      <c r="O202" t="s">
        <v>29</v>
      </c>
      <c r="P202" t="s">
        <v>29</v>
      </c>
      <c r="Q202">
        <v>1</v>
      </c>
      <c r="X202">
        <v>0.15</v>
      </c>
      <c r="Y202">
        <v>35.25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0.15</v>
      </c>
      <c r="AH202">
        <v>2</v>
      </c>
      <c r="AI202">
        <v>42367419</v>
      </c>
      <c r="AJ202">
        <v>106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ROW(Source!A87)</f>
        <v>87</v>
      </c>
      <c r="B203">
        <v>42279769</v>
      </c>
      <c r="C203">
        <v>42279768</v>
      </c>
      <c r="D203">
        <v>40662784</v>
      </c>
      <c r="E203">
        <v>27</v>
      </c>
      <c r="F203">
        <v>1</v>
      </c>
      <c r="G203">
        <v>27</v>
      </c>
      <c r="H203">
        <v>1</v>
      </c>
      <c r="I203" t="s">
        <v>193</v>
      </c>
      <c r="J203" t="s">
        <v>3</v>
      </c>
      <c r="K203" t="s">
        <v>194</v>
      </c>
      <c r="L203">
        <v>1191</v>
      </c>
      <c r="N203">
        <v>1013</v>
      </c>
      <c r="O203" t="s">
        <v>195</v>
      </c>
      <c r="P203" t="s">
        <v>195</v>
      </c>
      <c r="Q203">
        <v>1</v>
      </c>
      <c r="X203">
        <v>563.5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1</v>
      </c>
      <c r="AF203" t="s">
        <v>3</v>
      </c>
      <c r="AG203">
        <v>563.5</v>
      </c>
      <c r="AH203">
        <v>3</v>
      </c>
      <c r="AI203">
        <v>-1</v>
      </c>
      <c r="AJ203" t="s">
        <v>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ROW(Source!A87)</f>
        <v>87</v>
      </c>
      <c r="B204">
        <v>42279770</v>
      </c>
      <c r="C204">
        <v>42279768</v>
      </c>
      <c r="D204">
        <v>40680122</v>
      </c>
      <c r="E204">
        <v>1</v>
      </c>
      <c r="F204">
        <v>1</v>
      </c>
      <c r="G204">
        <v>27</v>
      </c>
      <c r="H204">
        <v>2</v>
      </c>
      <c r="I204" t="s">
        <v>218</v>
      </c>
      <c r="J204" t="s">
        <v>219</v>
      </c>
      <c r="K204" t="s">
        <v>220</v>
      </c>
      <c r="L204">
        <v>1368</v>
      </c>
      <c r="N204">
        <v>1011</v>
      </c>
      <c r="O204" t="s">
        <v>199</v>
      </c>
      <c r="P204" t="s">
        <v>199</v>
      </c>
      <c r="Q204">
        <v>1</v>
      </c>
      <c r="X204">
        <v>1.08</v>
      </c>
      <c r="Y204">
        <v>0</v>
      </c>
      <c r="Z204">
        <v>3.67</v>
      </c>
      <c r="AA204">
        <v>0.01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1.08</v>
      </c>
      <c r="AH204">
        <v>3</v>
      </c>
      <c r="AI204">
        <v>-1</v>
      </c>
      <c r="AJ204" t="s">
        <v>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ROW(Source!A87)</f>
        <v>87</v>
      </c>
      <c r="B205">
        <v>42279771</v>
      </c>
      <c r="C205">
        <v>42279768</v>
      </c>
      <c r="D205">
        <v>40679392</v>
      </c>
      <c r="E205">
        <v>1</v>
      </c>
      <c r="F205">
        <v>1</v>
      </c>
      <c r="G205">
        <v>27</v>
      </c>
      <c r="H205">
        <v>2</v>
      </c>
      <c r="I205" t="s">
        <v>221</v>
      </c>
      <c r="J205" t="s">
        <v>222</v>
      </c>
      <c r="K205" t="s">
        <v>223</v>
      </c>
      <c r="L205">
        <v>1368</v>
      </c>
      <c r="N205">
        <v>1011</v>
      </c>
      <c r="O205" t="s">
        <v>199</v>
      </c>
      <c r="P205" t="s">
        <v>199</v>
      </c>
      <c r="Q205">
        <v>1</v>
      </c>
      <c r="X205">
        <v>0.31</v>
      </c>
      <c r="Y205">
        <v>0</v>
      </c>
      <c r="Z205">
        <v>683.9</v>
      </c>
      <c r="AA205">
        <v>371.27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0.31</v>
      </c>
      <c r="AH205">
        <v>3</v>
      </c>
      <c r="AI205">
        <v>-1</v>
      </c>
      <c r="AJ205" t="s">
        <v>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ROW(Source!A87)</f>
        <v>87</v>
      </c>
      <c r="B206">
        <v>42279772</v>
      </c>
      <c r="C206">
        <v>42279768</v>
      </c>
      <c r="D206">
        <v>40679562</v>
      </c>
      <c r="E206">
        <v>1</v>
      </c>
      <c r="F206">
        <v>1</v>
      </c>
      <c r="G206">
        <v>27</v>
      </c>
      <c r="H206">
        <v>2</v>
      </c>
      <c r="I206" t="s">
        <v>224</v>
      </c>
      <c r="J206" t="s">
        <v>225</v>
      </c>
      <c r="K206" t="s">
        <v>226</v>
      </c>
      <c r="L206">
        <v>1368</v>
      </c>
      <c r="N206">
        <v>1011</v>
      </c>
      <c r="O206" t="s">
        <v>199</v>
      </c>
      <c r="P206" t="s">
        <v>199</v>
      </c>
      <c r="Q206">
        <v>1</v>
      </c>
      <c r="X206">
        <v>30.62</v>
      </c>
      <c r="Y206">
        <v>0</v>
      </c>
      <c r="Z206">
        <v>10.82</v>
      </c>
      <c r="AA206">
        <v>2.97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30.62</v>
      </c>
      <c r="AH206">
        <v>3</v>
      </c>
      <c r="AI206">
        <v>-1</v>
      </c>
      <c r="AJ206" t="s">
        <v>3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ROW(Source!A87)</f>
        <v>87</v>
      </c>
      <c r="B207">
        <v>42279773</v>
      </c>
      <c r="C207">
        <v>42279768</v>
      </c>
      <c r="D207">
        <v>40680932</v>
      </c>
      <c r="E207">
        <v>1</v>
      </c>
      <c r="F207">
        <v>1</v>
      </c>
      <c r="G207">
        <v>27</v>
      </c>
      <c r="H207">
        <v>3</v>
      </c>
      <c r="I207" t="s">
        <v>227</v>
      </c>
      <c r="J207" t="s">
        <v>228</v>
      </c>
      <c r="K207" t="s">
        <v>229</v>
      </c>
      <c r="L207">
        <v>1348</v>
      </c>
      <c r="N207">
        <v>1009</v>
      </c>
      <c r="O207" t="s">
        <v>42</v>
      </c>
      <c r="P207" t="s">
        <v>42</v>
      </c>
      <c r="Q207">
        <v>1000</v>
      </c>
      <c r="X207">
        <v>7.6200000000000004E-2</v>
      </c>
      <c r="Y207">
        <v>32318.55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7.6200000000000004E-2</v>
      </c>
      <c r="AH207">
        <v>3</v>
      </c>
      <c r="AI207">
        <v>-1</v>
      </c>
      <c r="AJ207" t="s">
        <v>3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ROW(Source!A87)</f>
        <v>87</v>
      </c>
      <c r="B208">
        <v>42279774</v>
      </c>
      <c r="C208">
        <v>42279768</v>
      </c>
      <c r="D208">
        <v>40681252</v>
      </c>
      <c r="E208">
        <v>1</v>
      </c>
      <c r="F208">
        <v>1</v>
      </c>
      <c r="G208">
        <v>27</v>
      </c>
      <c r="H208">
        <v>3</v>
      </c>
      <c r="I208" t="s">
        <v>230</v>
      </c>
      <c r="J208" t="s">
        <v>231</v>
      </c>
      <c r="K208" t="s">
        <v>232</v>
      </c>
      <c r="L208">
        <v>1348</v>
      </c>
      <c r="N208">
        <v>1009</v>
      </c>
      <c r="O208" t="s">
        <v>42</v>
      </c>
      <c r="P208" t="s">
        <v>42</v>
      </c>
      <c r="Q208">
        <v>1000</v>
      </c>
      <c r="X208">
        <v>0.03</v>
      </c>
      <c r="Y208">
        <v>49736.04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0.03</v>
      </c>
      <c r="AH208">
        <v>3</v>
      </c>
      <c r="AI208">
        <v>-1</v>
      </c>
      <c r="AJ208" t="s">
        <v>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ROW(Source!A87)</f>
        <v>87</v>
      </c>
      <c r="B209">
        <v>42279776</v>
      </c>
      <c r="C209">
        <v>42279768</v>
      </c>
      <c r="D209">
        <v>40682000</v>
      </c>
      <c r="E209">
        <v>1</v>
      </c>
      <c r="F209">
        <v>1</v>
      </c>
      <c r="G209">
        <v>27</v>
      </c>
      <c r="H209">
        <v>3</v>
      </c>
      <c r="I209" t="s">
        <v>233</v>
      </c>
      <c r="J209" t="s">
        <v>234</v>
      </c>
      <c r="K209" t="s">
        <v>235</v>
      </c>
      <c r="L209">
        <v>1327</v>
      </c>
      <c r="N209">
        <v>1005</v>
      </c>
      <c r="O209" t="s">
        <v>236</v>
      </c>
      <c r="P209" t="s">
        <v>236</v>
      </c>
      <c r="Q209">
        <v>1</v>
      </c>
      <c r="X209">
        <v>75</v>
      </c>
      <c r="Y209">
        <v>91.89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75</v>
      </c>
      <c r="AH209">
        <v>3</v>
      </c>
      <c r="AI209">
        <v>-1</v>
      </c>
      <c r="AJ209" t="s">
        <v>3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ROW(Source!A87)</f>
        <v>87</v>
      </c>
      <c r="B210">
        <v>42279775</v>
      </c>
      <c r="C210">
        <v>42279768</v>
      </c>
      <c r="D210">
        <v>40680371</v>
      </c>
      <c r="E210">
        <v>1</v>
      </c>
      <c r="F210">
        <v>1</v>
      </c>
      <c r="G210">
        <v>27</v>
      </c>
      <c r="H210">
        <v>3</v>
      </c>
      <c r="I210" t="s">
        <v>237</v>
      </c>
      <c r="J210" t="s">
        <v>238</v>
      </c>
      <c r="K210" t="s">
        <v>239</v>
      </c>
      <c r="L210">
        <v>1348</v>
      </c>
      <c r="N210">
        <v>1009</v>
      </c>
      <c r="O210" t="s">
        <v>42</v>
      </c>
      <c r="P210" t="s">
        <v>42</v>
      </c>
      <c r="Q210">
        <v>1000</v>
      </c>
      <c r="X210">
        <v>8.2000000000000003E-2</v>
      </c>
      <c r="Y210">
        <v>4752.34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8.2000000000000003E-2</v>
      </c>
      <c r="AH210">
        <v>3</v>
      </c>
      <c r="AI210">
        <v>-1</v>
      </c>
      <c r="AJ210" t="s">
        <v>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ROW(Source!A87)</f>
        <v>87</v>
      </c>
      <c r="B211">
        <v>42279777</v>
      </c>
      <c r="C211">
        <v>42279768</v>
      </c>
      <c r="D211">
        <v>40682177</v>
      </c>
      <c r="E211">
        <v>1</v>
      </c>
      <c r="F211">
        <v>1</v>
      </c>
      <c r="G211">
        <v>27</v>
      </c>
      <c r="H211">
        <v>3</v>
      </c>
      <c r="I211" t="s">
        <v>209</v>
      </c>
      <c r="J211" t="s">
        <v>210</v>
      </c>
      <c r="K211" t="s">
        <v>211</v>
      </c>
      <c r="L211">
        <v>1339</v>
      </c>
      <c r="N211">
        <v>1007</v>
      </c>
      <c r="O211" t="s">
        <v>29</v>
      </c>
      <c r="P211" t="s">
        <v>29</v>
      </c>
      <c r="Q211">
        <v>1</v>
      </c>
      <c r="X211">
        <v>0.42399999999999999</v>
      </c>
      <c r="Y211">
        <v>35.25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0.42399999999999999</v>
      </c>
      <c r="AH211">
        <v>3</v>
      </c>
      <c r="AI211">
        <v>-1</v>
      </c>
      <c r="AJ211" t="s">
        <v>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ROW(Source!A87)</f>
        <v>87</v>
      </c>
      <c r="B212">
        <v>42279778</v>
      </c>
      <c r="C212">
        <v>42279768</v>
      </c>
      <c r="D212">
        <v>40680879</v>
      </c>
      <c r="E212">
        <v>1</v>
      </c>
      <c r="F212">
        <v>1</v>
      </c>
      <c r="G212">
        <v>27</v>
      </c>
      <c r="H212">
        <v>3</v>
      </c>
      <c r="I212" t="s">
        <v>240</v>
      </c>
      <c r="J212" t="s">
        <v>241</v>
      </c>
      <c r="K212" t="s">
        <v>242</v>
      </c>
      <c r="L212">
        <v>1339</v>
      </c>
      <c r="N212">
        <v>1007</v>
      </c>
      <c r="O212" t="s">
        <v>29</v>
      </c>
      <c r="P212" t="s">
        <v>29</v>
      </c>
      <c r="Q212">
        <v>1</v>
      </c>
      <c r="X212">
        <v>0.7</v>
      </c>
      <c r="Y212">
        <v>7098.7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0.7</v>
      </c>
      <c r="AH212">
        <v>3</v>
      </c>
      <c r="AI212">
        <v>-1</v>
      </c>
      <c r="AJ212" t="s">
        <v>3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ROW(Source!A87)</f>
        <v>87</v>
      </c>
      <c r="B213">
        <v>42279779</v>
      </c>
      <c r="C213">
        <v>42279768</v>
      </c>
      <c r="D213">
        <v>40683143</v>
      </c>
      <c r="E213">
        <v>1</v>
      </c>
      <c r="F213">
        <v>1</v>
      </c>
      <c r="G213">
        <v>27</v>
      </c>
      <c r="H213">
        <v>3</v>
      </c>
      <c r="I213" t="s">
        <v>243</v>
      </c>
      <c r="J213" t="s">
        <v>244</v>
      </c>
      <c r="K213" t="s">
        <v>245</v>
      </c>
      <c r="L213">
        <v>1339</v>
      </c>
      <c r="N213">
        <v>1007</v>
      </c>
      <c r="O213" t="s">
        <v>29</v>
      </c>
      <c r="P213" t="s">
        <v>29</v>
      </c>
      <c r="Q213">
        <v>1</v>
      </c>
      <c r="X213">
        <v>102</v>
      </c>
      <c r="Y213">
        <v>3247.23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102</v>
      </c>
      <c r="AH213">
        <v>3</v>
      </c>
      <c r="AI213">
        <v>-1</v>
      </c>
      <c r="AJ213" t="s">
        <v>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ROW(Source!A87)</f>
        <v>87</v>
      </c>
      <c r="B214">
        <v>42279780</v>
      </c>
      <c r="C214">
        <v>42279768</v>
      </c>
      <c r="D214">
        <v>40685315</v>
      </c>
      <c r="E214">
        <v>1</v>
      </c>
      <c r="F214">
        <v>1</v>
      </c>
      <c r="G214">
        <v>27</v>
      </c>
      <c r="H214">
        <v>3</v>
      </c>
      <c r="I214" t="s">
        <v>246</v>
      </c>
      <c r="J214" t="s">
        <v>247</v>
      </c>
      <c r="K214" t="s">
        <v>248</v>
      </c>
      <c r="L214">
        <v>1327</v>
      </c>
      <c r="N214">
        <v>1005</v>
      </c>
      <c r="O214" t="s">
        <v>236</v>
      </c>
      <c r="P214" t="s">
        <v>236</v>
      </c>
      <c r="Q214">
        <v>1</v>
      </c>
      <c r="X214">
        <v>65.099999999999994</v>
      </c>
      <c r="Y214">
        <v>241.04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65.099999999999994</v>
      </c>
      <c r="AH214">
        <v>3</v>
      </c>
      <c r="AI214">
        <v>-1</v>
      </c>
      <c r="AJ214" t="s">
        <v>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ROW(Source!A88)</f>
        <v>88</v>
      </c>
      <c r="B215">
        <v>42279784</v>
      </c>
      <c r="C215">
        <v>42279781</v>
      </c>
      <c r="D215">
        <v>40662784</v>
      </c>
      <c r="E215">
        <v>27</v>
      </c>
      <c r="F215">
        <v>1</v>
      </c>
      <c r="G215">
        <v>27</v>
      </c>
      <c r="H215">
        <v>1</v>
      </c>
      <c r="I215" t="s">
        <v>193</v>
      </c>
      <c r="J215" t="s">
        <v>3</v>
      </c>
      <c r="K215" t="s">
        <v>194</v>
      </c>
      <c r="L215">
        <v>1191</v>
      </c>
      <c r="N215">
        <v>1013</v>
      </c>
      <c r="O215" t="s">
        <v>195</v>
      </c>
      <c r="P215" t="s">
        <v>195</v>
      </c>
      <c r="Q215">
        <v>1</v>
      </c>
      <c r="X215">
        <v>227.7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1</v>
      </c>
      <c r="AF215" t="s">
        <v>3</v>
      </c>
      <c r="AG215">
        <v>227.7</v>
      </c>
      <c r="AH215">
        <v>3</v>
      </c>
      <c r="AI215">
        <v>-1</v>
      </c>
      <c r="AJ215" t="s">
        <v>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ROW(Source!A88)</f>
        <v>88</v>
      </c>
      <c r="B216">
        <v>42279785</v>
      </c>
      <c r="C216">
        <v>42279781</v>
      </c>
      <c r="D216">
        <v>40683405</v>
      </c>
      <c r="E216">
        <v>1</v>
      </c>
      <c r="F216">
        <v>1</v>
      </c>
      <c r="G216">
        <v>27</v>
      </c>
      <c r="H216">
        <v>3</v>
      </c>
      <c r="I216" t="s">
        <v>50</v>
      </c>
      <c r="J216" t="s">
        <v>52</v>
      </c>
      <c r="K216" t="s">
        <v>51</v>
      </c>
      <c r="L216">
        <v>1348</v>
      </c>
      <c r="N216">
        <v>1009</v>
      </c>
      <c r="O216" t="s">
        <v>42</v>
      </c>
      <c r="P216" t="s">
        <v>42</v>
      </c>
      <c r="Q216">
        <v>1000</v>
      </c>
      <c r="X216">
        <v>1</v>
      </c>
      <c r="Y216">
        <v>53233.52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1</v>
      </c>
      <c r="AH216">
        <v>2</v>
      </c>
      <c r="AI216">
        <v>42279782</v>
      </c>
      <c r="AJ216">
        <v>107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ROW(Source!A92)</f>
        <v>92</v>
      </c>
      <c r="B217">
        <v>42280549</v>
      </c>
      <c r="C217">
        <v>42280546</v>
      </c>
      <c r="D217">
        <v>40662784</v>
      </c>
      <c r="E217">
        <v>27</v>
      </c>
      <c r="F217">
        <v>1</v>
      </c>
      <c r="G217">
        <v>27</v>
      </c>
      <c r="H217">
        <v>1</v>
      </c>
      <c r="I217" t="s">
        <v>193</v>
      </c>
      <c r="J217" t="s">
        <v>3</v>
      </c>
      <c r="K217" t="s">
        <v>194</v>
      </c>
      <c r="L217">
        <v>1191</v>
      </c>
      <c r="N217">
        <v>1013</v>
      </c>
      <c r="O217" t="s">
        <v>195</v>
      </c>
      <c r="P217" t="s">
        <v>195</v>
      </c>
      <c r="Q217">
        <v>1</v>
      </c>
      <c r="X217">
        <v>13.68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1</v>
      </c>
      <c r="AF217" t="s">
        <v>3</v>
      </c>
      <c r="AG217">
        <v>13.68</v>
      </c>
      <c r="AH217">
        <v>2</v>
      </c>
      <c r="AI217">
        <v>42280547</v>
      </c>
      <c r="AJ217">
        <v>109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ROW(Source!A92)</f>
        <v>92</v>
      </c>
      <c r="B218">
        <v>42280550</v>
      </c>
      <c r="C218">
        <v>42280546</v>
      </c>
      <c r="D218">
        <v>40681227</v>
      </c>
      <c r="E218">
        <v>1</v>
      </c>
      <c r="F218">
        <v>1</v>
      </c>
      <c r="G218">
        <v>27</v>
      </c>
      <c r="H218">
        <v>3</v>
      </c>
      <c r="I218" t="s">
        <v>215</v>
      </c>
      <c r="J218" t="s">
        <v>216</v>
      </c>
      <c r="K218" t="s">
        <v>217</v>
      </c>
      <c r="L218">
        <v>1348</v>
      </c>
      <c r="N218">
        <v>1009</v>
      </c>
      <c r="O218" t="s">
        <v>42</v>
      </c>
      <c r="P218" t="s">
        <v>42</v>
      </c>
      <c r="Q218">
        <v>1000</v>
      </c>
      <c r="X218">
        <v>7.1399999999999996E-3</v>
      </c>
      <c r="Y218">
        <v>105084.63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7.1399999999999996E-3</v>
      </c>
      <c r="AH218">
        <v>2</v>
      </c>
      <c r="AI218">
        <v>42280548</v>
      </c>
      <c r="AJ218">
        <v>110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Смета СН-2012 по гл. 1-5</vt:lpstr>
      <vt:lpstr>RV_DATA</vt:lpstr>
      <vt:lpstr>Расчет стоимости ресурсов</vt:lpstr>
      <vt:lpstr>Дефектная ведомость</vt:lpstr>
      <vt:lpstr>Ведомость объемов работ</vt:lpstr>
      <vt:lpstr>Source</vt:lpstr>
      <vt:lpstr>SourceObSm</vt:lpstr>
      <vt:lpstr>SmtRes</vt:lpstr>
      <vt:lpstr>EtalonRes</vt:lpstr>
      <vt:lpstr>'Ведомость объемов работ'!Заголовки_для_печати</vt:lpstr>
      <vt:lpstr>'Дефектная ведомость'!Заголовки_для_печати</vt:lpstr>
      <vt:lpstr>'Расчет стоимости ресурсов'!Заголовки_для_печати</vt:lpstr>
      <vt:lpstr>'Смета СН-2012 по гл. 1-5'!Заголовки_для_печати</vt:lpstr>
      <vt:lpstr>'Ведомость объемов работ'!Область_печати</vt:lpstr>
      <vt:lpstr>'Дефектная ведомость'!Область_печати</vt:lpstr>
      <vt:lpstr>'Расчет стоимости ресурсов'!Область_печати</vt:lpstr>
      <vt:lpstr>'Смета СН-2012 по гл. 1-5'!Область_печати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Блогоустр-София</dc:creator>
  <cp:lastModifiedBy>Григорий</cp:lastModifiedBy>
  <dcterms:created xsi:type="dcterms:W3CDTF">2021-02-25T12:57:55Z</dcterms:created>
  <dcterms:modified xsi:type="dcterms:W3CDTF">2021-03-13T14:24:12Z</dcterms:modified>
</cp:coreProperties>
</file>