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ригорий\Downloads\СМЕТЫ - КВАРТАЛ-КОРТ-СПОРТПЛ\бондаревой на отправку\квартал\"/>
    </mc:Choice>
  </mc:AlternateContent>
  <bookViews>
    <workbookView xWindow="0" yWindow="0" windowWidth="28800" windowHeight="12330"/>
  </bookViews>
  <sheets>
    <sheet name="Смета по ТСН-2001" sheetId="5" r:id="rId1"/>
    <sheet name="Дефектная ведомость" sheetId="6" r:id="rId2"/>
    <sheet name="Ведомость объемов работ" sheetId="7" r:id="rId3"/>
    <sheet name="RV_DATA" sheetId="9" state="hidden" r:id="rId4"/>
    <sheet name="Расчет стоимости ресурсов" sheetId="8" r:id="rId5"/>
    <sheet name="Source" sheetId="1" state="hidden" r:id="rId6"/>
    <sheet name="SourceObSm" sheetId="2" state="hidden" r:id="rId7"/>
    <sheet name="SmtRes" sheetId="3" state="hidden" r:id="rId8"/>
    <sheet name="EtalonRes" sheetId="4" state="hidden" r:id="rId9"/>
  </sheets>
  <definedNames>
    <definedName name="_xlnm.Print_Titles" localSheetId="2">'Ведомость объемов работ'!$18:$18</definedName>
    <definedName name="_xlnm.Print_Titles" localSheetId="1">'Дефектная ведомость'!$18:$18</definedName>
    <definedName name="_xlnm.Print_Titles" localSheetId="4">'Расчет стоимости ресурсов'!$11:$14</definedName>
    <definedName name="_xlnm.Print_Titles" localSheetId="0">'Смета по ТСН-2001'!$31:$31</definedName>
    <definedName name="_xlnm.Print_Area" localSheetId="2">'Ведомость объемов работ'!$A$1:$E$25</definedName>
    <definedName name="_xlnm.Print_Area" localSheetId="1">'Дефектная ведомость'!$A$1:$E$25</definedName>
    <definedName name="_xlnm.Print_Area" localSheetId="4">'Расчет стоимости ресурсов'!$A$1:$F$15</definedName>
    <definedName name="_xlnm.Print_Area" localSheetId="0">'Смета по ТСН-2001'!$A$1:$K$70</definedName>
  </definedNames>
  <calcPr calcId="162913"/>
</workbook>
</file>

<file path=xl/calcChain.xml><?xml version="1.0" encoding="utf-8"?>
<calcChain xmlns="http://schemas.openxmlformats.org/spreadsheetml/2006/main">
  <c r="G6" i="9" l="1"/>
  <c r="A6" i="9"/>
  <c r="D20" i="7"/>
  <c r="C20" i="7"/>
  <c r="B20" i="7"/>
  <c r="A20" i="7"/>
  <c r="A19" i="7"/>
  <c r="A12" i="7"/>
  <c r="A11" i="7"/>
  <c r="A1" i="7"/>
  <c r="D20" i="6"/>
  <c r="C20" i="6"/>
  <c r="B20" i="6"/>
  <c r="A20" i="6"/>
  <c r="A19" i="6"/>
  <c r="A12" i="6"/>
  <c r="A11" i="6"/>
  <c r="A1" i="6"/>
  <c r="J26" i="5"/>
  <c r="I26" i="5"/>
  <c r="C46" i="5"/>
  <c r="C45" i="5"/>
  <c r="I44" i="5"/>
  <c r="J44" i="5"/>
  <c r="I43" i="5"/>
  <c r="J43" i="5"/>
  <c r="Z39" i="5"/>
  <c r="I21" i="5" s="1"/>
  <c r="Y39" i="5"/>
  <c r="I20" i="5" s="1"/>
  <c r="X39" i="5"/>
  <c r="I19" i="5" s="1"/>
  <c r="H38" i="5"/>
  <c r="G38" i="5"/>
  <c r="E38" i="5"/>
  <c r="J37" i="5"/>
  <c r="E37" i="5"/>
  <c r="J36" i="5"/>
  <c r="E36" i="5"/>
  <c r="J35" i="5"/>
  <c r="H35" i="5"/>
  <c r="G35" i="5"/>
  <c r="F35" i="5"/>
  <c r="E34" i="5"/>
  <c r="D34" i="5"/>
  <c r="B34" i="5"/>
  <c r="A34" i="5"/>
  <c r="A33" i="5"/>
  <c r="A15" i="5"/>
  <c r="A7" i="5"/>
  <c r="A1" i="4" l="1"/>
  <c r="A1" i="3"/>
  <c r="CX1" i="3"/>
  <c r="CY1" i="3"/>
  <c r="CZ1" i="3"/>
  <c r="DB1" i="3" s="1"/>
  <c r="DA1" i="3"/>
  <c r="DC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S24" i="1"/>
  <c r="AC24" i="1"/>
  <c r="AB24" i="1" s="1"/>
  <c r="AD24" i="1"/>
  <c r="AE24" i="1"/>
  <c r="AF24" i="1"/>
  <c r="AG24" i="1"/>
  <c r="AH24" i="1"/>
  <c r="CV24" i="1" s="1"/>
  <c r="U24" i="1" s="1"/>
  <c r="AI24" i="1"/>
  <c r="CW24" i="1" s="1"/>
  <c r="V24" i="1" s="1"/>
  <c r="AI26" i="1" s="1"/>
  <c r="AJ24" i="1"/>
  <c r="CX24" i="1" s="1"/>
  <c r="W24" i="1" s="1"/>
  <c r="AJ26" i="1" s="1"/>
  <c r="CR24" i="1"/>
  <c r="CS24" i="1"/>
  <c r="CT24" i="1"/>
  <c r="CU24" i="1"/>
  <c r="T24" i="1" s="1"/>
  <c r="AG26" i="1" s="1"/>
  <c r="FR24" i="1"/>
  <c r="BY26" i="1" s="1"/>
  <c r="GL24" i="1"/>
  <c r="GN24" i="1"/>
  <c r="GO24" i="1"/>
  <c r="GV24" i="1"/>
  <c r="HC24" i="1" s="1"/>
  <c r="GX24" i="1" s="1"/>
  <c r="CJ26" i="1" s="1"/>
  <c r="BA26" i="1" s="1"/>
  <c r="B26" i="1"/>
  <c r="B22" i="1" s="1"/>
  <c r="C26" i="1"/>
  <c r="C22" i="1" s="1"/>
  <c r="D26" i="1"/>
  <c r="D22" i="1" s="1"/>
  <c r="F26" i="1"/>
  <c r="F22" i="1" s="1"/>
  <c r="G26" i="1"/>
  <c r="BB26" i="1"/>
  <c r="BB57" i="1" s="1"/>
  <c r="BX26" i="1"/>
  <c r="AO26" i="1" s="1"/>
  <c r="BZ26" i="1"/>
  <c r="CB26" i="1"/>
  <c r="AS26" i="1" s="1"/>
  <c r="CC26" i="1"/>
  <c r="CC22" i="1" s="1"/>
  <c r="CK26" i="1"/>
  <c r="CK22" i="1" s="1"/>
  <c r="CL26" i="1"/>
  <c r="CL22" i="1" s="1"/>
  <c r="B57" i="1"/>
  <c r="B18" i="1" s="1"/>
  <c r="C57" i="1"/>
  <c r="C18" i="1" s="1"/>
  <c r="D57" i="1"/>
  <c r="D18" i="1" s="1"/>
  <c r="F57" i="1"/>
  <c r="F18" i="1" s="1"/>
  <c r="G57" i="1"/>
  <c r="BY22" i="1" l="1"/>
  <c r="AP26" i="1"/>
  <c r="AT26" i="1"/>
  <c r="AT22" i="1" s="1"/>
  <c r="P24" i="1"/>
  <c r="CZ24" i="1"/>
  <c r="Y24" i="1" s="1"/>
  <c r="K35" i="5"/>
  <c r="AH26" i="1"/>
  <c r="U26" i="1" s="1"/>
  <c r="I38" i="5"/>
  <c r="AB38" i="5" s="1"/>
  <c r="I24" i="5" s="1"/>
  <c r="CQ24" i="1"/>
  <c r="CY24" i="1"/>
  <c r="X24" i="1" s="1"/>
  <c r="AF26" i="1"/>
  <c r="S26" i="1" s="1"/>
  <c r="G22" i="1"/>
  <c r="A42" i="5"/>
  <c r="Q34" i="5"/>
  <c r="I36" i="5" s="1"/>
  <c r="I35" i="5"/>
  <c r="S34" i="5"/>
  <c r="I37" i="5" s="1"/>
  <c r="G18" i="1"/>
  <c r="A10" i="8"/>
  <c r="A48" i="5"/>
  <c r="CG26" i="1"/>
  <c r="AX26" i="1" s="1"/>
  <c r="Q24" i="1"/>
  <c r="AD26" i="1" s="1"/>
  <c r="AD22" i="1" s="1"/>
  <c r="V34" i="5"/>
  <c r="U34" i="5"/>
  <c r="F39" i="1"/>
  <c r="AO22" i="1"/>
  <c r="F30" i="1"/>
  <c r="AO57" i="1"/>
  <c r="S22" i="1"/>
  <c r="F41" i="1"/>
  <c r="J16" i="2" s="1"/>
  <c r="J18" i="2" s="1"/>
  <c r="S57" i="1"/>
  <c r="AG22" i="1"/>
  <c r="T26" i="1"/>
  <c r="AS22" i="1"/>
  <c r="AS57" i="1"/>
  <c r="F43" i="1"/>
  <c r="E16" i="2" s="1"/>
  <c r="F70" i="1"/>
  <c r="BB18" i="1"/>
  <c r="CG22" i="1"/>
  <c r="W26" i="1"/>
  <c r="AJ22" i="1"/>
  <c r="CP24" i="1"/>
  <c r="O24" i="1" s="1"/>
  <c r="BA22" i="1"/>
  <c r="F46" i="1"/>
  <c r="BA57" i="1"/>
  <c r="AI22" i="1"/>
  <c r="V26" i="1"/>
  <c r="AH22" i="1"/>
  <c r="BZ22" i="1"/>
  <c r="BB22" i="1"/>
  <c r="AT57" i="1"/>
  <c r="AP57" i="1"/>
  <c r="R24" i="1"/>
  <c r="CJ22" i="1"/>
  <c r="CB22" i="1"/>
  <c r="BX22" i="1"/>
  <c r="AF22" i="1"/>
  <c r="F44" i="1"/>
  <c r="F16" i="2" s="1"/>
  <c r="F18" i="2" s="1"/>
  <c r="CI26" i="1"/>
  <c r="BC26" i="1"/>
  <c r="AQ26" i="1"/>
  <c r="AC26" i="1"/>
  <c r="W35" i="5" l="1"/>
  <c r="I23" i="5" s="1"/>
  <c r="O39" i="5"/>
  <c r="AA39" i="5"/>
  <c r="I22" i="5" s="1"/>
  <c r="H39" i="5"/>
  <c r="AL26" i="1"/>
  <c r="T34" i="5"/>
  <c r="K37" i="5" s="1"/>
  <c r="P39" i="5" s="1"/>
  <c r="Q26" i="1"/>
  <c r="AK26" i="1"/>
  <c r="R34" i="5"/>
  <c r="K36" i="5" s="1"/>
  <c r="AP22" i="1"/>
  <c r="F35" i="1"/>
  <c r="G16" i="2" s="1"/>
  <c r="G18" i="2" s="1"/>
  <c r="AQ57" i="1"/>
  <c r="AQ22" i="1"/>
  <c r="F36" i="1"/>
  <c r="GK24" i="1"/>
  <c r="GM24" i="1" s="1"/>
  <c r="CA26" i="1" s="1"/>
  <c r="AE26" i="1"/>
  <c r="AB26" i="1"/>
  <c r="GP24" i="1"/>
  <c r="CD26" i="1" s="1"/>
  <c r="F50" i="1"/>
  <c r="W22" i="1"/>
  <c r="W57" i="1"/>
  <c r="T57" i="1"/>
  <c r="T22" i="1"/>
  <c r="F47" i="1"/>
  <c r="F42" i="1"/>
  <c r="BC57" i="1"/>
  <c r="BC22" i="1"/>
  <c r="F66" i="1"/>
  <c r="J21" i="5" s="1"/>
  <c r="AP18" i="1"/>
  <c r="BA18" i="1"/>
  <c r="F77" i="1"/>
  <c r="AX22" i="1"/>
  <c r="F33" i="1"/>
  <c r="AX57" i="1"/>
  <c r="E18" i="2"/>
  <c r="AO18" i="1"/>
  <c r="F61" i="1"/>
  <c r="CI22" i="1"/>
  <c r="AZ26" i="1"/>
  <c r="AT18" i="1"/>
  <c r="F75" i="1"/>
  <c r="J20" i="5" s="1"/>
  <c r="U22" i="1"/>
  <c r="F48" i="1"/>
  <c r="U57" i="1"/>
  <c r="Q22" i="1"/>
  <c r="F38" i="1"/>
  <c r="Q57" i="1"/>
  <c r="F74" i="1"/>
  <c r="J19" i="5" s="1"/>
  <c r="AS18" i="1"/>
  <c r="F72" i="1"/>
  <c r="S18" i="1"/>
  <c r="AC22" i="1"/>
  <c r="CH26" i="1"/>
  <c r="CE26" i="1"/>
  <c r="P26" i="1"/>
  <c r="CF26" i="1"/>
  <c r="V22" i="1"/>
  <c r="V57" i="1"/>
  <c r="F49" i="1"/>
  <c r="J42" i="5" l="1"/>
  <c r="Y26" i="1"/>
  <c r="AL22" i="1"/>
  <c r="J39" i="5"/>
  <c r="AK22" i="1"/>
  <c r="X26" i="1"/>
  <c r="I18" i="5"/>
  <c r="H42" i="5"/>
  <c r="CA22" i="1"/>
  <c r="AR26" i="1"/>
  <c r="P57" i="1"/>
  <c r="P22" i="1"/>
  <c r="F29" i="1"/>
  <c r="Q18" i="1"/>
  <c r="F69" i="1"/>
  <c r="CE22" i="1"/>
  <c r="AV26" i="1"/>
  <c r="AZ22" i="1"/>
  <c r="F37" i="1"/>
  <c r="AZ57" i="1"/>
  <c r="AU26" i="1"/>
  <c r="CD22" i="1"/>
  <c r="V18" i="1"/>
  <c r="F80" i="1"/>
  <c r="AX18" i="1"/>
  <c r="F64" i="1"/>
  <c r="BC18" i="1"/>
  <c r="F73" i="1"/>
  <c r="T18" i="1"/>
  <c r="F78" i="1"/>
  <c r="W18" i="1"/>
  <c r="F81" i="1"/>
  <c r="AY26" i="1"/>
  <c r="CH22" i="1"/>
  <c r="O26" i="1"/>
  <c r="AB22" i="1"/>
  <c r="AW26" i="1"/>
  <c r="CF22" i="1"/>
  <c r="U18" i="1"/>
  <c r="F79" i="1"/>
  <c r="R26" i="1"/>
  <c r="AE22" i="1"/>
  <c r="F67" i="1"/>
  <c r="AQ18" i="1"/>
  <c r="F51" i="1" l="1"/>
  <c r="X22" i="1"/>
  <c r="X57" i="1"/>
  <c r="F52" i="1"/>
  <c r="Y57" i="1"/>
  <c r="Y22" i="1"/>
  <c r="AU57" i="1"/>
  <c r="AU22" i="1"/>
  <c r="F45" i="1"/>
  <c r="H16" i="2" s="1"/>
  <c r="AZ18" i="1"/>
  <c r="F68" i="1"/>
  <c r="AR57" i="1"/>
  <c r="AR22" i="1"/>
  <c r="F53" i="1"/>
  <c r="O22" i="1"/>
  <c r="F28" i="1"/>
  <c r="O57" i="1"/>
  <c r="F34" i="1"/>
  <c r="AY57" i="1"/>
  <c r="AY22" i="1"/>
  <c r="AV57" i="1"/>
  <c r="AV22" i="1"/>
  <c r="F31" i="1"/>
  <c r="P18" i="1"/>
  <c r="F60" i="1"/>
  <c r="F40" i="1"/>
  <c r="R57" i="1"/>
  <c r="R22" i="1"/>
  <c r="AW22" i="1"/>
  <c r="F32" i="1"/>
  <c r="AW57" i="1"/>
  <c r="F83" i="1" l="1"/>
  <c r="Y18" i="1"/>
  <c r="X18" i="1"/>
  <c r="F82" i="1"/>
  <c r="F54" i="1"/>
  <c r="AV18" i="1"/>
  <c r="F62" i="1"/>
  <c r="F59" i="1"/>
  <c r="O18" i="1"/>
  <c r="H18" i="2"/>
  <c r="I16" i="2"/>
  <c r="I18" i="2" s="1"/>
  <c r="AR18" i="1"/>
  <c r="F84" i="1"/>
  <c r="AW18" i="1"/>
  <c r="F63" i="1"/>
  <c r="R18" i="1"/>
  <c r="F71" i="1"/>
  <c r="J23" i="5" s="1"/>
  <c r="AY18" i="1"/>
  <c r="F65" i="1"/>
  <c r="F76" i="1"/>
  <c r="J22" i="5" s="1"/>
  <c r="AU18" i="1"/>
  <c r="F55" i="1" l="1"/>
  <c r="J46" i="5" s="1"/>
  <c r="J45" i="5"/>
  <c r="F85" i="1"/>
  <c r="F86" i="1" s="1"/>
  <c r="F87" i="1" s="1"/>
  <c r="J18" i="5"/>
</calcChain>
</file>

<file path=xl/sharedStrings.xml><?xml version="1.0" encoding="utf-8"?>
<sst xmlns="http://schemas.openxmlformats.org/spreadsheetml/2006/main" count="602" uniqueCount="196">
  <si>
    <t>Smeta.RU (Terminal)  (495) 974-1589</t>
  </si>
  <si>
    <t>_PS_</t>
  </si>
  <si>
    <t>Smeta.RU (Terminal)</t>
  </si>
  <si>
    <t/>
  </si>
  <si>
    <t>66. ПНР опоры освещения</t>
  </si>
  <si>
    <t>Сметные нормы списания</t>
  </si>
  <si>
    <t>Коды ОКП для ТСН-2001 МГЭ</t>
  </si>
  <si>
    <t>ТСН-2001 (МГЭ) - Новое строительство</t>
  </si>
  <si>
    <t>Типовой расчет Smeta.ru вер. 10 для ТСН-2001 МГЭ (Ремонт), Доп 55</t>
  </si>
  <si>
    <t>Территориальные сметные нормативы для Москвы ТСН-2001 (МГЭ)</t>
  </si>
  <si>
    <t>Поправки для ТСН-2001 от 27.01.2020 г.</t>
  </si>
  <si>
    <t>66</t>
  </si>
  <si>
    <t>ПНР опоры освещения</t>
  </si>
  <si>
    <t>1</t>
  </si>
  <si>
    <t>5.10-36-1</t>
  </si>
  <si>
    <t>Установки наружного освещения</t>
  </si>
  <si>
    <t>1 ОПОРА</t>
  </si>
  <si>
    <t>ТСН-2001.5. Доп. 1-42. Сб. 10, т. 36, поз. 1</t>
  </si>
  <si>
    <t>Поправка: ТСН-2001.5-10.О.П. п.2  Наименование: В случаях, если на объекте различные виды пусконаладочных работ выполняются комплексно одной подрядной организацией</t>
  </si>
  <si>
    <t>)*0,8</t>
  </si>
  <si>
    <t>Пусконаладочные работы</t>
  </si>
  <si>
    <t>ТСН-2001.5-10. 10-4...10-44</t>
  </si>
  <si>
    <t>ТСН-2001.5-10-1</t>
  </si>
  <si>
    <t>Поправка: ТСН-2001.5-10.О.П. п.2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</si>
  <si>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</si>
  <si>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</si>
  <si>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</si>
  <si>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</si>
  <si>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</si>
  <si>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</si>
  <si>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</si>
  <si>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</si>
  <si>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</si>
  <si>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</si>
  <si>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</si>
  <si>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</si>
  <si>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</si>
  <si>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</si>
  <si>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</si>
  <si>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</si>
  <si>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</si>
  <si>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</si>
  <si>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</si>
  <si>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</si>
  <si>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</si>
  <si>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</si>
  <si>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</si>
  <si>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</si>
  <si>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</si>
  <si>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</si>
  <si>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</si>
  <si>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</si>
  <si>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</si>
  <si>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</si>
  <si>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</si>
  <si>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</si>
  <si>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</si>
  <si>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</si>
  <si>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</si>
  <si>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</si>
  <si>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</si>
  <si>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</si>
  <si>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</si>
  <si>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</si>
  <si>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</si>
  <si>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</si>
  <si>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</si>
  <si>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</si>
  <si>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</si>
  <si>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</si>
  <si>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</si>
  <si>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</si>
  <si>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</si>
  <si>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</si>
  <si>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</si>
  <si>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</si>
  <si>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н</t>
  </si>
  <si>
    <t>НДС 20 %</t>
  </si>
  <si>
    <t>Всего с НДС</t>
  </si>
  <si>
    <t>Итого</t>
  </si>
  <si>
    <t>итого по смете</t>
  </si>
  <si>
    <t>НДС</t>
  </si>
  <si>
    <t>НДС-20%</t>
  </si>
  <si>
    <t>итого с НДС</t>
  </si>
  <si>
    <t>Уровень цен</t>
  </si>
  <si>
    <t>Сборник индексов</t>
  </si>
  <si>
    <t>ТСН-2001 МГЭ строительство</t>
  </si>
  <si>
    <t>160</t>
  </si>
  <si>
    <t>_OBSM_</t>
  </si>
  <si>
    <t>9999990008</t>
  </si>
  <si>
    <t>Трудозатраты рабочих</t>
  </si>
  <si>
    <t>чел.-ч.</t>
  </si>
  <si>
    <t>(наименование стройки и/или объекта)</t>
  </si>
  <si>
    <t>(наименование работ и затрат)</t>
  </si>
  <si>
    <t>В базисном уровне цен</t>
  </si>
  <si>
    <t>В текущем уровне цен</t>
  </si>
  <si>
    <t>Сметная стоимость</t>
  </si>
  <si>
    <t>Строительные работы</t>
  </si>
  <si>
    <t>Работы по монтажу оборудования</t>
  </si>
  <si>
    <t>Оборудование</t>
  </si>
  <si>
    <t>Прочие работы и затраты</t>
  </si>
  <si>
    <t>Средства на оплату труда</t>
  </si>
  <si>
    <t>Затраты труда</t>
  </si>
  <si>
    <t xml:space="preserve">Кроме того: 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</si>
  <si>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</si>
  <si>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</si>
  <si>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</si>
  <si>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</si>
  <si>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</si>
  <si>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изм., руб.</t>
  </si>
  <si>
    <t>Попра-вочные коэффи-
циенты</t>
  </si>
  <si>
    <t>Коэффи-циенты зимних удорожа-ний</t>
  </si>
  <si>
    <t>Всего затрат в базисном уровне цен, руб.</t>
  </si>
  <si>
    <t>Коэффици-енты (индексы) пересчета, нормы НР и СП</t>
  </si>
  <si>
    <t>ВСЕГО затрат в текущем уровне цен, руб.</t>
  </si>
  <si>
    <t>Составлен(а) по ТСН-2001 с учетом Дополнения №: 55</t>
  </si>
  <si>
    <t>№ и период сборника коэффициентов (индексов) пересчета: ТСН-2001 МГЭ строительство №160 январь 2020 года</t>
  </si>
  <si>
    <t>ЗП</t>
  </si>
  <si>
    <t>НР от ЗП</t>
  </si>
  <si>
    <t>%</t>
  </si>
  <si>
    <t>СП от ЗП</t>
  </si>
  <si>
    <t>ЗТР</t>
  </si>
  <si>
    <t>чел-ч</t>
  </si>
  <si>
    <t>Всего по позиции:</t>
  </si>
  <si>
    <t xml:space="preserve">   Итого по ТСН-2001.16</t>
  </si>
  <si>
    <t xml:space="preserve">   Итого возвратных сумм</t>
  </si>
  <si>
    <t xml:space="preserve">  тыс.руб</t>
  </si>
  <si>
    <t xml:space="preserve">Составил   </t>
  </si>
  <si>
    <t>(должность, подпись, инициалы, фамилия)</t>
  </si>
  <si>
    <t xml:space="preserve">Проверил   </t>
  </si>
  <si>
    <t>"УТВЕРЖДАЮ"</t>
  </si>
  <si>
    <t>___________________________</t>
  </si>
  <si>
    <t>" ___ " ___________ 20 ___ г.</t>
  </si>
  <si>
    <t xml:space="preserve">Мы, нижеподписавшиеся, произвели осмотр объекта </t>
  </si>
  <si>
    <t xml:space="preserve">и постановили произвести ремонт объекта в </t>
  </si>
  <si>
    <t>следующем объеме:</t>
  </si>
  <si>
    <t>Единица измерения</t>
  </si>
  <si>
    <t>Количество</t>
  </si>
  <si>
    <t>Примечание</t>
  </si>
  <si>
    <t>Заказчик _________________</t>
  </si>
  <si>
    <t>Подрядчик _________________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</si>
  <si>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</si>
  <si>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</si>
  <si>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</si>
  <si>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</si>
  <si>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</si>
  <si>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</si>
  <si>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</si>
  <si>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</si>
  <si>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</si>
  <si>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</si>
  <si>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</si>
  <si>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</si>
  <si>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</si>
  <si>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</si>
  <si>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</si>
  <si>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</si>
  <si>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</si>
  <si>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</si>
  <si>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</si>
  <si>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</si>
  <si>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</si>
  <si>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</si>
  <si>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</si>
  <si>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</si>
  <si>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</si>
  <si>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</si>
  <si>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</si>
  <si>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</si>
  <si>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</si>
  <si>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</si>
  <si>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</si>
  <si>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</si>
  <si>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</si>
  <si>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Ресурсная ведомость на</t>
  </si>
  <si>
    <t>Обоснование</t>
  </si>
  <si>
    <t>Наименование</t>
  </si>
  <si>
    <t>Объем</t>
  </si>
  <si>
    <t>Базовая</t>
  </si>
  <si>
    <t>цена</t>
  </si>
  <si>
    <t>стоимость</t>
  </si>
  <si>
    <t>кол-во опор</t>
  </si>
  <si>
    <t>шт.</t>
  </si>
  <si>
    <t xml:space="preserve"> </t>
  </si>
  <si>
    <t>в т.ч. ПНР</t>
  </si>
  <si>
    <t>ЛОКАЛЬНАЯ СМЕТА № 66</t>
  </si>
  <si>
    <t>Директор</t>
  </si>
  <si>
    <t>УТВЕРЖДАЮ</t>
  </si>
  <si>
    <t>"СОГЛАСОВАНО"</t>
  </si>
  <si>
    <t>Генеральный директор</t>
  </si>
  <si>
    <t>ООО "СВЕТСТРОЙ ИНЖИНИРИНГ"</t>
  </si>
  <si>
    <t>ГБУ "Жилищник Таганского района"</t>
  </si>
  <si>
    <t>______________________ Ю.А. Богданов</t>
  </si>
  <si>
    <t>______________________Ю.С. Леонова</t>
  </si>
  <si>
    <t>"_____"________________ 2020 г.</t>
  </si>
  <si>
    <t>________________________/Ю.С. Леонова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</si>
</sst>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\ #,##0.00"/>
    <numFmt numFmtId="165" formatCode="#,##0.00####;[Red]\-\ #,##0.00####"/>
  </numFmts>
  <fonts count="20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164" fontId="15" fillId="0" borderId="0" xfId="0" applyNumberFormat="1" applyFont="1"/>
    <xf numFmtId="0" fontId="15" fillId="0" borderId="0" xfId="0" applyFont="1"/>
    <xf numFmtId="164" fontId="11" fillId="0" borderId="0" xfId="0" applyNumberFormat="1" applyFont="1"/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0" fillId="0" borderId="0" xfId="0" applyNumberFormat="1"/>
    <xf numFmtId="0" fontId="11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right" wrapText="1"/>
    </xf>
    <xf numFmtId="164" fontId="11" fillId="0" borderId="5" xfId="0" applyNumberFormat="1" applyFont="1" applyBorder="1" applyAlignment="1">
      <alignment horizontal="right"/>
    </xf>
    <xf numFmtId="0" fontId="0" fillId="0" borderId="6" xfId="0" applyBorder="1"/>
    <xf numFmtId="0" fontId="15" fillId="0" borderId="6" xfId="0" applyFont="1" applyBorder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left" vertical="top"/>
    </xf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4" fontId="0" fillId="0" borderId="0" xfId="0" applyNumberFormat="1"/>
    <xf numFmtId="0" fontId="11" fillId="0" borderId="5" xfId="0" applyFont="1" applyBorder="1"/>
    <xf numFmtId="4" fontId="11" fillId="0" borderId="0" xfId="0" applyNumberFormat="1" applyFont="1"/>
    <xf numFmtId="0" fontId="0" fillId="0" borderId="0" xfId="0" applyFill="1"/>
    <xf numFmtId="0" fontId="19" fillId="0" borderId="0" xfId="0" applyFont="1" applyFill="1"/>
    <xf numFmtId="0" fontId="15" fillId="0" borderId="0" xfId="0" applyFont="1" applyFill="1" applyAlignment="1">
      <alignment horizontal="right"/>
    </xf>
    <xf numFmtId="4" fontId="19" fillId="0" borderId="0" xfId="0" applyNumberFormat="1" applyFont="1" applyFill="1"/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wrapText="1"/>
    </xf>
    <xf numFmtId="4" fontId="15" fillId="0" borderId="0" xfId="0" applyNumberFormat="1" applyFont="1" applyFill="1" applyAlignment="1">
      <alignment wrapText="1"/>
    </xf>
    <xf numFmtId="3" fontId="19" fillId="0" borderId="0" xfId="0" applyNumberFormat="1" applyFont="1" applyFill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4" fontId="15" fillId="0" borderId="0" xfId="0" applyNumberFormat="1" applyFont="1" applyFill="1" applyAlignment="1">
      <alignment horizontal="right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/>
    <xf numFmtId="0" fontId="11" fillId="0" borderId="1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164" fontId="15" fillId="0" borderId="6" xfId="0" applyNumberFormat="1" applyFont="1" applyBorder="1" applyAlignment="1">
      <alignment horizontal="right"/>
    </xf>
    <xf numFmtId="16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5" fillId="0" borderId="0" xfId="0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7"/>
  <sheetViews>
    <sheetView tabSelected="1" view="pageBreakPreview" topLeftCell="A24" zoomScaleNormal="100" zoomScaleSheetLayoutView="100" workbookViewId="0">
      <selection activeCell="E53" sqref="E53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6" width="11.7109375" customWidth="1"/>
    <col min="7" max="7" width="12.7109375" customWidth="1"/>
    <col min="8" max="8" width="10.7109375" customWidth="1"/>
    <col min="9" max="11" width="12.7109375" customWidth="1"/>
    <col min="15" max="36" width="0" hidden="1" customWidth="1"/>
    <col min="37" max="37" width="150.7109375" hidden="1" customWidth="1"/>
    <col min="38" max="42" width="0" hidden="1" customWidth="1"/>
  </cols>
  <sheetData>
    <row r="1" spans="1:12" ht="15.75" x14ac:dyDescent="0.25">
      <c r="A1" s="9"/>
      <c r="B1" s="80" t="s">
        <v>188</v>
      </c>
      <c r="C1" s="80"/>
      <c r="D1" s="80"/>
      <c r="E1" s="80"/>
      <c r="F1" s="80"/>
      <c r="H1" s="80" t="s">
        <v>130</v>
      </c>
      <c r="I1" s="80"/>
      <c r="J1" s="80"/>
      <c r="K1" s="80"/>
      <c r="L1" s="80"/>
    </row>
    <row r="2" spans="1:12" ht="14.25" x14ac:dyDescent="0.2">
      <c r="A2" s="9"/>
      <c r="B2" s="63" t="s">
        <v>189</v>
      </c>
      <c r="C2" s="63"/>
      <c r="D2" s="63"/>
      <c r="E2" s="63"/>
      <c r="F2" s="63"/>
      <c r="H2" s="63" t="s">
        <v>186</v>
      </c>
      <c r="I2" s="63"/>
      <c r="J2" s="63"/>
      <c r="K2" s="63"/>
      <c r="L2" s="63"/>
    </row>
    <row r="3" spans="1:12" ht="14.25" x14ac:dyDescent="0.2">
      <c r="A3" s="9"/>
      <c r="B3" s="58" t="s">
        <v>190</v>
      </c>
      <c r="C3" s="58"/>
      <c r="D3" s="58"/>
      <c r="E3" s="58"/>
      <c r="F3" s="58"/>
      <c r="H3" s="58" t="s">
        <v>191</v>
      </c>
      <c r="I3" s="58"/>
      <c r="J3" s="58"/>
      <c r="K3" s="58"/>
      <c r="L3" s="58"/>
    </row>
    <row r="4" spans="1:12" ht="14.25" x14ac:dyDescent="0.2">
      <c r="A4" s="9"/>
      <c r="B4" s="63" t="s">
        <v>192</v>
      </c>
      <c r="C4" s="63"/>
      <c r="D4" s="63"/>
      <c r="E4" s="63"/>
      <c r="F4" s="63"/>
      <c r="H4" s="63" t="s">
        <v>193</v>
      </c>
      <c r="I4" s="63"/>
      <c r="J4" s="63"/>
      <c r="K4" s="63"/>
      <c r="L4" s="63"/>
    </row>
    <row r="5" spans="1:12" ht="14.25" customHeight="1" x14ac:dyDescent="0.2">
      <c r="A5" s="9"/>
      <c r="B5" s="72" t="s">
        <v>194</v>
      </c>
      <c r="C5" s="72"/>
      <c r="D5" s="72"/>
      <c r="E5" s="72"/>
      <c r="F5" s="72"/>
      <c r="H5" s="72" t="s">
        <v>194</v>
      </c>
      <c r="I5" s="72"/>
      <c r="J5" s="72"/>
      <c r="K5" s="72"/>
      <c r="L5" s="72"/>
    </row>
    <row r="6" spans="1:12" x14ac:dyDescent="0.2">
      <c r="A6" s="9"/>
    </row>
    <row r="7" spans="1:12" ht="15.75" x14ac:dyDescent="0.25">
      <c r="A7" s="64" t="str">
        <f>IF(Source!G12&lt;&gt;"Новый объект", Source!G12, "")</f>
        <v>66. ПНР опоры освещения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2" x14ac:dyDescent="0.2">
      <c r="A8" s="65" t="s">
        <v>92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2" ht="14.2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15.75" x14ac:dyDescent="0.25">
      <c r="A10" s="64" t="s">
        <v>185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2" ht="14.25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2" ht="18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2" x14ac:dyDescent="0.2">
      <c r="A13" s="68" t="s">
        <v>93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2" ht="14.2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2" ht="14.25" x14ac:dyDescent="0.2">
      <c r="A15" s="70" t="str">
        <f>CONCATENATE( "Основание: чертежи № ", Source!J12)</f>
        <v xml:space="preserve">Основание: чертежи № 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37" ht="28.5" x14ac:dyDescent="0.2">
      <c r="A17" s="10"/>
      <c r="B17" s="10"/>
      <c r="C17" s="10"/>
      <c r="D17" s="10"/>
      <c r="E17" s="10"/>
      <c r="F17" s="10"/>
      <c r="G17" s="10"/>
      <c r="H17" s="10"/>
      <c r="I17" s="12" t="s">
        <v>94</v>
      </c>
      <c r="J17" s="12" t="s">
        <v>95</v>
      </c>
      <c r="K17" s="10"/>
    </row>
    <row r="18" spans="1:37" ht="15" x14ac:dyDescent="0.25">
      <c r="A18" s="10"/>
      <c r="B18" s="10"/>
      <c r="C18" s="10"/>
      <c r="D18" s="10"/>
      <c r="E18" s="10"/>
      <c r="F18" s="71" t="s">
        <v>96</v>
      </c>
      <c r="G18" s="71"/>
      <c r="H18" s="71"/>
      <c r="I18" s="13">
        <f>SUM(O1:O50)/1000</f>
        <v>0.24983</v>
      </c>
      <c r="J18" s="13">
        <f>(Source!F84/1000)</f>
        <v>5.0380900000000004</v>
      </c>
      <c r="K18" s="14" t="s">
        <v>126</v>
      </c>
    </row>
    <row r="19" spans="1:37" ht="14.25" x14ac:dyDescent="0.2">
      <c r="A19" s="10"/>
      <c r="B19" s="10"/>
      <c r="C19" s="10"/>
      <c r="D19" s="10"/>
      <c r="E19" s="10"/>
      <c r="F19" s="63" t="s">
        <v>97</v>
      </c>
      <c r="G19" s="63"/>
      <c r="H19" s="63"/>
      <c r="I19" s="15">
        <f>SUM(X1:X50)/1000</f>
        <v>0</v>
      </c>
      <c r="J19" s="15">
        <f>(Source!F74)/1000</f>
        <v>0</v>
      </c>
      <c r="K19" s="10" t="s">
        <v>126</v>
      </c>
    </row>
    <row r="20" spans="1:37" ht="14.25" x14ac:dyDescent="0.2">
      <c r="A20" s="10"/>
      <c r="B20" s="10"/>
      <c r="C20" s="10"/>
      <c r="D20" s="10"/>
      <c r="E20" s="10"/>
      <c r="F20" s="63" t="s">
        <v>98</v>
      </c>
      <c r="G20" s="63"/>
      <c r="H20" s="63"/>
      <c r="I20" s="15">
        <f>SUM(Y1:Y50)/1000</f>
        <v>0</v>
      </c>
      <c r="J20" s="15">
        <f>(Source!F75)/1000</f>
        <v>0</v>
      </c>
      <c r="K20" s="10" t="s">
        <v>126</v>
      </c>
    </row>
    <row r="21" spans="1:37" ht="14.25" x14ac:dyDescent="0.2">
      <c r="A21" s="10"/>
      <c r="B21" s="10"/>
      <c r="C21" s="10"/>
      <c r="D21" s="10"/>
      <c r="E21" s="10"/>
      <c r="F21" s="63" t="s">
        <v>99</v>
      </c>
      <c r="G21" s="63"/>
      <c r="H21" s="63"/>
      <c r="I21" s="15">
        <f>SUM(Z1:Z50)/1000</f>
        <v>0</v>
      </c>
      <c r="J21" s="15">
        <f>(Source!F66)/1000</f>
        <v>0</v>
      </c>
      <c r="K21" s="10" t="s">
        <v>126</v>
      </c>
    </row>
    <row r="22" spans="1:37" ht="14.25" x14ac:dyDescent="0.2">
      <c r="A22" s="10"/>
      <c r="B22" s="10"/>
      <c r="C22" s="10"/>
      <c r="D22" s="10"/>
      <c r="E22" s="10"/>
      <c r="F22" s="63" t="s">
        <v>100</v>
      </c>
      <c r="G22" s="63"/>
      <c r="H22" s="63"/>
      <c r="I22" s="15">
        <f>SUM(AA1:AA50)/1000</f>
        <v>0.24983</v>
      </c>
      <c r="J22" s="15">
        <f>(Source!F76+Source!F77)/1000</f>
        <v>5.0380900000000004</v>
      </c>
      <c r="K22" s="10" t="s">
        <v>126</v>
      </c>
    </row>
    <row r="23" spans="1:37" ht="14.25" x14ac:dyDescent="0.2">
      <c r="A23" s="10"/>
      <c r="B23" s="10"/>
      <c r="C23" s="10"/>
      <c r="D23" s="10"/>
      <c r="E23" s="10"/>
      <c r="F23" s="63" t="s">
        <v>101</v>
      </c>
      <c r="G23" s="63"/>
      <c r="H23" s="63"/>
      <c r="I23" s="15">
        <f>SUM(W1:W50)/1000</f>
        <v>0.10197000000000001</v>
      </c>
      <c r="J23" s="15">
        <f>(Source!F72+ Source!F71)/1000</f>
        <v>2.4105700000000003</v>
      </c>
      <c r="K23" s="10" t="s">
        <v>126</v>
      </c>
    </row>
    <row r="24" spans="1:37" ht="14.25" x14ac:dyDescent="0.2">
      <c r="A24" s="10"/>
      <c r="B24" s="10"/>
      <c r="C24" s="10"/>
      <c r="D24" s="10"/>
      <c r="E24" s="10"/>
      <c r="F24" s="63" t="s">
        <v>102</v>
      </c>
      <c r="G24" s="63"/>
      <c r="H24" s="63"/>
      <c r="I24" s="15">
        <f>SUM(AB1:AB50)</f>
        <v>6.4</v>
      </c>
      <c r="J24" s="15"/>
      <c r="K24" s="10" t="s">
        <v>91</v>
      </c>
    </row>
    <row r="25" spans="1:37" ht="14.25" hidden="1" x14ac:dyDescent="0.2">
      <c r="A25" s="10"/>
      <c r="B25" s="10"/>
      <c r="C25" s="10"/>
      <c r="D25" s="10"/>
      <c r="E25" s="10"/>
      <c r="F25" s="16" t="s">
        <v>103</v>
      </c>
      <c r="G25" s="16"/>
      <c r="H25" s="16"/>
      <c r="I25" s="15"/>
      <c r="J25" s="15"/>
      <c r="K25" s="10"/>
    </row>
    <row r="26" spans="1:37" ht="14.25" hidden="1" x14ac:dyDescent="0.2">
      <c r="A26" s="10"/>
      <c r="B26" s="10"/>
      <c r="C26" s="10"/>
      <c r="D26" s="10"/>
      <c r="E26" s="10"/>
      <c r="F26" s="74" t="s">
        <v>63</v>
      </c>
      <c r="G26" s="75"/>
      <c r="H26" s="75"/>
      <c r="I26" s="15">
        <f>SUM(AE1:AE50)/1000</f>
        <v>0</v>
      </c>
      <c r="J26" s="15">
        <f>SUM(AF1:AF50)/1000</f>
        <v>0</v>
      </c>
      <c r="K26" s="10" t="s">
        <v>126</v>
      </c>
    </row>
    <row r="27" spans="1:37" ht="14.25" x14ac:dyDescent="0.2">
      <c r="A27" s="10"/>
      <c r="B27" s="10"/>
      <c r="C27" s="10"/>
      <c r="D27" s="10"/>
      <c r="E27" s="10"/>
      <c r="F27" s="17"/>
      <c r="G27" s="17"/>
      <c r="H27" s="17"/>
      <c r="I27" s="15"/>
      <c r="J27" s="15"/>
      <c r="K27" s="10"/>
    </row>
    <row r="28" spans="1:37" ht="14.25" x14ac:dyDescent="0.2">
      <c r="A28" s="10" t="s">
        <v>115</v>
      </c>
      <c r="B28" s="10"/>
      <c r="C28" s="10"/>
      <c r="D28" s="10"/>
      <c r="E28" s="10"/>
      <c r="F28" s="17"/>
      <c r="G28" s="17"/>
      <c r="H28" s="17"/>
      <c r="I28" s="15"/>
      <c r="J28" s="15"/>
      <c r="K28" s="10"/>
    </row>
    <row r="29" spans="1:37" ht="14.25" x14ac:dyDescent="0.2">
      <c r="A29" s="70" t="s">
        <v>116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AK29" s="20" t="s">
        <v>116</v>
      </c>
    </row>
    <row r="30" spans="1:37" ht="85.5" x14ac:dyDescent="0.2">
      <c r="A30" s="18" t="s">
        <v>104</v>
      </c>
      <c r="B30" s="18" t="s">
        <v>105</v>
      </c>
      <c r="C30" s="18" t="s">
        <v>106</v>
      </c>
      <c r="D30" s="18" t="s">
        <v>107</v>
      </c>
      <c r="E30" s="18" t="s">
        <v>108</v>
      </c>
      <c r="F30" s="18" t="s">
        <v>109</v>
      </c>
      <c r="G30" s="19" t="s">
        <v>110</v>
      </c>
      <c r="H30" s="19" t="s">
        <v>111</v>
      </c>
      <c r="I30" s="18" t="s">
        <v>112</v>
      </c>
      <c r="J30" s="18" t="s">
        <v>113</v>
      </c>
      <c r="K30" s="18" t="s">
        <v>114</v>
      </c>
    </row>
    <row r="31" spans="1:37" ht="14.25" x14ac:dyDescent="0.2">
      <c r="A31" s="18">
        <v>1</v>
      </c>
      <c r="B31" s="18">
        <v>2</v>
      </c>
      <c r="C31" s="18">
        <v>3</v>
      </c>
      <c r="D31" s="18">
        <v>4</v>
      </c>
      <c r="E31" s="18">
        <v>5</v>
      </c>
      <c r="F31" s="18">
        <v>6</v>
      </c>
      <c r="G31" s="18">
        <v>7</v>
      </c>
      <c r="H31" s="18">
        <v>8</v>
      </c>
      <c r="I31" s="18">
        <v>9</v>
      </c>
      <c r="J31" s="18">
        <v>10</v>
      </c>
      <c r="K31" s="18">
        <v>11</v>
      </c>
    </row>
    <row r="33" spans="1:28" ht="16.5" x14ac:dyDescent="0.25">
      <c r="A33" s="76" t="str">
        <f>CONCATENATE("Локальная смета: ",IF(Source!G20&lt;&gt;"Новая локальная смета", Source!G20, ""))</f>
        <v>Локальная смета: ПНР опоры освещения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28" ht="14.25" x14ac:dyDescent="0.2">
      <c r="A34" s="21" t="str">
        <f>Source!E24</f>
        <v>1</v>
      </c>
      <c r="B34" s="22" t="str">
        <f>Source!F24</f>
        <v>5.10-36-1</v>
      </c>
      <c r="C34" s="22" t="s">
        <v>15</v>
      </c>
      <c r="D34" s="24" t="str">
        <f>Source!H24</f>
        <v>1 ОПОРА</v>
      </c>
      <c r="E34" s="23">
        <f>Source!I24</f>
        <v>1</v>
      </c>
      <c r="F34" s="26"/>
      <c r="G34" s="25"/>
      <c r="H34" s="23"/>
      <c r="I34" s="27"/>
      <c r="J34" s="23"/>
      <c r="K34" s="27"/>
      <c r="Q34">
        <f>ROUND((Source!DN24/100)*ROUND((ROUND((Source!AF24*Source!AV24*Source!I24),2)),2), 2)</f>
        <v>76.48</v>
      </c>
      <c r="R34">
        <f>Source!X24</f>
        <v>1639.19</v>
      </c>
      <c r="S34">
        <f>ROUND((Source!DO24/100)*ROUND((ROUND((Source!AF24*Source!AV24*Source!I24),2)),2), 2)</f>
        <v>71.38</v>
      </c>
      <c r="T34">
        <f>Source!Y24</f>
        <v>988.33</v>
      </c>
      <c r="U34">
        <f>ROUND((175/100)*ROUND((ROUND((Source!AE24*Source!AV24*Source!I24),2)),2), 2)</f>
        <v>0</v>
      </c>
      <c r="V34">
        <f>ROUND((157/100)*ROUND(ROUND((ROUND((Source!AE24*Source!AV24*Source!I24),2)*Source!BS24),2), 2), 2)</f>
        <v>0</v>
      </c>
    </row>
    <row r="35" spans="1:28" ht="14.25" x14ac:dyDescent="0.2">
      <c r="A35" s="21"/>
      <c r="B35" s="22"/>
      <c r="C35" s="22" t="s">
        <v>117</v>
      </c>
      <c r="D35" s="24"/>
      <c r="E35" s="23"/>
      <c r="F35" s="26">
        <f>Source!AO24</f>
        <v>127.46</v>
      </c>
      <c r="G35" s="25" t="str">
        <f>Source!DG24</f>
        <v>)*0,8</v>
      </c>
      <c r="H35" s="23">
        <f>Source!AV24</f>
        <v>1</v>
      </c>
      <c r="I35" s="27">
        <f>ROUND((ROUND((Source!AF24*Source!AV24*Source!I24),2)),2)</f>
        <v>101.97</v>
      </c>
      <c r="J35" s="23">
        <f>IF(Source!BA24&lt;&gt; 0, Source!BA24, 1)</f>
        <v>23.64</v>
      </c>
      <c r="K35" s="27">
        <f>Source!S24</f>
        <v>2410.5700000000002</v>
      </c>
      <c r="W35">
        <f>I35</f>
        <v>101.97</v>
      </c>
    </row>
    <row r="36" spans="1:28" ht="14.25" x14ac:dyDescent="0.2">
      <c r="A36" s="21"/>
      <c r="B36" s="22"/>
      <c r="C36" s="22" t="s">
        <v>118</v>
      </c>
      <c r="D36" s="24" t="s">
        <v>119</v>
      </c>
      <c r="E36" s="23">
        <f>Source!DN24</f>
        <v>75</v>
      </c>
      <c r="F36" s="26"/>
      <c r="G36" s="25"/>
      <c r="H36" s="23"/>
      <c r="I36" s="27">
        <f>SUM(Q34:Q35)</f>
        <v>76.48</v>
      </c>
      <c r="J36" s="23">
        <f>Source!BZ24</f>
        <v>68</v>
      </c>
      <c r="K36" s="27">
        <f>SUM(R34:R35)</f>
        <v>1639.19</v>
      </c>
    </row>
    <row r="37" spans="1:28" ht="14.25" x14ac:dyDescent="0.2">
      <c r="A37" s="21"/>
      <c r="B37" s="22"/>
      <c r="C37" s="22" t="s">
        <v>120</v>
      </c>
      <c r="D37" s="24" t="s">
        <v>119</v>
      </c>
      <c r="E37" s="23">
        <f>Source!DO24</f>
        <v>70</v>
      </c>
      <c r="F37" s="26"/>
      <c r="G37" s="25"/>
      <c r="H37" s="23"/>
      <c r="I37" s="27">
        <f>SUM(S34:S36)</f>
        <v>71.38</v>
      </c>
      <c r="J37" s="23">
        <f>Source!CA24</f>
        <v>41</v>
      </c>
      <c r="K37" s="27">
        <f>SUM(T34:T36)</f>
        <v>988.33</v>
      </c>
    </row>
    <row r="38" spans="1:28" ht="14.25" x14ac:dyDescent="0.2">
      <c r="A38" s="29"/>
      <c r="B38" s="30"/>
      <c r="C38" s="30" t="s">
        <v>121</v>
      </c>
      <c r="D38" s="31" t="s">
        <v>122</v>
      </c>
      <c r="E38" s="32">
        <f>Source!AQ24</f>
        <v>8</v>
      </c>
      <c r="F38" s="33"/>
      <c r="G38" s="34" t="str">
        <f>Source!DI24</f>
        <v>)*0,8</v>
      </c>
      <c r="H38" s="32">
        <f>Source!AV24</f>
        <v>1</v>
      </c>
      <c r="I38" s="35">
        <f>Source!U24</f>
        <v>6.4</v>
      </c>
      <c r="J38" s="32"/>
      <c r="K38" s="35"/>
      <c r="AB38" s="28">
        <f>I38</f>
        <v>6.4</v>
      </c>
    </row>
    <row r="39" spans="1:28" ht="15" x14ac:dyDescent="0.25">
      <c r="A39" s="36"/>
      <c r="B39" s="36"/>
      <c r="C39" s="37" t="s">
        <v>123</v>
      </c>
      <c r="D39" s="36"/>
      <c r="E39" s="36"/>
      <c r="F39" s="36"/>
      <c r="G39" s="36"/>
      <c r="H39" s="77">
        <f>I35+I36+I37</f>
        <v>249.82999999999998</v>
      </c>
      <c r="I39" s="77"/>
      <c r="J39" s="77">
        <f>K35+K36+K37</f>
        <v>5038.09</v>
      </c>
      <c r="K39" s="77"/>
      <c r="O39" s="28">
        <f>I35+I36+I37</f>
        <v>249.82999999999998</v>
      </c>
      <c r="P39" s="28">
        <f>K35+K36+K37</f>
        <v>5038.09</v>
      </c>
      <c r="X39">
        <f>IF(Source!BI24&lt;=1,I35+I36+I37-0, 0)</f>
        <v>0</v>
      </c>
      <c r="Y39">
        <f>IF(Source!BI24=2,I35+I36+I37-0, 0)</f>
        <v>0</v>
      </c>
      <c r="Z39">
        <f>IF(Source!BI24=3,I35+I36+I37-0, 0)</f>
        <v>0</v>
      </c>
      <c r="AA39">
        <f>IF(Source!BI24=4,I35+I36+I37,0)</f>
        <v>249.82999999999998</v>
      </c>
    </row>
    <row r="42" spans="1:28" ht="15" hidden="1" x14ac:dyDescent="0.25">
      <c r="A42" s="59" t="str">
        <f>CONCATENATE("Итого по локальной смете: ",IF(Source!G26&lt;&gt;"Новая локальная смета", Source!G26, ""))</f>
        <v>Итого по локальной смете: ПНР опоры освещения</v>
      </c>
      <c r="B42" s="59"/>
      <c r="C42" s="59"/>
      <c r="D42" s="59"/>
      <c r="E42" s="59"/>
      <c r="F42" s="59"/>
      <c r="G42" s="59"/>
      <c r="H42" s="78">
        <f>SUM(O33:O41)</f>
        <v>249.82999999999998</v>
      </c>
      <c r="I42" s="79"/>
      <c r="J42" s="78">
        <f>SUM(P33:P41)</f>
        <v>5038.09</v>
      </c>
      <c r="K42" s="79"/>
    </row>
    <row r="43" spans="1:28" hidden="1" x14ac:dyDescent="0.2">
      <c r="A43" t="s">
        <v>124</v>
      </c>
      <c r="I43">
        <f>SUM(AC33:AC42)</f>
        <v>0</v>
      </c>
      <c r="J43">
        <f>SUM(AD33:AD42)</f>
        <v>0</v>
      </c>
    </row>
    <row r="44" spans="1:28" hidden="1" x14ac:dyDescent="0.2">
      <c r="A44" t="s">
        <v>125</v>
      </c>
      <c r="I44">
        <f>SUM(AE33:AE43)</f>
        <v>0</v>
      </c>
      <c r="J44">
        <f>SUM(AF33:AF43)</f>
        <v>0</v>
      </c>
    </row>
    <row r="45" spans="1:28" ht="14.25" hidden="1" x14ac:dyDescent="0.2">
      <c r="C45" s="72" t="str">
        <f>Source!H54</f>
        <v>НДС 20 %</v>
      </c>
      <c r="D45" s="72"/>
      <c r="E45" s="72"/>
      <c r="F45" s="72"/>
      <c r="G45" s="72"/>
      <c r="H45" s="72"/>
      <c r="I45" s="72"/>
      <c r="J45" s="73">
        <f>IF(Source!F54=0, "", Source!F54)</f>
        <v>1007.62</v>
      </c>
      <c r="K45" s="73"/>
    </row>
    <row r="46" spans="1:28" ht="14.25" hidden="1" x14ac:dyDescent="0.2">
      <c r="C46" s="72" t="str">
        <f>Source!H55</f>
        <v>Всего с НДС</v>
      </c>
      <c r="D46" s="72"/>
      <c r="E46" s="72"/>
      <c r="F46" s="72"/>
      <c r="G46" s="72"/>
      <c r="H46" s="72"/>
      <c r="I46" s="72"/>
      <c r="J46" s="73">
        <f>IF(Source!F55=0, "", Source!F55)</f>
        <v>6045.71</v>
      </c>
      <c r="K46" s="73"/>
    </row>
    <row r="48" spans="1:28" ht="15" x14ac:dyDescent="0.25">
      <c r="A48" s="59" t="str">
        <f>CONCATENATE("Итого по смете: ",IF(Source!G57&lt;&gt;"Новый объект", Source!G57, ""))</f>
        <v>Итого по смете: 66. ПНР опоры освещения</v>
      </c>
      <c r="B48" s="59"/>
      <c r="C48" s="59"/>
      <c r="D48" s="59"/>
      <c r="E48" s="59"/>
      <c r="F48" s="59"/>
      <c r="G48" s="59"/>
      <c r="H48" s="78">
        <v>249.82999999999998</v>
      </c>
      <c r="I48" s="79"/>
      <c r="J48" s="78">
        <v>5038.09</v>
      </c>
      <c r="K48" s="79"/>
    </row>
    <row r="49" spans="1:11" hidden="1" x14ac:dyDescent="0.2">
      <c r="A49" t="s">
        <v>124</v>
      </c>
      <c r="I49">
        <v>0</v>
      </c>
      <c r="J49">
        <v>0</v>
      </c>
    </row>
    <row r="50" spans="1:11" hidden="1" x14ac:dyDescent="0.2">
      <c r="A50" t="s">
        <v>125</v>
      </c>
      <c r="I50">
        <v>0</v>
      </c>
      <c r="J50">
        <v>0</v>
      </c>
    </row>
    <row r="51" spans="1:11" x14ac:dyDescent="0.2">
      <c r="I51" s="47"/>
      <c r="J51" s="47"/>
      <c r="K51" s="47"/>
    </row>
    <row r="52" spans="1:11" s="50" customFormat="1" ht="15" x14ac:dyDescent="0.25">
      <c r="A52" s="51"/>
      <c r="B52" s="51"/>
      <c r="C52" s="52" t="s">
        <v>181</v>
      </c>
      <c r="D52" s="57">
        <v>180</v>
      </c>
      <c r="E52" s="51" t="s">
        <v>182</v>
      </c>
      <c r="F52" s="51"/>
      <c r="G52" s="51"/>
      <c r="H52" s="51"/>
      <c r="I52" s="53"/>
      <c r="J52" s="53"/>
      <c r="K52" s="53"/>
    </row>
    <row r="53" spans="1:11" s="50" customFormat="1" ht="15" x14ac:dyDescent="0.25">
      <c r="A53" s="51"/>
      <c r="B53" s="51"/>
      <c r="C53" s="52" t="s">
        <v>80</v>
      </c>
      <c r="D53" s="51"/>
      <c r="E53" s="51"/>
      <c r="F53" s="51"/>
      <c r="G53" s="51"/>
      <c r="H53" s="51"/>
      <c r="I53" s="53">
        <v>449694</v>
      </c>
      <c r="J53" s="53"/>
      <c r="K53" s="53">
        <v>9068562</v>
      </c>
    </row>
    <row r="54" spans="1:11" s="50" customFormat="1" ht="15" x14ac:dyDescent="0.25">
      <c r="A54" s="51"/>
      <c r="B54" s="51"/>
      <c r="C54" s="52"/>
      <c r="D54" s="51"/>
      <c r="E54" s="51"/>
      <c r="F54" s="51"/>
      <c r="G54" s="51"/>
      <c r="H54" s="51"/>
      <c r="I54" s="53"/>
      <c r="J54" s="53"/>
      <c r="K54" s="53"/>
    </row>
    <row r="55" spans="1:11" s="50" customFormat="1" ht="15" x14ac:dyDescent="0.25">
      <c r="A55" s="51"/>
      <c r="B55" s="51"/>
      <c r="C55" s="52"/>
      <c r="D55" s="51"/>
      <c r="E55" s="51"/>
      <c r="F55" s="51"/>
      <c r="G55" s="51"/>
      <c r="H55" s="51"/>
      <c r="I55" s="53"/>
      <c r="J55" s="53"/>
      <c r="K55" s="53"/>
    </row>
    <row r="56" spans="1:11" s="50" customFormat="1" ht="15" x14ac:dyDescent="0.25">
      <c r="A56" s="51"/>
      <c r="B56" s="51"/>
      <c r="C56" s="52" t="s">
        <v>184</v>
      </c>
      <c r="D56" s="51"/>
      <c r="E56" s="51"/>
      <c r="F56" s="51"/>
      <c r="G56" s="51"/>
      <c r="H56" s="51"/>
      <c r="I56" s="53">
        <v>449694</v>
      </c>
      <c r="J56" s="53"/>
      <c r="K56" s="53">
        <v>9068562</v>
      </c>
    </row>
    <row r="57" spans="1:11" s="50" customFormat="1" ht="15" x14ac:dyDescent="0.25">
      <c r="A57" s="51"/>
      <c r="B57" s="51"/>
      <c r="C57" s="52"/>
      <c r="D57" s="51"/>
      <c r="E57" s="51"/>
      <c r="F57" s="51"/>
      <c r="G57" s="51"/>
      <c r="H57" s="51"/>
      <c r="I57" s="53"/>
      <c r="J57" s="53"/>
      <c r="K57" s="53"/>
    </row>
    <row r="58" spans="1:11" s="50" customFormat="1" ht="15" x14ac:dyDescent="0.25">
      <c r="A58" s="51"/>
      <c r="B58" s="51"/>
      <c r="C58" s="54"/>
      <c r="D58" s="55"/>
      <c r="E58" s="55"/>
      <c r="F58" s="55"/>
      <c r="G58" s="55"/>
      <c r="H58" s="55"/>
      <c r="I58" s="56"/>
      <c r="J58" s="60"/>
      <c r="K58" s="60"/>
    </row>
    <row r="59" spans="1:11" s="50" customFormat="1" ht="15" x14ac:dyDescent="0.25">
      <c r="A59" s="51"/>
      <c r="B59" s="51"/>
      <c r="C59" s="54" t="s">
        <v>82</v>
      </c>
      <c r="D59" s="55"/>
      <c r="E59" s="55"/>
      <c r="F59" s="55"/>
      <c r="G59" s="55"/>
      <c r="H59" s="55"/>
      <c r="I59" s="56"/>
      <c r="J59" s="60">
        <v>1813712.4000000001</v>
      </c>
      <c r="K59" s="60"/>
    </row>
    <row r="60" spans="1:11" s="50" customFormat="1" ht="15" x14ac:dyDescent="0.25">
      <c r="A60" s="51"/>
      <c r="B60" s="51"/>
      <c r="C60" s="54" t="s">
        <v>83</v>
      </c>
      <c r="D60" s="55"/>
      <c r="E60" s="55"/>
      <c r="F60" s="55"/>
      <c r="G60" s="55"/>
      <c r="H60" s="55"/>
      <c r="I60" s="56"/>
      <c r="J60" s="60">
        <v>10882274.4</v>
      </c>
      <c r="K60" s="60"/>
    </row>
    <row r="61" spans="1:11" x14ac:dyDescent="0.2">
      <c r="I61" s="47"/>
      <c r="J61" s="47"/>
      <c r="K61" s="47"/>
    </row>
    <row r="62" spans="1:11" x14ac:dyDescent="0.2">
      <c r="I62" s="47"/>
      <c r="J62" s="47"/>
      <c r="K62" s="47"/>
    </row>
    <row r="63" spans="1:11" ht="14.25" x14ac:dyDescent="0.2">
      <c r="A63" s="62" t="s">
        <v>127</v>
      </c>
      <c r="B63" s="62"/>
      <c r="C63" s="48" t="s">
        <v>183</v>
      </c>
      <c r="D63" s="48"/>
      <c r="E63" s="48"/>
      <c r="F63" s="48"/>
      <c r="G63" s="48"/>
      <c r="H63" s="10" t="s">
        <v>183</v>
      </c>
      <c r="I63" s="49"/>
      <c r="J63" s="49"/>
      <c r="K63" s="49"/>
    </row>
    <row r="64" spans="1:11" ht="14.25" x14ac:dyDescent="0.2">
      <c r="A64" s="10"/>
      <c r="B64" s="10"/>
      <c r="C64" s="61" t="s">
        <v>128</v>
      </c>
      <c r="D64" s="61"/>
      <c r="E64" s="61"/>
      <c r="F64" s="61"/>
      <c r="G64" s="61"/>
      <c r="H64" s="10"/>
      <c r="I64" s="10"/>
      <c r="J64" s="49"/>
      <c r="K64" s="49"/>
    </row>
    <row r="65" spans="1:11" ht="14.2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49"/>
      <c r="K65" s="49"/>
    </row>
    <row r="66" spans="1:11" ht="14.25" x14ac:dyDescent="0.2">
      <c r="A66" s="62" t="s">
        <v>129</v>
      </c>
      <c r="B66" s="62"/>
      <c r="C66" s="48" t="s">
        <v>183</v>
      </c>
      <c r="D66" s="48"/>
      <c r="E66" s="48"/>
      <c r="F66" s="48"/>
      <c r="G66" s="48"/>
      <c r="H66" s="10" t="s">
        <v>183</v>
      </c>
      <c r="I66" s="10"/>
      <c r="J66" s="49"/>
      <c r="K66" s="49"/>
    </row>
    <row r="67" spans="1:11" ht="14.25" x14ac:dyDescent="0.2">
      <c r="A67" s="10"/>
      <c r="B67" s="10"/>
      <c r="C67" s="61" t="s">
        <v>128</v>
      </c>
      <c r="D67" s="61"/>
      <c r="E67" s="61"/>
      <c r="F67" s="61"/>
      <c r="G67" s="61"/>
      <c r="H67" s="10"/>
      <c r="I67" s="10"/>
      <c r="J67" s="49"/>
      <c r="K67" s="49"/>
    </row>
  </sheetData>
  <mergeCells count="43">
    <mergeCell ref="B5:F5"/>
    <mergeCell ref="H5:L5"/>
    <mergeCell ref="B1:F1"/>
    <mergeCell ref="H1:L1"/>
    <mergeCell ref="B2:F2"/>
    <mergeCell ref="H2:L2"/>
    <mergeCell ref="B4:F4"/>
    <mergeCell ref="H4:L4"/>
    <mergeCell ref="J42:K42"/>
    <mergeCell ref="H42:I42"/>
    <mergeCell ref="A42:G42"/>
    <mergeCell ref="C45:I45"/>
    <mergeCell ref="J45:K45"/>
    <mergeCell ref="F24:H24"/>
    <mergeCell ref="F26:H26"/>
    <mergeCell ref="A29:K29"/>
    <mergeCell ref="A33:K33"/>
    <mergeCell ref="J39:K39"/>
    <mergeCell ref="H39:I39"/>
    <mergeCell ref="C67:G67"/>
    <mergeCell ref="F23:H23"/>
    <mergeCell ref="A7:K7"/>
    <mergeCell ref="A8:K8"/>
    <mergeCell ref="A10:K10"/>
    <mergeCell ref="A12:K12"/>
    <mergeCell ref="A13:K13"/>
    <mergeCell ref="A15:K15"/>
    <mergeCell ref="F18:H18"/>
    <mergeCell ref="F19:H19"/>
    <mergeCell ref="F20:H20"/>
    <mergeCell ref="F21:H21"/>
    <mergeCell ref="F22:H22"/>
    <mergeCell ref="C46:I46"/>
    <mergeCell ref="A63:B63"/>
    <mergeCell ref="J46:K46"/>
    <mergeCell ref="A48:G48"/>
    <mergeCell ref="J58:K58"/>
    <mergeCell ref="J59:K59"/>
    <mergeCell ref="C64:G64"/>
    <mergeCell ref="A66:B66"/>
    <mergeCell ref="J60:K60"/>
    <mergeCell ref="J48:K48"/>
    <mergeCell ref="H48:I48"/>
  </mergeCells>
  <pageMargins left="0.4" right="0.2" top="0.2" bottom="0.4" header="0.2" footer="0.2"/>
  <pageSetup paperSize="9" scale="64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Normal="100" workbookViewId="0"/>
  </sheetViews>
  <sheetFormatPr defaultRowHeight="12.75" x14ac:dyDescent="0.2"/>
  <cols>
    <col min="1" max="1" width="6.7109375" customWidth="1"/>
    <col min="2" max="2" width="75.7109375" customWidth="1"/>
    <col min="3" max="5" width="15.7109375" customWidth="1"/>
  </cols>
  <sheetData>
    <row r="1" spans="1:5" x14ac:dyDescent="0.2">
      <c r="A1" s="9" t="str">
        <f>Source!B1</f>
        <v>Smeta.RU (Terminal)  (495) 974-1589</v>
      </c>
    </row>
    <row r="2" spans="1:5" ht="14.25" x14ac:dyDescent="0.2">
      <c r="C2" s="10"/>
      <c r="D2" s="10"/>
    </row>
    <row r="3" spans="1:5" ht="15" x14ac:dyDescent="0.25">
      <c r="C3" s="10"/>
      <c r="D3" s="38" t="s">
        <v>130</v>
      </c>
    </row>
    <row r="4" spans="1:5" ht="15" x14ac:dyDescent="0.25">
      <c r="C4" s="38"/>
      <c r="D4" s="38"/>
    </row>
    <row r="5" spans="1:5" ht="15" x14ac:dyDescent="0.25">
      <c r="C5" s="81" t="s">
        <v>131</v>
      </c>
      <c r="D5" s="81"/>
    </row>
    <row r="6" spans="1:5" ht="15" x14ac:dyDescent="0.25">
      <c r="C6" s="39"/>
      <c r="D6" s="39"/>
    </row>
    <row r="7" spans="1:5" ht="15" x14ac:dyDescent="0.25">
      <c r="C7" s="81" t="s">
        <v>131</v>
      </c>
      <c r="D7" s="81"/>
    </row>
    <row r="8" spans="1:5" ht="15" x14ac:dyDescent="0.25">
      <c r="C8" s="39"/>
      <c r="D8" s="39"/>
    </row>
    <row r="9" spans="1:5" ht="15" x14ac:dyDescent="0.25">
      <c r="C9" s="38" t="s">
        <v>132</v>
      </c>
      <c r="D9" s="10"/>
    </row>
    <row r="10" spans="1:5" ht="14.25" x14ac:dyDescent="0.2">
      <c r="A10" s="10"/>
      <c r="B10" s="10"/>
      <c r="C10" s="10"/>
      <c r="D10" s="10"/>
      <c r="E10" s="10"/>
    </row>
    <row r="11" spans="1:5" ht="15.75" x14ac:dyDescent="0.25">
      <c r="A11" s="82" t="str">
        <f>CONCATENATE("Дефектный акт ", IF(Source!AN15&lt;&gt;"", Source!AN15," "))</f>
        <v xml:space="preserve">Дефектный акт  </v>
      </c>
      <c r="B11" s="82"/>
      <c r="C11" s="82"/>
      <c r="D11" s="82"/>
      <c r="E11" s="10"/>
    </row>
    <row r="12" spans="1:5" ht="15" x14ac:dyDescent="0.25">
      <c r="A12" s="83" t="str">
        <f>CONCATENATE("На капитальный ремонт ", Source!F12)</f>
        <v xml:space="preserve">На капитальный ремонт </v>
      </c>
      <c r="B12" s="83"/>
      <c r="C12" s="83"/>
      <c r="D12" s="83"/>
      <c r="E12" s="10"/>
    </row>
    <row r="13" spans="1:5" ht="14.25" x14ac:dyDescent="0.2">
      <c r="A13" s="10"/>
      <c r="B13" s="10"/>
      <c r="C13" s="10"/>
      <c r="D13" s="10"/>
      <c r="E13" s="10"/>
    </row>
    <row r="14" spans="1:5" ht="15" x14ac:dyDescent="0.2">
      <c r="A14" s="10"/>
      <c r="B14" s="40" t="s">
        <v>133</v>
      </c>
      <c r="C14" s="10"/>
      <c r="D14" s="10"/>
      <c r="E14" s="10"/>
    </row>
    <row r="15" spans="1:5" ht="15" x14ac:dyDescent="0.2">
      <c r="A15" s="10"/>
      <c r="B15" s="40" t="s">
        <v>134</v>
      </c>
      <c r="C15" s="10"/>
      <c r="D15" s="10"/>
      <c r="E15" s="10"/>
    </row>
    <row r="16" spans="1:5" ht="15" x14ac:dyDescent="0.2">
      <c r="A16" s="10"/>
      <c r="B16" s="40" t="s">
        <v>135</v>
      </c>
      <c r="C16" s="10"/>
      <c r="D16" s="10"/>
      <c r="E16" s="10"/>
    </row>
    <row r="17" spans="1:5" ht="28.5" x14ac:dyDescent="0.2">
      <c r="A17" s="18" t="s">
        <v>104</v>
      </c>
      <c r="B17" s="18" t="s">
        <v>106</v>
      </c>
      <c r="C17" s="18" t="s">
        <v>136</v>
      </c>
      <c r="D17" s="18" t="s">
        <v>137</v>
      </c>
      <c r="E17" s="19" t="s">
        <v>138</v>
      </c>
    </row>
    <row r="18" spans="1:5" ht="14.25" x14ac:dyDescent="0.2">
      <c r="A18" s="41">
        <v>1</v>
      </c>
      <c r="B18" s="41">
        <v>2</v>
      </c>
      <c r="C18" s="41">
        <v>3</v>
      </c>
      <c r="D18" s="41">
        <v>4</v>
      </c>
      <c r="E18" s="42">
        <v>5</v>
      </c>
    </row>
    <row r="19" spans="1:5" ht="16.5" x14ac:dyDescent="0.25">
      <c r="A19" s="84" t="str">
        <f>CONCATENATE("Локальная смета: ", Source!G20)</f>
        <v>Локальная смета: ПНР опоры освещения</v>
      </c>
      <c r="B19" s="84"/>
      <c r="C19" s="84"/>
      <c r="D19" s="84"/>
      <c r="E19" s="84"/>
    </row>
    <row r="20" spans="1:5" ht="14.25" x14ac:dyDescent="0.2">
      <c r="A20" s="43" t="str">
        <f>Source!E24</f>
        <v>1</v>
      </c>
      <c r="B20" s="44" t="str">
        <f>Source!G24</f>
        <v>Установки наружного освещения</v>
      </c>
      <c r="C20" s="45" t="str">
        <f>Source!H24</f>
        <v>1 ОПОРА</v>
      </c>
      <c r="D20" s="46">
        <f>Source!I24</f>
        <v>1</v>
      </c>
      <c r="E20" s="43"/>
    </row>
    <row r="23" spans="1:5" ht="15" x14ac:dyDescent="0.25">
      <c r="A23" s="14" t="s">
        <v>139</v>
      </c>
      <c r="B23" s="14"/>
      <c r="C23" s="14" t="s">
        <v>140</v>
      </c>
      <c r="D23" s="14"/>
      <c r="E23" s="14"/>
    </row>
  </sheetData>
  <mergeCells count="5">
    <mergeCell ref="C5:D5"/>
    <mergeCell ref="C7:D7"/>
    <mergeCell ref="A11:D11"/>
    <mergeCell ref="A12:D12"/>
    <mergeCell ref="A19:E19"/>
  </mergeCells>
  <pageMargins left="0.4" right="0.2" top="0.2" bottom="0.4" header="0.2" footer="0.2"/>
  <pageSetup paperSize="9" scale="77" fitToHeight="0" orientation="portrait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="60" zoomScaleNormal="100" workbookViewId="0">
      <selection activeCell="C3" sqref="C3:E7"/>
    </sheetView>
  </sheetViews>
  <sheetFormatPr defaultRowHeight="12.75" x14ac:dyDescent="0.2"/>
  <cols>
    <col min="1" max="1" width="6.7109375" customWidth="1"/>
    <col min="2" max="2" width="75.7109375" customWidth="1"/>
    <col min="3" max="5" width="15.7109375" customWidth="1"/>
  </cols>
  <sheetData>
    <row r="1" spans="1:5" x14ac:dyDescent="0.2">
      <c r="A1" s="9" t="str">
        <f>Source!B1</f>
        <v>Smeta.RU (Terminal)  (495) 974-1589</v>
      </c>
    </row>
    <row r="2" spans="1:5" ht="14.25" x14ac:dyDescent="0.2">
      <c r="C2" s="10"/>
      <c r="D2" s="10"/>
    </row>
    <row r="3" spans="1:5" ht="14.25" x14ac:dyDescent="0.2">
      <c r="C3" s="63" t="s">
        <v>187</v>
      </c>
      <c r="D3" s="63"/>
      <c r="E3" s="63"/>
    </row>
    <row r="4" spans="1:5" ht="14.25" x14ac:dyDescent="0.2">
      <c r="C4" s="63" t="s">
        <v>186</v>
      </c>
      <c r="D4" s="63"/>
      <c r="E4" s="63"/>
    </row>
    <row r="5" spans="1:5" ht="15" x14ac:dyDescent="0.25">
      <c r="C5" s="71" t="s">
        <v>191</v>
      </c>
      <c r="D5" s="71"/>
      <c r="E5" s="71"/>
    </row>
    <row r="6" spans="1:5" ht="15" x14ac:dyDescent="0.25">
      <c r="C6" s="14"/>
      <c r="D6" s="14"/>
    </row>
    <row r="7" spans="1:5" ht="15" x14ac:dyDescent="0.25">
      <c r="C7" s="71" t="s">
        <v>195</v>
      </c>
      <c r="D7" s="71"/>
      <c r="E7" s="71"/>
    </row>
    <row r="8" spans="1:5" ht="15" x14ac:dyDescent="0.25">
      <c r="C8" s="39"/>
      <c r="D8" s="39"/>
    </row>
    <row r="9" spans="1:5" ht="15" x14ac:dyDescent="0.25">
      <c r="C9" s="38" t="s">
        <v>132</v>
      </c>
      <c r="D9" s="10"/>
    </row>
    <row r="10" spans="1:5" ht="14.25" x14ac:dyDescent="0.2">
      <c r="A10" s="10"/>
      <c r="B10" s="10"/>
      <c r="C10" s="10"/>
      <c r="D10" s="10"/>
      <c r="E10" s="10"/>
    </row>
    <row r="11" spans="1:5" ht="15.75" x14ac:dyDescent="0.25">
      <c r="A11" s="82" t="str">
        <f>CONCATENATE("Ведомость объемов работ ", IF(Source!AN15&lt;&gt;"", Source!AN15," "))</f>
        <v xml:space="preserve">Ведомость объемов работ  </v>
      </c>
      <c r="B11" s="82"/>
      <c r="C11" s="82"/>
      <c r="D11" s="82"/>
      <c r="E11" s="10"/>
    </row>
    <row r="12" spans="1:5" ht="15" x14ac:dyDescent="0.25">
      <c r="A12" s="83" t="str">
        <f>CONCATENATE("На капитальный ремонт ", Source!F12)</f>
        <v xml:space="preserve">На капитальный ремонт </v>
      </c>
      <c r="B12" s="83"/>
      <c r="C12" s="83"/>
      <c r="D12" s="83"/>
      <c r="E12" s="10"/>
    </row>
    <row r="13" spans="1:5" ht="14.25" x14ac:dyDescent="0.2">
      <c r="A13" s="10"/>
      <c r="B13" s="10"/>
      <c r="C13" s="10"/>
      <c r="D13" s="10"/>
      <c r="E13" s="10"/>
    </row>
    <row r="14" spans="1:5" ht="15" x14ac:dyDescent="0.2">
      <c r="A14" s="10"/>
      <c r="B14" s="40" t="s">
        <v>133</v>
      </c>
      <c r="C14" s="10"/>
      <c r="D14" s="10"/>
      <c r="E14" s="10"/>
    </row>
    <row r="15" spans="1:5" ht="15" x14ac:dyDescent="0.2">
      <c r="A15" s="10"/>
      <c r="B15" s="40" t="s">
        <v>134</v>
      </c>
      <c r="C15" s="10"/>
      <c r="D15" s="10"/>
      <c r="E15" s="10"/>
    </row>
    <row r="16" spans="1:5" ht="15" x14ac:dyDescent="0.2">
      <c r="A16" s="10"/>
      <c r="B16" s="40" t="s">
        <v>135</v>
      </c>
      <c r="C16" s="10"/>
      <c r="D16" s="10"/>
      <c r="E16" s="10"/>
    </row>
    <row r="17" spans="1:5" ht="28.5" x14ac:dyDescent="0.2">
      <c r="A17" s="18" t="s">
        <v>104</v>
      </c>
      <c r="B17" s="18" t="s">
        <v>106</v>
      </c>
      <c r="C17" s="18" t="s">
        <v>136</v>
      </c>
      <c r="D17" s="18" t="s">
        <v>137</v>
      </c>
      <c r="E17" s="19" t="s">
        <v>138</v>
      </c>
    </row>
    <row r="18" spans="1:5" ht="14.25" x14ac:dyDescent="0.2">
      <c r="A18" s="41">
        <v>1</v>
      </c>
      <c r="B18" s="41">
        <v>2</v>
      </c>
      <c r="C18" s="41">
        <v>3</v>
      </c>
      <c r="D18" s="41">
        <v>4</v>
      </c>
      <c r="E18" s="42">
        <v>5</v>
      </c>
    </row>
    <row r="19" spans="1:5" ht="16.5" x14ac:dyDescent="0.25">
      <c r="A19" s="84" t="str">
        <f>CONCATENATE("Локальная смета: ", Source!G20)</f>
        <v>Локальная смета: ПНР опоры освещения</v>
      </c>
      <c r="B19" s="84"/>
      <c r="C19" s="84"/>
      <c r="D19" s="84"/>
      <c r="E19" s="84"/>
    </row>
    <row r="20" spans="1:5" ht="14.25" x14ac:dyDescent="0.2">
      <c r="A20" s="43" t="str">
        <f>Source!E24</f>
        <v>1</v>
      </c>
      <c r="B20" s="44" t="str">
        <f>Source!G24</f>
        <v>Установки наружного освещения</v>
      </c>
      <c r="C20" s="45" t="str">
        <f>Source!H24</f>
        <v>1 ОПОРА</v>
      </c>
      <c r="D20" s="46">
        <f>Source!I24</f>
        <v>1</v>
      </c>
      <c r="E20" s="43"/>
    </row>
    <row r="23" spans="1:5" ht="15" x14ac:dyDescent="0.25">
      <c r="A23" s="14" t="s">
        <v>139</v>
      </c>
      <c r="B23" s="14"/>
      <c r="C23" s="14" t="s">
        <v>140</v>
      </c>
      <c r="D23" s="14"/>
      <c r="E23" s="14"/>
    </row>
  </sheetData>
  <mergeCells count="7">
    <mergeCell ref="A12:D12"/>
    <mergeCell ref="A19:E19"/>
    <mergeCell ref="C3:E3"/>
    <mergeCell ref="C4:E4"/>
    <mergeCell ref="C5:E5"/>
    <mergeCell ref="C7:E7"/>
    <mergeCell ref="A11:D11"/>
  </mergeCells>
  <pageMargins left="0.4" right="0.2" top="0.2" bottom="0.4" header="0.2" footer="0.2"/>
  <pageSetup paperSize="9" scale="77" fitToHeight="0" orientation="portrait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/>
  </sheetViews>
  <sheetFormatPr defaultRowHeight="12.75" x14ac:dyDescent="0.2"/>
  <sheetData>
    <row r="1" spans="1:23" x14ac:dyDescent="0.2">
      <c r="A1" t="s">
        <v>164</v>
      </c>
      <c r="B1" t="s">
        <v>165</v>
      </c>
      <c r="C1" t="s">
        <v>166</v>
      </c>
      <c r="D1" t="s">
        <v>167</v>
      </c>
      <c r="E1" t="s">
        <v>168</v>
      </c>
      <c r="F1" t="s">
        <v>169</v>
      </c>
      <c r="G1" t="s">
        <v>170</v>
      </c>
      <c r="H1" t="s">
        <v>171</v>
      </c>
      <c r="I1" t="s">
        <v>172</v>
      </c>
      <c r="J1" t="s">
        <v>173</v>
      </c>
    </row>
    <row r="2" spans="1:23" x14ac:dyDescent="0.2">
      <c r="A2">
        <v>1</v>
      </c>
      <c r="B2">
        <v>0</v>
      </c>
      <c r="C2">
        <v>0</v>
      </c>
      <c r="D2">
        <v>1</v>
      </c>
      <c r="E2">
        <v>1</v>
      </c>
      <c r="F2">
        <v>1</v>
      </c>
      <c r="G2">
        <v>1</v>
      </c>
      <c r="H2">
        <v>0</v>
      </c>
      <c r="I2">
        <v>1</v>
      </c>
      <c r="J2">
        <v>0</v>
      </c>
    </row>
    <row r="4" spans="1:23" x14ac:dyDescent="0.2">
      <c r="A4" t="s">
        <v>141</v>
      </c>
      <c r="B4" t="s">
        <v>142</v>
      </c>
      <c r="C4" t="s">
        <v>143</v>
      </c>
      <c r="D4" t="s">
        <v>144</v>
      </c>
      <c r="E4" t="s">
        <v>145</v>
      </c>
      <c r="F4" t="s">
        <v>146</v>
      </c>
      <c r="G4" t="s">
        <v>147</v>
      </c>
      <c r="H4" t="s">
        <v>148</v>
      </c>
      <c r="I4" t="s">
        <v>149</v>
      </c>
      <c r="J4" t="s">
        <v>150</v>
      </c>
      <c r="K4" t="s">
        <v>151</v>
      </c>
      <c r="L4" t="s">
        <v>152</v>
      </c>
      <c r="M4" t="s">
        <v>153</v>
      </c>
      <c r="N4" t="s">
        <v>154</v>
      </c>
      <c r="O4" t="s">
        <v>155</v>
      </c>
      <c r="P4" t="s">
        <v>156</v>
      </c>
      <c r="Q4" t="s">
        <v>157</v>
      </c>
      <c r="R4" t="s">
        <v>158</v>
      </c>
      <c r="S4" t="s">
        <v>159</v>
      </c>
      <c r="T4" t="s">
        <v>160</v>
      </c>
      <c r="U4" t="s">
        <v>161</v>
      </c>
      <c r="V4" t="s">
        <v>162</v>
      </c>
      <c r="W4" t="s">
        <v>163</v>
      </c>
    </row>
    <row r="6" spans="1:23" x14ac:dyDescent="0.2">
      <c r="A6">
        <f>Source!A20</f>
        <v>3</v>
      </c>
      <c r="B6">
        <v>20</v>
      </c>
      <c r="G6" t="str">
        <f>Source!G20</f>
        <v>ПНР опоры освещения</v>
      </c>
    </row>
    <row r="7" spans="1:23" x14ac:dyDescent="0.2">
      <c r="A7">
        <v>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view="pageBreakPreview" zoomScale="60" zoomScaleNormal="100" workbookViewId="0">
      <selection activeCell="L32" sqref="K31:L32"/>
    </sheetView>
  </sheetViews>
  <sheetFormatPr defaultRowHeight="12.75" x14ac:dyDescent="0.2"/>
  <cols>
    <col min="1" max="1" width="12.7109375" customWidth="1"/>
    <col min="2" max="2" width="40.7109375" customWidth="1"/>
    <col min="3" max="6" width="12.7109375" customWidth="1"/>
    <col min="15" max="18" width="0" hidden="1" customWidth="1"/>
  </cols>
  <sheetData>
    <row r="2" spans="1:6" ht="14.25" x14ac:dyDescent="0.2">
      <c r="C2" s="63" t="s">
        <v>187</v>
      </c>
      <c r="D2" s="63"/>
      <c r="E2" s="63"/>
    </row>
    <row r="3" spans="1:6" ht="14.25" x14ac:dyDescent="0.2">
      <c r="C3" s="63" t="s">
        <v>186</v>
      </c>
      <c r="D3" s="63"/>
      <c r="E3" s="63"/>
    </row>
    <row r="4" spans="1:6" ht="15" x14ac:dyDescent="0.25">
      <c r="C4" s="71" t="s">
        <v>191</v>
      </c>
      <c r="D4" s="71"/>
      <c r="E4" s="71"/>
    </row>
    <row r="5" spans="1:6" ht="15" x14ac:dyDescent="0.25">
      <c r="C5" s="14"/>
      <c r="D5" s="14"/>
    </row>
    <row r="6" spans="1:6" ht="15" x14ac:dyDescent="0.25">
      <c r="C6" s="71" t="s">
        <v>195</v>
      </c>
      <c r="D6" s="71"/>
      <c r="E6" s="71"/>
    </row>
    <row r="9" spans="1:6" ht="16.5" x14ac:dyDescent="0.2">
      <c r="A9" s="85" t="s">
        <v>174</v>
      </c>
      <c r="B9" s="86"/>
      <c r="C9" s="86"/>
      <c r="D9" s="86"/>
      <c r="E9" s="86"/>
      <c r="F9" s="86"/>
    </row>
    <row r="10" spans="1:6" ht="16.5" x14ac:dyDescent="0.2">
      <c r="A10" s="85" t="str">
        <f>CONCATENATE("Объект: ",IF(Source!G57&lt;&gt;"Новый объект", Source!G57, ""))</f>
        <v>Объект: 66. ПНР опоры освещения</v>
      </c>
      <c r="B10" s="86"/>
      <c r="C10" s="86"/>
      <c r="D10" s="86"/>
      <c r="E10" s="86"/>
      <c r="F10" s="86"/>
    </row>
    <row r="11" spans="1:6" x14ac:dyDescent="0.2">
      <c r="A11" s="87" t="s">
        <v>175</v>
      </c>
      <c r="B11" s="87" t="s">
        <v>176</v>
      </c>
      <c r="C11" s="87" t="s">
        <v>136</v>
      </c>
      <c r="D11" s="87" t="s">
        <v>177</v>
      </c>
      <c r="E11" s="90" t="s">
        <v>178</v>
      </c>
      <c r="F11" s="91"/>
    </row>
    <row r="12" spans="1:6" x14ac:dyDescent="0.2">
      <c r="A12" s="88"/>
      <c r="B12" s="88"/>
      <c r="C12" s="88"/>
      <c r="D12" s="88"/>
      <c r="E12" s="92"/>
      <c r="F12" s="93"/>
    </row>
    <row r="13" spans="1:6" ht="14.25" x14ac:dyDescent="0.2">
      <c r="A13" s="89"/>
      <c r="B13" s="89"/>
      <c r="C13" s="89"/>
      <c r="D13" s="89"/>
      <c r="E13" s="18" t="s">
        <v>179</v>
      </c>
      <c r="F13" s="18" t="s">
        <v>180</v>
      </c>
    </row>
    <row r="14" spans="1:6" ht="14.25" x14ac:dyDescent="0.2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</row>
  </sheetData>
  <mergeCells count="11">
    <mergeCell ref="C2:E2"/>
    <mergeCell ref="C3:E3"/>
    <mergeCell ref="A9:F9"/>
    <mergeCell ref="A10:F10"/>
    <mergeCell ref="A11:A13"/>
    <mergeCell ref="B11:B13"/>
    <mergeCell ref="C11:C13"/>
    <mergeCell ref="D11:D13"/>
    <mergeCell ref="E11:F12"/>
    <mergeCell ref="C4:E4"/>
    <mergeCell ref="C6:E6"/>
  </mergeCells>
  <pageMargins left="0.6" right="0.4" top="0.65" bottom="0.4" header="0.4" footer="0.4"/>
  <pageSetup paperSize="9" scale="90" fitToHeight="0" orientation="portrait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97"/>
  <sheetViews>
    <sheetView workbookViewId="0">
      <selection activeCell="A93" sqref="A93:AA9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57197</v>
      </c>
      <c r="M1">
        <v>41062150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92</v>
      </c>
      <c r="C12" s="1">
        <v>0</v>
      </c>
      <c r="D12" s="1">
        <f>ROW(A57)</f>
        <v>57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18874376</v>
      </c>
      <c r="CI12" s="1" t="s">
        <v>3</v>
      </c>
      <c r="CJ12" s="1" t="s">
        <v>3</v>
      </c>
      <c r="CK12" s="1">
        <v>55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B57</f>
        <v>92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/>
      </c>
      <c r="G18" s="2" t="str">
        <f t="shared" si="0"/>
        <v>66. ПНР опоры освещения</v>
      </c>
      <c r="H18" s="2"/>
      <c r="I18" s="2"/>
      <c r="J18" s="2"/>
      <c r="K18" s="2"/>
      <c r="L18" s="2"/>
      <c r="M18" s="2"/>
      <c r="N18" s="2"/>
      <c r="O18" s="2">
        <f t="shared" ref="O18:AT18" si="1">O57</f>
        <v>2410.5700000000002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2">
        <f t="shared" si="1"/>
        <v>2410.5700000000002</v>
      </c>
      <c r="T18" s="2">
        <f t="shared" si="1"/>
        <v>0</v>
      </c>
      <c r="U18" s="2">
        <f t="shared" si="1"/>
        <v>6.4</v>
      </c>
      <c r="V18" s="2">
        <f t="shared" si="1"/>
        <v>0</v>
      </c>
      <c r="W18" s="2">
        <f t="shared" si="1"/>
        <v>0</v>
      </c>
      <c r="X18" s="2">
        <f t="shared" si="1"/>
        <v>1639.19</v>
      </c>
      <c r="Y18" s="2">
        <f t="shared" si="1"/>
        <v>988.33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5038.09</v>
      </c>
      <c r="AS18" s="2">
        <f t="shared" si="1"/>
        <v>0</v>
      </c>
      <c r="AT18" s="2">
        <f t="shared" si="1"/>
        <v>0</v>
      </c>
      <c r="AU18" s="2">
        <f t="shared" ref="AU18:BZ18" si="2">AU57</f>
        <v>5038.09</v>
      </c>
      <c r="AV18" s="2">
        <f t="shared" si="2"/>
        <v>0</v>
      </c>
      <c r="AW18" s="2">
        <f t="shared" si="2"/>
        <v>0</v>
      </c>
      <c r="AX18" s="2">
        <f t="shared" si="2"/>
        <v>0</v>
      </c>
      <c r="AY18" s="2">
        <f t="shared" si="2"/>
        <v>0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CA57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DG57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EM57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FS57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ROW(A26)</f>
        <v>26</v>
      </c>
      <c r="E20" s="1"/>
      <c r="F20" s="1" t="s">
        <v>11</v>
      </c>
      <c r="G20" s="1" t="s">
        <v>12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B26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66</v>
      </c>
      <c r="G22" s="2" t="str">
        <f t="shared" si="7"/>
        <v>ПНР опоры освещения</v>
      </c>
      <c r="H22" s="2"/>
      <c r="I22" s="2"/>
      <c r="J22" s="2"/>
      <c r="K22" s="2"/>
      <c r="L22" s="2"/>
      <c r="M22" s="2"/>
      <c r="N22" s="2"/>
      <c r="O22" s="2">
        <f t="shared" ref="O22:AT22" si="8">O26</f>
        <v>2410.5700000000002</v>
      </c>
      <c r="P22" s="2">
        <f t="shared" si="8"/>
        <v>0</v>
      </c>
      <c r="Q22" s="2">
        <f t="shared" si="8"/>
        <v>0</v>
      </c>
      <c r="R22" s="2">
        <f t="shared" si="8"/>
        <v>0</v>
      </c>
      <c r="S22" s="2">
        <f t="shared" si="8"/>
        <v>2410.5700000000002</v>
      </c>
      <c r="T22" s="2">
        <f t="shared" si="8"/>
        <v>0</v>
      </c>
      <c r="U22" s="2">
        <f t="shared" si="8"/>
        <v>6.4</v>
      </c>
      <c r="V22" s="2">
        <f t="shared" si="8"/>
        <v>0</v>
      </c>
      <c r="W22" s="2">
        <f t="shared" si="8"/>
        <v>0</v>
      </c>
      <c r="X22" s="2">
        <f t="shared" si="8"/>
        <v>1639.19</v>
      </c>
      <c r="Y22" s="2">
        <f t="shared" si="8"/>
        <v>988.33</v>
      </c>
      <c r="Z22" s="2">
        <f t="shared" si="8"/>
        <v>0</v>
      </c>
      <c r="AA22" s="2">
        <f t="shared" si="8"/>
        <v>0</v>
      </c>
      <c r="AB22" s="2">
        <f t="shared" si="8"/>
        <v>2410.5700000000002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2410.5700000000002</v>
      </c>
      <c r="AG22" s="2">
        <f t="shared" si="8"/>
        <v>0</v>
      </c>
      <c r="AH22" s="2">
        <f t="shared" si="8"/>
        <v>6.4</v>
      </c>
      <c r="AI22" s="2">
        <f t="shared" si="8"/>
        <v>0</v>
      </c>
      <c r="AJ22" s="2">
        <f t="shared" si="8"/>
        <v>0</v>
      </c>
      <c r="AK22" s="2">
        <f t="shared" si="8"/>
        <v>1639.19</v>
      </c>
      <c r="AL22" s="2">
        <f t="shared" si="8"/>
        <v>988.33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5038.09</v>
      </c>
      <c r="AS22" s="2">
        <f t="shared" si="8"/>
        <v>0</v>
      </c>
      <c r="AT22" s="2">
        <f t="shared" si="8"/>
        <v>0</v>
      </c>
      <c r="AU22" s="2">
        <f t="shared" ref="AU22:BZ22" si="9">AU26</f>
        <v>5038.09</v>
      </c>
      <c r="AV22" s="2">
        <f t="shared" si="9"/>
        <v>0</v>
      </c>
      <c r="AW22" s="2">
        <f t="shared" si="9"/>
        <v>0</v>
      </c>
      <c r="AX22" s="2">
        <f t="shared" si="9"/>
        <v>0</v>
      </c>
      <c r="AY22" s="2">
        <f t="shared" si="9"/>
        <v>0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CA26</f>
        <v>5038.09</v>
      </c>
      <c r="CB22" s="2">
        <f t="shared" si="10"/>
        <v>0</v>
      </c>
      <c r="CC22" s="2">
        <f t="shared" si="10"/>
        <v>0</v>
      </c>
      <c r="CD22" s="2">
        <f t="shared" si="10"/>
        <v>5038.09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DG26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EM26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FS26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>
        <v>17</v>
      </c>
      <c r="B24">
        <v>1</v>
      </c>
      <c r="C24">
        <f>ROW(SmtRes!A1)</f>
        <v>1</v>
      </c>
      <c r="D24">
        <f>ROW(EtalonRes!A1)</f>
        <v>1</v>
      </c>
      <c r="E24" t="s">
        <v>13</v>
      </c>
      <c r="F24" t="s">
        <v>14</v>
      </c>
      <c r="G24" t="s">
        <v>15</v>
      </c>
      <c r="H24" t="s">
        <v>16</v>
      </c>
      <c r="I24">
        <v>1</v>
      </c>
      <c r="J24">
        <v>0</v>
      </c>
      <c r="O24">
        <f>ROUND(CP24,2)</f>
        <v>2410.5700000000002</v>
      </c>
      <c r="P24">
        <f>ROUND((ROUND((AC24*AW24*I24),2)*BC24),2)</f>
        <v>0</v>
      </c>
      <c r="Q24">
        <f>(ROUND((ROUND(((ET24)*AV24*I24),2)*BB24),2)+ROUND((ROUND(((AE24-(EU24))*AV24*I24),2)*BS24),2))</f>
        <v>0</v>
      </c>
      <c r="R24">
        <f>ROUND((ROUND((AE24*AV24*I24),2)*BS24),2)</f>
        <v>0</v>
      </c>
      <c r="S24">
        <f>ROUND((ROUND((AF24*AV24*I24),2)*BA24),2)</f>
        <v>2410.5700000000002</v>
      </c>
      <c r="T24">
        <f>ROUND(CU24*I24,2)</f>
        <v>0</v>
      </c>
      <c r="U24">
        <f>CV24*I24</f>
        <v>6.4</v>
      </c>
      <c r="V24">
        <f>CW24*I24</f>
        <v>0</v>
      </c>
      <c r="W24">
        <f>ROUND(CX24*I24,2)</f>
        <v>0</v>
      </c>
      <c r="X24">
        <f>ROUND(CY24,2)</f>
        <v>1639.19</v>
      </c>
      <c r="Y24">
        <f>ROUND(CZ24,2)</f>
        <v>988.33</v>
      </c>
      <c r="AA24">
        <v>46573063</v>
      </c>
      <c r="AB24">
        <f>ROUND((AC24+AD24+AF24),6)</f>
        <v>101.968</v>
      </c>
      <c r="AC24">
        <f>ROUND((ES24),6)</f>
        <v>0</v>
      </c>
      <c r="AD24">
        <f>ROUND((((ET24)-(EU24))+AE24),6)</f>
        <v>0</v>
      </c>
      <c r="AE24">
        <f>ROUND((EU24),6)</f>
        <v>0</v>
      </c>
      <c r="AF24">
        <f>ROUND(((EV24*0.8)),6)</f>
        <v>101.968</v>
      </c>
      <c r="AG24">
        <f>ROUND((AP24),6)</f>
        <v>0</v>
      </c>
      <c r="AH24">
        <f>((EW24*0.8))</f>
        <v>6.4</v>
      </c>
      <c r="AI24">
        <f>(EX24)</f>
        <v>0</v>
      </c>
      <c r="AJ24">
        <f>(AS24)</f>
        <v>0</v>
      </c>
      <c r="AK24">
        <v>127.46</v>
      </c>
      <c r="AL24">
        <v>0</v>
      </c>
      <c r="AM24">
        <v>0</v>
      </c>
      <c r="AN24">
        <v>0</v>
      </c>
      <c r="AO24">
        <v>127.46</v>
      </c>
      <c r="AP24">
        <v>0</v>
      </c>
      <c r="AQ24">
        <v>8</v>
      </c>
      <c r="AR24">
        <v>0</v>
      </c>
      <c r="AS24">
        <v>0</v>
      </c>
      <c r="AT24">
        <v>68</v>
      </c>
      <c r="AU24">
        <v>41</v>
      </c>
      <c r="AV24">
        <v>1</v>
      </c>
      <c r="AW24">
        <v>1</v>
      </c>
      <c r="AZ24">
        <v>1</v>
      </c>
      <c r="BA24">
        <v>23.64</v>
      </c>
      <c r="BB24">
        <v>1</v>
      </c>
      <c r="BC24">
        <v>1</v>
      </c>
      <c r="BD24" t="s">
        <v>3</v>
      </c>
      <c r="BE24" t="s">
        <v>3</v>
      </c>
      <c r="BF24" t="s">
        <v>3</v>
      </c>
      <c r="BG24" t="s">
        <v>3</v>
      </c>
      <c r="BH24">
        <v>0</v>
      </c>
      <c r="BI24">
        <v>4</v>
      </c>
      <c r="BJ24" t="s">
        <v>17</v>
      </c>
      <c r="BM24">
        <v>388</v>
      </c>
      <c r="BN24">
        <v>0</v>
      </c>
      <c r="BO24" t="s">
        <v>3</v>
      </c>
      <c r="BP24">
        <v>0</v>
      </c>
      <c r="BQ24">
        <v>50</v>
      </c>
      <c r="BR24">
        <v>0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68</v>
      </c>
      <c r="CA24">
        <v>41</v>
      </c>
      <c r="CE24">
        <v>30</v>
      </c>
      <c r="CF24">
        <v>0</v>
      </c>
      <c r="CG24">
        <v>0</v>
      </c>
      <c r="CM24">
        <v>0</v>
      </c>
      <c r="CN24" t="s">
        <v>18</v>
      </c>
      <c r="CO24">
        <v>0</v>
      </c>
      <c r="CP24">
        <f>(P24+Q24+S24)</f>
        <v>2410.5700000000002</v>
      </c>
      <c r="CQ24">
        <f>ROUND((ROUND((AC24*AW24*1),2)*BC24),2)</f>
        <v>0</v>
      </c>
      <c r="CR24">
        <f>(ROUND((ROUND(((ET24)*AV24*1),2)*BB24),2)+ROUND((ROUND(((AE24-(EU24))*AV24*1),2)*BS24),2))</f>
        <v>0</v>
      </c>
      <c r="CS24">
        <f>ROUND((ROUND((AE24*AV24*1),2)*BS24),2)</f>
        <v>0</v>
      </c>
      <c r="CT24">
        <f>ROUND((ROUND((AF24*AV24*1),2)*BA24),2)</f>
        <v>2410.5700000000002</v>
      </c>
      <c r="CU24">
        <f>AG24</f>
        <v>0</v>
      </c>
      <c r="CV24">
        <f>(AH24*AV24)</f>
        <v>6.4</v>
      </c>
      <c r="CW24">
        <f>AI24</f>
        <v>0</v>
      </c>
      <c r="CX24">
        <f>AJ24</f>
        <v>0</v>
      </c>
      <c r="CY24">
        <f>S24*(BZ24/100)</f>
        <v>1639.1876000000002</v>
      </c>
      <c r="CZ24">
        <f>S24*(CA24/100)</f>
        <v>988.33370000000002</v>
      </c>
      <c r="DC24" t="s">
        <v>3</v>
      </c>
      <c r="DD24" t="s">
        <v>3</v>
      </c>
      <c r="DE24" t="s">
        <v>3</v>
      </c>
      <c r="DF24" t="s">
        <v>3</v>
      </c>
      <c r="DG24" t="s">
        <v>19</v>
      </c>
      <c r="DH24" t="s">
        <v>3</v>
      </c>
      <c r="DI24" t="s">
        <v>19</v>
      </c>
      <c r="DJ24" t="s">
        <v>3</v>
      </c>
      <c r="DK24" t="s">
        <v>3</v>
      </c>
      <c r="DL24" t="s">
        <v>3</v>
      </c>
      <c r="DM24" t="s">
        <v>3</v>
      </c>
      <c r="DN24">
        <v>75</v>
      </c>
      <c r="DO24">
        <v>70</v>
      </c>
      <c r="DP24">
        <v>1</v>
      </c>
      <c r="DQ24">
        <v>1</v>
      </c>
      <c r="DU24">
        <v>1013</v>
      </c>
      <c r="DV24" t="s">
        <v>16</v>
      </c>
      <c r="DW24" t="s">
        <v>16</v>
      </c>
      <c r="DX24">
        <v>1</v>
      </c>
      <c r="EE24">
        <v>46310738</v>
      </c>
      <c r="EF24">
        <v>50</v>
      </c>
      <c r="EG24" t="s">
        <v>20</v>
      </c>
      <c r="EH24">
        <v>0</v>
      </c>
      <c r="EI24" t="s">
        <v>3</v>
      </c>
      <c r="EJ24">
        <v>4</v>
      </c>
      <c r="EK24">
        <v>388</v>
      </c>
      <c r="EL24" t="s">
        <v>21</v>
      </c>
      <c r="EM24" t="s">
        <v>22</v>
      </c>
      <c r="EO24" t="s">
        <v>23</v>
      </c>
      <c r="EQ24">
        <v>131072</v>
      </c>
      <c r="ER24">
        <v>127.46</v>
      </c>
      <c r="ES24">
        <v>0</v>
      </c>
      <c r="ET24">
        <v>0</v>
      </c>
      <c r="EU24">
        <v>0</v>
      </c>
      <c r="EV24">
        <v>127.46</v>
      </c>
      <c r="EW24">
        <v>8</v>
      </c>
      <c r="EX24">
        <v>0</v>
      </c>
      <c r="EY24">
        <v>0</v>
      </c>
      <c r="FQ24">
        <v>0</v>
      </c>
      <c r="FR24">
        <f>ROUND(IF(AND(BH24=3,BI24=3),P24,0),2)</f>
        <v>0</v>
      </c>
      <c r="FS24">
        <v>0</v>
      </c>
      <c r="FX24">
        <v>75</v>
      </c>
      <c r="FY24">
        <v>70</v>
      </c>
      <c r="GA24" t="s">
        <v>3</v>
      </c>
      <c r="GD24">
        <v>0</v>
      </c>
      <c r="GF24">
        <v>-2016888578</v>
      </c>
      <c r="GG24">
        <v>2</v>
      </c>
      <c r="GH24">
        <v>1</v>
      </c>
      <c r="GI24">
        <v>2</v>
      </c>
      <c r="GJ24">
        <v>0</v>
      </c>
      <c r="GK24">
        <f>ROUND(R24*(R12)/100,2)</f>
        <v>0</v>
      </c>
      <c r="GL24">
        <f>ROUND(IF(AND(BH24=3,BI24=3,FS24&lt;&gt;0),P24,0),2)</f>
        <v>0</v>
      </c>
      <c r="GM24">
        <f>ROUND(O24+X24+Y24+GK24,2)+GX24</f>
        <v>5038.09</v>
      </c>
      <c r="GN24">
        <f>IF(OR(BI24=0,BI24=1),ROUND(O24+X24+Y24+GK24,2),0)</f>
        <v>0</v>
      </c>
      <c r="GO24">
        <f>IF(BI24=2,ROUND(O24+X24+Y24+GK24,2),0)</f>
        <v>0</v>
      </c>
      <c r="GP24">
        <f>IF(BI24=4,ROUND(O24+X24+Y24+GK24,2)+GX24,0)</f>
        <v>5038.09</v>
      </c>
      <c r="GR24">
        <v>0</v>
      </c>
      <c r="GS24">
        <v>3</v>
      </c>
      <c r="GT24">
        <v>0</v>
      </c>
      <c r="GU24" t="s">
        <v>3</v>
      </c>
      <c r="GV24">
        <f>ROUND((GT24),6)</f>
        <v>0</v>
      </c>
      <c r="GW24">
        <v>1</v>
      </c>
      <c r="GX24">
        <f>ROUND(HC24*I24,2)</f>
        <v>0</v>
      </c>
      <c r="HA24">
        <v>0</v>
      </c>
      <c r="HB24">
        <v>0</v>
      </c>
      <c r="HC24">
        <f>GV24*GW24</f>
        <v>0</v>
      </c>
      <c r="IK24">
        <v>0</v>
      </c>
    </row>
    <row r="26" spans="1:245" x14ac:dyDescent="0.2">
      <c r="A26" s="2">
        <v>51</v>
      </c>
      <c r="B26" s="2">
        <f>B20</f>
        <v>1</v>
      </c>
      <c r="C26" s="2">
        <f>A20</f>
        <v>3</v>
      </c>
      <c r="D26" s="2">
        <f>ROW(A20)</f>
        <v>20</v>
      </c>
      <c r="E26" s="2"/>
      <c r="F26" s="2" t="str">
        <f>IF(F20&lt;&gt;"",F20,"")</f>
        <v>66</v>
      </c>
      <c r="G26" s="2" t="str">
        <f>IF(G20&lt;&gt;"",G20,"")</f>
        <v>ПНР опоры освещения</v>
      </c>
      <c r="H26" s="2">
        <v>0</v>
      </c>
      <c r="I26" s="2"/>
      <c r="J26" s="2"/>
      <c r="K26" s="2"/>
      <c r="L26" s="2"/>
      <c r="M26" s="2"/>
      <c r="N26" s="2"/>
      <c r="O26" s="2">
        <f t="shared" ref="O26:T26" si="14">ROUND(AB26,2)</f>
        <v>2410.5700000000002</v>
      </c>
      <c r="P26" s="2">
        <f t="shared" si="14"/>
        <v>0</v>
      </c>
      <c r="Q26" s="2">
        <f t="shared" si="14"/>
        <v>0</v>
      </c>
      <c r="R26" s="2">
        <f t="shared" si="14"/>
        <v>0</v>
      </c>
      <c r="S26" s="2">
        <f t="shared" si="14"/>
        <v>2410.5700000000002</v>
      </c>
      <c r="T26" s="2">
        <f t="shared" si="14"/>
        <v>0</v>
      </c>
      <c r="U26" s="2">
        <f>AH26</f>
        <v>6.4</v>
      </c>
      <c r="V26" s="2">
        <f>AI26</f>
        <v>0</v>
      </c>
      <c r="W26" s="2">
        <f>ROUND(AJ26,2)</f>
        <v>0</v>
      </c>
      <c r="X26" s="2">
        <f>ROUND(AK26,2)</f>
        <v>1639.19</v>
      </c>
      <c r="Y26" s="2">
        <f>ROUND(AL26,2)</f>
        <v>988.33</v>
      </c>
      <c r="Z26" s="2"/>
      <c r="AA26" s="2"/>
      <c r="AB26" s="2">
        <f>ROUND(SUMIF(AA24:AA24,"=46573063",O24:O24),2)</f>
        <v>2410.5700000000002</v>
      </c>
      <c r="AC26" s="2">
        <f>ROUND(SUMIF(AA24:AA24,"=46573063",P24:P24),2)</f>
        <v>0</v>
      </c>
      <c r="AD26" s="2">
        <f>ROUND(SUMIF(AA24:AA24,"=46573063",Q24:Q24),2)</f>
        <v>0</v>
      </c>
      <c r="AE26" s="2">
        <f>ROUND(SUMIF(AA24:AA24,"=46573063",R24:R24),2)</f>
        <v>0</v>
      </c>
      <c r="AF26" s="2">
        <f>ROUND(SUMIF(AA24:AA24,"=46573063",S24:S24),2)</f>
        <v>2410.5700000000002</v>
      </c>
      <c r="AG26" s="2">
        <f>ROUND(SUMIF(AA24:AA24,"=46573063",T24:T24),2)</f>
        <v>0</v>
      </c>
      <c r="AH26" s="2">
        <f>SUMIF(AA24:AA24,"=46573063",U24:U24)</f>
        <v>6.4</v>
      </c>
      <c r="AI26" s="2">
        <f>SUMIF(AA24:AA24,"=46573063",V24:V24)</f>
        <v>0</v>
      </c>
      <c r="AJ26" s="2">
        <f>ROUND(SUMIF(AA24:AA24,"=46573063",W24:W24),2)</f>
        <v>0</v>
      </c>
      <c r="AK26" s="2">
        <f>ROUND(SUMIF(AA24:AA24,"=46573063",X24:X24),2)</f>
        <v>1639.19</v>
      </c>
      <c r="AL26" s="2">
        <f>ROUND(SUMIF(AA24:AA24,"=46573063",Y24:Y24),2)</f>
        <v>988.33</v>
      </c>
      <c r="AM26" s="2"/>
      <c r="AN26" s="2"/>
      <c r="AO26" s="2">
        <f t="shared" ref="AO26:BC26" si="15">ROUND(BX26,2)</f>
        <v>0</v>
      </c>
      <c r="AP26" s="2">
        <f t="shared" si="15"/>
        <v>0</v>
      </c>
      <c r="AQ26" s="2">
        <f t="shared" si="15"/>
        <v>0</v>
      </c>
      <c r="AR26" s="2">
        <f t="shared" si="15"/>
        <v>5038.09</v>
      </c>
      <c r="AS26" s="2">
        <f t="shared" si="15"/>
        <v>0</v>
      </c>
      <c r="AT26" s="2">
        <f t="shared" si="15"/>
        <v>0</v>
      </c>
      <c r="AU26" s="2">
        <f t="shared" si="15"/>
        <v>5038.09</v>
      </c>
      <c r="AV26" s="2">
        <f t="shared" si="15"/>
        <v>0</v>
      </c>
      <c r="AW26" s="2">
        <f t="shared" si="15"/>
        <v>0</v>
      </c>
      <c r="AX26" s="2">
        <f t="shared" si="15"/>
        <v>0</v>
      </c>
      <c r="AY26" s="2">
        <f t="shared" si="15"/>
        <v>0</v>
      </c>
      <c r="AZ26" s="2">
        <f t="shared" si="15"/>
        <v>0</v>
      </c>
      <c r="BA26" s="2">
        <f t="shared" si="15"/>
        <v>0</v>
      </c>
      <c r="BB26" s="2">
        <f t="shared" si="15"/>
        <v>0</v>
      </c>
      <c r="BC26" s="2">
        <f t="shared" si="15"/>
        <v>0</v>
      </c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>
        <f>ROUND(SUMIF(AA24:AA24,"=46573063",FQ24:FQ24),2)</f>
        <v>0</v>
      </c>
      <c r="BY26" s="2">
        <f>ROUND(SUMIF(AA24:AA24,"=46573063",FR24:FR24),2)</f>
        <v>0</v>
      </c>
      <c r="BZ26" s="2">
        <f>ROUND(SUMIF(AA24:AA24,"=46573063",GL24:GL24),2)</f>
        <v>0</v>
      </c>
      <c r="CA26" s="2">
        <f>ROUND(SUMIF(AA24:AA24,"=46573063",GM24:GM24),2)</f>
        <v>5038.09</v>
      </c>
      <c r="CB26" s="2">
        <f>ROUND(SUMIF(AA24:AA24,"=46573063",GN24:GN24),2)</f>
        <v>0</v>
      </c>
      <c r="CC26" s="2">
        <f>ROUND(SUMIF(AA24:AA24,"=46573063",GO24:GO24),2)</f>
        <v>0</v>
      </c>
      <c r="CD26" s="2">
        <f>ROUND(SUMIF(AA24:AA24,"=46573063",GP24:GP24),2)</f>
        <v>5038.09</v>
      </c>
      <c r="CE26" s="2">
        <f>AC26-BX26</f>
        <v>0</v>
      </c>
      <c r="CF26" s="2">
        <f>AC26-BY26</f>
        <v>0</v>
      </c>
      <c r="CG26" s="2">
        <f>BX26-BZ26</f>
        <v>0</v>
      </c>
      <c r="CH26" s="2">
        <f>AC26-BX26-BY26+BZ26</f>
        <v>0</v>
      </c>
      <c r="CI26" s="2">
        <f>BY26-BZ26</f>
        <v>0</v>
      </c>
      <c r="CJ26" s="2">
        <f>ROUND(SUMIF(AA24:AA24,"=46573063",GX24:GX24),2)</f>
        <v>0</v>
      </c>
      <c r="CK26" s="2">
        <f>ROUND(SUMIF(AA24:AA24,"=46573063",GY24:GY24),2)</f>
        <v>0</v>
      </c>
      <c r="CL26" s="2">
        <f>ROUND(SUMIF(AA24:AA24,"=46573063",GZ24:GZ24),2)</f>
        <v>0</v>
      </c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>
        <v>0</v>
      </c>
    </row>
    <row r="28" spans="1:245" x14ac:dyDescent="0.2">
      <c r="A28" s="4">
        <v>50</v>
      </c>
      <c r="B28" s="4">
        <v>0</v>
      </c>
      <c r="C28" s="4">
        <v>0</v>
      </c>
      <c r="D28" s="4">
        <v>1</v>
      </c>
      <c r="E28" s="4">
        <v>201</v>
      </c>
      <c r="F28" s="4">
        <f>ROUND(Source!O26,O28)</f>
        <v>2410.5700000000002</v>
      </c>
      <c r="G28" s="4" t="s">
        <v>24</v>
      </c>
      <c r="H28" s="4" t="s">
        <v>25</v>
      </c>
      <c r="I28" s="4"/>
      <c r="J28" s="4"/>
      <c r="K28" s="4">
        <v>201</v>
      </c>
      <c r="L28" s="4">
        <v>1</v>
      </c>
      <c r="M28" s="4">
        <v>3</v>
      </c>
      <c r="N28" s="4" t="s">
        <v>3</v>
      </c>
      <c r="O28" s="4">
        <v>2</v>
      </c>
      <c r="P28" s="4"/>
      <c r="Q28" s="4"/>
      <c r="R28" s="4"/>
      <c r="S28" s="4"/>
      <c r="T28" s="4"/>
      <c r="U28" s="4"/>
      <c r="V28" s="4"/>
      <c r="W28" s="4"/>
    </row>
    <row r="29" spans="1:245" x14ac:dyDescent="0.2">
      <c r="A29" s="4">
        <v>50</v>
      </c>
      <c r="B29" s="4">
        <v>0</v>
      </c>
      <c r="C29" s="4">
        <v>0</v>
      </c>
      <c r="D29" s="4">
        <v>1</v>
      </c>
      <c r="E29" s="4">
        <v>202</v>
      </c>
      <c r="F29" s="4">
        <f>ROUND(Source!P26,O29)</f>
        <v>0</v>
      </c>
      <c r="G29" s="4" t="s">
        <v>26</v>
      </c>
      <c r="H29" s="4" t="s">
        <v>27</v>
      </c>
      <c r="I29" s="4"/>
      <c r="J29" s="4"/>
      <c r="K29" s="4">
        <v>202</v>
      </c>
      <c r="L29" s="4">
        <v>2</v>
      </c>
      <c r="M29" s="4">
        <v>3</v>
      </c>
      <c r="N29" s="4" t="s">
        <v>3</v>
      </c>
      <c r="O29" s="4">
        <v>2</v>
      </c>
      <c r="P29" s="4"/>
      <c r="Q29" s="4"/>
      <c r="R29" s="4"/>
      <c r="S29" s="4"/>
      <c r="T29" s="4"/>
      <c r="U29" s="4"/>
      <c r="V29" s="4"/>
      <c r="W29" s="4"/>
    </row>
    <row r="30" spans="1:245" x14ac:dyDescent="0.2">
      <c r="A30" s="4">
        <v>50</v>
      </c>
      <c r="B30" s="4">
        <v>0</v>
      </c>
      <c r="C30" s="4">
        <v>0</v>
      </c>
      <c r="D30" s="4">
        <v>1</v>
      </c>
      <c r="E30" s="4">
        <v>227</v>
      </c>
      <c r="F30" s="4">
        <f>ROUND(Source!AO26,O30)</f>
        <v>0</v>
      </c>
      <c r="G30" s="4" t="s">
        <v>28</v>
      </c>
      <c r="H30" s="4" t="s">
        <v>29</v>
      </c>
      <c r="I30" s="4"/>
      <c r="J30" s="4"/>
      <c r="K30" s="4">
        <v>222</v>
      </c>
      <c r="L30" s="4">
        <v>3</v>
      </c>
      <c r="M30" s="4">
        <v>3</v>
      </c>
      <c r="N30" s="4" t="s">
        <v>3</v>
      </c>
      <c r="O30" s="4">
        <v>2</v>
      </c>
      <c r="P30" s="4"/>
      <c r="Q30" s="4"/>
      <c r="R30" s="4"/>
      <c r="S30" s="4"/>
      <c r="T30" s="4"/>
      <c r="U30" s="4"/>
      <c r="V30" s="4"/>
      <c r="W30" s="4"/>
    </row>
    <row r="31" spans="1:245" x14ac:dyDescent="0.2">
      <c r="A31" s="4">
        <v>50</v>
      </c>
      <c r="B31" s="4">
        <v>0</v>
      </c>
      <c r="C31" s="4">
        <v>0</v>
      </c>
      <c r="D31" s="4">
        <v>1</v>
      </c>
      <c r="E31" s="4">
        <v>225</v>
      </c>
      <c r="F31" s="4">
        <f>ROUND(Source!AV26,O31)</f>
        <v>0</v>
      </c>
      <c r="G31" s="4" t="s">
        <v>30</v>
      </c>
      <c r="H31" s="4" t="s">
        <v>31</v>
      </c>
      <c r="I31" s="4"/>
      <c r="J31" s="4"/>
      <c r="K31" s="4">
        <v>225</v>
      </c>
      <c r="L31" s="4">
        <v>4</v>
      </c>
      <c r="M31" s="4">
        <v>3</v>
      </c>
      <c r="N31" s="4" t="s">
        <v>3</v>
      </c>
      <c r="O31" s="4">
        <v>2</v>
      </c>
      <c r="P31" s="4"/>
      <c r="Q31" s="4"/>
      <c r="R31" s="4"/>
      <c r="S31" s="4"/>
      <c r="T31" s="4"/>
      <c r="U31" s="4"/>
      <c r="V31" s="4"/>
      <c r="W31" s="4"/>
    </row>
    <row r="32" spans="1:245" x14ac:dyDescent="0.2">
      <c r="A32" s="4">
        <v>50</v>
      </c>
      <c r="B32" s="4">
        <v>0</v>
      </c>
      <c r="C32" s="4">
        <v>0</v>
      </c>
      <c r="D32" s="4">
        <v>1</v>
      </c>
      <c r="E32" s="4">
        <v>226</v>
      </c>
      <c r="F32" s="4">
        <f>ROUND(Source!AW26,O32)</f>
        <v>0</v>
      </c>
      <c r="G32" s="4" t="s">
        <v>32</v>
      </c>
      <c r="H32" s="4" t="s">
        <v>33</v>
      </c>
      <c r="I32" s="4"/>
      <c r="J32" s="4"/>
      <c r="K32" s="4">
        <v>226</v>
      </c>
      <c r="L32" s="4">
        <v>5</v>
      </c>
      <c r="M32" s="4">
        <v>3</v>
      </c>
      <c r="N32" s="4" t="s">
        <v>3</v>
      </c>
      <c r="O32" s="4">
        <v>2</v>
      </c>
      <c r="P32" s="4"/>
      <c r="Q32" s="4"/>
      <c r="R32" s="4"/>
      <c r="S32" s="4"/>
      <c r="T32" s="4"/>
      <c r="U32" s="4"/>
      <c r="V32" s="4"/>
      <c r="W32" s="4"/>
    </row>
    <row r="33" spans="1:23" x14ac:dyDescent="0.2">
      <c r="A33" s="4">
        <v>50</v>
      </c>
      <c r="B33" s="4">
        <v>0</v>
      </c>
      <c r="C33" s="4">
        <v>0</v>
      </c>
      <c r="D33" s="4">
        <v>1</v>
      </c>
      <c r="E33" s="4">
        <v>0</v>
      </c>
      <c r="F33" s="4">
        <f>ROUND(Source!AX26,O33)</f>
        <v>0</v>
      </c>
      <c r="G33" s="4" t="s">
        <v>34</v>
      </c>
      <c r="H33" s="4" t="s">
        <v>35</v>
      </c>
      <c r="I33" s="4"/>
      <c r="J33" s="4"/>
      <c r="K33" s="4">
        <v>227</v>
      </c>
      <c r="L33" s="4">
        <v>6</v>
      </c>
      <c r="M33" s="4">
        <v>3</v>
      </c>
      <c r="N33" s="4" t="s">
        <v>3</v>
      </c>
      <c r="O33" s="4">
        <v>2</v>
      </c>
      <c r="P33" s="4"/>
      <c r="Q33" s="4"/>
      <c r="R33" s="4"/>
      <c r="S33" s="4"/>
      <c r="T33" s="4"/>
      <c r="U33" s="4"/>
      <c r="V33" s="4"/>
      <c r="W33" s="4"/>
    </row>
    <row r="34" spans="1:23" x14ac:dyDescent="0.2">
      <c r="A34" s="4">
        <v>50</v>
      </c>
      <c r="B34" s="4">
        <v>0</v>
      </c>
      <c r="C34" s="4">
        <v>0</v>
      </c>
      <c r="D34" s="4">
        <v>1</v>
      </c>
      <c r="E34" s="4">
        <v>228</v>
      </c>
      <c r="F34" s="4">
        <f>ROUND(Source!AY26,O34)</f>
        <v>0</v>
      </c>
      <c r="G34" s="4" t="s">
        <v>36</v>
      </c>
      <c r="H34" s="4" t="s">
        <v>37</v>
      </c>
      <c r="I34" s="4"/>
      <c r="J34" s="4"/>
      <c r="K34" s="4">
        <v>228</v>
      </c>
      <c r="L34" s="4">
        <v>7</v>
      </c>
      <c r="M34" s="4">
        <v>3</v>
      </c>
      <c r="N34" s="4" t="s">
        <v>3</v>
      </c>
      <c r="O34" s="4">
        <v>2</v>
      </c>
      <c r="P34" s="4"/>
      <c r="Q34" s="4"/>
      <c r="R34" s="4"/>
      <c r="S34" s="4"/>
      <c r="T34" s="4"/>
      <c r="U34" s="4"/>
      <c r="V34" s="4"/>
      <c r="W34" s="4"/>
    </row>
    <row r="35" spans="1:23" x14ac:dyDescent="0.2">
      <c r="A35" s="4">
        <v>50</v>
      </c>
      <c r="B35" s="4">
        <v>0</v>
      </c>
      <c r="C35" s="4">
        <v>0</v>
      </c>
      <c r="D35" s="4">
        <v>1</v>
      </c>
      <c r="E35" s="4">
        <v>216</v>
      </c>
      <c r="F35" s="4">
        <f>ROUND(Source!AP26,O35)</f>
        <v>0</v>
      </c>
      <c r="G35" s="4" t="s">
        <v>38</v>
      </c>
      <c r="H35" s="4" t="s">
        <v>39</v>
      </c>
      <c r="I35" s="4"/>
      <c r="J35" s="4"/>
      <c r="K35" s="4">
        <v>216</v>
      </c>
      <c r="L35" s="4">
        <v>8</v>
      </c>
      <c r="M35" s="4">
        <v>3</v>
      </c>
      <c r="N35" s="4" t="s">
        <v>3</v>
      </c>
      <c r="O35" s="4">
        <v>2</v>
      </c>
      <c r="P35" s="4"/>
      <c r="Q35" s="4"/>
      <c r="R35" s="4"/>
      <c r="S35" s="4"/>
      <c r="T35" s="4"/>
      <c r="U35" s="4"/>
      <c r="V35" s="4"/>
      <c r="W35" s="4"/>
    </row>
    <row r="36" spans="1:23" x14ac:dyDescent="0.2">
      <c r="A36" s="4">
        <v>50</v>
      </c>
      <c r="B36" s="4">
        <v>0</v>
      </c>
      <c r="C36" s="4">
        <v>0</v>
      </c>
      <c r="D36" s="4">
        <v>1</v>
      </c>
      <c r="E36" s="4">
        <v>223</v>
      </c>
      <c r="F36" s="4">
        <f>ROUND(Source!AQ26,O36)</f>
        <v>0</v>
      </c>
      <c r="G36" s="4" t="s">
        <v>40</v>
      </c>
      <c r="H36" s="4" t="s">
        <v>41</v>
      </c>
      <c r="I36" s="4"/>
      <c r="J36" s="4"/>
      <c r="K36" s="4">
        <v>223</v>
      </c>
      <c r="L36" s="4">
        <v>9</v>
      </c>
      <c r="M36" s="4">
        <v>3</v>
      </c>
      <c r="N36" s="4" t="s">
        <v>3</v>
      </c>
      <c r="O36" s="4">
        <v>2</v>
      </c>
      <c r="P36" s="4"/>
      <c r="Q36" s="4"/>
      <c r="R36" s="4"/>
      <c r="S36" s="4"/>
      <c r="T36" s="4"/>
      <c r="U36" s="4"/>
      <c r="V36" s="4"/>
      <c r="W36" s="4"/>
    </row>
    <row r="37" spans="1:23" x14ac:dyDescent="0.2">
      <c r="A37" s="4">
        <v>50</v>
      </c>
      <c r="B37" s="4">
        <v>0</v>
      </c>
      <c r="C37" s="4">
        <v>0</v>
      </c>
      <c r="D37" s="4">
        <v>1</v>
      </c>
      <c r="E37" s="4">
        <v>229</v>
      </c>
      <c r="F37" s="4">
        <f>ROUND(Source!AZ26,O37)</f>
        <v>0</v>
      </c>
      <c r="G37" s="4" t="s">
        <v>42</v>
      </c>
      <c r="H37" s="4" t="s">
        <v>43</v>
      </c>
      <c r="I37" s="4"/>
      <c r="J37" s="4"/>
      <c r="K37" s="4">
        <v>229</v>
      </c>
      <c r="L37" s="4">
        <v>10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/>
    </row>
    <row r="38" spans="1:23" x14ac:dyDescent="0.2">
      <c r="A38" s="4">
        <v>50</v>
      </c>
      <c r="B38" s="4">
        <v>0</v>
      </c>
      <c r="C38" s="4">
        <v>0</v>
      </c>
      <c r="D38" s="4">
        <v>1</v>
      </c>
      <c r="E38" s="4">
        <v>203</v>
      </c>
      <c r="F38" s="4">
        <f>ROUND(Source!Q26,O38)</f>
        <v>0</v>
      </c>
      <c r="G38" s="4" t="s">
        <v>44</v>
      </c>
      <c r="H38" s="4" t="s">
        <v>45</v>
      </c>
      <c r="I38" s="4"/>
      <c r="J38" s="4"/>
      <c r="K38" s="4">
        <v>203</v>
      </c>
      <c r="L38" s="4">
        <v>11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3" x14ac:dyDescent="0.2">
      <c r="A39" s="4">
        <v>50</v>
      </c>
      <c r="B39" s="4">
        <v>0</v>
      </c>
      <c r="C39" s="4">
        <v>0</v>
      </c>
      <c r="D39" s="4">
        <v>1</v>
      </c>
      <c r="E39" s="4">
        <v>231</v>
      </c>
      <c r="F39" s="4">
        <f>ROUND(Source!BB26,O39)</f>
        <v>0</v>
      </c>
      <c r="G39" s="4" t="s">
        <v>46</v>
      </c>
      <c r="H39" s="4" t="s">
        <v>47</v>
      </c>
      <c r="I39" s="4"/>
      <c r="J39" s="4"/>
      <c r="K39" s="4">
        <v>231</v>
      </c>
      <c r="L39" s="4">
        <v>12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3" x14ac:dyDescent="0.2">
      <c r="A40" s="4">
        <v>50</v>
      </c>
      <c r="B40" s="4">
        <v>0</v>
      </c>
      <c r="C40" s="4">
        <v>0</v>
      </c>
      <c r="D40" s="4">
        <v>1</v>
      </c>
      <c r="E40" s="4">
        <v>204</v>
      </c>
      <c r="F40" s="4">
        <f>ROUND(Source!R26,O40)</f>
        <v>0</v>
      </c>
      <c r="G40" s="4" t="s">
        <v>48</v>
      </c>
      <c r="H40" s="4" t="s">
        <v>49</v>
      </c>
      <c r="I40" s="4"/>
      <c r="J40" s="4"/>
      <c r="K40" s="4">
        <v>204</v>
      </c>
      <c r="L40" s="4">
        <v>13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3" x14ac:dyDescent="0.2">
      <c r="A41" s="4">
        <v>50</v>
      </c>
      <c r="B41" s="4">
        <v>0</v>
      </c>
      <c r="C41" s="4">
        <v>0</v>
      </c>
      <c r="D41" s="4">
        <v>1</v>
      </c>
      <c r="E41" s="4">
        <v>205</v>
      </c>
      <c r="F41" s="4">
        <f>ROUND(Source!S26,O41)</f>
        <v>2410.5700000000002</v>
      </c>
      <c r="G41" s="4" t="s">
        <v>50</v>
      </c>
      <c r="H41" s="4" t="s">
        <v>51</v>
      </c>
      <c r="I41" s="4"/>
      <c r="J41" s="4"/>
      <c r="K41" s="4">
        <v>205</v>
      </c>
      <c r="L41" s="4">
        <v>14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3" x14ac:dyDescent="0.2">
      <c r="A42" s="4">
        <v>50</v>
      </c>
      <c r="B42" s="4">
        <v>0</v>
      </c>
      <c r="C42" s="4">
        <v>0</v>
      </c>
      <c r="D42" s="4">
        <v>1</v>
      </c>
      <c r="E42" s="4">
        <v>232</v>
      </c>
      <c r="F42" s="4">
        <f>ROUND(Source!BC26,O42)</f>
        <v>0</v>
      </c>
      <c r="G42" s="4" t="s">
        <v>52</v>
      </c>
      <c r="H42" s="4" t="s">
        <v>53</v>
      </c>
      <c r="I42" s="4"/>
      <c r="J42" s="4"/>
      <c r="K42" s="4">
        <v>232</v>
      </c>
      <c r="L42" s="4">
        <v>15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3" x14ac:dyDescent="0.2">
      <c r="A43" s="4">
        <v>50</v>
      </c>
      <c r="B43" s="4">
        <v>0</v>
      </c>
      <c r="C43" s="4">
        <v>0</v>
      </c>
      <c r="D43" s="4">
        <v>1</v>
      </c>
      <c r="E43" s="4">
        <v>214</v>
      </c>
      <c r="F43" s="4">
        <f>ROUND(Source!AS26,O43)</f>
        <v>0</v>
      </c>
      <c r="G43" s="4" t="s">
        <v>54</v>
      </c>
      <c r="H43" s="4" t="s">
        <v>55</v>
      </c>
      <c r="I43" s="4"/>
      <c r="J43" s="4"/>
      <c r="K43" s="4">
        <v>214</v>
      </c>
      <c r="L43" s="4">
        <v>16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3" x14ac:dyDescent="0.2">
      <c r="A44" s="4">
        <v>50</v>
      </c>
      <c r="B44" s="4">
        <v>0</v>
      </c>
      <c r="C44" s="4">
        <v>0</v>
      </c>
      <c r="D44" s="4">
        <v>1</v>
      </c>
      <c r="E44" s="4">
        <v>215</v>
      </c>
      <c r="F44" s="4">
        <f>ROUND(Source!AT26,O44)</f>
        <v>0</v>
      </c>
      <c r="G44" s="4" t="s">
        <v>56</v>
      </c>
      <c r="H44" s="4" t="s">
        <v>57</v>
      </c>
      <c r="I44" s="4"/>
      <c r="J44" s="4"/>
      <c r="K44" s="4">
        <v>215</v>
      </c>
      <c r="L44" s="4">
        <v>17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3" x14ac:dyDescent="0.2">
      <c r="A45" s="4">
        <v>50</v>
      </c>
      <c r="B45" s="4">
        <v>0</v>
      </c>
      <c r="C45" s="4">
        <v>0</v>
      </c>
      <c r="D45" s="4">
        <v>1</v>
      </c>
      <c r="E45" s="4">
        <v>217</v>
      </c>
      <c r="F45" s="4">
        <f>ROUND(Source!AU26,O45)</f>
        <v>5038.09</v>
      </c>
      <c r="G45" s="4" t="s">
        <v>58</v>
      </c>
      <c r="H45" s="4" t="s">
        <v>59</v>
      </c>
      <c r="I45" s="4"/>
      <c r="J45" s="4"/>
      <c r="K45" s="4">
        <v>217</v>
      </c>
      <c r="L45" s="4">
        <v>18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3" x14ac:dyDescent="0.2">
      <c r="A46" s="4">
        <v>50</v>
      </c>
      <c r="B46" s="4">
        <v>0</v>
      </c>
      <c r="C46" s="4">
        <v>0</v>
      </c>
      <c r="D46" s="4">
        <v>1</v>
      </c>
      <c r="E46" s="4">
        <v>230</v>
      </c>
      <c r="F46" s="4">
        <f>ROUND(Source!BA26,O46)</f>
        <v>0</v>
      </c>
      <c r="G46" s="4" t="s">
        <v>60</v>
      </c>
      <c r="H46" s="4" t="s">
        <v>61</v>
      </c>
      <c r="I46" s="4"/>
      <c r="J46" s="4"/>
      <c r="K46" s="4">
        <v>230</v>
      </c>
      <c r="L46" s="4">
        <v>19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3" x14ac:dyDescent="0.2">
      <c r="A47" s="4">
        <v>50</v>
      </c>
      <c r="B47" s="4">
        <v>0</v>
      </c>
      <c r="C47" s="4">
        <v>0</v>
      </c>
      <c r="D47" s="4">
        <v>1</v>
      </c>
      <c r="E47" s="4">
        <v>206</v>
      </c>
      <c r="F47" s="4">
        <f>ROUND(Source!T26,O47)</f>
        <v>0</v>
      </c>
      <c r="G47" s="4" t="s">
        <v>62</v>
      </c>
      <c r="H47" s="4" t="s">
        <v>63</v>
      </c>
      <c r="I47" s="4"/>
      <c r="J47" s="4"/>
      <c r="K47" s="4">
        <v>206</v>
      </c>
      <c r="L47" s="4">
        <v>20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3" x14ac:dyDescent="0.2">
      <c r="A48" s="4">
        <v>50</v>
      </c>
      <c r="B48" s="4">
        <v>0</v>
      </c>
      <c r="C48" s="4">
        <v>0</v>
      </c>
      <c r="D48" s="4">
        <v>1</v>
      </c>
      <c r="E48" s="4">
        <v>207</v>
      </c>
      <c r="F48" s="4">
        <f>Source!U26</f>
        <v>6.4</v>
      </c>
      <c r="G48" s="4" t="s">
        <v>64</v>
      </c>
      <c r="H48" s="4" t="s">
        <v>65</v>
      </c>
      <c r="I48" s="4"/>
      <c r="J48" s="4"/>
      <c r="K48" s="4">
        <v>207</v>
      </c>
      <c r="L48" s="4">
        <v>21</v>
      </c>
      <c r="M48" s="4">
        <v>3</v>
      </c>
      <c r="N48" s="4" t="s">
        <v>3</v>
      </c>
      <c r="O48" s="4">
        <v>-1</v>
      </c>
      <c r="P48" s="4"/>
      <c r="Q48" s="4"/>
      <c r="R48" s="4"/>
      <c r="S48" s="4"/>
      <c r="T48" s="4"/>
      <c r="U48" s="4"/>
      <c r="V48" s="4"/>
      <c r="W48" s="4"/>
    </row>
    <row r="49" spans="1:206" x14ac:dyDescent="0.2">
      <c r="A49" s="4">
        <v>50</v>
      </c>
      <c r="B49" s="4">
        <v>0</v>
      </c>
      <c r="C49" s="4">
        <v>0</v>
      </c>
      <c r="D49" s="4">
        <v>1</v>
      </c>
      <c r="E49" s="4">
        <v>208</v>
      </c>
      <c r="F49" s="4">
        <f>Source!V26</f>
        <v>0</v>
      </c>
      <c r="G49" s="4" t="s">
        <v>66</v>
      </c>
      <c r="H49" s="4" t="s">
        <v>67</v>
      </c>
      <c r="I49" s="4"/>
      <c r="J49" s="4"/>
      <c r="K49" s="4">
        <v>208</v>
      </c>
      <c r="L49" s="4">
        <v>22</v>
      </c>
      <c r="M49" s="4">
        <v>3</v>
      </c>
      <c r="N49" s="4" t="s">
        <v>3</v>
      </c>
      <c r="O49" s="4">
        <v>-1</v>
      </c>
      <c r="P49" s="4"/>
      <c r="Q49" s="4"/>
      <c r="R49" s="4"/>
      <c r="S49" s="4"/>
      <c r="T49" s="4"/>
      <c r="U49" s="4"/>
      <c r="V49" s="4"/>
      <c r="W49" s="4"/>
    </row>
    <row r="50" spans="1:206" x14ac:dyDescent="0.2">
      <c r="A50" s="4">
        <v>50</v>
      </c>
      <c r="B50" s="4">
        <v>0</v>
      </c>
      <c r="C50" s="4">
        <v>0</v>
      </c>
      <c r="D50" s="4">
        <v>1</v>
      </c>
      <c r="E50" s="4">
        <v>209</v>
      </c>
      <c r="F50" s="4">
        <f>ROUND(Source!W26,O50)</f>
        <v>0</v>
      </c>
      <c r="G50" s="4" t="s">
        <v>68</v>
      </c>
      <c r="H50" s="4" t="s">
        <v>69</v>
      </c>
      <c r="I50" s="4"/>
      <c r="J50" s="4"/>
      <c r="K50" s="4">
        <v>209</v>
      </c>
      <c r="L50" s="4">
        <v>23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06" x14ac:dyDescent="0.2">
      <c r="A51" s="4">
        <v>50</v>
      </c>
      <c r="B51" s="4">
        <v>0</v>
      </c>
      <c r="C51" s="4">
        <v>0</v>
      </c>
      <c r="D51" s="4">
        <v>1</v>
      </c>
      <c r="E51" s="4">
        <v>210</v>
      </c>
      <c r="F51" s="4">
        <f>ROUND(Source!X26,O51)</f>
        <v>1639.19</v>
      </c>
      <c r="G51" s="4" t="s">
        <v>70</v>
      </c>
      <c r="H51" s="4" t="s">
        <v>71</v>
      </c>
      <c r="I51" s="4"/>
      <c r="J51" s="4"/>
      <c r="K51" s="4">
        <v>210</v>
      </c>
      <c r="L51" s="4">
        <v>24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06" x14ac:dyDescent="0.2">
      <c r="A52" s="4">
        <v>50</v>
      </c>
      <c r="B52" s="4">
        <v>0</v>
      </c>
      <c r="C52" s="4">
        <v>0</v>
      </c>
      <c r="D52" s="4">
        <v>1</v>
      </c>
      <c r="E52" s="4">
        <v>211</v>
      </c>
      <c r="F52" s="4">
        <f>ROUND(Source!Y26,O52)</f>
        <v>988.33</v>
      </c>
      <c r="G52" s="4" t="s">
        <v>72</v>
      </c>
      <c r="H52" s="4" t="s">
        <v>73</v>
      </c>
      <c r="I52" s="4"/>
      <c r="J52" s="4"/>
      <c r="K52" s="4">
        <v>211</v>
      </c>
      <c r="L52" s="4">
        <v>25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06" x14ac:dyDescent="0.2">
      <c r="A53" s="4">
        <v>50</v>
      </c>
      <c r="B53" s="4">
        <v>0</v>
      </c>
      <c r="C53" s="4">
        <v>0</v>
      </c>
      <c r="D53" s="4">
        <v>1</v>
      </c>
      <c r="E53" s="4">
        <v>224</v>
      </c>
      <c r="F53" s="4">
        <f>ROUND(Source!AR26,O53)</f>
        <v>5038.09</v>
      </c>
      <c r="G53" s="4" t="s">
        <v>74</v>
      </c>
      <c r="H53" s="4" t="s">
        <v>75</v>
      </c>
      <c r="I53" s="4"/>
      <c r="J53" s="4"/>
      <c r="K53" s="4">
        <v>224</v>
      </c>
      <c r="L53" s="4">
        <v>26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06" x14ac:dyDescent="0.2">
      <c r="A54" s="4">
        <v>50</v>
      </c>
      <c r="B54" s="4">
        <v>1</v>
      </c>
      <c r="C54" s="4">
        <v>0</v>
      </c>
      <c r="D54" s="4">
        <v>2</v>
      </c>
      <c r="E54" s="4">
        <v>0</v>
      </c>
      <c r="F54" s="4">
        <f>ROUND(F53*0.2,O54)</f>
        <v>1007.62</v>
      </c>
      <c r="G54" s="4" t="s">
        <v>76</v>
      </c>
      <c r="H54" s="4" t="s">
        <v>77</v>
      </c>
      <c r="I54" s="4"/>
      <c r="J54" s="4"/>
      <c r="K54" s="4">
        <v>212</v>
      </c>
      <c r="L54" s="4">
        <v>27</v>
      </c>
      <c r="M54" s="4">
        <v>0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06" x14ac:dyDescent="0.2">
      <c r="A55" s="4">
        <v>50</v>
      </c>
      <c r="B55" s="4">
        <v>1</v>
      </c>
      <c r="C55" s="4">
        <v>0</v>
      </c>
      <c r="D55" s="4">
        <v>2</v>
      </c>
      <c r="E55" s="4">
        <v>0</v>
      </c>
      <c r="F55" s="4">
        <f>ROUND(F53+F54,O55)</f>
        <v>6045.71</v>
      </c>
      <c r="G55" s="4" t="s">
        <v>78</v>
      </c>
      <c r="H55" s="4" t="s">
        <v>78</v>
      </c>
      <c r="I55" s="4"/>
      <c r="J55" s="4"/>
      <c r="K55" s="4">
        <v>212</v>
      </c>
      <c r="L55" s="4">
        <v>28</v>
      </c>
      <c r="M55" s="4">
        <v>0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7" spans="1:206" x14ac:dyDescent="0.2">
      <c r="A57" s="2">
        <v>51</v>
      </c>
      <c r="B57" s="2">
        <f>B12</f>
        <v>92</v>
      </c>
      <c r="C57" s="2">
        <f>A12</f>
        <v>1</v>
      </c>
      <c r="D57" s="2">
        <f>ROW(A12)</f>
        <v>12</v>
      </c>
      <c r="E57" s="2"/>
      <c r="F57" s="2" t="str">
        <f>IF(F12&lt;&gt;"",F12,"")</f>
        <v/>
      </c>
      <c r="G57" s="2" t="str">
        <f>IF(G12&lt;&gt;"",G12,"")</f>
        <v>66. ПНР опоры освещения</v>
      </c>
      <c r="H57" s="2">
        <v>0</v>
      </c>
      <c r="I57" s="2"/>
      <c r="J57" s="2"/>
      <c r="K57" s="2"/>
      <c r="L57" s="2"/>
      <c r="M57" s="2"/>
      <c r="N57" s="2"/>
      <c r="O57" s="2">
        <f t="shared" ref="O57:T57" si="16">ROUND(O26,2)</f>
        <v>2410.5700000000002</v>
      </c>
      <c r="P57" s="2">
        <f t="shared" si="16"/>
        <v>0</v>
      </c>
      <c r="Q57" s="2">
        <f t="shared" si="16"/>
        <v>0</v>
      </c>
      <c r="R57" s="2">
        <f t="shared" si="16"/>
        <v>0</v>
      </c>
      <c r="S57" s="2">
        <f t="shared" si="16"/>
        <v>2410.5700000000002</v>
      </c>
      <c r="T57" s="2">
        <f t="shared" si="16"/>
        <v>0</v>
      </c>
      <c r="U57" s="2">
        <f>U26</f>
        <v>6.4</v>
      </c>
      <c r="V57" s="2">
        <f>V26</f>
        <v>0</v>
      </c>
      <c r="W57" s="2">
        <f>ROUND(W26,2)</f>
        <v>0</v>
      </c>
      <c r="X57" s="2">
        <f>ROUND(X26,2)</f>
        <v>1639.19</v>
      </c>
      <c r="Y57" s="2">
        <f>ROUND(Y26,2)</f>
        <v>988.33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>
        <f t="shared" ref="AO57:BC57" si="17">ROUND(AO26,2)</f>
        <v>0</v>
      </c>
      <c r="AP57" s="2">
        <f t="shared" si="17"/>
        <v>0</v>
      </c>
      <c r="AQ57" s="2">
        <f t="shared" si="17"/>
        <v>0</v>
      </c>
      <c r="AR57" s="2">
        <f t="shared" si="17"/>
        <v>5038.09</v>
      </c>
      <c r="AS57" s="2">
        <f t="shared" si="17"/>
        <v>0</v>
      </c>
      <c r="AT57" s="2">
        <f t="shared" si="17"/>
        <v>0</v>
      </c>
      <c r="AU57" s="2">
        <f t="shared" si="17"/>
        <v>5038.09</v>
      </c>
      <c r="AV57" s="2">
        <f t="shared" si="17"/>
        <v>0</v>
      </c>
      <c r="AW57" s="2">
        <f t="shared" si="17"/>
        <v>0</v>
      </c>
      <c r="AX57" s="2">
        <f t="shared" si="17"/>
        <v>0</v>
      </c>
      <c r="AY57" s="2">
        <f t="shared" si="17"/>
        <v>0</v>
      </c>
      <c r="AZ57" s="2">
        <f t="shared" si="17"/>
        <v>0</v>
      </c>
      <c r="BA57" s="2">
        <f t="shared" si="17"/>
        <v>0</v>
      </c>
      <c r="BB57" s="2">
        <f t="shared" si="17"/>
        <v>0</v>
      </c>
      <c r="BC57" s="2">
        <f t="shared" si="17"/>
        <v>0</v>
      </c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>
        <v>0</v>
      </c>
    </row>
    <row r="59" spans="1:206" x14ac:dyDescent="0.2">
      <c r="A59" s="4">
        <v>50</v>
      </c>
      <c r="B59" s="4">
        <v>0</v>
      </c>
      <c r="C59" s="4">
        <v>0</v>
      </c>
      <c r="D59" s="4">
        <v>1</v>
      </c>
      <c r="E59" s="4">
        <v>201</v>
      </c>
      <c r="F59" s="4">
        <f>ROUND(Source!O57,O59)</f>
        <v>2410.5700000000002</v>
      </c>
      <c r="G59" s="4" t="s">
        <v>24</v>
      </c>
      <c r="H59" s="4" t="s">
        <v>25</v>
      </c>
      <c r="I59" s="4"/>
      <c r="J59" s="4"/>
      <c r="K59" s="4">
        <v>201</v>
      </c>
      <c r="L59" s="4">
        <v>1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06" x14ac:dyDescent="0.2">
      <c r="A60" s="4">
        <v>50</v>
      </c>
      <c r="B60" s="4">
        <v>0</v>
      </c>
      <c r="C60" s="4">
        <v>0</v>
      </c>
      <c r="D60" s="4">
        <v>1</v>
      </c>
      <c r="E60" s="4">
        <v>202</v>
      </c>
      <c r="F60" s="4">
        <f>ROUND(Source!P57,O60)</f>
        <v>0</v>
      </c>
      <c r="G60" s="4" t="s">
        <v>26</v>
      </c>
      <c r="H60" s="4" t="s">
        <v>27</v>
      </c>
      <c r="I60" s="4"/>
      <c r="J60" s="4"/>
      <c r="K60" s="4">
        <v>202</v>
      </c>
      <c r="L60" s="4">
        <v>2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06" x14ac:dyDescent="0.2">
      <c r="A61" s="4">
        <v>50</v>
      </c>
      <c r="B61" s="4">
        <v>0</v>
      </c>
      <c r="C61" s="4">
        <v>0</v>
      </c>
      <c r="D61" s="4">
        <v>1</v>
      </c>
      <c r="E61" s="4">
        <v>227</v>
      </c>
      <c r="F61" s="4">
        <f>ROUND(Source!AO57,O61)</f>
        <v>0</v>
      </c>
      <c r="G61" s="4" t="s">
        <v>28</v>
      </c>
      <c r="H61" s="4" t="s">
        <v>29</v>
      </c>
      <c r="I61" s="4"/>
      <c r="J61" s="4"/>
      <c r="K61" s="4">
        <v>222</v>
      </c>
      <c r="L61" s="4">
        <v>3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06" x14ac:dyDescent="0.2">
      <c r="A62" s="4">
        <v>50</v>
      </c>
      <c r="B62" s="4">
        <v>0</v>
      </c>
      <c r="C62" s="4">
        <v>0</v>
      </c>
      <c r="D62" s="4">
        <v>1</v>
      </c>
      <c r="E62" s="4">
        <v>225</v>
      </c>
      <c r="F62" s="4">
        <f>ROUND(Source!AV57,O62)</f>
        <v>0</v>
      </c>
      <c r="G62" s="4" t="s">
        <v>30</v>
      </c>
      <c r="H62" s="4" t="s">
        <v>31</v>
      </c>
      <c r="I62" s="4"/>
      <c r="J62" s="4"/>
      <c r="K62" s="4">
        <v>225</v>
      </c>
      <c r="L62" s="4">
        <v>4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06" x14ac:dyDescent="0.2">
      <c r="A63" s="4">
        <v>50</v>
      </c>
      <c r="B63" s="4">
        <v>0</v>
      </c>
      <c r="C63" s="4">
        <v>0</v>
      </c>
      <c r="D63" s="4">
        <v>1</v>
      </c>
      <c r="E63" s="4">
        <v>226</v>
      </c>
      <c r="F63" s="4">
        <f>ROUND(Source!AW57,O63)</f>
        <v>0</v>
      </c>
      <c r="G63" s="4" t="s">
        <v>32</v>
      </c>
      <c r="H63" s="4" t="s">
        <v>33</v>
      </c>
      <c r="I63" s="4"/>
      <c r="J63" s="4"/>
      <c r="K63" s="4">
        <v>226</v>
      </c>
      <c r="L63" s="4">
        <v>5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06" x14ac:dyDescent="0.2">
      <c r="A64" s="4">
        <v>50</v>
      </c>
      <c r="B64" s="4">
        <v>0</v>
      </c>
      <c r="C64" s="4">
        <v>0</v>
      </c>
      <c r="D64" s="4">
        <v>1</v>
      </c>
      <c r="E64" s="4">
        <v>0</v>
      </c>
      <c r="F64" s="4">
        <f>ROUND(Source!AX57,O64)</f>
        <v>0</v>
      </c>
      <c r="G64" s="4" t="s">
        <v>34</v>
      </c>
      <c r="H64" s="4" t="s">
        <v>35</v>
      </c>
      <c r="I64" s="4"/>
      <c r="J64" s="4"/>
      <c r="K64" s="4">
        <v>227</v>
      </c>
      <c r="L64" s="4">
        <v>6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3" x14ac:dyDescent="0.2">
      <c r="A65" s="4">
        <v>50</v>
      </c>
      <c r="B65" s="4">
        <v>0</v>
      </c>
      <c r="C65" s="4">
        <v>0</v>
      </c>
      <c r="D65" s="4">
        <v>1</v>
      </c>
      <c r="E65" s="4">
        <v>228</v>
      </c>
      <c r="F65" s="4">
        <f>ROUND(Source!AY57,O65)</f>
        <v>0</v>
      </c>
      <c r="G65" s="4" t="s">
        <v>36</v>
      </c>
      <c r="H65" s="4" t="s">
        <v>37</v>
      </c>
      <c r="I65" s="4"/>
      <c r="J65" s="4"/>
      <c r="K65" s="4">
        <v>228</v>
      </c>
      <c r="L65" s="4">
        <v>7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3" x14ac:dyDescent="0.2">
      <c r="A66" s="4">
        <v>50</v>
      </c>
      <c r="B66" s="4">
        <v>0</v>
      </c>
      <c r="C66" s="4">
        <v>0</v>
      </c>
      <c r="D66" s="4">
        <v>1</v>
      </c>
      <c r="E66" s="4">
        <v>216</v>
      </c>
      <c r="F66" s="4">
        <f>ROUND(Source!AP57,O66)</f>
        <v>0</v>
      </c>
      <c r="G66" s="4" t="s">
        <v>38</v>
      </c>
      <c r="H66" s="4" t="s">
        <v>39</v>
      </c>
      <c r="I66" s="4"/>
      <c r="J66" s="4"/>
      <c r="K66" s="4">
        <v>216</v>
      </c>
      <c r="L66" s="4">
        <v>8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3" x14ac:dyDescent="0.2">
      <c r="A67" s="4">
        <v>50</v>
      </c>
      <c r="B67" s="4">
        <v>0</v>
      </c>
      <c r="C67" s="4">
        <v>0</v>
      </c>
      <c r="D67" s="4">
        <v>1</v>
      </c>
      <c r="E67" s="4">
        <v>223</v>
      </c>
      <c r="F67" s="4">
        <f>ROUND(Source!AQ57,O67)</f>
        <v>0</v>
      </c>
      <c r="G67" s="4" t="s">
        <v>40</v>
      </c>
      <c r="H67" s="4" t="s">
        <v>41</v>
      </c>
      <c r="I67" s="4"/>
      <c r="J67" s="4"/>
      <c r="K67" s="4">
        <v>223</v>
      </c>
      <c r="L67" s="4">
        <v>9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3" x14ac:dyDescent="0.2">
      <c r="A68" s="4">
        <v>50</v>
      </c>
      <c r="B68" s="4">
        <v>0</v>
      </c>
      <c r="C68" s="4">
        <v>0</v>
      </c>
      <c r="D68" s="4">
        <v>1</v>
      </c>
      <c r="E68" s="4">
        <v>229</v>
      </c>
      <c r="F68" s="4">
        <f>ROUND(Source!AZ57,O68)</f>
        <v>0</v>
      </c>
      <c r="G68" s="4" t="s">
        <v>42</v>
      </c>
      <c r="H68" s="4" t="s">
        <v>43</v>
      </c>
      <c r="I68" s="4"/>
      <c r="J68" s="4"/>
      <c r="K68" s="4">
        <v>229</v>
      </c>
      <c r="L68" s="4">
        <v>10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3" x14ac:dyDescent="0.2">
      <c r="A69" s="4">
        <v>50</v>
      </c>
      <c r="B69" s="4">
        <v>0</v>
      </c>
      <c r="C69" s="4">
        <v>0</v>
      </c>
      <c r="D69" s="4">
        <v>1</v>
      </c>
      <c r="E69" s="4">
        <v>203</v>
      </c>
      <c r="F69" s="4">
        <f>ROUND(Source!Q57,O69)</f>
        <v>0</v>
      </c>
      <c r="G69" s="4" t="s">
        <v>44</v>
      </c>
      <c r="H69" s="4" t="s">
        <v>45</v>
      </c>
      <c r="I69" s="4"/>
      <c r="J69" s="4"/>
      <c r="K69" s="4">
        <v>203</v>
      </c>
      <c r="L69" s="4">
        <v>11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3" x14ac:dyDescent="0.2">
      <c r="A70" s="4">
        <v>50</v>
      </c>
      <c r="B70" s="4">
        <v>0</v>
      </c>
      <c r="C70" s="4">
        <v>0</v>
      </c>
      <c r="D70" s="4">
        <v>1</v>
      </c>
      <c r="E70" s="4">
        <v>231</v>
      </c>
      <c r="F70" s="4">
        <f>ROUND(Source!BB57,O70)</f>
        <v>0</v>
      </c>
      <c r="G70" s="4" t="s">
        <v>46</v>
      </c>
      <c r="H70" s="4" t="s">
        <v>47</v>
      </c>
      <c r="I70" s="4"/>
      <c r="J70" s="4"/>
      <c r="K70" s="4">
        <v>231</v>
      </c>
      <c r="L70" s="4">
        <v>12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3" x14ac:dyDescent="0.2">
      <c r="A71" s="4">
        <v>50</v>
      </c>
      <c r="B71" s="4">
        <v>0</v>
      </c>
      <c r="C71" s="4">
        <v>0</v>
      </c>
      <c r="D71" s="4">
        <v>1</v>
      </c>
      <c r="E71" s="4">
        <v>204</v>
      </c>
      <c r="F71" s="4">
        <f>ROUND(Source!R57,O71)</f>
        <v>0</v>
      </c>
      <c r="G71" s="4" t="s">
        <v>48</v>
      </c>
      <c r="H71" s="4" t="s">
        <v>49</v>
      </c>
      <c r="I71" s="4"/>
      <c r="J71" s="4"/>
      <c r="K71" s="4">
        <v>204</v>
      </c>
      <c r="L71" s="4">
        <v>13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3" x14ac:dyDescent="0.2">
      <c r="A72" s="4">
        <v>50</v>
      </c>
      <c r="B72" s="4">
        <v>0</v>
      </c>
      <c r="C72" s="4">
        <v>0</v>
      </c>
      <c r="D72" s="4">
        <v>1</v>
      </c>
      <c r="E72" s="4">
        <v>205</v>
      </c>
      <c r="F72" s="4">
        <f>ROUND(Source!S57,O72)</f>
        <v>2410.5700000000002</v>
      </c>
      <c r="G72" s="4" t="s">
        <v>50</v>
      </c>
      <c r="H72" s="4" t="s">
        <v>51</v>
      </c>
      <c r="I72" s="4"/>
      <c r="J72" s="4"/>
      <c r="K72" s="4">
        <v>205</v>
      </c>
      <c r="L72" s="4">
        <v>14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3" x14ac:dyDescent="0.2">
      <c r="A73" s="4">
        <v>50</v>
      </c>
      <c r="B73" s="4">
        <v>0</v>
      </c>
      <c r="C73" s="4">
        <v>0</v>
      </c>
      <c r="D73" s="4">
        <v>1</v>
      </c>
      <c r="E73" s="4">
        <v>232</v>
      </c>
      <c r="F73" s="4">
        <f>ROUND(Source!BC57,O73)</f>
        <v>0</v>
      </c>
      <c r="G73" s="4" t="s">
        <v>52</v>
      </c>
      <c r="H73" s="4" t="s">
        <v>53</v>
      </c>
      <c r="I73" s="4"/>
      <c r="J73" s="4"/>
      <c r="K73" s="4">
        <v>232</v>
      </c>
      <c r="L73" s="4">
        <v>15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3" x14ac:dyDescent="0.2">
      <c r="A74" s="4">
        <v>50</v>
      </c>
      <c r="B74" s="4">
        <v>0</v>
      </c>
      <c r="C74" s="4">
        <v>0</v>
      </c>
      <c r="D74" s="4">
        <v>1</v>
      </c>
      <c r="E74" s="4">
        <v>214</v>
      </c>
      <c r="F74" s="4">
        <f>ROUND(Source!AS57,O74)</f>
        <v>0</v>
      </c>
      <c r="G74" s="4" t="s">
        <v>54</v>
      </c>
      <c r="H74" s="4" t="s">
        <v>55</v>
      </c>
      <c r="I74" s="4"/>
      <c r="J74" s="4"/>
      <c r="K74" s="4">
        <v>214</v>
      </c>
      <c r="L74" s="4">
        <v>16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3" x14ac:dyDescent="0.2">
      <c r="A75" s="4">
        <v>50</v>
      </c>
      <c r="B75" s="4">
        <v>0</v>
      </c>
      <c r="C75" s="4">
        <v>0</v>
      </c>
      <c r="D75" s="4">
        <v>1</v>
      </c>
      <c r="E75" s="4">
        <v>215</v>
      </c>
      <c r="F75" s="4">
        <f>ROUND(Source!AT57,O75)</f>
        <v>0</v>
      </c>
      <c r="G75" s="4" t="s">
        <v>56</v>
      </c>
      <c r="H75" s="4" t="s">
        <v>57</v>
      </c>
      <c r="I75" s="4"/>
      <c r="J75" s="4"/>
      <c r="K75" s="4">
        <v>215</v>
      </c>
      <c r="L75" s="4">
        <v>17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3" x14ac:dyDescent="0.2">
      <c r="A76" s="4">
        <v>50</v>
      </c>
      <c r="B76" s="4">
        <v>0</v>
      </c>
      <c r="C76" s="4">
        <v>0</v>
      </c>
      <c r="D76" s="4">
        <v>1</v>
      </c>
      <c r="E76" s="4">
        <v>217</v>
      </c>
      <c r="F76" s="4">
        <f>ROUND(Source!AU57,O76)</f>
        <v>5038.09</v>
      </c>
      <c r="G76" s="4" t="s">
        <v>58</v>
      </c>
      <c r="H76" s="4" t="s">
        <v>59</v>
      </c>
      <c r="I76" s="4"/>
      <c r="J76" s="4"/>
      <c r="K76" s="4">
        <v>217</v>
      </c>
      <c r="L76" s="4">
        <v>18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3" x14ac:dyDescent="0.2">
      <c r="A77" s="4">
        <v>50</v>
      </c>
      <c r="B77" s="4">
        <v>0</v>
      </c>
      <c r="C77" s="4">
        <v>0</v>
      </c>
      <c r="D77" s="4">
        <v>1</v>
      </c>
      <c r="E77" s="4">
        <v>230</v>
      </c>
      <c r="F77" s="4">
        <f>ROUND(Source!BA57,O77)</f>
        <v>0</v>
      </c>
      <c r="G77" s="4" t="s">
        <v>60</v>
      </c>
      <c r="H77" s="4" t="s">
        <v>61</v>
      </c>
      <c r="I77" s="4"/>
      <c r="J77" s="4"/>
      <c r="K77" s="4">
        <v>230</v>
      </c>
      <c r="L77" s="4">
        <v>19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3" x14ac:dyDescent="0.2">
      <c r="A78" s="4">
        <v>50</v>
      </c>
      <c r="B78" s="4">
        <v>0</v>
      </c>
      <c r="C78" s="4">
        <v>0</v>
      </c>
      <c r="D78" s="4">
        <v>1</v>
      </c>
      <c r="E78" s="4">
        <v>206</v>
      </c>
      <c r="F78" s="4">
        <f>ROUND(Source!T57,O78)</f>
        <v>0</v>
      </c>
      <c r="G78" s="4" t="s">
        <v>62</v>
      </c>
      <c r="H78" s="4" t="s">
        <v>63</v>
      </c>
      <c r="I78" s="4"/>
      <c r="J78" s="4"/>
      <c r="K78" s="4">
        <v>206</v>
      </c>
      <c r="L78" s="4">
        <v>20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3" x14ac:dyDescent="0.2">
      <c r="A79" s="4">
        <v>50</v>
      </c>
      <c r="B79" s="4">
        <v>0</v>
      </c>
      <c r="C79" s="4">
        <v>0</v>
      </c>
      <c r="D79" s="4">
        <v>1</v>
      </c>
      <c r="E79" s="4">
        <v>207</v>
      </c>
      <c r="F79" s="4">
        <f>Source!U57</f>
        <v>6.4</v>
      </c>
      <c r="G79" s="4" t="s">
        <v>64</v>
      </c>
      <c r="H79" s="4" t="s">
        <v>65</v>
      </c>
      <c r="I79" s="4"/>
      <c r="J79" s="4"/>
      <c r="K79" s="4">
        <v>207</v>
      </c>
      <c r="L79" s="4">
        <v>21</v>
      </c>
      <c r="M79" s="4">
        <v>3</v>
      </c>
      <c r="N79" s="4" t="s">
        <v>3</v>
      </c>
      <c r="O79" s="4">
        <v>-1</v>
      </c>
      <c r="P79" s="4"/>
      <c r="Q79" s="4"/>
      <c r="R79" s="4"/>
      <c r="S79" s="4"/>
      <c r="T79" s="4"/>
      <c r="U79" s="4"/>
      <c r="V79" s="4"/>
      <c r="W79" s="4"/>
    </row>
    <row r="80" spans="1:23" x14ac:dyDescent="0.2">
      <c r="A80" s="4">
        <v>50</v>
      </c>
      <c r="B80" s="4">
        <v>0</v>
      </c>
      <c r="C80" s="4">
        <v>0</v>
      </c>
      <c r="D80" s="4">
        <v>1</v>
      </c>
      <c r="E80" s="4">
        <v>208</v>
      </c>
      <c r="F80" s="4">
        <f>Source!V57</f>
        <v>0</v>
      </c>
      <c r="G80" s="4" t="s">
        <v>66</v>
      </c>
      <c r="H80" s="4" t="s">
        <v>67</v>
      </c>
      <c r="I80" s="4"/>
      <c r="J80" s="4"/>
      <c r="K80" s="4">
        <v>208</v>
      </c>
      <c r="L80" s="4">
        <v>22</v>
      </c>
      <c r="M80" s="4">
        <v>3</v>
      </c>
      <c r="N80" s="4" t="s">
        <v>3</v>
      </c>
      <c r="O80" s="4">
        <v>-1</v>
      </c>
      <c r="P80" s="4"/>
      <c r="Q80" s="4"/>
      <c r="R80" s="4"/>
      <c r="S80" s="4"/>
      <c r="T80" s="4"/>
      <c r="U80" s="4"/>
      <c r="V80" s="4"/>
      <c r="W80" s="4"/>
    </row>
    <row r="81" spans="1:27" x14ac:dyDescent="0.2">
      <c r="A81" s="4">
        <v>50</v>
      </c>
      <c r="B81" s="4">
        <v>0</v>
      </c>
      <c r="C81" s="4">
        <v>0</v>
      </c>
      <c r="D81" s="4">
        <v>1</v>
      </c>
      <c r="E81" s="4">
        <v>209</v>
      </c>
      <c r="F81" s="4">
        <f>ROUND(Source!W57,O81)</f>
        <v>0</v>
      </c>
      <c r="G81" s="4" t="s">
        <v>68</v>
      </c>
      <c r="H81" s="4" t="s">
        <v>69</v>
      </c>
      <c r="I81" s="4"/>
      <c r="J81" s="4"/>
      <c r="K81" s="4">
        <v>209</v>
      </c>
      <c r="L81" s="4">
        <v>23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7" x14ac:dyDescent="0.2">
      <c r="A82" s="4">
        <v>50</v>
      </c>
      <c r="B82" s="4">
        <v>0</v>
      </c>
      <c r="C82" s="4">
        <v>0</v>
      </c>
      <c r="D82" s="4">
        <v>1</v>
      </c>
      <c r="E82" s="4">
        <v>210</v>
      </c>
      <c r="F82" s="4">
        <f>ROUND(Source!X57,O82)</f>
        <v>1639.19</v>
      </c>
      <c r="G82" s="4" t="s">
        <v>70</v>
      </c>
      <c r="H82" s="4" t="s">
        <v>71</v>
      </c>
      <c r="I82" s="4"/>
      <c r="J82" s="4"/>
      <c r="K82" s="4">
        <v>210</v>
      </c>
      <c r="L82" s="4">
        <v>24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7" x14ac:dyDescent="0.2">
      <c r="A83" s="4">
        <v>50</v>
      </c>
      <c r="B83" s="4">
        <v>0</v>
      </c>
      <c r="C83" s="4">
        <v>0</v>
      </c>
      <c r="D83" s="4">
        <v>1</v>
      </c>
      <c r="E83" s="4">
        <v>211</v>
      </c>
      <c r="F83" s="4">
        <f>ROUND(Source!Y57,O83)</f>
        <v>988.33</v>
      </c>
      <c r="G83" s="4" t="s">
        <v>72</v>
      </c>
      <c r="H83" s="4" t="s">
        <v>73</v>
      </c>
      <c r="I83" s="4"/>
      <c r="J83" s="4"/>
      <c r="K83" s="4">
        <v>211</v>
      </c>
      <c r="L83" s="4">
        <v>25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7" x14ac:dyDescent="0.2">
      <c r="A84" s="4">
        <v>50</v>
      </c>
      <c r="B84" s="4">
        <v>0</v>
      </c>
      <c r="C84" s="4">
        <v>0</v>
      </c>
      <c r="D84" s="4">
        <v>1</v>
      </c>
      <c r="E84" s="4">
        <v>224</v>
      </c>
      <c r="F84" s="4">
        <f>ROUND(Source!AR57,O84)</f>
        <v>5038.09</v>
      </c>
      <c r="G84" s="4" t="s">
        <v>74</v>
      </c>
      <c r="H84" s="4" t="s">
        <v>75</v>
      </c>
      <c r="I84" s="4"/>
      <c r="J84" s="4"/>
      <c r="K84" s="4">
        <v>224</v>
      </c>
      <c r="L84" s="4">
        <v>26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7" x14ac:dyDescent="0.2">
      <c r="A85" s="4">
        <v>50</v>
      </c>
      <c r="B85" s="4">
        <v>1</v>
      </c>
      <c r="C85" s="4">
        <v>0</v>
      </c>
      <c r="D85" s="4">
        <v>2</v>
      </c>
      <c r="E85" s="4">
        <v>0</v>
      </c>
      <c r="F85" s="4">
        <f>ROUND(F84,O85)</f>
        <v>5038.09</v>
      </c>
      <c r="G85" s="4" t="s">
        <v>79</v>
      </c>
      <c r="H85" s="4" t="s">
        <v>80</v>
      </c>
      <c r="I85" s="4"/>
      <c r="J85" s="4"/>
      <c r="K85" s="4">
        <v>212</v>
      </c>
      <c r="L85" s="4">
        <v>27</v>
      </c>
      <c r="M85" s="4">
        <v>0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7" x14ac:dyDescent="0.2">
      <c r="A86" s="4">
        <v>50</v>
      </c>
      <c r="B86" s="4">
        <v>1</v>
      </c>
      <c r="C86" s="4">
        <v>0</v>
      </c>
      <c r="D86" s="4">
        <v>2</v>
      </c>
      <c r="E86" s="4">
        <v>0</v>
      </c>
      <c r="F86" s="4">
        <f>ROUND(F85*0.2,O86)</f>
        <v>1007.62</v>
      </c>
      <c r="G86" s="4" t="s">
        <v>81</v>
      </c>
      <c r="H86" s="4" t="s">
        <v>82</v>
      </c>
      <c r="I86" s="4"/>
      <c r="J86" s="4"/>
      <c r="K86" s="4">
        <v>212</v>
      </c>
      <c r="L86" s="4">
        <v>28</v>
      </c>
      <c r="M86" s="4">
        <v>0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7" x14ac:dyDescent="0.2">
      <c r="A87" s="4">
        <v>50</v>
      </c>
      <c r="B87" s="4">
        <v>1</v>
      </c>
      <c r="C87" s="4">
        <v>0</v>
      </c>
      <c r="D87" s="4">
        <v>2</v>
      </c>
      <c r="E87" s="4">
        <v>0</v>
      </c>
      <c r="F87" s="4">
        <f>ROUND(F86+F85,O87)</f>
        <v>6045.71</v>
      </c>
      <c r="G87" s="4" t="s">
        <v>83</v>
      </c>
      <c r="H87" s="4" t="s">
        <v>83</v>
      </c>
      <c r="I87" s="4"/>
      <c r="J87" s="4"/>
      <c r="K87" s="4">
        <v>212</v>
      </c>
      <c r="L87" s="4">
        <v>29</v>
      </c>
      <c r="M87" s="4">
        <v>0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90" spans="1:27" x14ac:dyDescent="0.2">
      <c r="A90">
        <v>-1</v>
      </c>
    </row>
    <row r="92" spans="1:27" x14ac:dyDescent="0.2">
      <c r="A92" s="3">
        <v>75</v>
      </c>
      <c r="B92" s="3" t="s">
        <v>84</v>
      </c>
      <c r="C92" s="3">
        <v>2020</v>
      </c>
      <c r="D92" s="3">
        <v>0</v>
      </c>
      <c r="E92" s="3">
        <v>1</v>
      </c>
      <c r="F92" s="3"/>
      <c r="G92" s="3">
        <v>0</v>
      </c>
      <c r="H92" s="3">
        <v>2</v>
      </c>
      <c r="I92" s="3">
        <v>1</v>
      </c>
      <c r="J92" s="3">
        <v>1</v>
      </c>
      <c r="K92" s="3">
        <v>93</v>
      </c>
      <c r="L92" s="3">
        <v>64</v>
      </c>
      <c r="M92" s="3">
        <v>0</v>
      </c>
      <c r="N92" s="3">
        <v>46573063</v>
      </c>
      <c r="O92" s="3">
        <v>1</v>
      </c>
    </row>
    <row r="93" spans="1:27" x14ac:dyDescent="0.2">
      <c r="A93" s="5">
        <v>1</v>
      </c>
      <c r="B93" s="5" t="s">
        <v>85</v>
      </c>
      <c r="C93" s="5" t="s">
        <v>86</v>
      </c>
      <c r="D93" s="5">
        <v>2020</v>
      </c>
      <c r="E93" s="5">
        <v>1</v>
      </c>
      <c r="F93" s="5">
        <v>1</v>
      </c>
      <c r="G93" s="5">
        <v>1</v>
      </c>
      <c r="H93" s="5">
        <v>0</v>
      </c>
      <c r="I93" s="5">
        <v>2</v>
      </c>
      <c r="J93" s="5">
        <v>1</v>
      </c>
      <c r="K93" s="5">
        <v>1</v>
      </c>
      <c r="L93" s="5">
        <v>1</v>
      </c>
      <c r="M93" s="5">
        <v>1</v>
      </c>
      <c r="N93" s="5">
        <v>1</v>
      </c>
      <c r="O93" s="5">
        <v>1</v>
      </c>
      <c r="P93" s="5">
        <v>1</v>
      </c>
      <c r="Q93" s="5">
        <v>1</v>
      </c>
      <c r="R93" s="5" t="s">
        <v>3</v>
      </c>
      <c r="S93" s="5" t="s">
        <v>3</v>
      </c>
      <c r="T93" s="5" t="s">
        <v>3</v>
      </c>
      <c r="U93" s="5" t="s">
        <v>3</v>
      </c>
      <c r="V93" s="5" t="s">
        <v>3</v>
      </c>
      <c r="W93" s="5" t="s">
        <v>3</v>
      </c>
      <c r="X93" s="5" t="s">
        <v>3</v>
      </c>
      <c r="Y93" s="5" t="s">
        <v>3</v>
      </c>
      <c r="Z93" s="5" t="s">
        <v>3</v>
      </c>
      <c r="AA93" s="5" t="s">
        <v>87</v>
      </c>
    </row>
    <row r="97" spans="1:5" x14ac:dyDescent="0.2">
      <c r="A97">
        <v>65</v>
      </c>
      <c r="C97">
        <v>1</v>
      </c>
      <c r="D97">
        <v>0</v>
      </c>
      <c r="E9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88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57197</v>
      </c>
      <c r="M1">
        <v>41062150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18874376</v>
      </c>
      <c r="CI12" s="1" t="s">
        <v>3</v>
      </c>
      <c r="CJ12" s="1" t="s">
        <v>3</v>
      </c>
      <c r="CK12" s="1">
        <v>55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46573063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11</v>
      </c>
      <c r="D16" s="6" t="s">
        <v>12</v>
      </c>
      <c r="E16" s="7">
        <f>(Source!F43)/1000</f>
        <v>0</v>
      </c>
      <c r="F16" s="7">
        <f>(Source!F44)/1000</f>
        <v>0</v>
      </c>
      <c r="G16" s="7">
        <f>(Source!F35)/1000</f>
        <v>0</v>
      </c>
      <c r="H16" s="7">
        <f>(Source!F45)/1000+(Source!F46)/1000</f>
        <v>5.0380900000000004</v>
      </c>
      <c r="I16" s="7">
        <f>E16+F16+G16+H16</f>
        <v>5.0380900000000004</v>
      </c>
      <c r="J16" s="7">
        <f>(Source!F41)/1000</f>
        <v>2.4105700000000003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2410.5700000000002</v>
      </c>
      <c r="AU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2410.5700000000002</v>
      </c>
      <c r="BB16" s="7">
        <v>0</v>
      </c>
      <c r="BC16" s="7">
        <v>0</v>
      </c>
      <c r="BD16" s="7">
        <v>5038.09</v>
      </c>
      <c r="BE16" s="7">
        <v>0</v>
      </c>
      <c r="BF16" s="7">
        <v>6.4</v>
      </c>
      <c r="BG16" s="7">
        <v>0</v>
      </c>
      <c r="BH16" s="7">
        <v>0</v>
      </c>
      <c r="BI16" s="7">
        <v>1639.19</v>
      </c>
      <c r="BJ16" s="7">
        <v>988.33</v>
      </c>
      <c r="BK16" s="7">
        <v>5038.09</v>
      </c>
    </row>
    <row r="18" spans="1:19" x14ac:dyDescent="0.2">
      <c r="A18">
        <v>51</v>
      </c>
      <c r="E18" s="8">
        <f>SUMIF(A16:A17,3,E16:E17)</f>
        <v>0</v>
      </c>
      <c r="F18" s="8">
        <f>SUMIF(A16:A17,3,F16:F17)</f>
        <v>0</v>
      </c>
      <c r="G18" s="8">
        <f>SUMIF(A16:A17,3,G16:G17)</f>
        <v>0</v>
      </c>
      <c r="H18" s="8">
        <f>SUMIF(A16:A17,3,H16:H17)</f>
        <v>5.0380900000000004</v>
      </c>
      <c r="I18" s="8">
        <f>SUMIF(A16:A17,3,I16:I17)</f>
        <v>5.0380900000000004</v>
      </c>
      <c r="J18" s="8">
        <f>SUMIF(A16:A17,3,J16:J17)</f>
        <v>2.4105700000000003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2410.5700000000002</v>
      </c>
      <c r="G20" s="4" t="s">
        <v>24</v>
      </c>
      <c r="H20" s="4" t="s">
        <v>25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0</v>
      </c>
      <c r="G21" s="4" t="s">
        <v>26</v>
      </c>
      <c r="H21" s="4" t="s">
        <v>27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227</v>
      </c>
      <c r="F22" s="4">
        <v>0</v>
      </c>
      <c r="G22" s="4" t="s">
        <v>28</v>
      </c>
      <c r="H22" s="4" t="s">
        <v>29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0</v>
      </c>
      <c r="G23" s="4" t="s">
        <v>30</v>
      </c>
      <c r="H23" s="4" t="s">
        <v>31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0</v>
      </c>
      <c r="G24" s="4" t="s">
        <v>32</v>
      </c>
      <c r="H24" s="4" t="s">
        <v>33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0</v>
      </c>
      <c r="F25" s="4">
        <v>0</v>
      </c>
      <c r="G25" s="4" t="s">
        <v>34</v>
      </c>
      <c r="H25" s="4" t="s">
        <v>35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0</v>
      </c>
      <c r="G26" s="4" t="s">
        <v>36</v>
      </c>
      <c r="H26" s="4" t="s">
        <v>37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38</v>
      </c>
      <c r="H27" s="4" t="s">
        <v>39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40</v>
      </c>
      <c r="H28" s="4" t="s">
        <v>41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42</v>
      </c>
      <c r="H29" s="4" t="s">
        <v>43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0</v>
      </c>
      <c r="G30" s="4" t="s">
        <v>44</v>
      </c>
      <c r="H30" s="4" t="s">
        <v>45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46</v>
      </c>
      <c r="H31" s="4" t="s">
        <v>47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0</v>
      </c>
      <c r="G32" s="4" t="s">
        <v>48</v>
      </c>
      <c r="H32" s="4" t="s">
        <v>49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2410.5700000000002</v>
      </c>
      <c r="G33" s="4" t="s">
        <v>50</v>
      </c>
      <c r="H33" s="4" t="s">
        <v>51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52</v>
      </c>
      <c r="H34" s="4" t="s">
        <v>53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54</v>
      </c>
      <c r="H35" s="4" t="s">
        <v>55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56</v>
      </c>
      <c r="H36" s="4" t="s">
        <v>57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5038.09</v>
      </c>
      <c r="G37" s="4" t="s">
        <v>58</v>
      </c>
      <c r="H37" s="4" t="s">
        <v>59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60</v>
      </c>
      <c r="H38" s="4" t="s">
        <v>61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62</v>
      </c>
      <c r="H39" s="4" t="s">
        <v>63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6.4</v>
      </c>
      <c r="G40" s="4" t="s">
        <v>64</v>
      </c>
      <c r="H40" s="4" t="s">
        <v>65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66</v>
      </c>
      <c r="H41" s="4" t="s">
        <v>67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68</v>
      </c>
      <c r="H42" s="4" t="s">
        <v>69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1639.19</v>
      </c>
      <c r="G43" s="4" t="s">
        <v>70</v>
      </c>
      <c r="H43" s="4" t="s">
        <v>71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988.33</v>
      </c>
      <c r="G44" s="4" t="s">
        <v>72</v>
      </c>
      <c r="H44" s="4" t="s">
        <v>73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5038.09</v>
      </c>
      <c r="G45" s="4" t="s">
        <v>74</v>
      </c>
      <c r="H45" s="4" t="s">
        <v>75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5038.09</v>
      </c>
      <c r="G46" s="4" t="s">
        <v>79</v>
      </c>
      <c r="H46" s="4" t="s">
        <v>80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1007.62</v>
      </c>
      <c r="G47" s="4" t="s">
        <v>81</v>
      </c>
      <c r="H47" s="4" t="s">
        <v>82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6045.71</v>
      </c>
      <c r="G48" s="4" t="s">
        <v>83</v>
      </c>
      <c r="H48" s="4" t="s">
        <v>83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27" x14ac:dyDescent="0.2">
      <c r="A50">
        <v>-1</v>
      </c>
    </row>
    <row r="53" spans="1:27" x14ac:dyDescent="0.2">
      <c r="A53" s="3">
        <v>75</v>
      </c>
      <c r="B53" s="3" t="s">
        <v>84</v>
      </c>
      <c r="C53" s="3">
        <v>2020</v>
      </c>
      <c r="D53" s="3">
        <v>0</v>
      </c>
      <c r="E53" s="3">
        <v>1</v>
      </c>
      <c r="F53" s="3"/>
      <c r="G53" s="3">
        <v>0</v>
      </c>
      <c r="H53" s="3">
        <v>2</v>
      </c>
      <c r="I53" s="3">
        <v>1</v>
      </c>
      <c r="J53" s="3">
        <v>1</v>
      </c>
      <c r="K53" s="3">
        <v>93</v>
      </c>
      <c r="L53" s="3">
        <v>64</v>
      </c>
      <c r="M53" s="3">
        <v>0</v>
      </c>
      <c r="N53" s="3">
        <v>46573063</v>
      </c>
      <c r="O53" s="3">
        <v>1</v>
      </c>
    </row>
    <row r="54" spans="1:27" x14ac:dyDescent="0.2">
      <c r="A54" s="5">
        <v>1</v>
      </c>
      <c r="B54" s="5" t="s">
        <v>85</v>
      </c>
      <c r="C54" s="5" t="s">
        <v>86</v>
      </c>
      <c r="D54" s="5">
        <v>2020</v>
      </c>
      <c r="E54" s="5">
        <v>1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3</v>
      </c>
      <c r="Y54" s="5" t="s">
        <v>3</v>
      </c>
      <c r="Z54" s="5" t="s">
        <v>3</v>
      </c>
      <c r="AA54" s="5" t="s">
        <v>87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ROW(Source!A24)</f>
        <v>24</v>
      </c>
      <c r="B1">
        <v>46573063</v>
      </c>
      <c r="C1">
        <v>46573393</v>
      </c>
      <c r="D1">
        <v>30515951</v>
      </c>
      <c r="E1">
        <v>30515945</v>
      </c>
      <c r="F1">
        <v>1</v>
      </c>
      <c r="G1">
        <v>30515945</v>
      </c>
      <c r="H1">
        <v>1</v>
      </c>
      <c r="I1" t="s">
        <v>89</v>
      </c>
      <c r="J1" t="s">
        <v>3</v>
      </c>
      <c r="K1" t="s">
        <v>90</v>
      </c>
      <c r="L1">
        <v>1191</v>
      </c>
      <c r="N1">
        <v>1013</v>
      </c>
      <c r="O1" t="s">
        <v>91</v>
      </c>
      <c r="P1" t="s">
        <v>91</v>
      </c>
      <c r="Q1">
        <v>1</v>
      </c>
      <c r="W1">
        <v>0</v>
      </c>
      <c r="X1">
        <v>476480486</v>
      </c>
      <c r="Y1">
        <v>6.4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8</v>
      </c>
      <c r="AU1" t="s">
        <v>19</v>
      </c>
      <c r="AV1">
        <v>1</v>
      </c>
      <c r="AW1">
        <v>2</v>
      </c>
      <c r="AX1">
        <v>46573395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6.4</v>
      </c>
      <c r="CY1">
        <f>AD1</f>
        <v>0</v>
      </c>
      <c r="CZ1">
        <f>AH1</f>
        <v>0</v>
      </c>
      <c r="DA1">
        <f>AL1</f>
        <v>1</v>
      </c>
      <c r="DB1">
        <f>ROUND((ROUND(AT1*CZ1,2)*0.8),6)</f>
        <v>0</v>
      </c>
      <c r="DC1">
        <f>ROUND((ROUND(AT1*AG1,2)*0.8),6)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46573395</v>
      </c>
      <c r="C1">
        <v>46573393</v>
      </c>
      <c r="D1">
        <v>30515951</v>
      </c>
      <c r="E1">
        <v>30515945</v>
      </c>
      <c r="F1">
        <v>1</v>
      </c>
      <c r="G1">
        <v>30515945</v>
      </c>
      <c r="H1">
        <v>1</v>
      </c>
      <c r="I1" t="s">
        <v>89</v>
      </c>
      <c r="J1" t="s">
        <v>3</v>
      </c>
      <c r="K1" t="s">
        <v>90</v>
      </c>
      <c r="L1">
        <v>1191</v>
      </c>
      <c r="N1">
        <v>1013</v>
      </c>
      <c r="O1" t="s">
        <v>91</v>
      </c>
      <c r="P1" t="s">
        <v>91</v>
      </c>
      <c r="Q1">
        <v>1</v>
      </c>
      <c r="X1">
        <v>8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19</v>
      </c>
      <c r="AG1">
        <v>6.4</v>
      </c>
      <c r="AH1">
        <v>2</v>
      </c>
      <c r="AI1">
        <v>46573394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Смета по ТСН-2001</vt:lpstr>
      <vt:lpstr>Дефектная ведомость</vt:lpstr>
      <vt:lpstr>Ведомость объемов работ</vt:lpstr>
      <vt:lpstr>RV_DATA</vt:lpstr>
      <vt:lpstr>Расчет стоимости ресурсов</vt:lpstr>
      <vt:lpstr>Source</vt:lpstr>
      <vt:lpstr>SourceObSm</vt:lpstr>
      <vt:lpstr>SmtRes</vt:lpstr>
      <vt:lpstr>EtalonRes</vt:lpstr>
      <vt:lpstr>'Ведомость объемов работ'!Заголовки_для_печати</vt:lpstr>
      <vt:lpstr>'Дефектная ведомость'!Заголовки_для_печати</vt:lpstr>
      <vt:lpstr>'Расчет стоимости ресурсов'!Заголовки_для_печати</vt:lpstr>
      <vt:lpstr>'Смета по ТСН-2001'!Заголовки_для_печати</vt:lpstr>
      <vt:lpstr>'Ведомость объемов работ'!Область_печати</vt:lpstr>
      <vt:lpstr>'Дефектная ведомость'!Область_печати</vt:lpstr>
      <vt:lpstr>'Расчет стоимости ресурсов'!Область_печати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Григорий</cp:lastModifiedBy>
  <cp:lastPrinted>2021-03-13T15:27:30Z</cp:lastPrinted>
  <dcterms:created xsi:type="dcterms:W3CDTF">2020-02-08T13:24:23Z</dcterms:created>
  <dcterms:modified xsi:type="dcterms:W3CDTF">2021-03-15T14:19:24Z</dcterms:modified>
</cp:coreProperties>
</file>